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politoit-my.sharepoint.com/personal/s297739_studenti_polito_it/Documents/progetto impianti/"/>
    </mc:Choice>
  </mc:AlternateContent>
  <xr:revisionPtr revIDLastSave="6612" documentId="8_{B874A09A-3CE7-9C40-B746-DAA31C755989}" xr6:coauthVersionLast="47" xr6:coauthVersionMax="47" xr10:uidLastSave="{E436A2B5-C426-4A14-8F8D-858746BB382B}"/>
  <bookViews>
    <workbookView xWindow="0" yWindow="0" windowWidth="23040" windowHeight="12240" tabRatio="737" activeTab="1" xr2:uid="{00000000-000D-0000-FFFF-FFFF00000000}"/>
  </bookViews>
  <sheets>
    <sheet name="$_DATI_BASE" sheetId="3" r:id="rId1"/>
    <sheet name="$_DB_CICLI" sheetId="1" r:id="rId2"/>
    <sheet name="$_FABB_PARTI_LOTTI" sheetId="4" r:id="rId3"/>
    <sheet name="OP_MONTAGGIO" sheetId="5" r:id="rId4"/>
    <sheet name="$_MAG_BUFFER" sheetId="6" r:id="rId5"/>
    <sheet name="DIM_Magazzini" sheetId="20" r:id="rId6"/>
    <sheet name="$_MOV_MATERIALI" sheetId="17" r:id="rId7"/>
    <sheet name="DIMENSIONI E PESI" sheetId="9" r:id="rId8"/>
    <sheet name="ALTRI_DATI" sheetId="10" r:id="rId9"/>
  </sheets>
  <externalReferences>
    <externalReference r:id="rId10"/>
  </externalReferences>
  <definedNames>
    <definedName name="_xlnm._FilterDatabase" localSheetId="0" hidden="1">'$_DATI_BASE'!$B$1:$AA$65</definedName>
    <definedName name="_xlnm._FilterDatabase" localSheetId="1" hidden="1">'$_DB_CICLI'!$A$1:$Q$47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46" i="10" l="1"/>
  <c r="U30" i="20"/>
  <c r="U36" i="20" s="1"/>
  <c r="U18" i="20"/>
  <c r="U32" i="20" s="1"/>
  <c r="N8" i="20"/>
  <c r="N6" i="20"/>
  <c r="K8" i="20"/>
  <c r="K6" i="20"/>
  <c r="J8" i="20"/>
  <c r="J6" i="20"/>
  <c r="H8" i="20"/>
  <c r="H6" i="20"/>
  <c r="G8" i="20"/>
  <c r="G6" i="20"/>
  <c r="C8" i="20"/>
  <c r="C6" i="20"/>
  <c r="R32" i="20"/>
  <c r="Q32" i="20"/>
  <c r="N32" i="20"/>
  <c r="C32" i="20"/>
  <c r="T30" i="20"/>
  <c r="T36" i="20" s="1"/>
  <c r="S30" i="20"/>
  <c r="S36" i="20" s="1"/>
  <c r="R30" i="20"/>
  <c r="R36" i="20" s="1"/>
  <c r="Q30" i="20"/>
  <c r="Q36" i="20" s="1"/>
  <c r="N30" i="20"/>
  <c r="N36" i="20" s="1"/>
  <c r="C30" i="20"/>
  <c r="C34" i="20" s="1"/>
  <c r="C38" i="20" s="1"/>
  <c r="C43" i="20" s="1"/>
  <c r="G24" i="20"/>
  <c r="G30" i="20" s="1"/>
  <c r="G22" i="20"/>
  <c r="G18" i="20" s="1"/>
  <c r="G32" i="20" s="1"/>
  <c r="K20" i="20"/>
  <c r="J20" i="20"/>
  <c r="T18" i="20"/>
  <c r="T32" i="20" s="1"/>
  <c r="S18" i="20"/>
  <c r="S32" i="20" s="1"/>
  <c r="R18" i="20"/>
  <c r="Q18" i="20"/>
  <c r="N18" i="20"/>
  <c r="C18" i="20"/>
  <c r="K16" i="20"/>
  <c r="J16" i="20"/>
  <c r="K14" i="20"/>
  <c r="J14" i="20"/>
  <c r="K12" i="20"/>
  <c r="J12" i="20"/>
  <c r="J10" i="20"/>
  <c r="C36" i="20" l="1"/>
  <c r="U34" i="20"/>
  <c r="C45" i="20"/>
  <c r="C47" i="20"/>
  <c r="J30" i="20"/>
  <c r="N34" i="20"/>
  <c r="N38" i="20" s="1"/>
  <c r="N43" i="20" s="1"/>
  <c r="K30" i="20"/>
  <c r="Q34" i="20"/>
  <c r="R34" i="20"/>
  <c r="S34" i="20"/>
  <c r="T34" i="20"/>
  <c r="G34" i="20"/>
  <c r="G38" i="20" s="1"/>
  <c r="G43" i="20" s="1"/>
  <c r="G36" i="20"/>
  <c r="H22" i="20"/>
  <c r="J22" i="20"/>
  <c r="J18" i="20" s="1"/>
  <c r="J32" i="20" s="1"/>
  <c r="H24" i="20"/>
  <c r="H30" i="20" s="1"/>
  <c r="H36" i="20" l="1"/>
  <c r="G45" i="20"/>
  <c r="G47" i="20"/>
  <c r="K36" i="20"/>
  <c r="H18" i="20"/>
  <c r="H32" i="20" s="1"/>
  <c r="H34" i="20" s="1"/>
  <c r="H38" i="20" s="1"/>
  <c r="H43" i="20" s="1"/>
  <c r="K22" i="20"/>
  <c r="K18" i="20" s="1"/>
  <c r="K32" i="20" s="1"/>
  <c r="K34" i="20" s="1"/>
  <c r="K38" i="20" s="1"/>
  <c r="K43" i="20" s="1"/>
  <c r="N45" i="20"/>
  <c r="N47" i="20"/>
  <c r="J34" i="20"/>
  <c r="J38" i="20" s="1"/>
  <c r="J43" i="20" s="1"/>
  <c r="J36" i="20"/>
  <c r="C49" i="20"/>
  <c r="C51" i="20"/>
  <c r="C53" i="20" s="1"/>
  <c r="C55" i="20" l="1"/>
  <c r="K45" i="20"/>
  <c r="K47" i="20"/>
  <c r="H45" i="20"/>
  <c r="H47" i="20"/>
  <c r="N49" i="20"/>
  <c r="N51" i="20"/>
  <c r="N53" i="20" s="1"/>
  <c r="G49" i="20"/>
  <c r="G51" i="20"/>
  <c r="G53" i="20" s="1"/>
  <c r="G55" i="20"/>
  <c r="J45" i="20"/>
  <c r="J47" i="20"/>
  <c r="C57" i="20"/>
  <c r="C59" i="20"/>
  <c r="J49" i="20" l="1"/>
  <c r="J51" i="20"/>
  <c r="J53" i="20" s="1"/>
  <c r="G57" i="20"/>
  <c r="G59" i="20"/>
  <c r="N55" i="20"/>
  <c r="N57" i="20"/>
  <c r="N59" i="20"/>
  <c r="H49" i="20"/>
  <c r="H51" i="20"/>
  <c r="H53" i="20" s="1"/>
  <c r="K49" i="20"/>
  <c r="K51" i="20"/>
  <c r="K53" i="20" s="1"/>
  <c r="H55" i="20" l="1"/>
  <c r="H57" i="20"/>
  <c r="H59" i="20"/>
  <c r="K55" i="20"/>
  <c r="J55" i="20"/>
  <c r="K57" i="20"/>
  <c r="K59" i="20"/>
  <c r="J57" i="20"/>
  <c r="J59" i="20"/>
  <c r="Q19" i="6" l="1"/>
  <c r="Q21" i="6"/>
  <c r="Q22" i="6"/>
  <c r="Q23" i="6"/>
  <c r="Q24" i="6"/>
  <c r="Q25" i="6"/>
  <c r="Q26" i="6"/>
  <c r="Q27" i="6"/>
  <c r="Q28" i="6"/>
  <c r="Q29" i="6"/>
  <c r="Q30" i="6"/>
  <c r="Q18" i="6"/>
  <c r="M34" i="10"/>
  <c r="C41" i="10"/>
  <c r="M42" i="10"/>
  <c r="K36" i="10"/>
  <c r="M36" i="10" s="1"/>
  <c r="K37" i="10"/>
  <c r="M37" i="10" s="1"/>
  <c r="K38" i="10"/>
  <c r="M38" i="10" s="1"/>
  <c r="K39" i="10"/>
  <c r="M39" i="10" s="1"/>
  <c r="K40" i="10"/>
  <c r="M40" i="10" s="1"/>
  <c r="K41" i="10"/>
  <c r="M41" i="10" s="1"/>
  <c r="K43" i="10"/>
  <c r="M43" i="10" s="1"/>
  <c r="K44" i="10"/>
  <c r="M44" i="10" s="1"/>
  <c r="K45" i="10"/>
  <c r="M45" i="10" s="1"/>
  <c r="K35" i="10"/>
  <c r="M35" i="10" s="1"/>
  <c r="C36" i="10"/>
  <c r="C37" i="10"/>
  <c r="C38" i="10"/>
  <c r="C39" i="10"/>
  <c r="C40" i="10"/>
  <c r="C43" i="10"/>
  <c r="C45" i="10"/>
  <c r="M47" i="10" l="1"/>
  <c r="O46" i="10" s="1"/>
  <c r="O34" i="10" l="1"/>
  <c r="O35" i="10"/>
  <c r="O45" i="10"/>
  <c r="O44" i="10"/>
  <c r="O43" i="10"/>
  <c r="O42" i="10"/>
  <c r="O41" i="10"/>
  <c r="O40" i="10"/>
  <c r="O39" i="10"/>
  <c r="O38" i="10"/>
  <c r="O37" i="10"/>
  <c r="O36" i="10"/>
  <c r="O47" i="10" l="1"/>
  <c r="D14" i="6"/>
  <c r="X70" i="17" l="1"/>
  <c r="C24" i="17"/>
  <c r="AF12" i="17"/>
  <c r="AA10" i="17"/>
  <c r="AA14" i="17" s="1"/>
  <c r="AB10" i="17"/>
  <c r="AB14" i="17" s="1"/>
  <c r="AC10" i="17"/>
  <c r="AC14" i="17" s="1"/>
  <c r="AD10" i="17"/>
  <c r="AD14" i="17" s="1"/>
  <c r="AD16" i="17" s="1"/>
  <c r="AE10" i="17"/>
  <c r="AE14" i="17" s="1"/>
  <c r="AF10" i="17"/>
  <c r="AF14" i="17" s="1"/>
  <c r="AG10" i="17"/>
  <c r="AG14" i="17" s="1"/>
  <c r="AG16" i="17" s="1"/>
  <c r="AH10" i="17"/>
  <c r="AH14" i="17" s="1"/>
  <c r="AI10" i="17"/>
  <c r="AI14" i="17" s="1"/>
  <c r="AI16" i="17" s="1"/>
  <c r="AJ10" i="17"/>
  <c r="AJ14" i="17" s="1"/>
  <c r="AJ16" i="17" s="1"/>
  <c r="AK10" i="17"/>
  <c r="AK14" i="17" s="1"/>
  <c r="AK16" i="17" s="1"/>
  <c r="AL10" i="17"/>
  <c r="AL14" i="17" s="1"/>
  <c r="AL16" i="17" s="1"/>
  <c r="AM10" i="17"/>
  <c r="AM14" i="17" s="1"/>
  <c r="AN10" i="17"/>
  <c r="AN14" i="17" s="1"/>
  <c r="U8" i="17"/>
  <c r="AC16" i="17" l="1"/>
  <c r="G31" i="17"/>
  <c r="G6" i="17"/>
  <c r="I14" i="17"/>
  <c r="AB16" i="17"/>
  <c r="G12" i="17"/>
  <c r="C37" i="17"/>
  <c r="E37" i="17"/>
  <c r="AA16" i="17"/>
  <c r="E10" i="17"/>
  <c r="AM16" i="17"/>
  <c r="K6" i="17"/>
  <c r="K31" i="17"/>
  <c r="M18" i="17"/>
  <c r="AH16" i="17"/>
  <c r="K16" i="17"/>
  <c r="C31" i="17"/>
  <c r="S6" i="17"/>
  <c r="S24" i="17" s="1"/>
  <c r="AN16" i="17"/>
  <c r="I31" i="17"/>
  <c r="AF16" i="17"/>
  <c r="E31" i="17"/>
  <c r="AE16" i="17"/>
  <c r="O20" i="17"/>
  <c r="Q22" i="17"/>
  <c r="U6" i="17" l="1"/>
  <c r="U22" i="17"/>
  <c r="Q24" i="17"/>
  <c r="U18" i="17"/>
  <c r="M24" i="17"/>
  <c r="G24" i="17"/>
  <c r="U12" i="17"/>
  <c r="U14" i="17"/>
  <c r="I24" i="17"/>
  <c r="U20" i="17"/>
  <c r="O24" i="17"/>
  <c r="U16" i="17"/>
  <c r="K24" i="17"/>
  <c r="E24" i="17"/>
  <c r="U10" i="17"/>
  <c r="AA18" i="17"/>
  <c r="U24" i="17" l="1"/>
  <c r="P30" i="6"/>
  <c r="R30" i="6" s="1"/>
  <c r="P28" i="6"/>
  <c r="R28" i="6" s="1"/>
  <c r="P26" i="6"/>
  <c r="R26" i="6" s="1"/>
  <c r="P24" i="6"/>
  <c r="R24" i="6" s="1"/>
  <c r="P29" i="6"/>
  <c r="R29" i="6" s="1"/>
  <c r="P27" i="6"/>
  <c r="R27" i="6" s="1"/>
  <c r="P25" i="6"/>
  <c r="R25" i="6" s="1"/>
  <c r="P23" i="6"/>
  <c r="R23" i="6" s="1"/>
  <c r="P22" i="6"/>
  <c r="R22" i="6" s="1"/>
  <c r="P21" i="6"/>
  <c r="R21" i="6" s="1"/>
  <c r="P19" i="6"/>
  <c r="R19" i="6"/>
  <c r="P18" i="6"/>
  <c r="R18" i="6"/>
  <c r="N28" i="6"/>
  <c r="N29" i="6"/>
  <c r="N30" i="6"/>
  <c r="N27" i="6"/>
  <c r="N24" i="6"/>
  <c r="N25" i="6"/>
  <c r="N26" i="6"/>
  <c r="N23" i="6"/>
  <c r="N22" i="6"/>
  <c r="N21" i="6"/>
  <c r="N19" i="6"/>
  <c r="N18" i="6"/>
  <c r="N16" i="6"/>
  <c r="N15" i="6"/>
  <c r="N14" i="6"/>
  <c r="N13" i="6"/>
  <c r="N12" i="6"/>
  <c r="N11" i="6"/>
  <c r="N10" i="6"/>
  <c r="N9" i="6"/>
  <c r="N7" i="6"/>
  <c r="N8" i="6"/>
  <c r="N6" i="6"/>
  <c r="M28" i="6"/>
  <c r="M29" i="6"/>
  <c r="M30" i="6"/>
  <c r="M27" i="6"/>
  <c r="M24" i="6"/>
  <c r="M25" i="6"/>
  <c r="M26" i="6"/>
  <c r="M23" i="6"/>
  <c r="M22" i="6"/>
  <c r="M21" i="6"/>
  <c r="M19" i="6"/>
  <c r="M18" i="6"/>
  <c r="M16" i="6"/>
  <c r="M15" i="6"/>
  <c r="M14" i="6"/>
  <c r="M13" i="6"/>
  <c r="M11" i="6"/>
  <c r="M12" i="6"/>
  <c r="M10" i="6"/>
  <c r="M9" i="6"/>
  <c r="M7" i="6"/>
  <c r="M8" i="6"/>
  <c r="M6" i="6"/>
  <c r="B54" i="4"/>
  <c r="AC58" i="5"/>
  <c r="AC59" i="5"/>
  <c r="AC60" i="5"/>
  <c r="AI4" i="5"/>
  <c r="V52" i="5"/>
  <c r="V36" i="5"/>
  <c r="AH13" i="5"/>
  <c r="AH16" i="5"/>
  <c r="AH10" i="5"/>
  <c r="AH11" i="5"/>
  <c r="AH9" i="5"/>
  <c r="AL7" i="5"/>
  <c r="AL5" i="5"/>
  <c r="AJ4" i="5"/>
  <c r="AL4" i="5"/>
  <c r="Z24" i="5"/>
  <c r="Z25" i="5"/>
  <c r="Y25" i="5"/>
  <c r="X24" i="5"/>
  <c r="U22" i="5"/>
  <c r="AB16" i="5"/>
  <c r="AA22" i="5"/>
  <c r="AB11" i="5"/>
  <c r="W24" i="5"/>
  <c r="AB10" i="5"/>
  <c r="W23" i="5"/>
  <c r="AB8" i="5"/>
  <c r="U26" i="5"/>
  <c r="W13" i="5"/>
  <c r="W14" i="5"/>
  <c r="Z12" i="5"/>
  <c r="Z7" i="5"/>
  <c r="W7" i="5"/>
  <c r="W11" i="5"/>
  <c r="W8" i="5"/>
  <c r="Z6" i="5"/>
  <c r="W6" i="5"/>
  <c r="W5" i="5"/>
  <c r="X4" i="5"/>
  <c r="AC4" i="5"/>
  <c r="V22" i="5"/>
  <c r="W4" i="5"/>
  <c r="AH4" i="5"/>
  <c r="S5" i="5"/>
  <c r="X12" i="5"/>
  <c r="T5" i="5"/>
  <c r="Y12" i="5"/>
  <c r="S6" i="5"/>
  <c r="X6" i="5"/>
  <c r="T6" i="5"/>
  <c r="Y6" i="5"/>
  <c r="S7" i="5"/>
  <c r="X8" i="5"/>
  <c r="T7" i="5"/>
  <c r="Y8" i="5"/>
  <c r="S8" i="5"/>
  <c r="T8" i="5"/>
  <c r="Y11" i="5"/>
  <c r="S9" i="5"/>
  <c r="X13" i="5"/>
  <c r="T9" i="5"/>
  <c r="Y13" i="5"/>
  <c r="S10" i="5"/>
  <c r="X7" i="5"/>
  <c r="T10" i="5"/>
  <c r="Y7" i="5"/>
  <c r="S11" i="5"/>
  <c r="T11" i="5"/>
  <c r="Y10" i="5"/>
  <c r="S12" i="5"/>
  <c r="T12" i="5"/>
  <c r="Y5" i="5"/>
  <c r="S13" i="5"/>
  <c r="X9" i="5"/>
  <c r="T13" i="5"/>
  <c r="Y9" i="5"/>
  <c r="S14" i="5"/>
  <c r="T14" i="5"/>
  <c r="Y14" i="5"/>
  <c r="S15" i="5"/>
  <c r="T15" i="5"/>
  <c r="Y15" i="5"/>
  <c r="S16" i="5"/>
  <c r="X16" i="5"/>
  <c r="T16" i="5"/>
  <c r="Y16" i="5"/>
  <c r="AC42" i="5"/>
  <c r="AC43" i="5"/>
  <c r="AC44" i="5"/>
  <c r="G2" i="4"/>
  <c r="G3" i="4"/>
  <c r="P14" i="4" s="1"/>
  <c r="Q14" i="4" s="1"/>
  <c r="M10" i="4"/>
  <c r="N10" i="4"/>
  <c r="M20" i="4"/>
  <c r="N20" i="4"/>
  <c r="M18" i="4"/>
  <c r="N18" i="4"/>
  <c r="M16" i="4"/>
  <c r="N16" i="4"/>
  <c r="M14" i="4"/>
  <c r="N14" i="4"/>
  <c r="M19" i="4"/>
  <c r="N19" i="4"/>
  <c r="M17" i="4"/>
  <c r="N17" i="4"/>
  <c r="M15" i="4"/>
  <c r="N15" i="4"/>
  <c r="M13" i="4"/>
  <c r="N13" i="4"/>
  <c r="AC28" i="5"/>
  <c r="AC29" i="5"/>
  <c r="AC30" i="5"/>
  <c r="M8" i="4"/>
  <c r="N8" i="4"/>
  <c r="O17" i="5"/>
  <c r="T4" i="5"/>
  <c r="Y4" i="5"/>
  <c r="O10" i="4"/>
  <c r="F29" i="4" s="1"/>
  <c r="O11" i="4"/>
  <c r="F30" i="4" s="1"/>
  <c r="M11" i="4"/>
  <c r="N11" i="4"/>
  <c r="M7" i="4"/>
  <c r="N7" i="4"/>
  <c r="O13" i="4"/>
  <c r="F43" i="4"/>
  <c r="F52" i="4" s="1"/>
  <c r="O14" i="4"/>
  <c r="O34" i="1"/>
  <c r="O5" i="3"/>
  <c r="O6" i="3"/>
  <c r="O6" i="1"/>
  <c r="O5" i="1"/>
  <c r="O43" i="1"/>
  <c r="O44" i="1"/>
  <c r="O45" i="1"/>
  <c r="O46" i="1"/>
  <c r="O42" i="1"/>
  <c r="O38" i="1"/>
  <c r="H7" i="3"/>
  <c r="H6" i="3"/>
  <c r="AC79" i="3"/>
  <c r="O33" i="1"/>
  <c r="O30" i="1"/>
  <c r="O28" i="1"/>
  <c r="O21" i="1" a="1"/>
  <c r="O21" i="1" s="1"/>
  <c r="O20" i="1"/>
  <c r="AC70" i="3"/>
  <c r="O19" i="1"/>
  <c r="O16" i="1"/>
  <c r="AC68" i="3"/>
  <c r="O15" i="1"/>
  <c r="O12" i="1"/>
  <c r="AC66" i="3"/>
  <c r="O11" i="1"/>
  <c r="AC81" i="3"/>
  <c r="O37" i="1" s="1"/>
  <c r="AC83" i="3"/>
  <c r="O41" i="1"/>
  <c r="O8" i="1"/>
  <c r="O40" i="1"/>
  <c r="O39" i="1"/>
  <c r="O36" i="1"/>
  <c r="O35" i="1"/>
  <c r="O32" i="1"/>
  <c r="O31" i="1"/>
  <c r="O29" i="1"/>
  <c r="O27" i="1"/>
  <c r="O18" i="1"/>
  <c r="O17" i="1"/>
  <c r="O14" i="1"/>
  <c r="O13" i="1"/>
  <c r="O10" i="1"/>
  <c r="O9" i="1"/>
  <c r="O7" i="1"/>
  <c r="J30" i="9"/>
  <c r="J31" i="9"/>
  <c r="J28" i="9"/>
  <c r="J29" i="9"/>
  <c r="J26" i="9"/>
  <c r="J27" i="9"/>
  <c r="J24" i="9"/>
  <c r="J25" i="9"/>
  <c r="J6" i="9"/>
  <c r="J5" i="9"/>
  <c r="J4" i="9"/>
  <c r="U58" i="3"/>
  <c r="O20" i="4" s="1"/>
  <c r="U57" i="3"/>
  <c r="O19" i="4" s="1"/>
  <c r="F46" i="4" s="1"/>
  <c r="F55" i="4" s="1"/>
  <c r="U56" i="3"/>
  <c r="O18" i="4" s="1"/>
  <c r="U55" i="3"/>
  <c r="O17" i="4" s="1"/>
  <c r="F45" i="4" s="1"/>
  <c r="F54" i="4" s="1"/>
  <c r="U54" i="3"/>
  <c r="O16" i="4" s="1"/>
  <c r="U53" i="3"/>
  <c r="O15" i="4" s="1"/>
  <c r="F44" i="4" s="1"/>
  <c r="F53" i="4" s="1"/>
  <c r="C20" i="4"/>
  <c r="B55" i="4" s="1"/>
  <c r="F46" i="1"/>
  <c r="C14" i="6"/>
  <c r="F45" i="1"/>
  <c r="F44" i="1"/>
  <c r="F43" i="1"/>
  <c r="C12" i="6"/>
  <c r="F42" i="1"/>
  <c r="C16" i="6"/>
  <c r="F41" i="1"/>
  <c r="F38" i="1"/>
  <c r="G39" i="1"/>
  <c r="F37" i="1"/>
  <c r="F34" i="1"/>
  <c r="G35" i="1"/>
  <c r="F33" i="1"/>
  <c r="F30" i="1"/>
  <c r="C25" i="6" s="1"/>
  <c r="G31" i="1"/>
  <c r="F28" i="1"/>
  <c r="G29" i="1"/>
  <c r="C22" i="6"/>
  <c r="F26" i="1"/>
  <c r="G28" i="1"/>
  <c r="F24" i="1"/>
  <c r="C13" i="6"/>
  <c r="F23" i="1"/>
  <c r="C10" i="6"/>
  <c r="F22" i="1"/>
  <c r="C9" i="6"/>
  <c r="F21" i="1"/>
  <c r="C11" i="6"/>
  <c r="F20" i="1"/>
  <c r="C15" i="6"/>
  <c r="F19" i="1"/>
  <c r="C8" i="6"/>
  <c r="F16" i="1"/>
  <c r="C29" i="6"/>
  <c r="G17" i="1"/>
  <c r="F15" i="1"/>
  <c r="C7" i="6"/>
  <c r="F12" i="1"/>
  <c r="C27" i="6" s="1"/>
  <c r="F11" i="1"/>
  <c r="C6" i="6"/>
  <c r="F8" i="1"/>
  <c r="G9" i="1" s="1"/>
  <c r="F6" i="1"/>
  <c r="G7" i="1"/>
  <c r="C21" i="6"/>
  <c r="F4" i="1"/>
  <c r="G5" i="1"/>
  <c r="C18" i="6"/>
  <c r="D29" i="6"/>
  <c r="D27" i="6"/>
  <c r="D25" i="6"/>
  <c r="D23" i="6"/>
  <c r="D22" i="6"/>
  <c r="D21" i="6"/>
  <c r="P48" i="3"/>
  <c r="C19" i="4"/>
  <c r="B46" i="4" s="1"/>
  <c r="C17" i="4"/>
  <c r="B45" i="4"/>
  <c r="C16" i="4"/>
  <c r="C26" i="6"/>
  <c r="C15" i="4"/>
  <c r="B44" i="4"/>
  <c r="C14" i="4"/>
  <c r="C24" i="6" s="1"/>
  <c r="B52" i="4"/>
  <c r="C13" i="4"/>
  <c r="B43" i="4"/>
  <c r="C11" i="4"/>
  <c r="B53" i="4" s="1"/>
  <c r="C10" i="4"/>
  <c r="C8" i="4"/>
  <c r="C7" i="4"/>
  <c r="G46" i="1"/>
  <c r="G45" i="1"/>
  <c r="G44" i="1"/>
  <c r="G43" i="1"/>
  <c r="G42" i="1"/>
  <c r="G41" i="1"/>
  <c r="G40" i="1"/>
  <c r="G38" i="1"/>
  <c r="G37" i="1"/>
  <c r="G36" i="1"/>
  <c r="G34" i="1"/>
  <c r="G33" i="1"/>
  <c r="G32" i="1"/>
  <c r="G30" i="1"/>
  <c r="G24" i="1"/>
  <c r="G23" i="1"/>
  <c r="G22" i="1"/>
  <c r="G21" i="1"/>
  <c r="G20" i="1"/>
  <c r="G19" i="1"/>
  <c r="G18" i="1"/>
  <c r="G16" i="1"/>
  <c r="G15" i="1"/>
  <c r="G14" i="1"/>
  <c r="G12" i="1"/>
  <c r="G11" i="1"/>
  <c r="G10" i="1"/>
  <c r="G8" i="1"/>
  <c r="V28" i="3"/>
  <c r="V26" i="3"/>
  <c r="V20" i="3"/>
  <c r="V16" i="3"/>
  <c r="D13" i="6"/>
  <c r="D7" i="4"/>
  <c r="L8" i="3"/>
  <c r="H1" i="6"/>
  <c r="H1" i="4"/>
  <c r="C28" i="6"/>
  <c r="D24" i="6"/>
  <c r="D20" i="4"/>
  <c r="D30" i="6"/>
  <c r="D19" i="4"/>
  <c r="D19" i="6"/>
  <c r="D18" i="6"/>
  <c r="D8" i="6"/>
  <c r="D7" i="6"/>
  <c r="D6" i="6"/>
  <c r="D18" i="4"/>
  <c r="D28" i="6"/>
  <c r="D17" i="4"/>
  <c r="D16" i="4"/>
  <c r="D26" i="6"/>
  <c r="D15" i="4"/>
  <c r="D14" i="4"/>
  <c r="D13" i="4"/>
  <c r="D11" i="4"/>
  <c r="D10" i="4"/>
  <c r="D8" i="4"/>
  <c r="H12" i="3"/>
  <c r="F1" i="4" s="1"/>
  <c r="F1" i="6" s="1"/>
  <c r="H13" i="3"/>
  <c r="H11" i="3"/>
  <c r="D1" i="4" s="1"/>
  <c r="D1" i="6" s="1"/>
  <c r="G6" i="1"/>
  <c r="G27" i="1"/>
  <c r="C19" i="6"/>
  <c r="I18" i="3"/>
  <c r="I20" i="3"/>
  <c r="AC16" i="5"/>
  <c r="AB22" i="5"/>
  <c r="AI16" i="5"/>
  <c r="AC10" i="5"/>
  <c r="X23" i="5"/>
  <c r="AI9" i="5"/>
  <c r="AI7" i="5"/>
  <c r="AC7" i="5"/>
  <c r="V25" i="5"/>
  <c r="AC13" i="5"/>
  <c r="Z23" i="5"/>
  <c r="AI15" i="5"/>
  <c r="AI8" i="5"/>
  <c r="AC9" i="5"/>
  <c r="X22" i="5"/>
  <c r="AC6" i="5"/>
  <c r="V24" i="5"/>
  <c r="AI5" i="5"/>
  <c r="AC8" i="5"/>
  <c r="V26" i="5"/>
  <c r="AI10" i="5"/>
  <c r="U52" i="5"/>
  <c r="U36" i="5"/>
  <c r="AB5" i="5"/>
  <c r="U23" i="5"/>
  <c r="AH6" i="5"/>
  <c r="AB6" i="5"/>
  <c r="U24" i="5"/>
  <c r="AH5" i="5"/>
  <c r="AH8" i="5"/>
  <c r="AB9" i="5"/>
  <c r="W22" i="5"/>
  <c r="AH12" i="5"/>
  <c r="AB12" i="5"/>
  <c r="Y22" i="5"/>
  <c r="AH7" i="5"/>
  <c r="AB7" i="5"/>
  <c r="U25" i="5"/>
  <c r="AH14" i="5"/>
  <c r="AB14" i="5"/>
  <c r="Y24" i="5"/>
  <c r="AH15" i="5"/>
  <c r="AB13" i="5"/>
  <c r="Y23" i="5"/>
  <c r="W53" i="5"/>
  <c r="W37" i="5"/>
  <c r="Y52" i="5"/>
  <c r="Y36" i="5"/>
  <c r="W54" i="5"/>
  <c r="W38" i="5"/>
  <c r="AA54" i="5"/>
  <c r="AA38" i="5"/>
  <c r="Y54" i="5"/>
  <c r="Y38" i="5"/>
  <c r="P10" i="4"/>
  <c r="Q10" i="4" s="1"/>
  <c r="P7" i="4"/>
  <c r="Q7" i="4" s="1"/>
  <c r="X5" i="5"/>
  <c r="X10" i="5"/>
  <c r="AI11" i="5"/>
  <c r="X14" i="5"/>
  <c r="AI14" i="5"/>
  <c r="X15" i="5"/>
  <c r="AI13" i="5"/>
  <c r="X11" i="5"/>
  <c r="AC12" i="5"/>
  <c r="Z22" i="5"/>
  <c r="AI12" i="5"/>
  <c r="Z54" i="5"/>
  <c r="Z38" i="5"/>
  <c r="AB52" i="5"/>
  <c r="AB36" i="5"/>
  <c r="Z52" i="5"/>
  <c r="Z36" i="5"/>
  <c r="AC5" i="5"/>
  <c r="V23" i="5"/>
  <c r="AI6" i="5"/>
  <c r="AA53" i="5"/>
  <c r="AA37" i="5"/>
  <c r="AA52" i="5"/>
  <c r="AA36" i="5"/>
  <c r="U55" i="5"/>
  <c r="U39" i="5"/>
  <c r="Y53" i="5"/>
  <c r="Y37" i="5"/>
  <c r="W52" i="5"/>
  <c r="W36" i="5"/>
  <c r="U53" i="5"/>
  <c r="U37" i="5"/>
  <c r="U54" i="5"/>
  <c r="U38" i="5"/>
  <c r="X54" i="5"/>
  <c r="X38" i="5"/>
  <c r="V53" i="5"/>
  <c r="V37" i="5"/>
  <c r="X52" i="5"/>
  <c r="X36" i="5"/>
  <c r="AB53" i="5"/>
  <c r="AB37" i="5"/>
  <c r="V55" i="5"/>
  <c r="V39" i="5"/>
  <c r="X53" i="5"/>
  <c r="X37" i="5"/>
  <c r="AB54" i="5"/>
  <c r="AB38" i="5"/>
  <c r="X41" i="5"/>
  <c r="X57" i="5"/>
  <c r="V54" i="5"/>
  <c r="V57" i="5"/>
  <c r="V38" i="5"/>
  <c r="V41" i="5"/>
  <c r="AB41" i="5"/>
  <c r="AB57" i="5"/>
  <c r="Z53" i="5"/>
  <c r="Z57" i="5"/>
  <c r="Z37" i="5"/>
  <c r="Z41" i="5"/>
  <c r="C30" i="6" l="1"/>
  <c r="P19" i="4"/>
  <c r="Q19" i="4" s="1"/>
  <c r="G13" i="1"/>
  <c r="P8" i="4"/>
  <c r="Q8" i="4" s="1"/>
  <c r="P11" i="4"/>
  <c r="Q11" i="4" s="1"/>
  <c r="P15" i="4"/>
  <c r="Q15" i="4" s="1"/>
  <c r="P18" i="4"/>
  <c r="Q18" i="4" s="1"/>
  <c r="C23" i="6"/>
  <c r="P13" i="4"/>
  <c r="Q13" i="4" s="1"/>
  <c r="P16" i="4"/>
  <c r="Q16" i="4" s="1"/>
  <c r="P17" i="4"/>
  <c r="Q17" i="4" s="1"/>
  <c r="P20" i="4"/>
  <c r="Q20" i="4" s="1"/>
  <c r="S19" i="6"/>
  <c r="S18" i="6"/>
  <c r="J20" i="3"/>
  <c r="D3" i="4"/>
  <c r="D3" i="6" s="1"/>
  <c r="O26" i="1"/>
  <c r="J18" i="3"/>
  <c r="D2" i="4"/>
  <c r="D2" i="6" s="1"/>
  <c r="O4" i="1"/>
  <c r="S21" i="6"/>
  <c r="S28" i="6"/>
  <c r="S30" i="6"/>
  <c r="S27" i="6"/>
  <c r="S29" i="6"/>
  <c r="S24" i="6"/>
  <c r="S26" i="6"/>
  <c r="S23" i="6"/>
  <c r="S25" i="6"/>
  <c r="S22" i="6"/>
  <c r="P4" i="1" l="1"/>
  <c r="Q4" i="1"/>
  <c r="Q26" i="1"/>
  <c r="P26" i="1"/>
  <c r="P28" i="1" s="1"/>
  <c r="P46" i="1" l="1"/>
  <c r="P45" i="1"/>
  <c r="P44" i="1"/>
  <c r="P43" i="1"/>
  <c r="P42" i="1"/>
  <c r="Q42" i="1" s="1"/>
  <c r="P38" i="1"/>
  <c r="P41" i="1" s="1"/>
  <c r="P34" i="1"/>
  <c r="P37" i="1" s="1"/>
  <c r="P30" i="1"/>
  <c r="P33" i="1" s="1"/>
  <c r="K19" i="6"/>
  <c r="L19" i="6" s="1"/>
  <c r="K8" i="4"/>
  <c r="Q46" i="1"/>
  <c r="Q45" i="1"/>
  <c r="K10" i="6" s="1"/>
  <c r="Q44" i="1"/>
  <c r="K9" i="6" s="1"/>
  <c r="Q43" i="1"/>
  <c r="Q28" i="1"/>
  <c r="J18" i="6"/>
  <c r="L18" i="6" s="1"/>
  <c r="J7" i="4"/>
  <c r="Q6" i="1"/>
  <c r="P6" i="1"/>
  <c r="P24" i="1" l="1"/>
  <c r="P23" i="1"/>
  <c r="P22" i="1"/>
  <c r="P21" i="1"/>
  <c r="P20" i="1"/>
  <c r="P16" i="1"/>
  <c r="P19" i="1" s="1"/>
  <c r="P12" i="1"/>
  <c r="P15" i="1" s="1"/>
  <c r="P8" i="1"/>
  <c r="P11" i="1" s="1"/>
  <c r="J21" i="6"/>
  <c r="L21" i="6" s="1"/>
  <c r="Q24" i="1"/>
  <c r="Q23" i="1"/>
  <c r="Q22" i="1"/>
  <c r="Q21" i="1"/>
  <c r="Q20" i="1"/>
  <c r="Q16" i="1"/>
  <c r="Q12" i="1"/>
  <c r="Q8" i="1"/>
  <c r="J10" i="4"/>
  <c r="L7" i="4"/>
  <c r="R7" i="4" s="1"/>
  <c r="S7" i="4" s="1"/>
  <c r="T7" i="4" s="1"/>
  <c r="U7" i="4" s="1"/>
  <c r="V7" i="4" s="1"/>
  <c r="O18" i="6"/>
  <c r="T18" i="6"/>
  <c r="U18" i="6" s="1"/>
  <c r="K22" i="6"/>
  <c r="L22" i="6" s="1"/>
  <c r="Q38" i="1"/>
  <c r="Q34" i="1"/>
  <c r="Q30" i="1"/>
  <c r="K12" i="6"/>
  <c r="L12" i="6" s="1"/>
  <c r="K14" i="6"/>
  <c r="L14" i="6" s="1"/>
  <c r="L8" i="4"/>
  <c r="R8" i="4" s="1"/>
  <c r="S8" i="4" s="1"/>
  <c r="T8" i="4" s="1"/>
  <c r="U8" i="4" s="1"/>
  <c r="V8" i="4" s="1"/>
  <c r="X8" i="4" s="1"/>
  <c r="K11" i="4"/>
  <c r="O19" i="6"/>
  <c r="T19" i="6"/>
  <c r="U19" i="6" s="1"/>
  <c r="K16" i="6"/>
  <c r="L16" i="6" s="1"/>
  <c r="Q16" i="6" l="1"/>
  <c r="P16" i="6"/>
  <c r="R16" i="6" s="1"/>
  <c r="O16" i="6"/>
  <c r="L11" i="4"/>
  <c r="R11" i="4" s="1"/>
  <c r="S11" i="4" s="1"/>
  <c r="T11" i="4" s="1"/>
  <c r="U11" i="4" s="1"/>
  <c r="E30" i="4" s="1"/>
  <c r="C30" i="4"/>
  <c r="Q14" i="6"/>
  <c r="P14" i="6"/>
  <c r="O14" i="6"/>
  <c r="Q12" i="6"/>
  <c r="P12" i="6"/>
  <c r="O12" i="6"/>
  <c r="Q33" i="1"/>
  <c r="Q32" i="1"/>
  <c r="Q31" i="1"/>
  <c r="Q37" i="1"/>
  <c r="Q36" i="1"/>
  <c r="Q35" i="1"/>
  <c r="Q41" i="1"/>
  <c r="Q40" i="1"/>
  <c r="Q39" i="1"/>
  <c r="O22" i="6"/>
  <c r="T22" i="6"/>
  <c r="U22" i="6" s="1"/>
  <c r="X7" i="4"/>
  <c r="W7" i="4"/>
  <c r="L10" i="4"/>
  <c r="R10" i="4" s="1"/>
  <c r="S10" i="4" s="1"/>
  <c r="T10" i="4" s="1"/>
  <c r="U10" i="4" s="1"/>
  <c r="E29" i="4" s="1"/>
  <c r="C29" i="4"/>
  <c r="J23" i="6"/>
  <c r="L23" i="6" s="1"/>
  <c r="Q11" i="1"/>
  <c r="Q10" i="1"/>
  <c r="Q9" i="1"/>
  <c r="Q15" i="1"/>
  <c r="Q14" i="1"/>
  <c r="Q13" i="1"/>
  <c r="Q19" i="1"/>
  <c r="Q18" i="1"/>
  <c r="Q17" i="1"/>
  <c r="J15" i="6"/>
  <c r="L15" i="6" s="1"/>
  <c r="J11" i="6"/>
  <c r="L11" i="6" s="1"/>
  <c r="J9" i="6"/>
  <c r="L9" i="6" s="1"/>
  <c r="J10" i="6"/>
  <c r="L10" i="6" s="1"/>
  <c r="J13" i="6"/>
  <c r="L13" i="6" s="1"/>
  <c r="O21" i="6"/>
  <c r="T21" i="6"/>
  <c r="U21" i="6" s="1"/>
  <c r="R12" i="6" l="1"/>
  <c r="R14" i="6"/>
  <c r="Q13" i="6"/>
  <c r="P13" i="6"/>
  <c r="R13" i="6" s="1"/>
  <c r="S6" i="20" s="1"/>
  <c r="O13" i="6"/>
  <c r="Q10" i="6"/>
  <c r="P10" i="6"/>
  <c r="O10" i="6"/>
  <c r="Q9" i="6"/>
  <c r="P9" i="6"/>
  <c r="R9" i="6" s="1"/>
  <c r="O9" i="6"/>
  <c r="Q11" i="6"/>
  <c r="P11" i="6"/>
  <c r="O11" i="6"/>
  <c r="Q15" i="6"/>
  <c r="P15" i="6"/>
  <c r="R15" i="6" s="1"/>
  <c r="U6" i="20" s="1"/>
  <c r="O15" i="6"/>
  <c r="J29" i="6"/>
  <c r="J19" i="4"/>
  <c r="J30" i="6"/>
  <c r="J20" i="4"/>
  <c r="J8" i="6"/>
  <c r="J27" i="6"/>
  <c r="J17" i="4"/>
  <c r="J28" i="6"/>
  <c r="J18" i="4"/>
  <c r="J7" i="6"/>
  <c r="J13" i="4"/>
  <c r="J24" i="6"/>
  <c r="L24" i="6" s="1"/>
  <c r="J14" i="4"/>
  <c r="J6" i="6"/>
  <c r="O23" i="6"/>
  <c r="T23" i="6"/>
  <c r="U23" i="6" s="1"/>
  <c r="D29" i="4"/>
  <c r="V10" i="4"/>
  <c r="K29" i="6"/>
  <c r="K19" i="4"/>
  <c r="K30" i="6"/>
  <c r="K20" i="4"/>
  <c r="K8" i="6"/>
  <c r="K27" i="6"/>
  <c r="K17" i="4"/>
  <c r="K28" i="6"/>
  <c r="K18" i="4"/>
  <c r="K7" i="6"/>
  <c r="K25" i="6"/>
  <c r="L25" i="6" s="1"/>
  <c r="K15" i="4"/>
  <c r="K26" i="6"/>
  <c r="L26" i="6" s="1"/>
  <c r="K16" i="4"/>
  <c r="K6" i="6"/>
  <c r="D30" i="4"/>
  <c r="V11" i="4"/>
  <c r="T16" i="6"/>
  <c r="U16" i="6" s="1"/>
  <c r="S16" i="6"/>
  <c r="T14" i="6" l="1"/>
  <c r="U14" i="6" s="1"/>
  <c r="S12" i="6"/>
  <c r="S14" i="6"/>
  <c r="T12" i="6"/>
  <c r="U12" i="6" s="1"/>
  <c r="R11" i="6"/>
  <c r="T6" i="20" s="1"/>
  <c r="R10" i="6"/>
  <c r="R6" i="20" s="1"/>
  <c r="X11" i="4"/>
  <c r="G30" i="4"/>
  <c r="D53" i="4"/>
  <c r="L16" i="4"/>
  <c r="O26" i="6"/>
  <c r="T26" i="6"/>
  <c r="U26" i="6" s="1"/>
  <c r="D44" i="4"/>
  <c r="L15" i="4"/>
  <c r="O25" i="6"/>
  <c r="T25" i="6"/>
  <c r="U25" i="6" s="1"/>
  <c r="W10" i="4"/>
  <c r="X10" i="4"/>
  <c r="G29" i="4"/>
  <c r="L6" i="6"/>
  <c r="L14" i="4"/>
  <c r="D52" i="4"/>
  <c r="O24" i="6"/>
  <c r="T24" i="6"/>
  <c r="U24" i="6" s="1"/>
  <c r="D43" i="4"/>
  <c r="L13" i="4"/>
  <c r="L7" i="6"/>
  <c r="L18" i="4"/>
  <c r="D54" i="4"/>
  <c r="L28" i="6"/>
  <c r="L17" i="4"/>
  <c r="D45" i="4"/>
  <c r="L27" i="6"/>
  <c r="L8" i="6"/>
  <c r="L20" i="4"/>
  <c r="D55" i="4"/>
  <c r="L30" i="6"/>
  <c r="L19" i="4"/>
  <c r="D46" i="4"/>
  <c r="L29" i="6"/>
  <c r="T15" i="6"/>
  <c r="U15" i="6" s="1"/>
  <c r="S15" i="6"/>
  <c r="U8" i="20" s="1"/>
  <c r="U38" i="20" s="1"/>
  <c r="U43" i="20" s="1"/>
  <c r="T9" i="6"/>
  <c r="U9" i="6" s="1"/>
  <c r="S9" i="6"/>
  <c r="T13" i="6"/>
  <c r="U13" i="6" s="1"/>
  <c r="S13" i="6"/>
  <c r="S8" i="20" s="1"/>
  <c r="S38" i="20" l="1"/>
  <c r="S43" i="20" s="1"/>
  <c r="U47" i="20"/>
  <c r="U45" i="20"/>
  <c r="T11" i="6"/>
  <c r="U11" i="6" s="1"/>
  <c r="S10" i="6"/>
  <c r="R8" i="20" s="1"/>
  <c r="T10" i="6"/>
  <c r="U10" i="6" s="1"/>
  <c r="S11" i="6"/>
  <c r="T8" i="20" s="1"/>
  <c r="O29" i="6"/>
  <c r="T29" i="6"/>
  <c r="U29" i="6" s="1"/>
  <c r="R19" i="4"/>
  <c r="S19" i="4" s="1"/>
  <c r="T19" i="4" s="1"/>
  <c r="U19" i="4" s="1"/>
  <c r="O30" i="6"/>
  <c r="T30" i="6"/>
  <c r="U30" i="6" s="1"/>
  <c r="R20" i="4"/>
  <c r="S20" i="4" s="1"/>
  <c r="T20" i="4" s="1"/>
  <c r="U20" i="4" s="1"/>
  <c r="Q8" i="6"/>
  <c r="P8" i="6"/>
  <c r="R8" i="6" s="1"/>
  <c r="O8" i="6"/>
  <c r="O27" i="6"/>
  <c r="T27" i="6"/>
  <c r="U27" i="6" s="1"/>
  <c r="R17" i="4"/>
  <c r="S17" i="4" s="1"/>
  <c r="T17" i="4" s="1"/>
  <c r="U17" i="4" s="1"/>
  <c r="O28" i="6"/>
  <c r="T28" i="6"/>
  <c r="U28" i="6" s="1"/>
  <c r="R18" i="4"/>
  <c r="S18" i="4" s="1"/>
  <c r="T18" i="4" s="1"/>
  <c r="U18" i="4" s="1"/>
  <c r="Q7" i="6"/>
  <c r="P7" i="6"/>
  <c r="R7" i="6" s="1"/>
  <c r="O7" i="6"/>
  <c r="R13" i="4"/>
  <c r="S13" i="4" s="1"/>
  <c r="T13" i="4" s="1"/>
  <c r="U13" i="4" s="1"/>
  <c r="R14" i="4"/>
  <c r="S14" i="4" s="1"/>
  <c r="T14" i="4" s="1"/>
  <c r="U14" i="4" s="1"/>
  <c r="Q6" i="6"/>
  <c r="P6" i="6"/>
  <c r="R6" i="6" s="1"/>
  <c r="O6" i="6"/>
  <c r="G31" i="4"/>
  <c r="H31" i="4" s="1"/>
  <c r="H29" i="4"/>
  <c r="R15" i="4"/>
  <c r="S15" i="4" s="1"/>
  <c r="T15" i="4" s="1"/>
  <c r="U15" i="4" s="1"/>
  <c r="R16" i="4"/>
  <c r="S16" i="4" s="1"/>
  <c r="T16" i="4" s="1"/>
  <c r="U16" i="4" s="1"/>
  <c r="H30" i="4"/>
  <c r="R38" i="20" l="1"/>
  <c r="R43" i="20" s="1"/>
  <c r="Q6" i="20"/>
  <c r="U51" i="20"/>
  <c r="U53" i="20" s="1"/>
  <c r="U49" i="20"/>
  <c r="U55" i="20"/>
  <c r="T38" i="20"/>
  <c r="T43" i="20" s="1"/>
  <c r="S45" i="20"/>
  <c r="S47" i="20"/>
  <c r="V16" i="4"/>
  <c r="E53" i="4"/>
  <c r="E44" i="4"/>
  <c r="V15" i="4"/>
  <c r="T6" i="6"/>
  <c r="U6" i="6" s="1"/>
  <c r="S6" i="6"/>
  <c r="Q8" i="20" s="1"/>
  <c r="E52" i="4"/>
  <c r="V14" i="4"/>
  <c r="E43" i="4"/>
  <c r="V13" i="4"/>
  <c r="T7" i="6"/>
  <c r="U7" i="6" s="1"/>
  <c r="S7" i="6"/>
  <c r="V18" i="4"/>
  <c r="E54" i="4"/>
  <c r="E45" i="4"/>
  <c r="V17" i="4"/>
  <c r="T8" i="6"/>
  <c r="U8" i="6" s="1"/>
  <c r="S8" i="6"/>
  <c r="V20" i="4"/>
  <c r="E55" i="4"/>
  <c r="V19" i="4"/>
  <c r="E46" i="4"/>
  <c r="Q38" i="20" l="1"/>
  <c r="Q43" i="20" s="1"/>
  <c r="T45" i="20"/>
  <c r="T47" i="20"/>
  <c r="S49" i="20"/>
  <c r="S51" i="20"/>
  <c r="S53" i="20" s="1"/>
  <c r="U59" i="20"/>
  <c r="U57" i="20"/>
  <c r="R45" i="20"/>
  <c r="R47" i="20"/>
  <c r="X19" i="4"/>
  <c r="G46" i="4"/>
  <c r="H46" i="4" s="1"/>
  <c r="X20" i="4"/>
  <c r="G55" i="4"/>
  <c r="H55" i="4" s="1"/>
  <c r="X17" i="4"/>
  <c r="G45" i="4"/>
  <c r="H45" i="4" s="1"/>
  <c r="X18" i="4"/>
  <c r="G54" i="4"/>
  <c r="H54" i="4" s="1"/>
  <c r="G43" i="4"/>
  <c r="X13" i="4"/>
  <c r="W13" i="4"/>
  <c r="G52" i="4"/>
  <c r="W17" i="4"/>
  <c r="X14" i="4"/>
  <c r="G44" i="4"/>
  <c r="H44" i="4" s="1"/>
  <c r="X15" i="4"/>
  <c r="X16" i="4"/>
  <c r="G53" i="4"/>
  <c r="H53" i="4" s="1"/>
  <c r="T49" i="20" l="1"/>
  <c r="T51" i="20"/>
  <c r="T53" i="20" s="1"/>
  <c r="R49" i="20"/>
  <c r="R51" i="20"/>
  <c r="R53" i="20" s="1"/>
  <c r="S55" i="20"/>
  <c r="S57" i="20"/>
  <c r="S59" i="20"/>
  <c r="Q45" i="20"/>
  <c r="Q47" i="20"/>
  <c r="G56" i="4"/>
  <c r="H56" i="4" s="1"/>
  <c r="H52" i="4"/>
  <c r="G47" i="4"/>
  <c r="H47" i="4" s="1"/>
  <c r="H43" i="4"/>
  <c r="Q49" i="20" l="1"/>
  <c r="Q51" i="20"/>
  <c r="Q53" i="20" s="1"/>
  <c r="R55" i="20"/>
  <c r="R57" i="20"/>
  <c r="R59" i="20"/>
  <c r="T55" i="20"/>
  <c r="T59" i="20"/>
  <c r="T57" i="20"/>
  <c r="Q55" i="20" l="1"/>
  <c r="Q57" i="20"/>
  <c r="Q59" i="2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HP</author>
  </authors>
  <commentList>
    <comment ref="AC29" authorId="0" shapeId="0" xr:uid="{D39D5EAD-219A-4E02-8264-067DB0347C1F}">
      <text>
        <r>
          <rPr>
            <b/>
            <sz val="9"/>
            <color indexed="81"/>
            <rFont val="Tahoma"/>
            <family val="2"/>
          </rPr>
          <t xml:space="preserve">occorre pagare 100 ore per ottenere 78 incorporate nel prodotto
</t>
        </r>
      </text>
    </comment>
    <comment ref="AC30" authorId="0" shapeId="0" xr:uid="{0C389A12-9059-405F-A02F-BC3F033809D2}">
      <text>
        <r>
          <rPr>
            <b/>
            <sz val="9"/>
            <color indexed="81"/>
            <rFont val="Tahoma"/>
            <family val="2"/>
          </rPr>
          <t xml:space="preserve">occorre pagare 100 ore per ottenere 78 incorporate nel prodotto
</t>
        </r>
      </text>
    </comment>
    <comment ref="AC43" authorId="0" shapeId="0" xr:uid="{4E090174-EE86-BB40-9D19-D7EE6F3C1230}">
      <text>
        <r>
          <rPr>
            <b/>
            <sz val="9"/>
            <color indexed="81"/>
            <rFont val="Tahoma"/>
            <family val="2"/>
          </rPr>
          <t xml:space="preserve">occorre pagare 100 ore per ottenere 78 incorporate nel prodotto
</t>
        </r>
      </text>
    </comment>
    <comment ref="AC59" authorId="0" shapeId="0" xr:uid="{7D636C75-FCB6-F64C-A42A-300793FF555F}">
      <text>
        <r>
          <rPr>
            <b/>
            <sz val="9"/>
            <color indexed="81"/>
            <rFont val="Tahoma"/>
            <family val="2"/>
          </rPr>
          <t xml:space="preserve">occorre pagare 100 ore per ottenere 78 incorporate nel prodotto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HP</author>
  </authors>
  <commentList>
    <comment ref="P21" authorId="0" shapeId="0" xr:uid="{5C52CAB8-B8B5-4E80-947A-BC79C97A2FC0}">
      <text>
        <r>
          <rPr>
            <b/>
            <sz val="9"/>
            <color indexed="81"/>
            <rFont val="Tahoma"/>
            <family val="2"/>
          </rPr>
          <t>SENZA GLI SCARTI</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<sst xmlns="http://schemas.openxmlformats.org/spreadsheetml/2006/main" count="1036" uniqueCount="520">
  <si>
    <t>Calcolo Produzioni Base</t>
  </si>
  <si>
    <t>pz</t>
  </si>
  <si>
    <t>Tempo disponibile</t>
  </si>
  <si>
    <t>Cal. Parametri Cm/Nm</t>
  </si>
  <si>
    <t>Indici Nomi</t>
  </si>
  <si>
    <t>Indici Cognomi</t>
  </si>
  <si>
    <t>PRODUZIONE BASE ANNUA TRINCIATUTTO</t>
  </si>
  <si>
    <t>GG/ANNO</t>
  </si>
  <si>
    <t>Cm</t>
  </si>
  <si>
    <t>Alessandro</t>
  </si>
  <si>
    <t>Rollandin</t>
  </si>
  <si>
    <t>PRODUZIONE BASE GIORNALIERA TRINCIATUTTO</t>
  </si>
  <si>
    <t>GG/MESE</t>
  </si>
  <si>
    <t>Nm</t>
  </si>
  <si>
    <t xml:space="preserve">Riccardo </t>
  </si>
  <si>
    <t xml:space="preserve">Margarita </t>
  </si>
  <si>
    <t>PRODUZIONE BASE MENSILE TRINCIATUTTO</t>
  </si>
  <si>
    <t>ORE/G.</t>
  </si>
  <si>
    <t>Jacopo</t>
  </si>
  <si>
    <t xml:space="preserve">Camera </t>
  </si>
  <si>
    <t>ORE/MESE</t>
  </si>
  <si>
    <t>Francesco</t>
  </si>
  <si>
    <t>Lai</t>
  </si>
  <si>
    <t>Calcolo Produzione Richiesta (Pi)</t>
  </si>
  <si>
    <t>PRODUZIONE MESE TRINCIATUTTO FUNZ.(Cm E Nm)</t>
  </si>
  <si>
    <t>Pi = (2*(Cm+Nm)/30) *produzione base (giorn/mese/annuo)</t>
  </si>
  <si>
    <t>PRODUZIONE GIORNO TRINCIATUTTO FUNZ.(Cm E Nm)</t>
  </si>
  <si>
    <t>PRODUZIONE ANNO TRINCIAUTTO FUNZ.(Cm E Nm)</t>
  </si>
  <si>
    <t>COD.</t>
  </si>
  <si>
    <t>DESCRIZIONE CENTRI DI LAVORO PER FRESATRICI</t>
  </si>
  <si>
    <t>DISPONIBILITA'
(D)</t>
  </si>
  <si>
    <t>PERFORMANCE
(P)</t>
  </si>
  <si>
    <t>QUALITA'
(Q)</t>
  </si>
  <si>
    <t>(D)x(P)</t>
  </si>
  <si>
    <t>Calcolo Pi per diversi modelli (Pz/mese e Pz/giorno)</t>
  </si>
  <si>
    <t>%</t>
  </si>
  <si>
    <t>PZ/MESE</t>
  </si>
  <si>
    <t>PZ/GIORNO</t>
  </si>
  <si>
    <t>ASS_FIN</t>
  </si>
  <si>
    <t>LINEA DI ASSEMBLAGGIO FINALE</t>
  </si>
  <si>
    <t>% DEL MODELLO L=1500</t>
  </si>
  <si>
    <t>% DEL MODELLO L=1750</t>
  </si>
  <si>
    <t>SALD</t>
  </si>
  <si>
    <t>REPARTO BOX DI SALDATURA</t>
  </si>
  <si>
    <t>PSPG</t>
  </si>
  <si>
    <t>REPARTO PRESSO-PIEGATURA</t>
  </si>
  <si>
    <t>TRNC</t>
  </si>
  <si>
    <t>REPARTO TRANCIATURA</t>
  </si>
  <si>
    <t>FREQUENZE DI RIFORN. E SS DEI MATER. A MAG. MP</t>
  </si>
  <si>
    <t>INTERVALLO
RIORDINO [G]</t>
  </si>
  <si>
    <t>SCORTA 
SICUREZZA
[G]</t>
  </si>
  <si>
    <t>COD</t>
  </si>
  <si>
    <t>TIPO UDC</t>
  </si>
  <si>
    <t>DESCRIZIONE MATERIALE NELLE UNITA' DI CARICO (TRINCIATUTTO)</t>
  </si>
  <si>
    <t>DIMENSIONI
Prof x Largh x Alt</t>
  </si>
  <si>
    <t>PZ/
UDC</t>
  </si>
  <si>
    <t>SOVR</t>
  </si>
  <si>
    <t>LAMIERATI</t>
  </si>
  <si>
    <t>ESTLAM001</t>
  </si>
  <si>
    <t>PEDANA</t>
  </si>
  <si>
    <t>LAMIERE 1500x2000x3</t>
  </si>
  <si>
    <t>1500x2000x300</t>
  </si>
  <si>
    <t>ESTLAM002</t>
  </si>
  <si>
    <t>LAMIERE 1000x1500x3</t>
  </si>
  <si>
    <t>1000x1500x300</t>
  </si>
  <si>
    <t>INGRANAGGI
(CONICI E CILINDRICI)</t>
  </si>
  <si>
    <t>ESTLAM003</t>
  </si>
  <si>
    <t>LAMIERE 1000x2000x3</t>
  </si>
  <si>
    <t>1000x2000x300</t>
  </si>
  <si>
    <t>ALBERI DI TRASMISSIONE</t>
  </si>
  <si>
    <t>ESTING001</t>
  </si>
  <si>
    <t>NORM.</t>
  </si>
  <si>
    <t>RUOTE DENTATE CONICHE</t>
  </si>
  <si>
    <t>800x1000x800</t>
  </si>
  <si>
    <t>ESTING002</t>
  </si>
  <si>
    <t>RUOTE DENTATE CILINDRICHE</t>
  </si>
  <si>
    <t>ALBERI COMPL. DI MARTELLI</t>
  </si>
  <si>
    <t>RASTRIELLIERA</t>
  </si>
  <si>
    <t>INTASS001</t>
  </si>
  <si>
    <t>PED+SCA</t>
  </si>
  <si>
    <t>TRINCIATUTTO COMPLETO L=1500</t>
  </si>
  <si>
    <t>1500x2000x1000</t>
  </si>
  <si>
    <t>INTASS002</t>
  </si>
  <si>
    <t>TRINCIATUTTO COMPLETO L=1750</t>
  </si>
  <si>
    <t>LAVORAZIONE</t>
  </si>
  <si>
    <t>LOTTO [pz]</t>
  </si>
  <si>
    <t>SET UP [min]</t>
  </si>
  <si>
    <t>TC [min]</t>
  </si>
  <si>
    <t>INTSAL001</t>
  </si>
  <si>
    <t>SPEC.</t>
  </si>
  <si>
    <t>TELAIO SALDATO PER TRINCIATUTTO L=1500</t>
  </si>
  <si>
    <t>1500x2000x2000</t>
  </si>
  <si>
    <t>ASSEMBLAGGIO
FINALE</t>
  </si>
  <si>
    <t>ASSEMBLAGGIO TRINCIATUTTO L=1500</t>
  </si>
  <si>
    <t>INTASS001-10</t>
  </si>
  <si>
    <t>INTSAL002</t>
  </si>
  <si>
    <t>TELAIO SALDATO PER TRINCIATUTTO L=1750</t>
  </si>
  <si>
    <t>ASSEMBLAGGIO TRINCIATUTTO L=1750</t>
  </si>
  <si>
    <t>INTASS002-10</t>
  </si>
  <si>
    <t>ESTASS003</t>
  </si>
  <si>
    <t>ALBERO CON MARTELLI PER TRINCIATUTTO L=1500</t>
  </si>
  <si>
    <t>1000x2000x1000</t>
  </si>
  <si>
    <t>SALDATURA</t>
  </si>
  <si>
    <t>TELAIO COMPL. TRINCIATUTTO L=1500</t>
  </si>
  <si>
    <t>INTSAL001-10</t>
  </si>
  <si>
    <t>ESTASS004</t>
  </si>
  <si>
    <t>ALBERO CON MARTELLI PER TRINCIATUTTO L=1750</t>
  </si>
  <si>
    <t>TELAIO COMPL. TRINCIATUTTO L=1750</t>
  </si>
  <si>
    <t>INTSAL002-10</t>
  </si>
  <si>
    <t>ESTALB001</t>
  </si>
  <si>
    <t>ALBERI TRASMISSIONE PER L=1500</t>
  </si>
  <si>
    <t>460x800x550</t>
  </si>
  <si>
    <t>PRESSO-
PIEGATURA
E
TRANCIATURA</t>
  </si>
  <si>
    <t>PRESSO-PIEGATURA CARTER L=1500</t>
  </si>
  <si>
    <t>INTPSP001-20</t>
  </si>
  <si>
    <t>ESTALB002</t>
  </si>
  <si>
    <t>ALBERI TRASMISSIONE PER L=1750</t>
  </si>
  <si>
    <t>800x1500x800</t>
  </si>
  <si>
    <t>TRANCIATURA CARTER L=1500</t>
  </si>
  <si>
    <t>INTPSP001-10</t>
  </si>
  <si>
    <t>PRESSO-PIEGATURA CARTER L=1750</t>
  </si>
  <si>
    <t>INTPSP002-20</t>
  </si>
  <si>
    <t>TRANCIATURA CARTER L=1750</t>
  </si>
  <si>
    <t>INTPSP002-10</t>
  </si>
  <si>
    <t>CARTER TRANCIATI PER L=1500</t>
  </si>
  <si>
    <t>1500x2000</t>
  </si>
  <si>
    <t>PRESSO-PIEGATURA STAFFE RINFORZO</t>
  </si>
  <si>
    <t>INTPSP003-20</t>
  </si>
  <si>
    <t>INTPSP001</t>
  </si>
  <si>
    <t>CARTER PRESSOPIEGATI PER L=1500</t>
  </si>
  <si>
    <t>TRANCIATURA STAFFE RINFORZO</t>
  </si>
  <si>
    <t>INTPSP003-10</t>
  </si>
  <si>
    <t>CARTER TRANCIATI PER L=1750</t>
  </si>
  <si>
    <t>PRESSO-PIEGATURA STAFFE ATTACCO</t>
  </si>
  <si>
    <t>INTPSP004-20</t>
  </si>
  <si>
    <t>INTPSP002</t>
  </si>
  <si>
    <t>CARTER PRESSOPIEGATI PER L=1750</t>
  </si>
  <si>
    <t>TRANCIATURA STAFFE ATTACCO</t>
  </si>
  <si>
    <t>INTPSP004-10</t>
  </si>
  <si>
    <t>STAFFE RINFORZO TRANCIATE</t>
  </si>
  <si>
    <t>INTPSP003</t>
  </si>
  <si>
    <t>STAFFE RINFORZO PRESSOPIEGATE</t>
  </si>
  <si>
    <t>STAFFE ATTACCO TRATTORE TRANCIATE</t>
  </si>
  <si>
    <t>INTPSP004</t>
  </si>
  <si>
    <t>STAFFE ATTACCO TRATTORE PRESSOPIEGATE</t>
  </si>
  <si>
    <t>LIVELLO DISTINTA BASE</t>
  </si>
  <si>
    <t>CODICE</t>
  </si>
  <si>
    <t>DESCRIZIONE</t>
  </si>
  <si>
    <t>COEFF.</t>
  </si>
  <si>
    <t>COEFF ARR</t>
  </si>
  <si>
    <t>ART</t>
  </si>
  <si>
    <t xml:space="preserve"> TELAIO COMPLETO PER TRINCIATUTTO L=1500 </t>
  </si>
  <si>
    <t>ESTSAL001</t>
  </si>
  <si>
    <t>RASTRELLO COMPLETA PER L=1500</t>
  </si>
  <si>
    <t>CARTER L=1500</t>
  </si>
  <si>
    <t>ESTSAL002</t>
  </si>
  <si>
    <t>RASTRELLO COMPLETO PER L=1750</t>
  </si>
  <si>
    <t>FOGLIO LAMIERA 1500x2000x3</t>
  </si>
  <si>
    <t>STAFFE RINFORZO</t>
  </si>
  <si>
    <t>FOGLIO LAMIERA 1000x1500x3</t>
  </si>
  <si>
    <t>PIASTRE ATTACCO TRATTORE</t>
  </si>
  <si>
    <t>FOGLIO LAMIERA 1000x2000x3</t>
  </si>
  <si>
    <t>RASTRELLO PER TRINCIATUTTO L=1500</t>
  </si>
  <si>
    <t>ALBERO DI TRASMISSIONE PER MACCHINE L=1500</t>
  </si>
  <si>
    <t>RUOTA DENTATA CONICA</t>
  </si>
  <si>
    <t>RUOTA DENTATA CILINDRICA</t>
  </si>
  <si>
    <t>ALBERO COMPLETO DI MARTELLI PER TRINCIATUTTO L=1500</t>
  </si>
  <si>
    <t xml:space="preserve"> TELAIO COMPLETO PER TRINCIATUTTO L=1750 </t>
  </si>
  <si>
    <t>CARTER L=1750</t>
  </si>
  <si>
    <t>RASTRELLO PER TRINCIATUTTO L=1750</t>
  </si>
  <si>
    <t>ALBERO DI TRASMISSIONE PER MACCHINE L=1750</t>
  </si>
  <si>
    <t>ALBERO COMPLETO DI MARTELLI PER TRINCIATUTTO L=1750</t>
  </si>
  <si>
    <t>PADRE</t>
  </si>
  <si>
    <t>TIPO</t>
  </si>
  <si>
    <t>COEFF</t>
  </si>
  <si>
    <t>Q.TA' NETTA</t>
  </si>
  <si>
    <t>Q.TA' LORDA</t>
  </si>
  <si>
    <t>(pz/mese)</t>
  </si>
  <si>
    <t>LIVELLI</t>
  </si>
  <si>
    <t xml:space="preserve">Distinta Base Unitaria (Trinciatutto L=1500) </t>
  </si>
  <si>
    <t>FLUSSO LAVORAZIONI</t>
  </si>
  <si>
    <t>OP</t>
  </si>
  <si>
    <t>ASSEMBLAGGIO TRINCIATUTTO COMPLETO L=1500</t>
  </si>
  <si>
    <t>Prodotti da Comprare</t>
  </si>
  <si>
    <t xml:space="preserve"> SALD. TELAIO COMPL CON ATTACCHI TRATTORE L=1500</t>
  </si>
  <si>
    <t>Prodotti da Lavorare</t>
  </si>
  <si>
    <t>PRESSOPIEGATURA CARTER L=1500</t>
  </si>
  <si>
    <t>PRESSOPIEGATURA STAFFE RINFORZO</t>
  </si>
  <si>
    <t>PRESSOPIEGATURA PIASTRE ATTACCO TRATTORE</t>
  </si>
  <si>
    <t>TRANCIATURA STAFFE ATTACCO TRATTORE</t>
  </si>
  <si>
    <t>GESFAN001</t>
  </si>
  <si>
    <t>ASSEMBLAGGIO TRINCIATUTTO COMPLETO L=1750</t>
  </si>
  <si>
    <t xml:space="preserve"> SALD. TELAIO COMPL. CON ATTACCHI TRATTORE L=1750</t>
  </si>
  <si>
    <t>PRESSOPIEGATURA CARTER L=1750</t>
  </si>
  <si>
    <t>PRESSOPIEGATURA STAFFE ATTACCO TRATTORE</t>
  </si>
  <si>
    <t xml:space="preserve">Distinta Base Unitaria (Trinciatutto L=1750) </t>
  </si>
  <si>
    <t>DALLA DISTINTA BASE TABELLARE E' RICHIESTO DI DISEGNARE LA DISTINTA BASE AD ALBERO E LO SCHEMA DI FLUSSO DELLE LAVORAZIONI</t>
  </si>
  <si>
    <t>SPIEGAZIONE</t>
  </si>
  <si>
    <t>1. Nella colonna "descrizione" i componenti o materiali evidenziati sono quelli comuni tra le due varianti 1500 e 1750 di prodotto</t>
  </si>
  <si>
    <t>2. Nella colonna "Coeff" i valori evidenziati di verde chiaro sono i coefficienti ( forniti in $_DATI_BASE) trasformati in numero che indica la quantità di semi-lavorato ,arrotondata per difetto, che quel materiale produce</t>
  </si>
  <si>
    <t>3. Nella colonna "Q.tà netta" si moltiplicano, partendo dalla produzione richiesta, le varie quantità con i coefficienti dati. Contrariamente, per quelli arrotondati ( vd punto sopra), si divide poichè quei valori derivano dalla divisione tra 1 ed il coefficiente di partenza.</t>
  </si>
  <si>
    <t>4. Nella colonna "q.tà lorda" si utilizza lo stesso procedimento (vd punto sopra), ma si tiene in considerazione la percentuale di successo di ogni singola operazione.</t>
  </si>
  <si>
    <r>
      <t xml:space="preserve">Le celle evidenziate di verde scuro si riferiscono alle q.ta' lorda di materiale trinciato o pressopieagato </t>
    </r>
    <r>
      <rPr>
        <b/>
        <sz val="14"/>
        <color theme="1"/>
        <rFont val="Calibri"/>
        <family val="2"/>
        <scheme val="minor"/>
      </rPr>
      <t>che ci serve per far fronte agli scarti.</t>
    </r>
  </si>
  <si>
    <r>
      <t xml:space="preserve">Le celle evidenziate di rosso invece si riferiscono alle q.ta' lorda effettiva </t>
    </r>
    <r>
      <rPr>
        <b/>
        <sz val="14"/>
        <color theme="1"/>
        <rFont val="Calibri"/>
        <family val="2"/>
        <scheme val="minor"/>
      </rPr>
      <t>che produciamo.</t>
    </r>
    <r>
      <rPr>
        <sz val="14"/>
        <color theme="1"/>
        <rFont val="Calibri"/>
        <family val="2"/>
        <scheme val="minor"/>
      </rPr>
      <t xml:space="preserve"> </t>
    </r>
  </si>
  <si>
    <t>Questa potrebbe essere maggiore per via del fatto che arrotondiamo per eccesso la q.ta' di materiali di livello 4 che ci servono per far fronte agli scarti.</t>
  </si>
  <si>
    <t>Q.TA' PF (L=1500 + L=1750)</t>
  </si>
  <si>
    <t>PZ/G.</t>
  </si>
  <si>
    <t>H/MESE</t>
  </si>
  <si>
    <t>LOTTO
[PZ]</t>
  </si>
  <si>
    <t>SET_UP
[min]</t>
  </si>
  <si>
    <t>TC 
[min]</t>
  </si>
  <si>
    <t>T_POT
[min]</t>
  </si>
  <si>
    <t>T_DISP
[min]</t>
  </si>
  <si>
    <t>T_setup
[min]</t>
  </si>
  <si>
    <t>T_NETTO
[min]</t>
  </si>
  <si>
    <t>T_PROD
[min]</t>
  </si>
  <si>
    <t>TAKT
TIME</t>
  </si>
  <si>
    <t>NUM
MACCH
CALCOL</t>
  </si>
  <si>
    <t>NUM
MACCH
EFFET LOTTI</t>
  </si>
  <si>
    <t>NUM MACCH EFFET LINEA</t>
  </si>
  <si>
    <t>Q.TA' PF L=1500</t>
  </si>
  <si>
    <t>GG LAVORO/MESE</t>
  </si>
  <si>
    <t>Q.TA' PF L=1750</t>
  </si>
  <si>
    <t>ORE/ GIORNO</t>
  </si>
  <si>
    <t>TIPO TRINCIATUTTO</t>
  </si>
  <si>
    <t>TOTALE</t>
  </si>
  <si>
    <t>L=1500</t>
  </si>
  <si>
    <t>L=1750</t>
  </si>
  <si>
    <t>OEE DEL REPARTO DI SALDATURA</t>
  </si>
  <si>
    <t>Saldatura</t>
  </si>
  <si>
    <t>Componente</t>
  </si>
  <si>
    <t>N. pezzi</t>
  </si>
  <si>
    <t>Takt Time</t>
  </si>
  <si>
    <t>Takt Time Trinc.</t>
  </si>
  <si>
    <t>TC</t>
  </si>
  <si>
    <t>OEE</t>
  </si>
  <si>
    <t>Telaio L=1500 per Trinciatutto</t>
  </si>
  <si>
    <t>Tealio L=1750 per Trinciatutto</t>
  </si>
  <si>
    <t>Totale Reparto</t>
  </si>
  <si>
    <t>OEE DEI REPARTI DI FABBRICAZIONI</t>
  </si>
  <si>
    <t>Pressopiegatura</t>
  </si>
  <si>
    <t>Takt Time Fres.</t>
  </si>
  <si>
    <t>Carter L=1500</t>
  </si>
  <si>
    <t>Carter L=1750</t>
  </si>
  <si>
    <t>Staffe Rinforzo</t>
  </si>
  <si>
    <t>P. Att. Trattore</t>
  </si>
  <si>
    <t>Trinciatura</t>
  </si>
  <si>
    <t>PREC.</t>
  </si>
  <si>
    <t>MIN.</t>
  </si>
  <si>
    <t>MIN</t>
  </si>
  <si>
    <t>RPW</t>
  </si>
  <si>
    <t>COD + SUCC.</t>
  </si>
  <si>
    <t>Riman.</t>
  </si>
  <si>
    <t>Att. Disp.</t>
  </si>
  <si>
    <t>WS</t>
  </si>
  <si>
    <t>A</t>
  </si>
  <si>
    <t>Prelevare complessivo telaio da contenitore e posizionare su attrezzatura</t>
  </si>
  <si>
    <t>-</t>
  </si>
  <si>
    <t>A,B,C,D,E,F,G,H,I,L,M,N,O</t>
  </si>
  <si>
    <t>ICGDLHEBFMNO</t>
  </si>
  <si>
    <t>B</t>
  </si>
  <si>
    <t>Prelevare supporti albero di trasmissione e fissare su telaio</t>
  </si>
  <si>
    <t>B,F,O</t>
  </si>
  <si>
    <t>I,L,M,O</t>
  </si>
  <si>
    <t>CGDLHEBFMNO</t>
  </si>
  <si>
    <t>IGDLHEBFMNO</t>
  </si>
  <si>
    <t>C</t>
  </si>
  <si>
    <t>Prelevare scatola ingranaggi e fissare su telaio</t>
  </si>
  <si>
    <t xml:space="preserve">C </t>
  </si>
  <si>
    <t>C,D,E,F,O</t>
  </si>
  <si>
    <t>GDLHEBFMNO</t>
  </si>
  <si>
    <t>D</t>
  </si>
  <si>
    <t>Prelevare raschiaoli e fissare su scatola ingranaggi</t>
  </si>
  <si>
    <t>D,E,F,O</t>
  </si>
  <si>
    <t>DLHEBFMNO</t>
  </si>
  <si>
    <t>DLHEBFMBNO</t>
  </si>
  <si>
    <t>E</t>
  </si>
  <si>
    <t>Prelevare coppia conica e montare entro scatola</t>
  </si>
  <si>
    <t>E,F,O</t>
  </si>
  <si>
    <t>//</t>
  </si>
  <si>
    <t>DLHEFMNO</t>
  </si>
  <si>
    <t>LHEBFMBNO</t>
  </si>
  <si>
    <t>F</t>
  </si>
  <si>
    <t>Prelevare albero di trasmissione e montare</t>
  </si>
  <si>
    <t>E,B</t>
  </si>
  <si>
    <t>F,O</t>
  </si>
  <si>
    <t>L</t>
  </si>
  <si>
    <t>L,M,O</t>
  </si>
  <si>
    <t>LHEFMNO</t>
  </si>
  <si>
    <t>HEBFMBNO</t>
  </si>
  <si>
    <t>G</t>
  </si>
  <si>
    <t>Prelevare chiusura fianco telaio e montare</t>
  </si>
  <si>
    <t>G,H,N,O</t>
  </si>
  <si>
    <t>H</t>
  </si>
  <si>
    <t>H,N,O</t>
  </si>
  <si>
    <t>HEFMNO</t>
  </si>
  <si>
    <t>Prelevare ingranaggi e montare su chiusura fianco telaio</t>
  </si>
  <si>
    <t>EFMNO</t>
  </si>
  <si>
    <t>I</t>
  </si>
  <si>
    <t>Prelevare albero con martelli e montare su telaio</t>
  </si>
  <si>
    <t>FMNO</t>
  </si>
  <si>
    <t>Prelevare coperchio martelli e montare su telaio</t>
  </si>
  <si>
    <t>MNO</t>
  </si>
  <si>
    <t>NO</t>
  </si>
  <si>
    <t>M</t>
  </si>
  <si>
    <t>Prelevare registro coperchio martelli e montare su telaio</t>
  </si>
  <si>
    <t>M,O</t>
  </si>
  <si>
    <t>N</t>
  </si>
  <si>
    <t>Prelevare coperchio ingranaggi laterali e montare su telaio</t>
  </si>
  <si>
    <t>N,O</t>
  </si>
  <si>
    <t>O</t>
  </si>
  <si>
    <t>Prelevare trinciatutto completo e deporre in contenitore</t>
  </si>
  <si>
    <t>F,N,M</t>
  </si>
  <si>
    <t>Soluzione base</t>
  </si>
  <si>
    <t>POST_10</t>
  </si>
  <si>
    <t>POST_20</t>
  </si>
  <si>
    <t>POST_30</t>
  </si>
  <si>
    <t>POST_40</t>
  </si>
  <si>
    <t>(0,40)</t>
  </si>
  <si>
    <t>1,9</t>
  </si>
  <si>
    <t>Σ TC</t>
  </si>
  <si>
    <t>Σ TLAV</t>
  </si>
  <si>
    <t>TLAV</t>
  </si>
  <si>
    <t>Saturazione manodopera</t>
  </si>
  <si>
    <t>OEE compreso Manodopera</t>
  </si>
  <si>
    <t>Soluzione ottiminzzata</t>
  </si>
  <si>
    <t>Applicazione della Soluzione ottiminzzata</t>
  </si>
  <si>
    <t>SS</t>
  </si>
  <si>
    <r>
      <t xml:space="preserve">FABBISOGNI MENSILI
</t>
    </r>
    <r>
      <rPr>
        <sz val="12"/>
        <color theme="1"/>
        <rFont val="Calibri"/>
        <family val="2"/>
        <scheme val="minor"/>
      </rPr>
      <t>(UDC MOVIMENTATE IN UN MESE)</t>
    </r>
  </si>
  <si>
    <r>
      <t xml:space="preserve">CAPACITA' MAGAZZINI E BUFFER
</t>
    </r>
    <r>
      <rPr>
        <sz val="12"/>
        <color theme="1"/>
        <rFont val="Calibri"/>
        <family val="2"/>
        <scheme val="minor"/>
      </rPr>
      <t>(Q.TA' MAX PER DIMENSIONAMENTO)</t>
    </r>
  </si>
  <si>
    <t>ORE LAV/GIORNO</t>
  </si>
  <si>
    <t>TIPO FRESATRICE</t>
  </si>
  <si>
    <t>TIPO
UDC</t>
  </si>
  <si>
    <t>PZ/UDC</t>
  </si>
  <si>
    <t>NUM.
UDC</t>
  </si>
  <si>
    <t xml:space="preserve">LOTTO </t>
  </si>
  <si>
    <t>GG cop</t>
  </si>
  <si>
    <t>IR</t>
  </si>
  <si>
    <t>CODICI A MAGAZZINO MATERIE PRIME</t>
  </si>
  <si>
    <t>ALBERO DI TRASMISSIONE PER TRINCIATUTTO L=1500</t>
  </si>
  <si>
    <t>ALBERO DI TRASMISSIONE PER TRINCIATUTTO L=1750</t>
  </si>
  <si>
    <t>CODICI A MAGAZZINO PF</t>
  </si>
  <si>
    <t>CODICI NEL BUFFER SEMILAVORATI</t>
  </si>
  <si>
    <t>DIMENSIONAMENTO STATICO</t>
  </si>
  <si>
    <t>MAG PF</t>
  </si>
  <si>
    <t>BUFF TRANC</t>
  </si>
  <si>
    <t>BUFF PP</t>
  </si>
  <si>
    <t>BUFF SALD</t>
  </si>
  <si>
    <t>MAG MP STANDARDIZZATO</t>
  </si>
  <si>
    <t>Trinciatutto Completi L=1500 + 1750</t>
  </si>
  <si>
    <t>CARTER</t>
  </si>
  <si>
    <t>STAFFE ATTACCO TRATTORE + STAFFE RINFORZO</t>
  </si>
  <si>
    <t>TELAI COMPLETI F+T L=1500 E 1750</t>
  </si>
  <si>
    <t>lamierati</t>
  </si>
  <si>
    <t>Ingrangaggi</t>
  </si>
  <si>
    <t>Alberi completi</t>
  </si>
  <si>
    <t>Alberi trasmissione</t>
  </si>
  <si>
    <t>Rastrelli</t>
  </si>
  <si>
    <t>Potenzilità Ricettiva (Q)</t>
  </si>
  <si>
    <t>Potenzialità Ricettiva (UDC)</t>
  </si>
  <si>
    <t>Dimensioni UDC</t>
  </si>
  <si>
    <t>800X1000X800</t>
  </si>
  <si>
    <t>1500X2000X2000</t>
  </si>
  <si>
    <t>dimensione vano (Larghezza mm)</t>
  </si>
  <si>
    <t>dimensione vano (Lunghezza mm)</t>
  </si>
  <si>
    <t>dimensione vano (Altezza mm)</t>
  </si>
  <si>
    <t>NL (Numero Livelli)</t>
  </si>
  <si>
    <t>NORM</t>
  </si>
  <si>
    <t>SPEC</t>
  </si>
  <si>
    <t>H SCAFFALATURA</t>
  </si>
  <si>
    <t>LARGHEZZA CORR</t>
  </si>
  <si>
    <t>DIMENSIONAMENTO MODULI BASE BIFRONTALE</t>
  </si>
  <si>
    <t>Trinciatutto + Fresatrice Completi L=1500 + 1750</t>
  </si>
  <si>
    <t>STAFFE ATTACCO TRATTORE + STAFFE RINFORZO + PIASTRE LATERALI</t>
  </si>
  <si>
    <t>AREA MB (m^2)</t>
  </si>
  <si>
    <t>N Udc in MB</t>
  </si>
  <si>
    <t>IMPRONTA</t>
  </si>
  <si>
    <t>% Corridoi</t>
  </si>
  <si>
    <t>Area Mag</t>
  </si>
  <si>
    <t>DIMENSIONAMENTO EFFETTIVO BIFRONTALE</t>
  </si>
  <si>
    <t>Uott</t>
  </si>
  <si>
    <t>Vott</t>
  </si>
  <si>
    <t>NC (Numero Corridoi)</t>
  </si>
  <si>
    <t>Ueff</t>
  </si>
  <si>
    <t>NV (Numero di Colonne Di Vani)</t>
  </si>
  <si>
    <t>Veff</t>
  </si>
  <si>
    <t>Preff</t>
  </si>
  <si>
    <t>Area Mag Effettiva</t>
  </si>
  <si>
    <t>Rapporto</t>
  </si>
  <si>
    <t>MOVIMENTI MENSILI [UDC pieni]</t>
  </si>
  <si>
    <t>Prodotto</t>
  </si>
  <si>
    <t>Trinciatutto</t>
  </si>
  <si>
    <t>Telaio</t>
  </si>
  <si>
    <t>Albero di trasmissione per macchine</t>
  </si>
  <si>
    <t>Ruota dentata conica</t>
  </si>
  <si>
    <t>Ruota dentata cilindrica</t>
  </si>
  <si>
    <t>Albero completo di martelli per Trinciatutto</t>
  </si>
  <si>
    <t>Carter Trinciati</t>
  </si>
  <si>
    <t>Carter Pressopiegati</t>
  </si>
  <si>
    <t>Staffe Rinforzo Trinciate</t>
  </si>
  <si>
    <t>Staffe Rinforzo Pressopiegate</t>
  </si>
  <si>
    <t>Piastre Attacco Trattore Trinciate</t>
  </si>
  <si>
    <t>Staffe Attacco Trattore Pressopiegate</t>
  </si>
  <si>
    <t>Rastrello per Trinciatutto</t>
  </si>
  <si>
    <t>Foglio Lamiera</t>
  </si>
  <si>
    <r>
      <rPr>
        <b/>
        <sz val="12"/>
        <color theme="1"/>
        <rFont val="Calibri"/>
        <family val="2"/>
        <scheme val="minor"/>
      </rPr>
      <t>DA</t>
    </r>
    <r>
      <rPr>
        <sz val="11"/>
        <color theme="1"/>
        <rFont val="Calibri"/>
        <family val="2"/>
        <scheme val="minor"/>
      </rPr>
      <t xml:space="preserve"> (righe)</t>
    </r>
    <r>
      <rPr>
        <b/>
        <sz val="11"/>
        <color theme="1"/>
        <rFont val="Calibri"/>
        <family val="2"/>
        <scheme val="minor"/>
      </rPr>
      <t xml:space="preserve">  /</t>
    </r>
    <r>
      <rPr>
        <sz val="11"/>
        <color theme="1"/>
        <rFont val="Calibri"/>
        <family val="2"/>
        <scheme val="minor"/>
      </rPr>
      <t xml:space="preserve">
</t>
    </r>
    <r>
      <rPr>
        <b/>
        <sz val="12"/>
        <color theme="1"/>
        <rFont val="Calibri"/>
        <family val="2"/>
        <scheme val="minor"/>
      </rPr>
      <t>A</t>
    </r>
    <r>
      <rPr>
        <sz val="11"/>
        <color theme="1"/>
        <rFont val="Calibri"/>
        <family val="2"/>
        <scheme val="minor"/>
      </rPr>
      <t xml:space="preserve"> (colonne)</t>
    </r>
  </si>
  <si>
    <t>MAGAZZINO MP</t>
  </si>
  <si>
    <t>MAGAZZINO PF</t>
  </si>
  <si>
    <t>BUFFER_SALD</t>
  </si>
  <si>
    <t>BUFFER_PSP</t>
  </si>
  <si>
    <t>PSP</t>
  </si>
  <si>
    <t>BUFFER_TRNC</t>
  </si>
  <si>
    <t>TOT</t>
  </si>
  <si>
    <t>Attività</t>
  </si>
  <si>
    <t>Assemblaggio</t>
  </si>
  <si>
    <t>MAG. MP</t>
  </si>
  <si>
    <t>MP</t>
  </si>
  <si>
    <t>Magazzino PF</t>
  </si>
  <si>
    <t>Buff_Saldatura</t>
  </si>
  <si>
    <t>Buff_Trinciati</t>
  </si>
  <si>
    <t>Buff_Pressopiegati</t>
  </si>
  <si>
    <t>Buff_Trinciatura</t>
  </si>
  <si>
    <t>Prod. Mensile</t>
  </si>
  <si>
    <t>BUFF_SALD</t>
  </si>
  <si>
    <t>N° Transfer</t>
  </si>
  <si>
    <t>N° UDC</t>
  </si>
  <si>
    <t>N° di transfer per ciclo</t>
  </si>
  <si>
    <t>N° Totale di transfer</t>
  </si>
  <si>
    <t>Si costruisce un'analoga matrice con le distanze (A/R) fra i reparti, i tempi di percorrenza e i tempi di carico/scarico. Il tutto consente di calcolare i tempi di una missione. Il tempo per missione moltiplicato il numero di missione fornisce il tempo complessivo impiegato su una tratta</t>
  </si>
  <si>
    <t>INGRESSI MENSILI [UDC/MESE] 
A MAG. MP</t>
  </si>
  <si>
    <t>INGRANAGGI</t>
  </si>
  <si>
    <t>ALBERI COMPLETI DI  MARTELLI</t>
  </si>
  <si>
    <t>RASTRELLIERE</t>
  </si>
  <si>
    <t>Per il dimensionamento delle banchine (e delle aree di ricevimento) si considera la situazione peggiore in cui nello stesso giorno si ricevono tutte le famiglie di componenti per le quantità dei rispettivi giorni di copertura</t>
  </si>
  <si>
    <t>USCITE MENSILI [UDC/MESE] 
DA MAG. PF</t>
  </si>
  <si>
    <t>TRINCIATUTTO COMPL. 1500</t>
  </si>
  <si>
    <t>TRINCIATUTTO COMPL. 1750</t>
  </si>
  <si>
    <t>Le partenze dal magazzino PF avvengono tutti i giorni. Si spedisce la quantità giornaliera.</t>
  </si>
  <si>
    <t>Per il dimensionamento delle banchine (e delle aree di spedizione) si calcola il numero di UDC giornaliere</t>
  </si>
  <si>
    <t>TRINCIATUTTO</t>
  </si>
  <si>
    <t>DESCRIZIONE DEI SINGOLI PEZZI/SOTTOGRUPPI/PRODOTTO FINITO MOVIMENTATI</t>
  </si>
  <si>
    <r>
      <rPr>
        <b/>
        <sz val="12"/>
        <color theme="1"/>
        <rFont val="Calibri"/>
        <family val="2"/>
        <scheme val="minor"/>
      </rPr>
      <t xml:space="preserve">DIMENSIONI SAGOMA </t>
    </r>
    <r>
      <rPr>
        <b/>
        <sz val="9"/>
        <color theme="1"/>
        <rFont val="Calibri"/>
        <family val="2"/>
        <scheme val="minor"/>
      </rPr>
      <t>[mm]</t>
    </r>
  </si>
  <si>
    <t>PESO UN [kg]</t>
  </si>
  <si>
    <t>1000x1500</t>
  </si>
  <si>
    <t>1000x2000</t>
  </si>
  <si>
    <r>
      <rPr>
        <sz val="11"/>
        <color theme="1"/>
        <rFont val="Calibri"/>
        <family val="2"/>
      </rPr>
      <t>φ80</t>
    </r>
    <r>
      <rPr>
        <sz val="11"/>
        <color theme="1"/>
        <rFont val="Calibri"/>
        <family val="2"/>
        <scheme val="minor"/>
      </rPr>
      <t>x100</t>
    </r>
  </si>
  <si>
    <r>
      <rPr>
        <sz val="11"/>
        <color theme="1"/>
        <rFont val="Calibri"/>
        <family val="2"/>
      </rPr>
      <t>φ200</t>
    </r>
    <r>
      <rPr>
        <sz val="11"/>
        <color theme="1"/>
        <rFont val="Calibri"/>
        <family val="2"/>
        <scheme val="minor"/>
      </rPr>
      <t>x30</t>
    </r>
  </si>
  <si>
    <t>1000x1500x600</t>
  </si>
  <si>
    <t>1000x1750x600</t>
  </si>
  <si>
    <r>
      <rPr>
        <sz val="11"/>
        <color theme="1"/>
        <rFont val="Calibri"/>
        <family val="2"/>
      </rPr>
      <t>φ200</t>
    </r>
    <r>
      <rPr>
        <sz val="11"/>
        <color theme="1"/>
        <rFont val="Calibri"/>
        <family val="2"/>
        <scheme val="minor"/>
      </rPr>
      <t>x1400</t>
    </r>
  </si>
  <si>
    <r>
      <rPr>
        <sz val="11"/>
        <color theme="1"/>
        <rFont val="Calibri"/>
        <family val="2"/>
      </rPr>
      <t>φ200</t>
    </r>
    <r>
      <rPr>
        <sz val="11"/>
        <color theme="1"/>
        <rFont val="Calibri"/>
        <family val="2"/>
        <scheme val="minor"/>
      </rPr>
      <t>x1650</t>
    </r>
  </si>
  <si>
    <r>
      <rPr>
        <sz val="11"/>
        <color theme="1"/>
        <rFont val="Calibri"/>
        <family val="2"/>
      </rPr>
      <t>φ50</t>
    </r>
    <r>
      <rPr>
        <sz val="11"/>
        <color theme="1"/>
        <rFont val="Calibri"/>
        <family val="2"/>
        <scheme val="minor"/>
      </rPr>
      <t>x700</t>
    </r>
  </si>
  <si>
    <r>
      <rPr>
        <sz val="11"/>
        <color theme="1"/>
        <rFont val="Calibri"/>
        <family val="2"/>
      </rPr>
      <t>φ50</t>
    </r>
    <r>
      <rPr>
        <sz val="11"/>
        <color theme="1"/>
        <rFont val="Calibri"/>
        <family val="2"/>
        <scheme val="minor"/>
      </rPr>
      <t>x900</t>
    </r>
  </si>
  <si>
    <t>600x1500</t>
  </si>
  <si>
    <t>400x1500x300</t>
  </si>
  <si>
    <t>600x1750</t>
  </si>
  <si>
    <t>400x1750x300</t>
  </si>
  <si>
    <t>200x400</t>
  </si>
  <si>
    <t>150x400x50</t>
  </si>
  <si>
    <t>200x350</t>
  </si>
  <si>
    <t>150x350x70</t>
  </si>
  <si>
    <t>400x1500x400</t>
  </si>
  <si>
    <t>400x1750x400</t>
  </si>
  <si>
    <t>Punzonatrici</t>
  </si>
  <si>
    <t>€/cad</t>
  </si>
  <si>
    <t xml:space="preserve">AREE DI SERVIZIO </t>
  </si>
  <si>
    <t>SUPERFICIE OCCUPATA 
[MQ]</t>
  </si>
  <si>
    <t>Pressopiegatrici</t>
  </si>
  <si>
    <t xml:space="preserve">Box di saldatura completi </t>
  </si>
  <si>
    <t>Attrezzeria e manutenzione</t>
  </si>
  <si>
    <t>Tornio a CN</t>
  </si>
  <si>
    <t>Dentarici per profili scanalati</t>
  </si>
  <si>
    <t>Isola tecnica (adiacente al fabbricato principale)</t>
  </si>
  <si>
    <t>Banco di montaggio completo</t>
  </si>
  <si>
    <t>Pressa idraulica</t>
  </si>
  <si>
    <t xml:space="preserve">Area ricarica carrelli </t>
  </si>
  <si>
    <t>(in funzione del numero di carrelli)</t>
  </si>
  <si>
    <t>Linea di montaggio</t>
  </si>
  <si>
    <t>€/m</t>
  </si>
  <si>
    <t>Edificio industriale</t>
  </si>
  <si>
    <t>€/m2</t>
  </si>
  <si>
    <t>Uffici (compreso archivi, sale riunioni ecc)</t>
  </si>
  <si>
    <t xml:space="preserve">25 mq/dipendente </t>
  </si>
  <si>
    <t>Impianti generali</t>
  </si>
  <si>
    <t>Scaffalature tradizionali</t>
  </si>
  <si>
    <t>€/vano</t>
  </si>
  <si>
    <t>Spogliatoi (solo per il personale di fabbrica diretto e indiretto)</t>
  </si>
  <si>
    <t>1,6 mq/dipendente</t>
  </si>
  <si>
    <t xml:space="preserve">Scaffalature drive in </t>
  </si>
  <si>
    <t>Scaffalature a gravità</t>
  </si>
  <si>
    <t>Servizi igienici (sia in fabbrica che negli uffici)</t>
  </si>
  <si>
    <t>0,25 mq/dipendente</t>
  </si>
  <si>
    <t>Carrelli a forche h sollev. 3m</t>
  </si>
  <si>
    <t>Carrelli a forche h sollev.  6m</t>
  </si>
  <si>
    <t>Mensa (per tutti i dipendenti di fabbrica e in ufficio)</t>
  </si>
  <si>
    <t>1,5 mq/dipendente</t>
  </si>
  <si>
    <t>Carrelli trilaterali h soll &gt; 10 m</t>
  </si>
  <si>
    <t>Trasportatori a rulli folli</t>
  </si>
  <si>
    <t>Aree di ristoro</t>
  </si>
  <si>
    <t>20 mq/cad</t>
  </si>
  <si>
    <t>Trasportatori a rulli motorizzati</t>
  </si>
  <si>
    <t>Trasportatori aerei a catena</t>
  </si>
  <si>
    <t>Infermeria</t>
  </si>
  <si>
    <t>80 mq</t>
  </si>
  <si>
    <t>Portoni</t>
  </si>
  <si>
    <t>Bocche di carico</t>
  </si>
  <si>
    <t>Uffici capi e supervisori</t>
  </si>
  <si>
    <t xml:space="preserve">5 mq/dipendente </t>
  </si>
  <si>
    <t>Porte di sicurezza</t>
  </si>
  <si>
    <t>ELEMENTO</t>
  </si>
  <si>
    <t>QTA</t>
  </si>
  <si>
    <t>COSTO UNITARIO</t>
  </si>
  <si>
    <t>COSTO TOT</t>
  </si>
  <si>
    <t>PESO</t>
  </si>
  <si>
    <t>Costo terreno</t>
  </si>
  <si>
    <t>Tranciatrici</t>
  </si>
  <si>
    <t>Carrello Toyota 1.6t</t>
  </si>
  <si>
    <t>Punti attracco bilici</t>
  </si>
  <si>
    <t>Braccio manipolatore pneumatico</t>
  </si>
  <si>
    <t>ANALISI DEI COSTI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</si>
</sst>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_ ;\-0.00\ "/>
    <numFmt numFmtId="165" formatCode="0.0%"/>
    <numFmt numFmtId="166" formatCode="0.0"/>
    <numFmt numFmtId="167" formatCode="#,##0.0"/>
    <numFmt numFmtId="168" formatCode="0.000"/>
    <numFmt numFmtId="169" formatCode="_-* #,##0.00\ [$€-410]_-;\-* #,##0.00\ [$€-410]_-;_-* &quot;-&quot;??\ [$€-410]_-;_-@_-"/>
  </numFmts>
  <fonts count="34" x14ac:knownFonts="1">
    <font>
      <sz val="11"/>
      <color theme="1"/>
      <name val="Calibri"/>
      <family val="2"/>
      <scheme val="minor"/>
    </font>
    <font>
      <b/>
      <sz val="11"/>
      <color theme="1"/>
      <name val="Calibri"/>
      <family val="2"/>
      <scheme val="minor"/>
    </font>
    <font>
      <u/>
      <sz val="11"/>
      <color theme="1"/>
      <name val="Calibri"/>
      <family val="2"/>
      <scheme val="minor"/>
    </font>
    <font>
      <b/>
      <u/>
      <sz val="11"/>
      <color theme="1"/>
      <name val="Calibri"/>
      <family val="2"/>
      <scheme val="minor"/>
    </font>
    <font>
      <b/>
      <sz val="12"/>
      <color theme="1"/>
      <name val="Calibri"/>
      <family val="2"/>
      <scheme val="minor"/>
    </font>
    <font>
      <b/>
      <sz val="16"/>
      <color theme="1"/>
      <name val="Calibri"/>
      <family val="2"/>
      <scheme val="minor"/>
    </font>
    <font>
      <sz val="12"/>
      <color theme="1"/>
      <name val="Calibri"/>
      <family val="2"/>
      <scheme val="minor"/>
    </font>
    <font>
      <b/>
      <sz val="9"/>
      <color theme="1"/>
      <name val="Calibri"/>
      <family val="2"/>
      <scheme val="minor"/>
    </font>
    <font>
      <b/>
      <sz val="9"/>
      <color indexed="81"/>
      <name val="Tahoma"/>
      <family val="2"/>
    </font>
    <font>
      <b/>
      <sz val="14"/>
      <color theme="1"/>
      <name val="Calibri"/>
      <family val="2"/>
      <scheme val="minor"/>
    </font>
    <font>
      <b/>
      <sz val="20"/>
      <color rgb="FFFF0000"/>
      <name val="Calibri"/>
      <family val="2"/>
      <scheme val="minor"/>
    </font>
    <font>
      <sz val="16"/>
      <color theme="1"/>
      <name val="Calibri"/>
      <family val="2"/>
    </font>
    <font>
      <sz val="14"/>
      <color theme="1"/>
      <name val="Calibri"/>
      <family val="2"/>
      <scheme val="minor"/>
    </font>
    <font>
      <sz val="11"/>
      <color theme="1"/>
      <name val="Calibri"/>
      <family val="2"/>
    </font>
    <font>
      <sz val="6"/>
      <name val="Yu Gothic"/>
      <family val="2"/>
      <charset val="128"/>
    </font>
    <font>
      <sz val="18"/>
      <color theme="1"/>
      <name val="Calibri"/>
      <family val="2"/>
      <scheme val="minor"/>
    </font>
    <font>
      <b/>
      <sz val="48"/>
      <color theme="1"/>
      <name val="Calibri"/>
      <family val="2"/>
      <scheme val="minor"/>
    </font>
    <font>
      <i/>
      <sz val="18"/>
      <color theme="1"/>
      <name val="Calibri"/>
      <family val="2"/>
      <scheme val="minor"/>
    </font>
    <font>
      <b/>
      <sz val="36"/>
      <color theme="1"/>
      <name val="Calibri"/>
      <family val="2"/>
      <scheme val="minor"/>
    </font>
    <font>
      <sz val="14"/>
      <color rgb="FF000000"/>
      <name val="Calibri"/>
      <family val="2"/>
    </font>
    <font>
      <sz val="10"/>
      <color rgb="FFFFFFFF"/>
      <name val="Calibri"/>
      <family val="2"/>
      <scheme val="minor"/>
    </font>
    <font>
      <sz val="16"/>
      <color theme="1"/>
      <name val="Calibri"/>
      <family val="2"/>
      <scheme val="minor"/>
    </font>
    <font>
      <sz val="11"/>
      <color theme="1"/>
      <name val="Calibri"/>
      <family val="2"/>
      <scheme val="minor"/>
    </font>
    <font>
      <sz val="11"/>
      <color theme="0"/>
      <name val="Calibri"/>
      <family val="2"/>
      <scheme val="minor"/>
    </font>
    <font>
      <sz val="11"/>
      <name val="Calibri"/>
      <family val="2"/>
    </font>
    <font>
      <b/>
      <u/>
      <sz val="11"/>
      <name val="Calibri"/>
      <family val="2"/>
    </font>
    <font>
      <b/>
      <sz val="11"/>
      <color rgb="FF000000"/>
      <name val="Calibri"/>
      <family val="2"/>
      <scheme val="minor"/>
    </font>
    <font>
      <i/>
      <sz val="11"/>
      <color rgb="FFC00000"/>
      <name val="Calibri"/>
      <family val="2"/>
    </font>
    <font>
      <sz val="11"/>
      <color rgb="FFC00000"/>
      <name val="Calibri"/>
      <family val="2"/>
    </font>
    <font>
      <b/>
      <sz val="22"/>
      <color theme="1"/>
      <name val="Calibri"/>
      <family val="2"/>
      <scheme val="minor"/>
    </font>
    <font>
      <u/>
      <sz val="11"/>
      <color theme="10"/>
      <name val="Calibri"/>
      <family val="2"/>
      <scheme val="minor"/>
    </font>
    <font>
      <b/>
      <sz val="20"/>
      <color theme="1"/>
      <name val="Calibri"/>
      <family val="2"/>
      <scheme val="minor"/>
    </font>
    <font>
      <sz val="22"/>
      <color theme="1"/>
      <name val="Calibri"/>
      <family val="2"/>
      <scheme val="minor"/>
    </font>
    <font>
      <b/>
      <sz val="18"/>
      <color theme="1"/>
      <name val="Calibri"/>
      <family val="2"/>
      <scheme val="minor"/>
    </font>
  </fonts>
  <fills count="2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1" tint="0.499984740745262"/>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2" tint="-0.499984740745262"/>
        <bgColor indexed="64"/>
      </patternFill>
    </fill>
    <fill>
      <patternFill patternType="solid">
        <fgColor theme="9"/>
        <bgColor indexed="64"/>
      </patternFill>
    </fill>
    <fill>
      <patternFill patternType="solid">
        <fgColor theme="3"/>
        <bgColor indexed="64"/>
      </patternFill>
    </fill>
    <fill>
      <patternFill patternType="solid">
        <fgColor rgb="FF00B0F0"/>
        <bgColor indexed="64"/>
      </patternFill>
    </fill>
    <fill>
      <patternFill patternType="solid">
        <fgColor theme="5" tint="0.59999389629810485"/>
        <bgColor indexed="64"/>
      </patternFill>
    </fill>
    <fill>
      <patternFill patternType="solid">
        <fgColor theme="3" tint="0.59999389629810485"/>
        <bgColor indexed="64"/>
      </patternFill>
    </fill>
    <fill>
      <patternFill patternType="solid">
        <fgColor theme="8" tint="0.59999389629810485"/>
        <bgColor indexed="64"/>
      </patternFill>
    </fill>
    <fill>
      <patternFill patternType="solid">
        <fgColor rgb="FFFFC000"/>
        <bgColor indexed="64"/>
      </patternFill>
    </fill>
    <fill>
      <patternFill patternType="solid">
        <fgColor theme="0"/>
        <bgColor indexed="64"/>
      </patternFill>
    </fill>
    <fill>
      <patternFill patternType="solid">
        <fgColor theme="2" tint="-9.9978637043366805E-2"/>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8" tint="0.79998168889431442"/>
        <bgColor indexed="64"/>
      </patternFill>
    </fill>
  </fills>
  <borders count="9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thin">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bottom/>
      <diagonal/>
    </border>
    <border>
      <left/>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rgb="FF000000"/>
      </left>
      <right/>
      <top style="medium">
        <color rgb="FF000000"/>
      </top>
      <bottom/>
      <diagonal/>
    </border>
    <border>
      <left/>
      <right/>
      <top style="medium">
        <color rgb="FF000000"/>
      </top>
      <bottom/>
      <diagonal/>
    </border>
    <border>
      <left style="medium">
        <color rgb="FF000000"/>
      </left>
      <right/>
      <top/>
      <bottom/>
      <diagonal/>
    </border>
    <border>
      <left/>
      <right style="thin">
        <color rgb="FF000000"/>
      </right>
      <top/>
      <bottom/>
      <diagonal/>
    </border>
    <border>
      <left/>
      <right style="thin">
        <color rgb="FF000000"/>
      </right>
      <top style="medium">
        <color rgb="FF000000"/>
      </top>
      <bottom/>
      <diagonal/>
    </border>
    <border>
      <left/>
      <right/>
      <top/>
      <bottom style="thin">
        <color rgb="FF000000"/>
      </bottom>
      <diagonal/>
    </border>
    <border>
      <left style="medium">
        <color rgb="FF000000"/>
      </left>
      <right/>
      <top/>
      <bottom style="thin">
        <color rgb="FF000000"/>
      </bottom>
      <diagonal/>
    </border>
    <border>
      <left/>
      <right style="thin">
        <color rgb="FF000000"/>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style="medium">
        <color indexed="64"/>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top style="thin">
        <color rgb="FF000000"/>
      </top>
      <bottom style="thin">
        <color rgb="FF000000"/>
      </bottom>
      <diagonal/>
    </border>
    <border>
      <left/>
      <right style="medium">
        <color indexed="64"/>
      </right>
      <top/>
      <bottom style="medium">
        <color indexed="64"/>
      </bottom>
      <diagonal/>
    </border>
    <border>
      <left/>
      <right/>
      <top style="thin">
        <color rgb="FF000000"/>
      </top>
      <bottom/>
      <diagonal/>
    </border>
    <border>
      <left style="thin">
        <color indexed="64"/>
      </left>
      <right style="thick">
        <color indexed="64"/>
      </right>
      <top style="thin">
        <color indexed="64"/>
      </top>
      <bottom style="thick">
        <color indexed="64"/>
      </bottom>
      <diagonal/>
    </border>
    <border>
      <left style="thin">
        <color indexed="64"/>
      </left>
      <right style="thick">
        <color indexed="64"/>
      </right>
      <top style="thick">
        <color indexed="64"/>
      </top>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ck">
        <color indexed="64"/>
      </bottom>
      <diagonal/>
    </border>
    <border>
      <left style="thick">
        <color indexed="64"/>
      </left>
      <right/>
      <top style="thick">
        <color indexed="64"/>
      </top>
      <bottom style="thin">
        <color indexed="64"/>
      </bottom>
      <diagonal/>
    </border>
    <border>
      <left style="thin">
        <color indexed="64"/>
      </left>
      <right style="thick">
        <color indexed="64"/>
      </right>
      <top/>
      <bottom/>
      <diagonal/>
    </border>
    <border>
      <left style="thick">
        <color indexed="64"/>
      </left>
      <right/>
      <top/>
      <bottom/>
      <diagonal/>
    </border>
    <border>
      <left style="thick">
        <color indexed="64"/>
      </left>
      <right/>
      <top style="thick">
        <color indexed="64"/>
      </top>
      <bottom/>
      <diagonal/>
    </border>
    <border>
      <left/>
      <right style="thin">
        <color rgb="FF000000"/>
      </right>
      <top style="thin">
        <color rgb="FF000000"/>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style="thin">
        <color rgb="FF000000"/>
      </bottom>
      <diagonal/>
    </border>
    <border>
      <left style="medium">
        <color indexed="64"/>
      </left>
      <right/>
      <top style="thin">
        <color rgb="FF000000"/>
      </top>
      <bottom style="thin">
        <color rgb="FF000000"/>
      </bottom>
      <diagonal/>
    </border>
    <border>
      <left/>
      <right style="medium">
        <color indexed="64"/>
      </right>
      <top style="thin">
        <color indexed="64"/>
      </top>
      <bottom style="thin">
        <color indexed="64"/>
      </bottom>
      <diagonal/>
    </border>
    <border>
      <left/>
      <right style="medium">
        <color indexed="64"/>
      </right>
      <top style="thin">
        <color rgb="FF000000"/>
      </top>
      <bottom style="thin">
        <color rgb="FF000000"/>
      </bottom>
      <diagonal/>
    </border>
    <border>
      <left style="medium">
        <color indexed="64"/>
      </left>
      <right/>
      <top style="thin">
        <color rgb="FF000000"/>
      </top>
      <bottom/>
      <diagonal/>
    </border>
    <border>
      <left/>
      <right style="medium">
        <color indexed="64"/>
      </right>
      <top style="thin">
        <color rgb="FF000000"/>
      </top>
      <bottom/>
      <diagonal/>
    </border>
  </borders>
  <cellStyleXfs count="3">
    <xf numFmtId="0" fontId="0" fillId="0" borderId="0"/>
    <xf numFmtId="9" fontId="22" fillId="0" borderId="0" applyFont="0" applyFill="0" applyBorder="0" applyAlignment="0" applyProtection="0"/>
    <xf numFmtId="0" fontId="30" fillId="0" borderId="0" applyNumberFormat="0" applyFill="0" applyBorder="0" applyAlignment="0" applyProtection="0"/>
  </cellStyleXfs>
  <cellXfs count="631">
    <xf numFmtId="0" fontId="0" fillId="0" borderId="0" xfId="0"/>
    <xf numFmtId="0" fontId="0" fillId="0" borderId="0" xfId="0" applyAlignment="1">
      <alignment horizontal="center" vertical="center"/>
    </xf>
    <xf numFmtId="3" fontId="0" fillId="0" borderId="0" xfId="0" applyNumberFormat="1"/>
    <xf numFmtId="49" fontId="0" fillId="0" borderId="0" xfId="0" applyNumberFormat="1" applyAlignment="1">
      <alignment horizontal="center" vertical="center"/>
    </xf>
    <xf numFmtId="2" fontId="0" fillId="0" borderId="0" xfId="0" applyNumberFormat="1"/>
    <xf numFmtId="0" fontId="0" fillId="0" borderId="0" xfId="0" applyAlignment="1">
      <alignment horizontal="center"/>
    </xf>
    <xf numFmtId="0" fontId="0" fillId="0" borderId="0" xfId="0" applyAlignment="1">
      <alignment horizontal="left"/>
    </xf>
    <xf numFmtId="2" fontId="0" fillId="0" borderId="0" xfId="0" applyNumberFormat="1" applyAlignment="1">
      <alignment horizontal="center" vertical="center"/>
    </xf>
    <xf numFmtId="0" fontId="0" fillId="2" borderId="0" xfId="0" applyFill="1" applyAlignment="1">
      <alignment horizontal="center" vertical="center"/>
    </xf>
    <xf numFmtId="49" fontId="0" fillId="2" borderId="0" xfId="0" applyNumberFormat="1" applyFill="1" applyAlignment="1">
      <alignment horizontal="center" vertical="center"/>
    </xf>
    <xf numFmtId="0" fontId="0" fillId="0" borderId="0" xfId="0" applyAlignment="1">
      <alignment vertical="center"/>
    </xf>
    <xf numFmtId="0" fontId="1" fillId="0" borderId="1" xfId="0" applyFont="1" applyBorder="1" applyAlignment="1">
      <alignment horizontal="center" vertical="center"/>
    </xf>
    <xf numFmtId="0" fontId="0" fillId="0" borderId="1" xfId="0" applyBorder="1" applyAlignment="1">
      <alignment horizontal="center" vertical="center"/>
    </xf>
    <xf numFmtId="3" fontId="0" fillId="0" borderId="0" xfId="0" applyNumberFormat="1" applyAlignment="1">
      <alignment horizontal="center" vertical="center"/>
    </xf>
    <xf numFmtId="165" fontId="1" fillId="0" borderId="0" xfId="0" applyNumberFormat="1" applyFont="1" applyAlignment="1">
      <alignment horizontal="center" vertical="center"/>
    </xf>
    <xf numFmtId="0" fontId="1" fillId="0" borderId="0" xfId="0" applyFont="1" applyAlignment="1">
      <alignment vertical="center" textRotation="90" wrapText="1"/>
    </xf>
    <xf numFmtId="0" fontId="0" fillId="0" borderId="1" xfId="0" applyBorder="1"/>
    <xf numFmtId="2" fontId="0" fillId="0" borderId="1" xfId="0" applyNumberFormat="1" applyBorder="1" applyAlignment="1">
      <alignment horizontal="center" vertical="center"/>
    </xf>
    <xf numFmtId="0" fontId="1" fillId="0" borderId="0" xfId="0" applyFont="1" applyAlignment="1">
      <alignment horizontal="center" vertical="center"/>
    </xf>
    <xf numFmtId="1" fontId="1" fillId="0" borderId="0" xfId="0" applyNumberFormat="1" applyFont="1" applyAlignment="1">
      <alignment horizontal="center" vertical="center"/>
    </xf>
    <xf numFmtId="0" fontId="1" fillId="0" borderId="0" xfId="0" applyFont="1" applyAlignment="1">
      <alignment horizontal="left" vertical="center"/>
    </xf>
    <xf numFmtId="0" fontId="0" fillId="0" borderId="0" xfId="0" applyAlignment="1">
      <alignment horizontal="left" vertical="center"/>
    </xf>
    <xf numFmtId="9" fontId="0" fillId="0" borderId="0" xfId="0" applyNumberFormat="1"/>
    <xf numFmtId="0" fontId="1" fillId="0" borderId="0" xfId="0" applyFont="1" applyAlignment="1">
      <alignment vertical="center"/>
    </xf>
    <xf numFmtId="9" fontId="0" fillId="0" borderId="0" xfId="0" applyNumberFormat="1" applyAlignment="1">
      <alignment horizontal="center" vertical="center"/>
    </xf>
    <xf numFmtId="3" fontId="0" fillId="0" borderId="1" xfId="0" applyNumberFormat="1" applyBorder="1" applyAlignment="1">
      <alignment horizontal="center" vertical="center"/>
    </xf>
    <xf numFmtId="164" fontId="0" fillId="0" borderId="1" xfId="0" applyNumberFormat="1" applyBorder="1" applyAlignment="1">
      <alignment horizontal="center" vertical="center"/>
    </xf>
    <xf numFmtId="0" fontId="4" fillId="0" borderId="0" xfId="0" applyFont="1" applyAlignment="1">
      <alignment vertical="center"/>
    </xf>
    <xf numFmtId="0" fontId="4" fillId="0" borderId="0" xfId="0" applyFont="1" applyAlignment="1">
      <alignment vertical="center" wrapText="1"/>
    </xf>
    <xf numFmtId="2" fontId="0" fillId="0" borderId="1" xfId="0" quotePrefix="1" applyNumberFormat="1" applyBorder="1" applyAlignment="1">
      <alignment horizontal="center" vertical="center"/>
    </xf>
    <xf numFmtId="0" fontId="0" fillId="0" borderId="1" xfId="0" applyBorder="1" applyAlignment="1">
      <alignment horizontal="left" vertical="center"/>
    </xf>
    <xf numFmtId="0" fontId="0" fillId="0" borderId="6" xfId="0" applyBorder="1" applyAlignment="1">
      <alignment horizontal="center" vertical="center"/>
    </xf>
    <xf numFmtId="0" fontId="1" fillId="0" borderId="1" xfId="0" applyFont="1" applyBorder="1" applyAlignment="1">
      <alignment horizontal="center"/>
    </xf>
    <xf numFmtId="0" fontId="1" fillId="0" borderId="13" xfId="0" applyFont="1" applyBorder="1" applyAlignment="1">
      <alignment horizontal="center" vertical="center"/>
    </xf>
    <xf numFmtId="0" fontId="1" fillId="0" borderId="14" xfId="0" applyFont="1" applyBorder="1" applyAlignment="1">
      <alignment horizontal="center" vertical="center"/>
    </xf>
    <xf numFmtId="2" fontId="0" fillId="0" borderId="16" xfId="0" applyNumberFormat="1" applyBorder="1" applyAlignment="1">
      <alignment horizontal="center" vertical="center"/>
    </xf>
    <xf numFmtId="0" fontId="0" fillId="0" borderId="18" xfId="0" applyBorder="1" applyAlignment="1">
      <alignment horizontal="center" vertical="center"/>
    </xf>
    <xf numFmtId="2" fontId="0" fillId="0" borderId="19" xfId="0" applyNumberFormat="1" applyBorder="1" applyAlignment="1">
      <alignment horizontal="center" vertical="center"/>
    </xf>
    <xf numFmtId="0" fontId="0" fillId="2" borderId="1" xfId="0" applyFill="1" applyBorder="1" applyAlignment="1">
      <alignment horizontal="center" vertical="center"/>
    </xf>
    <xf numFmtId="49" fontId="0" fillId="2" borderId="1" xfId="0" applyNumberFormat="1" applyFill="1" applyBorder="1" applyAlignment="1">
      <alignment horizontal="center" vertical="center"/>
    </xf>
    <xf numFmtId="165" fontId="0" fillId="2" borderId="1" xfId="0" applyNumberFormat="1" applyFill="1" applyBorder="1"/>
    <xf numFmtId="2" fontId="0" fillId="0" borderId="1" xfId="0" applyNumberFormat="1" applyBorder="1"/>
    <xf numFmtId="0" fontId="1" fillId="0" borderId="22" xfId="0" applyFont="1" applyBorder="1" applyAlignment="1">
      <alignment horizontal="center" vertical="center"/>
    </xf>
    <xf numFmtId="3" fontId="1" fillId="0" borderId="0" xfId="0" applyNumberFormat="1" applyFont="1" applyAlignment="1">
      <alignment horizontal="center"/>
    </xf>
    <xf numFmtId="0" fontId="0" fillId="0" borderId="6" xfId="0" applyBorder="1" applyAlignment="1">
      <alignment vertical="center"/>
    </xf>
    <xf numFmtId="0" fontId="0" fillId="0" borderId="23" xfId="0" applyBorder="1" applyAlignment="1">
      <alignment vertical="center"/>
    </xf>
    <xf numFmtId="3" fontId="0" fillId="0" borderId="0" xfId="0" applyNumberFormat="1" applyAlignment="1">
      <alignment horizontal="center"/>
    </xf>
    <xf numFmtId="3" fontId="4" fillId="0" borderId="0" xfId="0" applyNumberFormat="1" applyFont="1" applyAlignment="1">
      <alignment horizontal="center" vertical="center"/>
    </xf>
    <xf numFmtId="49" fontId="1" fillId="0" borderId="0" xfId="0" applyNumberFormat="1" applyFont="1" applyAlignment="1">
      <alignment horizontal="center" vertical="center"/>
    </xf>
    <xf numFmtId="0" fontId="1" fillId="0" borderId="0" xfId="0" applyFont="1"/>
    <xf numFmtId="3" fontId="1" fillId="0" borderId="0" xfId="0" applyNumberFormat="1" applyFont="1"/>
    <xf numFmtId="3" fontId="0" fillId="8" borderId="0" xfId="0" applyNumberFormat="1" applyFill="1"/>
    <xf numFmtId="0" fontId="0" fillId="8" borderId="0" xfId="0" applyFill="1"/>
    <xf numFmtId="3" fontId="1" fillId="8" borderId="0" xfId="0" applyNumberFormat="1" applyFont="1" applyFill="1" applyAlignment="1">
      <alignment horizontal="center"/>
    </xf>
    <xf numFmtId="3" fontId="1" fillId="8" borderId="0" xfId="0" applyNumberFormat="1" applyFont="1" applyFill="1" applyAlignment="1">
      <alignment horizontal="center" vertical="center"/>
    </xf>
    <xf numFmtId="3" fontId="0" fillId="8" borderId="1" xfId="0" applyNumberFormat="1" applyFill="1" applyBorder="1"/>
    <xf numFmtId="0" fontId="0" fillId="8" borderId="1" xfId="0" applyFill="1" applyBorder="1" applyAlignment="1">
      <alignment horizontal="center" vertical="center"/>
    </xf>
    <xf numFmtId="2" fontId="0" fillId="8" borderId="1" xfId="0" applyNumberFormat="1" applyFill="1" applyBorder="1" applyAlignment="1">
      <alignment horizontal="center" vertical="center"/>
    </xf>
    <xf numFmtId="3" fontId="0" fillId="8" borderId="1" xfId="0" applyNumberFormat="1" applyFill="1" applyBorder="1" applyAlignment="1">
      <alignment horizontal="center"/>
    </xf>
    <xf numFmtId="3" fontId="1" fillId="8" borderId="1" xfId="0" applyNumberFormat="1" applyFont="1" applyFill="1" applyBorder="1" applyAlignment="1">
      <alignment horizontal="center" vertical="center"/>
    </xf>
    <xf numFmtId="165" fontId="1" fillId="8" borderId="6" xfId="0" applyNumberFormat="1" applyFont="1" applyFill="1" applyBorder="1" applyAlignment="1">
      <alignment horizontal="center" vertical="center"/>
    </xf>
    <xf numFmtId="0" fontId="0" fillId="8" borderId="1" xfId="0" applyFill="1" applyBorder="1" applyAlignment="1">
      <alignment horizontal="center"/>
    </xf>
    <xf numFmtId="1" fontId="0" fillId="8" borderId="1" xfId="0" applyNumberFormat="1" applyFill="1" applyBorder="1" applyAlignment="1">
      <alignment horizontal="center"/>
    </xf>
    <xf numFmtId="1" fontId="0" fillId="8" borderId="1" xfId="0" applyNumberFormat="1" applyFill="1" applyBorder="1" applyAlignment="1">
      <alignment horizontal="center" vertical="center"/>
    </xf>
    <xf numFmtId="0" fontId="0" fillId="8" borderId="1" xfId="0" applyFill="1" applyBorder="1"/>
    <xf numFmtId="2" fontId="5" fillId="8" borderId="1" xfId="0" applyNumberFormat="1" applyFont="1" applyFill="1" applyBorder="1" applyAlignment="1">
      <alignment horizontal="center" vertical="center"/>
    </xf>
    <xf numFmtId="0" fontId="11" fillId="0" borderId="1" xfId="0" applyFont="1" applyBorder="1" applyAlignment="1">
      <alignment horizontal="center" vertical="center"/>
    </xf>
    <xf numFmtId="0" fontId="1" fillId="0" borderId="1" xfId="0" applyFont="1" applyBorder="1"/>
    <xf numFmtId="2" fontId="0" fillId="8" borderId="1" xfId="0" applyNumberFormat="1" applyFill="1" applyBorder="1" applyAlignment="1">
      <alignment horizontal="center" vertical="center" wrapText="1"/>
    </xf>
    <xf numFmtId="0" fontId="0" fillId="0" borderId="16" xfId="0" applyBorder="1" applyAlignment="1">
      <alignment horizontal="center" vertical="center"/>
    </xf>
    <xf numFmtId="0" fontId="0" fillId="0" borderId="19" xfId="0" applyBorder="1" applyAlignment="1">
      <alignment horizontal="center" vertical="center"/>
    </xf>
    <xf numFmtId="0" fontId="0" fillId="0" borderId="29" xfId="0" applyBorder="1"/>
    <xf numFmtId="0" fontId="0" fillId="0" borderId="30" xfId="0" applyBorder="1" applyAlignment="1">
      <alignment horizontal="center" vertical="center"/>
    </xf>
    <xf numFmtId="167" fontId="0" fillId="0" borderId="30" xfId="0" applyNumberFormat="1" applyBorder="1" applyAlignment="1">
      <alignment horizontal="center" vertical="center"/>
    </xf>
    <xf numFmtId="0" fontId="0" fillId="0" borderId="31" xfId="0" applyBorder="1" applyAlignment="1">
      <alignment horizontal="center" vertical="center"/>
    </xf>
    <xf numFmtId="0" fontId="0" fillId="0" borderId="15" xfId="0" applyBorder="1"/>
    <xf numFmtId="167" fontId="0" fillId="0" borderId="1" xfId="0" applyNumberFormat="1" applyBorder="1" applyAlignment="1">
      <alignment horizontal="center" vertical="center"/>
    </xf>
    <xf numFmtId="0" fontId="0" fillId="0" borderId="17" xfId="0" applyBorder="1"/>
    <xf numFmtId="167" fontId="0" fillId="0" borderId="18" xfId="0" applyNumberFormat="1" applyBorder="1" applyAlignment="1">
      <alignment horizontal="center" vertical="center"/>
    </xf>
    <xf numFmtId="49" fontId="0" fillId="0" borderId="1" xfId="0" applyNumberFormat="1" applyBorder="1" applyAlignment="1">
      <alignment horizontal="center" vertical="center"/>
    </xf>
    <xf numFmtId="9" fontId="0" fillId="8" borderId="0" xfId="0" applyNumberFormat="1" applyFill="1"/>
    <xf numFmtId="0" fontId="1" fillId="0" borderId="1" xfId="0" applyFont="1" applyBorder="1" applyAlignment="1">
      <alignment horizontal="left"/>
    </xf>
    <xf numFmtId="0" fontId="16" fillId="0" borderId="0" xfId="0" applyFont="1"/>
    <xf numFmtId="0" fontId="0" fillId="10" borderId="0" xfId="0" applyFill="1"/>
    <xf numFmtId="166" fontId="0" fillId="2" borderId="0" xfId="0" applyNumberFormat="1" applyFill="1"/>
    <xf numFmtId="3" fontId="0" fillId="2" borderId="0" xfId="0" applyNumberFormat="1" applyFill="1"/>
    <xf numFmtId="3" fontId="4" fillId="0" borderId="1" xfId="0" applyNumberFormat="1" applyFont="1" applyBorder="1" applyAlignment="1">
      <alignment horizontal="center" vertical="center"/>
    </xf>
    <xf numFmtId="0" fontId="1" fillId="0" borderId="1" xfId="0" applyFont="1" applyBorder="1" applyAlignment="1">
      <alignment horizontal="left" vertical="center"/>
    </xf>
    <xf numFmtId="165" fontId="4" fillId="0" borderId="1" xfId="0" applyNumberFormat="1" applyFont="1" applyBorder="1" applyAlignment="1">
      <alignment horizontal="center" vertical="center"/>
    </xf>
    <xf numFmtId="0" fontId="1" fillId="0" borderId="1" xfId="0" applyFont="1" applyBorder="1" applyAlignment="1">
      <alignment vertical="center" wrapText="1"/>
    </xf>
    <xf numFmtId="165" fontId="4" fillId="0" borderId="0" xfId="0" applyNumberFormat="1" applyFont="1" applyAlignment="1">
      <alignment horizontal="center" vertical="center"/>
    </xf>
    <xf numFmtId="0" fontId="15" fillId="11" borderId="0" xfId="0" applyFont="1" applyFill="1"/>
    <xf numFmtId="0" fontId="17" fillId="0" borderId="0" xfId="0" applyFont="1"/>
    <xf numFmtId="0" fontId="15" fillId="12" borderId="0" xfId="0" applyFont="1" applyFill="1"/>
    <xf numFmtId="0" fontId="18" fillId="0" borderId="0" xfId="0" applyFont="1" applyAlignment="1">
      <alignment horizontal="center"/>
    </xf>
    <xf numFmtId="0" fontId="0" fillId="8" borderId="0" xfId="0" applyFill="1" applyAlignment="1">
      <alignment horizontal="center" vertical="center"/>
    </xf>
    <xf numFmtId="0" fontId="0" fillId="0" borderId="32" xfId="0" applyBorder="1"/>
    <xf numFmtId="0" fontId="0" fillId="0" borderId="33" xfId="0" applyBorder="1"/>
    <xf numFmtId="0" fontId="0" fillId="0" borderId="34" xfId="0" applyBorder="1" applyAlignment="1">
      <alignment horizontal="center" vertical="center"/>
    </xf>
    <xf numFmtId="0" fontId="1" fillId="0" borderId="34" xfId="0" applyFont="1" applyBorder="1" applyAlignment="1">
      <alignment horizontal="left" vertical="center"/>
    </xf>
    <xf numFmtId="0" fontId="0" fillId="8" borderId="34" xfId="0" applyFill="1" applyBorder="1" applyAlignment="1">
      <alignment horizontal="center" vertical="center"/>
    </xf>
    <xf numFmtId="164" fontId="0" fillId="8" borderId="34" xfId="0" applyNumberFormat="1" applyFill="1" applyBorder="1" applyAlignment="1">
      <alignment horizontal="center" vertical="center"/>
    </xf>
    <xf numFmtId="0" fontId="0" fillId="0" borderId="34" xfId="0" applyBorder="1"/>
    <xf numFmtId="0" fontId="0" fillId="0" borderId="36" xfId="0" applyBorder="1"/>
    <xf numFmtId="0" fontId="0" fillId="0" borderId="35" xfId="0" applyBorder="1" applyAlignment="1">
      <alignment horizontal="center" vertical="center"/>
    </xf>
    <xf numFmtId="0" fontId="0" fillId="8" borderId="35" xfId="0" applyFill="1" applyBorder="1" applyAlignment="1">
      <alignment horizontal="center" vertical="center"/>
    </xf>
    <xf numFmtId="0" fontId="0" fillId="0" borderId="35" xfId="0" applyBorder="1"/>
    <xf numFmtId="0" fontId="0" fillId="8" borderId="38" xfId="0" applyFill="1" applyBorder="1" applyAlignment="1">
      <alignment horizontal="center" vertical="center"/>
    </xf>
    <xf numFmtId="0" fontId="0" fillId="8" borderId="37" xfId="0" applyFill="1" applyBorder="1" applyAlignment="1">
      <alignment horizontal="center" vertical="center"/>
    </xf>
    <xf numFmtId="0" fontId="0" fillId="8" borderId="39" xfId="0" applyFill="1" applyBorder="1" applyAlignment="1">
      <alignment horizontal="center" vertical="center"/>
    </xf>
    <xf numFmtId="0" fontId="0" fillId="0" borderId="1" xfId="0" applyBorder="1" applyAlignment="1">
      <alignment horizontal="left"/>
    </xf>
    <xf numFmtId="0" fontId="1" fillId="0" borderId="1" xfId="0" applyFont="1" applyBorder="1" applyAlignment="1">
      <alignment horizontal="right" vertical="center"/>
    </xf>
    <xf numFmtId="3" fontId="0" fillId="0" borderId="1" xfId="0" applyNumberFormat="1" applyBorder="1"/>
    <xf numFmtId="9" fontId="0" fillId="0" borderId="1" xfId="0" applyNumberFormat="1" applyBorder="1"/>
    <xf numFmtId="1" fontId="1" fillId="0" borderId="1" xfId="0" applyNumberFormat="1" applyFont="1" applyBorder="1" applyAlignment="1">
      <alignment horizontal="right"/>
    </xf>
    <xf numFmtId="0" fontId="1" fillId="0" borderId="1" xfId="0" applyFont="1" applyBorder="1" applyAlignment="1">
      <alignment horizontal="right"/>
    </xf>
    <xf numFmtId="3" fontId="1" fillId="0" borderId="1" xfId="0" applyNumberFormat="1" applyFont="1" applyBorder="1" applyAlignment="1">
      <alignment horizontal="right" vertical="center"/>
    </xf>
    <xf numFmtId="9" fontId="0" fillId="8" borderId="37" xfId="0" applyNumberFormat="1" applyFill="1" applyBorder="1"/>
    <xf numFmtId="3" fontId="0" fillId="0" borderId="1" xfId="0" applyNumberFormat="1" applyBorder="1" applyAlignment="1">
      <alignment horizontal="center"/>
    </xf>
    <xf numFmtId="3" fontId="0" fillId="18" borderId="0" xfId="0" applyNumberFormat="1" applyFill="1" applyAlignment="1">
      <alignment horizontal="center" vertical="center"/>
    </xf>
    <xf numFmtId="3" fontId="0" fillId="19" borderId="1" xfId="0" applyNumberFormat="1" applyFill="1" applyBorder="1"/>
    <xf numFmtId="0" fontId="0" fillId="19" borderId="1" xfId="0" applyFill="1" applyBorder="1" applyAlignment="1">
      <alignment horizontal="center" vertical="center"/>
    </xf>
    <xf numFmtId="2" fontId="0" fillId="19" borderId="1" xfId="0" applyNumberFormat="1" applyFill="1" applyBorder="1" applyAlignment="1">
      <alignment horizontal="center" vertical="center"/>
    </xf>
    <xf numFmtId="3" fontId="0" fillId="19" borderId="1" xfId="0" applyNumberFormat="1" applyFill="1" applyBorder="1" applyAlignment="1">
      <alignment horizontal="center"/>
    </xf>
    <xf numFmtId="3" fontId="0" fillId="14" borderId="1" xfId="0" applyNumberFormat="1" applyFill="1" applyBorder="1"/>
    <xf numFmtId="0" fontId="0" fillId="14" borderId="1" xfId="0" applyFill="1" applyBorder="1" applyAlignment="1">
      <alignment horizontal="center" vertical="center"/>
    </xf>
    <xf numFmtId="2" fontId="0" fillId="14" borderId="1" xfId="0" applyNumberFormat="1" applyFill="1" applyBorder="1" applyAlignment="1">
      <alignment horizontal="center" vertical="center"/>
    </xf>
    <xf numFmtId="3" fontId="0" fillId="14" borderId="1" xfId="0" applyNumberFormat="1" applyFill="1" applyBorder="1" applyAlignment="1">
      <alignment horizontal="center"/>
    </xf>
    <xf numFmtId="3" fontId="0" fillId="16" borderId="1" xfId="0" applyNumberFormat="1" applyFill="1" applyBorder="1"/>
    <xf numFmtId="0" fontId="0" fillId="16" borderId="1" xfId="0" applyFill="1" applyBorder="1" applyAlignment="1">
      <alignment horizontal="center" vertical="center"/>
    </xf>
    <xf numFmtId="2" fontId="0" fillId="16" borderId="1" xfId="0" applyNumberFormat="1" applyFill="1" applyBorder="1" applyAlignment="1">
      <alignment horizontal="center" vertical="center"/>
    </xf>
    <xf numFmtId="3" fontId="0" fillId="16" borderId="1" xfId="0" applyNumberFormat="1" applyFill="1" applyBorder="1" applyAlignment="1">
      <alignment horizontal="center"/>
    </xf>
    <xf numFmtId="2" fontId="0" fillId="18" borderId="1" xfId="0" applyNumberFormat="1" applyFill="1" applyBorder="1" applyAlignment="1">
      <alignment horizontal="center" vertical="center"/>
    </xf>
    <xf numFmtId="0" fontId="12" fillId="11" borderId="0" xfId="0" applyFont="1" applyFill="1"/>
    <xf numFmtId="0" fontId="12" fillId="0" borderId="0" xfId="0" applyFont="1"/>
    <xf numFmtId="0" fontId="12" fillId="0" borderId="0" xfId="0" applyFont="1" applyAlignment="1">
      <alignment wrapText="1"/>
    </xf>
    <xf numFmtId="1" fontId="0" fillId="20" borderId="0" xfId="0" applyNumberFormat="1" applyFill="1"/>
    <xf numFmtId="0" fontId="19" fillId="0" borderId="0" xfId="0" applyFont="1"/>
    <xf numFmtId="0" fontId="0" fillId="8" borderId="32" xfId="0" applyFill="1" applyBorder="1" applyAlignment="1">
      <alignment horizontal="center" vertical="center"/>
    </xf>
    <xf numFmtId="0" fontId="0" fillId="8" borderId="33" xfId="0" applyFill="1" applyBorder="1" applyAlignment="1">
      <alignment horizontal="center" vertical="center"/>
    </xf>
    <xf numFmtId="0" fontId="0" fillId="8" borderId="36" xfId="0" applyFill="1" applyBorder="1" applyAlignment="1">
      <alignment horizontal="center" vertical="center"/>
    </xf>
    <xf numFmtId="0" fontId="0" fillId="0" borderId="33" xfId="0" applyBorder="1" applyAlignment="1">
      <alignment horizontal="center" vertical="center"/>
    </xf>
    <xf numFmtId="0" fontId="0" fillId="8" borderId="33" xfId="0" applyFill="1" applyBorder="1"/>
    <xf numFmtId="3" fontId="0" fillId="8" borderId="33" xfId="0" applyNumberFormat="1" applyFill="1" applyBorder="1"/>
    <xf numFmtId="2" fontId="0" fillId="9" borderId="0" xfId="0" applyNumberFormat="1" applyFill="1"/>
    <xf numFmtId="0" fontId="0" fillId="8" borderId="40" xfId="0" applyFill="1" applyBorder="1" applyAlignment="1">
      <alignment horizontal="center" vertical="center"/>
    </xf>
    <xf numFmtId="0" fontId="0" fillId="8" borderId="41" xfId="0" applyFill="1" applyBorder="1" applyAlignment="1">
      <alignment horizontal="center" vertical="center"/>
    </xf>
    <xf numFmtId="0" fontId="0" fillId="8" borderId="42" xfId="0" applyFill="1" applyBorder="1" applyAlignment="1">
      <alignment horizontal="center" vertical="center"/>
    </xf>
    <xf numFmtId="0" fontId="0" fillId="0" borderId="41" xfId="0" applyBorder="1" applyAlignment="1">
      <alignment horizontal="center" vertical="center"/>
    </xf>
    <xf numFmtId="0" fontId="0" fillId="8" borderId="41" xfId="0" applyFill="1" applyBorder="1"/>
    <xf numFmtId="3" fontId="0" fillId="8" borderId="41" xfId="0" applyNumberFormat="1" applyFill="1" applyBorder="1"/>
    <xf numFmtId="2" fontId="0" fillId="8" borderId="0" xfId="0" applyNumberFormat="1" applyFill="1"/>
    <xf numFmtId="0" fontId="0" fillId="0" borderId="1" xfId="0" applyBorder="1" applyAlignment="1">
      <alignment horizontal="center"/>
    </xf>
    <xf numFmtId="4" fontId="4" fillId="0" borderId="0" xfId="0" applyNumberFormat="1" applyFont="1" applyAlignment="1">
      <alignment horizontal="center" vertical="center"/>
    </xf>
    <xf numFmtId="0" fontId="0" fillId="0" borderId="27" xfId="0" applyBorder="1"/>
    <xf numFmtId="0" fontId="0" fillId="16" borderId="1" xfId="0" applyFill="1" applyBorder="1"/>
    <xf numFmtId="2" fontId="0" fillId="16" borderId="1" xfId="0" applyNumberFormat="1" applyFill="1" applyBorder="1"/>
    <xf numFmtId="2" fontId="0" fillId="8" borderId="1" xfId="0" applyNumberFormat="1" applyFill="1" applyBorder="1"/>
    <xf numFmtId="0" fontId="0" fillId="8" borderId="1" xfId="0" applyFill="1" applyBorder="1" applyAlignment="1">
      <alignment wrapText="1"/>
    </xf>
    <xf numFmtId="0" fontId="20" fillId="0" borderId="0" xfId="0" applyFont="1"/>
    <xf numFmtId="0" fontId="5" fillId="3" borderId="1" xfId="0" applyFont="1" applyFill="1" applyBorder="1" applyAlignment="1">
      <alignment horizontal="center" vertical="center"/>
    </xf>
    <xf numFmtId="0" fontId="5" fillId="4" borderId="1" xfId="0" applyFont="1" applyFill="1" applyBorder="1" applyAlignment="1">
      <alignment horizontal="center" vertical="center"/>
    </xf>
    <xf numFmtId="0" fontId="5" fillId="5" borderId="1" xfId="0" applyFont="1" applyFill="1" applyBorder="1" applyAlignment="1">
      <alignment horizontal="center" vertical="center"/>
    </xf>
    <xf numFmtId="0" fontId="5" fillId="6" borderId="1" xfId="0" applyFont="1" applyFill="1" applyBorder="1" applyAlignment="1">
      <alignment horizontal="center" vertical="center"/>
    </xf>
    <xf numFmtId="2" fontId="0" fillId="8" borderId="1" xfId="0" applyNumberFormat="1" applyFill="1" applyBorder="1" applyAlignment="1">
      <alignment horizontal="center"/>
    </xf>
    <xf numFmtId="0" fontId="0" fillId="8" borderId="1" xfId="0" applyFill="1" applyBorder="1" applyAlignment="1">
      <alignment horizontal="left"/>
    </xf>
    <xf numFmtId="0" fontId="0" fillId="8" borderId="1" xfId="0" applyFill="1" applyBorder="1" applyAlignment="1">
      <alignment horizontal="left" vertical="center" wrapText="1"/>
    </xf>
    <xf numFmtId="0" fontId="1" fillId="0" borderId="55" xfId="0" applyFont="1" applyBorder="1"/>
    <xf numFmtId="2" fontId="0" fillId="8" borderId="55" xfId="0" applyNumberFormat="1" applyFill="1" applyBorder="1" applyAlignment="1">
      <alignment horizontal="center" vertical="center"/>
    </xf>
    <xf numFmtId="0" fontId="0" fillId="8" borderId="55" xfId="0" applyFill="1" applyBorder="1" applyAlignment="1">
      <alignment horizontal="center" vertical="center"/>
    </xf>
    <xf numFmtId="0" fontId="0" fillId="8" borderId="55" xfId="0" applyFill="1" applyBorder="1" applyAlignment="1">
      <alignment wrapText="1"/>
    </xf>
    <xf numFmtId="0" fontId="0" fillId="8" borderId="30" xfId="0" applyFill="1" applyBorder="1" applyAlignment="1">
      <alignment horizontal="center" vertical="center"/>
    </xf>
    <xf numFmtId="0" fontId="0" fillId="8" borderId="30" xfId="0" applyFill="1" applyBorder="1"/>
    <xf numFmtId="0" fontId="0" fillId="8" borderId="29" xfId="0" applyFill="1" applyBorder="1" applyAlignment="1">
      <alignment horizontal="center" vertical="center"/>
    </xf>
    <xf numFmtId="0" fontId="0" fillId="8" borderId="31" xfId="0" applyFill="1" applyBorder="1" applyAlignment="1">
      <alignment horizontal="center" vertical="center"/>
    </xf>
    <xf numFmtId="0" fontId="0" fillId="8" borderId="17" xfId="0" applyFill="1" applyBorder="1" applyAlignment="1">
      <alignment horizontal="center" vertical="center"/>
    </xf>
    <xf numFmtId="2" fontId="0" fillId="8" borderId="18" xfId="0" applyNumberFormat="1" applyFill="1" applyBorder="1" applyAlignment="1">
      <alignment horizontal="center" vertical="center"/>
    </xf>
    <xf numFmtId="0" fontId="0" fillId="8" borderId="18" xfId="0" applyFill="1" applyBorder="1" applyAlignment="1">
      <alignment horizontal="center" vertical="center"/>
    </xf>
    <xf numFmtId="0" fontId="0" fillId="8" borderId="18" xfId="0" applyFill="1" applyBorder="1"/>
    <xf numFmtId="0" fontId="0" fillId="8" borderId="19" xfId="0" applyFill="1" applyBorder="1" applyAlignment="1">
      <alignment horizontal="center" vertical="center"/>
    </xf>
    <xf numFmtId="0" fontId="0" fillId="0" borderId="0" xfId="0" applyAlignment="1">
      <alignment wrapText="1"/>
    </xf>
    <xf numFmtId="0" fontId="0" fillId="8" borderId="12" xfId="0" applyFill="1" applyBorder="1" applyAlignment="1">
      <alignment horizontal="center" vertical="center"/>
    </xf>
    <xf numFmtId="2" fontId="0" fillId="8" borderId="13" xfId="0" applyNumberFormat="1" applyFill="1" applyBorder="1" applyAlignment="1">
      <alignment horizontal="center" vertical="center"/>
    </xf>
    <xf numFmtId="0" fontId="0" fillId="8" borderId="13" xfId="0" applyFill="1" applyBorder="1" applyAlignment="1">
      <alignment horizontal="center" vertical="center"/>
    </xf>
    <xf numFmtId="0" fontId="0" fillId="8" borderId="13" xfId="0" applyFill="1" applyBorder="1" applyAlignment="1">
      <alignment wrapText="1"/>
    </xf>
    <xf numFmtId="0" fontId="0" fillId="8" borderId="14" xfId="0" applyFill="1" applyBorder="1" applyAlignment="1">
      <alignment horizontal="center" vertical="center"/>
    </xf>
    <xf numFmtId="0" fontId="0" fillId="8" borderId="15" xfId="0" applyFill="1" applyBorder="1" applyAlignment="1">
      <alignment horizontal="center" vertical="center"/>
    </xf>
    <xf numFmtId="0" fontId="0" fillId="8" borderId="16" xfId="0" applyFill="1" applyBorder="1" applyAlignment="1">
      <alignment horizontal="center" vertical="center"/>
    </xf>
    <xf numFmtId="0" fontId="0" fillId="8" borderId="54" xfId="0" applyFill="1" applyBorder="1" applyAlignment="1">
      <alignment horizontal="center" vertical="center"/>
    </xf>
    <xf numFmtId="0" fontId="0" fillId="8" borderId="56" xfId="0" applyFill="1" applyBorder="1" applyAlignment="1">
      <alignment horizontal="center" vertical="center"/>
    </xf>
    <xf numFmtId="0" fontId="0" fillId="8" borderId="57" xfId="0" applyFill="1" applyBorder="1" applyAlignment="1">
      <alignment horizontal="center" vertical="center"/>
    </xf>
    <xf numFmtId="0" fontId="0" fillId="8" borderId="58" xfId="0" applyFill="1" applyBorder="1" applyAlignment="1">
      <alignment horizontal="center" vertical="center"/>
    </xf>
    <xf numFmtId="0" fontId="0" fillId="8" borderId="18" xfId="0" applyFill="1" applyBorder="1" applyAlignment="1">
      <alignment wrapText="1"/>
    </xf>
    <xf numFmtId="0" fontId="0" fillId="8" borderId="55" xfId="0" applyFill="1" applyBorder="1"/>
    <xf numFmtId="0" fontId="0" fillId="8" borderId="59" xfId="0" applyFill="1" applyBorder="1" applyAlignment="1">
      <alignment horizontal="center" vertical="center"/>
    </xf>
    <xf numFmtId="2" fontId="0" fillId="8" borderId="60" xfId="0" applyNumberFormat="1" applyFill="1" applyBorder="1" applyAlignment="1">
      <alignment horizontal="center" vertical="center"/>
    </xf>
    <xf numFmtId="0" fontId="0" fillId="8" borderId="60" xfId="0" applyFill="1" applyBorder="1" applyAlignment="1">
      <alignment horizontal="center" vertical="center"/>
    </xf>
    <xf numFmtId="0" fontId="0" fillId="8" borderId="60" xfId="0" applyFill="1" applyBorder="1"/>
    <xf numFmtId="0" fontId="0" fillId="8" borderId="61" xfId="0" applyFill="1" applyBorder="1" applyAlignment="1">
      <alignment horizontal="center" vertical="center"/>
    </xf>
    <xf numFmtId="0" fontId="0" fillId="8" borderId="13" xfId="0" applyFill="1" applyBorder="1"/>
    <xf numFmtId="0" fontId="21" fillId="8" borderId="1" xfId="0" applyFont="1" applyFill="1" applyBorder="1" applyAlignment="1">
      <alignment horizontal="center" vertical="center"/>
    </xf>
    <xf numFmtId="2" fontId="21" fillId="8" borderId="1" xfId="0" applyNumberFormat="1" applyFont="1" applyFill="1" applyBorder="1" applyAlignment="1">
      <alignment horizontal="center" vertical="center"/>
    </xf>
    <xf numFmtId="2" fontId="21" fillId="8" borderId="6" xfId="0" applyNumberFormat="1" applyFont="1" applyFill="1" applyBorder="1" applyAlignment="1">
      <alignment horizontal="center" vertical="center"/>
    </xf>
    <xf numFmtId="0" fontId="0" fillId="8" borderId="13" xfId="0" applyFill="1" applyBorder="1" applyAlignment="1">
      <alignment horizontal="left" vertical="center" wrapText="1"/>
    </xf>
    <xf numFmtId="0" fontId="0" fillId="8" borderId="62" xfId="0" applyFill="1" applyBorder="1" applyAlignment="1">
      <alignment horizontal="center" vertical="center"/>
    </xf>
    <xf numFmtId="0" fontId="0" fillId="8" borderId="63" xfId="0" applyFill="1" applyBorder="1" applyAlignment="1">
      <alignment horizontal="center" vertical="center"/>
    </xf>
    <xf numFmtId="0" fontId="0" fillId="8" borderId="55" xfId="0" applyFill="1" applyBorder="1" applyAlignment="1">
      <alignment horizontal="left" vertical="center" wrapText="1"/>
    </xf>
    <xf numFmtId="0" fontId="0" fillId="0" borderId="64" xfId="0" applyBorder="1"/>
    <xf numFmtId="0" fontId="0" fillId="2" borderId="1" xfId="0" applyFill="1" applyBorder="1"/>
    <xf numFmtId="1" fontId="0" fillId="0" borderId="1" xfId="0" applyNumberFormat="1" applyBorder="1" applyAlignment="1">
      <alignment horizontal="center"/>
    </xf>
    <xf numFmtId="0" fontId="0" fillId="0" borderId="65" xfId="0" applyBorder="1"/>
    <xf numFmtId="3" fontId="1" fillId="0" borderId="1" xfId="0" applyNumberFormat="1" applyFont="1" applyBorder="1" applyAlignment="1">
      <alignment horizontal="center" vertical="center"/>
    </xf>
    <xf numFmtId="2" fontId="0" fillId="2" borderId="1" xfId="0" applyNumberFormat="1" applyFill="1" applyBorder="1"/>
    <xf numFmtId="2" fontId="0" fillId="18" borderId="0" xfId="0" applyNumberFormat="1" applyFill="1" applyAlignment="1">
      <alignment horizontal="center" vertical="center"/>
    </xf>
    <xf numFmtId="0" fontId="0" fillId="0" borderId="0" xfId="0" applyAlignment="1">
      <alignment vertical="center" wrapText="1"/>
    </xf>
    <xf numFmtId="2" fontId="0" fillId="0" borderId="0" xfId="0" applyNumberFormat="1" applyAlignment="1">
      <alignment vertical="center" wrapText="1"/>
    </xf>
    <xf numFmtId="0" fontId="1" fillId="0" borderId="6" xfId="0" applyFont="1" applyBorder="1" applyAlignment="1">
      <alignment horizontal="center" vertical="center"/>
    </xf>
    <xf numFmtId="0" fontId="0" fillId="0" borderId="66" xfId="0" applyBorder="1"/>
    <xf numFmtId="0" fontId="1" fillId="0" borderId="6" xfId="0" applyFont="1" applyBorder="1" applyAlignment="1">
      <alignment horizontal="right" vertical="center"/>
    </xf>
    <xf numFmtId="0" fontId="1" fillId="0" borderId="53" xfId="0" applyFont="1" applyBorder="1" applyAlignment="1">
      <alignment horizontal="center" vertical="center"/>
    </xf>
    <xf numFmtId="0" fontId="1" fillId="0" borderId="51" xfId="0" applyFont="1" applyBorder="1" applyAlignment="1">
      <alignment horizontal="center" vertical="center"/>
    </xf>
    <xf numFmtId="1" fontId="1" fillId="0" borderId="51" xfId="0" applyNumberFormat="1" applyFont="1" applyBorder="1" applyAlignment="1">
      <alignment horizontal="center" vertical="center"/>
    </xf>
    <xf numFmtId="1" fontId="1" fillId="0" borderId="53" xfId="0" applyNumberFormat="1" applyFont="1" applyBorder="1" applyAlignment="1">
      <alignment horizontal="center" vertical="center"/>
    </xf>
    <xf numFmtId="0" fontId="1" fillId="0" borderId="1" xfId="0" applyFont="1" applyBorder="1" applyAlignment="1">
      <alignment horizontal="center" vertical="center" wrapText="1"/>
    </xf>
    <xf numFmtId="0" fontId="31" fillId="0" borderId="0" xfId="0" applyFont="1" applyAlignment="1">
      <alignment vertical="center"/>
    </xf>
    <xf numFmtId="0" fontId="1" fillId="0" borderId="0" xfId="0" applyFont="1" applyAlignment="1">
      <alignment vertical="center" wrapText="1"/>
    </xf>
    <xf numFmtId="3" fontId="21" fillId="0" borderId="0" xfId="0" applyNumberFormat="1" applyFont="1" applyAlignment="1">
      <alignment vertical="center"/>
    </xf>
    <xf numFmtId="0" fontId="21" fillId="0" borderId="0" xfId="0" applyFont="1" applyAlignment="1">
      <alignment vertical="center"/>
    </xf>
    <xf numFmtId="3" fontId="21" fillId="0" borderId="0" xfId="0" applyNumberFormat="1" applyFont="1" applyAlignment="1">
      <alignment vertical="center" wrapText="1"/>
    </xf>
    <xf numFmtId="2" fontId="21" fillId="0" borderId="0" xfId="0" applyNumberFormat="1" applyFont="1" applyAlignment="1">
      <alignment vertical="center"/>
    </xf>
    <xf numFmtId="10" fontId="21" fillId="0" borderId="0" xfId="1" applyNumberFormat="1" applyFont="1" applyFill="1" applyBorder="1" applyAlignment="1">
      <alignment vertical="center"/>
    </xf>
    <xf numFmtId="0" fontId="4" fillId="0" borderId="0" xfId="0" applyFont="1"/>
    <xf numFmtId="0" fontId="32" fillId="0" borderId="0" xfId="0" applyFont="1"/>
    <xf numFmtId="0" fontId="18" fillId="0" borderId="0" xfId="0" applyFont="1" applyAlignment="1">
      <alignment vertical="center"/>
    </xf>
    <xf numFmtId="0" fontId="21" fillId="0" borderId="0" xfId="0" applyFont="1"/>
    <xf numFmtId="0" fontId="0" fillId="0" borderId="63" xfId="0" applyBorder="1"/>
    <xf numFmtId="0" fontId="0" fillId="0" borderId="6" xfId="0" applyBorder="1"/>
    <xf numFmtId="0" fontId="1" fillId="0" borderId="10" xfId="0" applyFont="1" applyBorder="1" applyAlignment="1">
      <alignment vertical="center" wrapText="1"/>
    </xf>
    <xf numFmtId="3" fontId="21" fillId="0" borderId="10" xfId="0" applyNumberFormat="1" applyFont="1" applyBorder="1" applyAlignment="1">
      <alignment vertical="center"/>
    </xf>
    <xf numFmtId="0" fontId="21" fillId="0" borderId="10" xfId="0" applyFont="1" applyBorder="1" applyAlignment="1">
      <alignment vertical="center"/>
    </xf>
    <xf numFmtId="3" fontId="21" fillId="0" borderId="10" xfId="0" applyNumberFormat="1" applyFont="1" applyBorder="1" applyAlignment="1">
      <alignment vertical="center" wrapText="1"/>
    </xf>
    <xf numFmtId="0" fontId="0" fillId="0" borderId="10" xfId="0" applyBorder="1" applyAlignment="1">
      <alignment vertical="center"/>
    </xf>
    <xf numFmtId="2" fontId="15" fillId="0" borderId="0" xfId="0" applyNumberFormat="1" applyFont="1"/>
    <xf numFmtId="0" fontId="1" fillId="0" borderId="0" xfId="0" applyFont="1" applyAlignment="1">
      <alignment horizontal="center" vertical="center" wrapText="1"/>
    </xf>
    <xf numFmtId="0" fontId="23" fillId="0" borderId="0" xfId="0" applyFont="1" applyAlignment="1">
      <alignment vertical="center"/>
    </xf>
    <xf numFmtId="0" fontId="12" fillId="0" borderId="1" xfId="0" applyFont="1" applyBorder="1" applyAlignment="1">
      <alignment horizontal="center" vertical="center"/>
    </xf>
    <xf numFmtId="3" fontId="21" fillId="0" borderId="1" xfId="0" applyNumberFormat="1" applyFont="1" applyBorder="1" applyAlignment="1">
      <alignment horizontal="center" vertical="center"/>
    </xf>
    <xf numFmtId="2" fontId="0" fillId="4" borderId="1" xfId="0" applyNumberFormat="1" applyFill="1" applyBorder="1" applyAlignment="1">
      <alignment horizontal="center" vertical="center"/>
    </xf>
    <xf numFmtId="2" fontId="0" fillId="22" borderId="1" xfId="0" applyNumberFormat="1" applyFill="1" applyBorder="1" applyAlignment="1">
      <alignment horizontal="center" vertical="center"/>
    </xf>
    <xf numFmtId="0" fontId="1" fillId="0" borderId="0" xfId="0" applyFont="1" applyAlignment="1">
      <alignment horizontal="center"/>
    </xf>
    <xf numFmtId="0" fontId="29" fillId="0" borderId="0" xfId="0" applyFont="1"/>
    <xf numFmtId="0" fontId="9" fillId="0" borderId="0" xfId="0" applyFont="1"/>
    <xf numFmtId="0" fontId="26" fillId="0" borderId="0" xfId="0" applyFont="1" applyAlignment="1">
      <alignment horizontal="center" vertical="center" wrapText="1"/>
    </xf>
    <xf numFmtId="0" fontId="0" fillId="0" borderId="0" xfId="0" applyAlignment="1">
      <alignment horizontal="center" vertical="center" wrapText="1"/>
    </xf>
    <xf numFmtId="0" fontId="27" fillId="0" borderId="0" xfId="0" applyFont="1"/>
    <xf numFmtId="0" fontId="25" fillId="0" borderId="0" xfId="0" applyFont="1" applyAlignment="1">
      <alignment vertical="top"/>
    </xf>
    <xf numFmtId="0" fontId="24" fillId="0" borderId="0" xfId="0" applyFont="1" applyAlignment="1">
      <alignment horizontal="left" vertical="center"/>
    </xf>
    <xf numFmtId="9" fontId="0" fillId="0" borderId="0" xfId="0" applyNumberFormat="1" applyAlignment="1">
      <alignment horizontal="center"/>
    </xf>
    <xf numFmtId="1" fontId="0" fillId="0" borderId="0" xfId="0" applyNumberFormat="1"/>
    <xf numFmtId="0" fontId="25" fillId="0" borderId="0" xfId="0" applyFont="1" applyAlignment="1">
      <alignment vertical="center"/>
    </xf>
    <xf numFmtId="2" fontId="0" fillId="0" borderId="0" xfId="0" applyNumberFormat="1" applyAlignment="1">
      <alignment horizontal="center"/>
    </xf>
    <xf numFmtId="0" fontId="28" fillId="0" borderId="0" xfId="0" applyFont="1" applyAlignment="1">
      <alignment vertical="center"/>
    </xf>
    <xf numFmtId="0" fontId="24" fillId="0" borderId="0" xfId="0" applyFont="1" applyAlignment="1">
      <alignment horizontal="center" vertical="center"/>
    </xf>
    <xf numFmtId="1" fontId="24" fillId="0" borderId="0" xfId="0" applyNumberFormat="1" applyFont="1" applyAlignment="1">
      <alignment horizontal="center" vertical="center"/>
    </xf>
    <xf numFmtId="1" fontId="0" fillId="0" borderId="0" xfId="0" applyNumberFormat="1" applyAlignment="1">
      <alignment horizontal="center"/>
    </xf>
    <xf numFmtId="2" fontId="0" fillId="0" borderId="0" xfId="0" applyNumberFormat="1" applyAlignment="1">
      <alignment vertical="center"/>
    </xf>
    <xf numFmtId="0" fontId="4" fillId="0" borderId="0" xfId="0" applyFont="1" applyAlignment="1">
      <alignment horizontal="center" vertical="center"/>
    </xf>
    <xf numFmtId="0" fontId="4" fillId="0" borderId="0" xfId="0" applyFont="1" applyAlignment="1">
      <alignment horizontal="center" vertical="center" wrapText="1"/>
    </xf>
    <xf numFmtId="0" fontId="7" fillId="0" borderId="0" xfId="0" applyFont="1" applyAlignment="1">
      <alignment vertical="center" wrapText="1"/>
    </xf>
    <xf numFmtId="164" fontId="0" fillId="0" borderId="0" xfId="0" applyNumberFormat="1" applyAlignment="1">
      <alignment horizontal="center" vertical="center"/>
    </xf>
    <xf numFmtId="0" fontId="0" fillId="19" borderId="1" xfId="0" applyFill="1" applyBorder="1"/>
    <xf numFmtId="2" fontId="0" fillId="19" borderId="1" xfId="0" applyNumberFormat="1" applyFill="1" applyBorder="1"/>
    <xf numFmtId="10" fontId="0" fillId="19" borderId="1" xfId="0" applyNumberFormat="1" applyFill="1" applyBorder="1"/>
    <xf numFmtId="10" fontId="0" fillId="2" borderId="1" xfId="0" applyNumberFormat="1" applyFill="1" applyBorder="1"/>
    <xf numFmtId="10" fontId="0" fillId="16" borderId="1" xfId="0" applyNumberFormat="1" applyFill="1" applyBorder="1"/>
    <xf numFmtId="0" fontId="0" fillId="21" borderId="1" xfId="0" applyFill="1" applyBorder="1"/>
    <xf numFmtId="10" fontId="0" fillId="0" borderId="0" xfId="0" applyNumberFormat="1"/>
    <xf numFmtId="10" fontId="0" fillId="8" borderId="1" xfId="0" applyNumberFormat="1" applyFill="1" applyBorder="1"/>
    <xf numFmtId="10" fontId="0" fillId="0" borderId="0" xfId="1" applyNumberFormat="1" applyFont="1" applyFill="1" applyBorder="1"/>
    <xf numFmtId="0" fontId="0" fillId="3" borderId="1" xfId="0" applyFill="1" applyBorder="1"/>
    <xf numFmtId="2" fontId="21" fillId="0" borderId="10" xfId="0" applyNumberFormat="1" applyFont="1" applyBorder="1" applyAlignment="1">
      <alignment vertical="center"/>
    </xf>
    <xf numFmtId="10" fontId="21" fillId="0" borderId="10" xfId="1" applyNumberFormat="1" applyFont="1" applyFill="1" applyBorder="1" applyAlignment="1">
      <alignment vertical="center"/>
    </xf>
    <xf numFmtId="2" fontId="21" fillId="0" borderId="10" xfId="0" applyNumberFormat="1" applyFont="1" applyBorder="1"/>
    <xf numFmtId="2" fontId="21" fillId="0" borderId="0" xfId="0" applyNumberFormat="1" applyFont="1"/>
    <xf numFmtId="0" fontId="21" fillId="0" borderId="10" xfId="0" applyFont="1" applyBorder="1"/>
    <xf numFmtId="0" fontId="6" fillId="0" borderId="0" xfId="0" applyFont="1"/>
    <xf numFmtId="2" fontId="6" fillId="0" borderId="0" xfId="0" applyNumberFormat="1" applyFont="1"/>
    <xf numFmtId="0" fontId="5" fillId="0" borderId="0" xfId="0" applyFont="1"/>
    <xf numFmtId="0" fontId="1" fillId="0" borderId="0" xfId="0" applyFont="1" applyAlignment="1">
      <alignment wrapText="1"/>
    </xf>
    <xf numFmtId="2" fontId="1" fillId="0" borderId="0" xfId="0" applyNumberFormat="1" applyFont="1" applyAlignment="1">
      <alignment vertical="center" wrapText="1"/>
    </xf>
    <xf numFmtId="168" fontId="21" fillId="0" borderId="0" xfId="0" applyNumberFormat="1" applyFont="1" applyAlignment="1">
      <alignment vertical="center"/>
    </xf>
    <xf numFmtId="2" fontId="5" fillId="0" borderId="0" xfId="0" applyNumberFormat="1" applyFont="1" applyAlignment="1">
      <alignment vertical="center"/>
    </xf>
    <xf numFmtId="0" fontId="5" fillId="0" borderId="0" xfId="0" applyFont="1" applyAlignment="1">
      <alignment vertical="center"/>
    </xf>
    <xf numFmtId="0" fontId="1" fillId="0" borderId="30" xfId="0" applyFont="1" applyBorder="1" applyAlignment="1">
      <alignment horizontal="center" vertical="center" wrapText="1"/>
    </xf>
    <xf numFmtId="2" fontId="18" fillId="0" borderId="0" xfId="0" applyNumberFormat="1" applyFont="1" applyAlignment="1">
      <alignment vertical="center"/>
    </xf>
    <xf numFmtId="1" fontId="0" fillId="11" borderId="0" xfId="0" applyNumberFormat="1" applyFill="1"/>
    <xf numFmtId="3" fontId="0" fillId="11" borderId="0" xfId="0" applyNumberFormat="1" applyFill="1"/>
    <xf numFmtId="166" fontId="0" fillId="0" borderId="0" xfId="0" applyNumberFormat="1"/>
    <xf numFmtId="167" fontId="0" fillId="0" borderId="0" xfId="0" applyNumberFormat="1"/>
    <xf numFmtId="0" fontId="0" fillId="0" borderId="55" xfId="0" applyBorder="1"/>
    <xf numFmtId="0" fontId="4" fillId="0" borderId="86" xfId="0" applyFont="1" applyBorder="1"/>
    <xf numFmtId="0" fontId="0" fillId="2" borderId="1" xfId="0" applyFill="1" applyBorder="1" applyAlignment="1">
      <alignment horizontal="left" vertical="center"/>
    </xf>
    <xf numFmtId="0" fontId="0" fillId="0" borderId="1" xfId="0" applyBorder="1" applyAlignment="1">
      <alignment horizontal="center" vertical="center"/>
    </xf>
    <xf numFmtId="0" fontId="1" fillId="0" borderId="12"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left" vertical="center"/>
    </xf>
    <xf numFmtId="0" fontId="0" fillId="0" borderId="18" xfId="0" applyBorder="1" applyAlignment="1">
      <alignment horizontal="left" vertical="center"/>
    </xf>
    <xf numFmtId="0" fontId="1" fillId="0" borderId="6" xfId="0" applyFont="1" applyBorder="1" applyAlignment="1">
      <alignment horizontal="center"/>
    </xf>
    <xf numFmtId="0" fontId="1" fillId="0" borderId="4" xfId="0" applyFont="1" applyBorder="1" applyAlignment="1">
      <alignment horizontal="center"/>
    </xf>
    <xf numFmtId="0" fontId="1" fillId="0" borderId="24" xfId="0" applyFont="1" applyBorder="1" applyAlignment="1">
      <alignment horizontal="center"/>
    </xf>
    <xf numFmtId="0" fontId="1" fillId="0" borderId="6" xfId="0" applyFont="1" applyBorder="1" applyAlignment="1">
      <alignment horizontal="center" vertical="center"/>
    </xf>
    <xf numFmtId="0" fontId="1" fillId="0" borderId="24" xfId="0" applyFont="1" applyBorder="1" applyAlignment="1">
      <alignment horizontal="center" vertical="center"/>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24" xfId="0" applyFont="1" applyBorder="1" applyAlignment="1">
      <alignment horizontal="center" vertical="center" wrapText="1"/>
    </xf>
    <xf numFmtId="0" fontId="4" fillId="0" borderId="1" xfId="0" applyFont="1" applyBorder="1" applyAlignment="1">
      <alignment horizontal="center" vertical="center" wrapText="1"/>
    </xf>
    <xf numFmtId="0" fontId="1" fillId="0" borderId="15" xfId="0" applyFont="1" applyBorder="1" applyAlignment="1">
      <alignment horizontal="center" vertical="center"/>
    </xf>
    <xf numFmtId="0" fontId="4" fillId="0" borderId="1" xfId="0" applyFont="1" applyBorder="1" applyAlignment="1">
      <alignment horizontal="center" vertical="center"/>
    </xf>
    <xf numFmtId="0" fontId="0" fillId="0" borderId="0" xfId="0" applyAlignment="1">
      <alignment horizontal="left" vertical="center"/>
    </xf>
    <xf numFmtId="0" fontId="7" fillId="0" borderId="1" xfId="0" applyFont="1" applyBorder="1" applyAlignment="1">
      <alignment horizontal="center" vertical="center" wrapText="1"/>
    </xf>
    <xf numFmtId="0" fontId="7" fillId="0" borderId="1" xfId="0" applyFont="1" applyBorder="1" applyAlignment="1">
      <alignment horizontal="center" vertical="center"/>
    </xf>
    <xf numFmtId="0" fontId="1" fillId="0" borderId="17" xfId="0" applyFont="1" applyBorder="1" applyAlignment="1">
      <alignment horizontal="center" vertical="center"/>
    </xf>
    <xf numFmtId="0" fontId="1" fillId="0" borderId="1" xfId="0" applyFont="1" applyBorder="1" applyAlignment="1">
      <alignment horizontal="center" vertical="center"/>
    </xf>
    <xf numFmtId="0" fontId="1" fillId="0" borderId="18" xfId="0" applyFont="1" applyBorder="1" applyAlignment="1">
      <alignment horizontal="center" vertical="center"/>
    </xf>
    <xf numFmtId="2" fontId="0" fillId="0" borderId="27" xfId="0" applyNumberFormat="1" applyBorder="1" applyAlignment="1">
      <alignment horizontal="center" vertical="center"/>
    </xf>
    <xf numFmtId="0" fontId="1" fillId="0" borderId="20" xfId="0" applyFont="1" applyBorder="1" applyAlignment="1">
      <alignment horizontal="center" vertical="center"/>
    </xf>
    <xf numFmtId="0" fontId="1" fillId="0" borderId="21" xfId="0" applyFont="1" applyBorder="1" applyAlignment="1">
      <alignment horizontal="center" vertical="center"/>
    </xf>
    <xf numFmtId="0" fontId="0" fillId="0" borderId="6" xfId="0" applyBorder="1" applyAlignment="1">
      <alignment horizontal="left" vertical="center"/>
    </xf>
    <xf numFmtId="0" fontId="0" fillId="0" borderId="4" xfId="0" applyBorder="1" applyAlignment="1">
      <alignment horizontal="left" vertical="center"/>
    </xf>
    <xf numFmtId="0" fontId="0" fillId="0" borderId="24" xfId="0" applyBorder="1" applyAlignment="1">
      <alignment horizontal="left" vertical="center"/>
    </xf>
    <xf numFmtId="0" fontId="6" fillId="0" borderId="1" xfId="0" applyFont="1" applyBorder="1" applyAlignment="1">
      <alignment horizontal="center" vertical="center"/>
    </xf>
    <xf numFmtId="0" fontId="6" fillId="0" borderId="18" xfId="0" applyFont="1" applyBorder="1" applyAlignment="1">
      <alignment horizontal="center" vertical="center"/>
    </xf>
    <xf numFmtId="0" fontId="0" fillId="0" borderId="16" xfId="0" applyBorder="1" applyAlignment="1">
      <alignment horizontal="center" vertical="center"/>
    </xf>
    <xf numFmtId="0" fontId="0" fillId="0" borderId="19" xfId="0" applyBorder="1" applyAlignment="1">
      <alignment horizontal="center" vertical="center"/>
    </xf>
    <xf numFmtId="0" fontId="0" fillId="0" borderId="1" xfId="0" applyBorder="1" applyAlignment="1">
      <alignment horizontal="left"/>
    </xf>
    <xf numFmtId="0" fontId="0" fillId="0" borderId="23" xfId="0" applyBorder="1" applyAlignment="1">
      <alignment horizontal="left" vertical="center"/>
    </xf>
    <xf numFmtId="0" fontId="0" fillId="0" borderId="25" xfId="0" applyBorder="1" applyAlignment="1">
      <alignment horizontal="left" vertical="center"/>
    </xf>
    <xf numFmtId="0" fontId="0" fillId="0" borderId="26" xfId="0" applyBorder="1" applyAlignment="1">
      <alignment horizontal="left" vertical="center"/>
    </xf>
    <xf numFmtId="9" fontId="0" fillId="0" borderId="16" xfId="0" applyNumberFormat="1" applyBorder="1" applyAlignment="1">
      <alignment horizontal="center" vertical="center"/>
    </xf>
    <xf numFmtId="9" fontId="0" fillId="0" borderId="19" xfId="0" applyNumberFormat="1" applyBorder="1" applyAlignment="1">
      <alignment horizontal="center" vertical="center"/>
    </xf>
    <xf numFmtId="9" fontId="0" fillId="0" borderId="1" xfId="0" applyNumberFormat="1" applyBorder="1" applyAlignment="1">
      <alignment horizontal="center" vertical="center"/>
    </xf>
    <xf numFmtId="9" fontId="0" fillId="0" borderId="18" xfId="0" applyNumberFormat="1" applyBorder="1" applyAlignment="1">
      <alignment horizontal="center" vertical="center"/>
    </xf>
    <xf numFmtId="0" fontId="4" fillId="0" borderId="14" xfId="0" applyFont="1" applyBorder="1" applyAlignment="1">
      <alignment horizontal="center" vertical="center" wrapText="1"/>
    </xf>
    <xf numFmtId="0" fontId="4" fillId="0" borderId="16" xfId="0" applyFont="1"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4" fillId="0" borderId="12" xfId="0" applyFont="1" applyBorder="1" applyAlignment="1">
      <alignment horizontal="center" vertical="center"/>
    </xf>
    <xf numFmtId="0" fontId="4" fillId="0" borderId="15" xfId="0" applyFont="1" applyBorder="1" applyAlignment="1">
      <alignment horizontal="center" vertical="center"/>
    </xf>
    <xf numFmtId="0" fontId="4" fillId="0" borderId="13" xfId="0" applyFont="1" applyBorder="1" applyAlignment="1">
      <alignment horizontal="center" vertical="center" wrapText="1"/>
    </xf>
    <xf numFmtId="0" fontId="2" fillId="0" borderId="1" xfId="0" applyFont="1" applyBorder="1" applyAlignment="1">
      <alignment horizontal="left"/>
    </xf>
    <xf numFmtId="0" fontId="1" fillId="0" borderId="1" xfId="0" applyFont="1" applyBorder="1" applyAlignment="1">
      <alignment horizontal="left"/>
    </xf>
    <xf numFmtId="0" fontId="3" fillId="2" borderId="1" xfId="0" applyFont="1" applyFill="1" applyBorder="1" applyAlignment="1">
      <alignment horizontal="left"/>
    </xf>
    <xf numFmtId="0" fontId="1" fillId="0" borderId="1" xfId="0" applyFont="1" applyBorder="1" applyAlignment="1">
      <alignment horizontal="center"/>
    </xf>
    <xf numFmtId="0" fontId="0" fillId="0" borderId="0" xfId="0" applyAlignment="1">
      <alignment horizontal="center" vertical="center"/>
    </xf>
    <xf numFmtId="0" fontId="0" fillId="0" borderId="0" xfId="0" applyAlignment="1">
      <alignment horizontal="left"/>
    </xf>
    <xf numFmtId="0" fontId="0" fillId="15" borderId="0" xfId="0" applyFill="1" applyAlignment="1">
      <alignment horizontal="left"/>
    </xf>
    <xf numFmtId="0" fontId="1" fillId="0" borderId="0" xfId="0" applyFont="1" applyAlignment="1">
      <alignment horizontal="left"/>
    </xf>
    <xf numFmtId="0" fontId="1" fillId="17" borderId="0" xfId="0" applyFont="1" applyFill="1" applyAlignment="1">
      <alignment horizontal="left"/>
    </xf>
    <xf numFmtId="0" fontId="2" fillId="0" borderId="33" xfId="0" applyFont="1" applyBorder="1" applyAlignment="1">
      <alignment horizontal="left"/>
    </xf>
    <xf numFmtId="0" fontId="10" fillId="0" borderId="0" xfId="0" applyFont="1" applyAlignment="1">
      <alignment horizontal="center" vertical="center" wrapText="1"/>
    </xf>
    <xf numFmtId="0" fontId="2" fillId="0" borderId="0" xfId="0" applyFont="1" applyAlignment="1">
      <alignment horizontal="left"/>
    </xf>
    <xf numFmtId="0" fontId="0" fillId="13" borderId="0" xfId="0" applyFill="1" applyAlignment="1">
      <alignment horizontal="left"/>
    </xf>
    <xf numFmtId="0" fontId="2" fillId="0" borderId="41" xfId="0" applyFont="1" applyBorder="1" applyAlignment="1">
      <alignment horizontal="left"/>
    </xf>
    <xf numFmtId="0" fontId="0" fillId="14" borderId="0" xfId="0" applyFill="1" applyAlignment="1">
      <alignment horizontal="left"/>
    </xf>
    <xf numFmtId="0" fontId="3" fillId="2" borderId="0" xfId="0" applyFont="1" applyFill="1" applyAlignment="1">
      <alignment horizontal="left"/>
    </xf>
    <xf numFmtId="0" fontId="0" fillId="16" borderId="0" xfId="0" applyFill="1" applyAlignment="1">
      <alignment horizontal="left"/>
    </xf>
    <xf numFmtId="0" fontId="1" fillId="0" borderId="0" xfId="0" applyFont="1" applyAlignment="1">
      <alignment horizontal="center"/>
    </xf>
    <xf numFmtId="0" fontId="1" fillId="0" borderId="44" xfId="0" applyFont="1" applyBorder="1" applyAlignment="1">
      <alignment horizontal="center"/>
    </xf>
    <xf numFmtId="0" fontId="1" fillId="0" borderId="45" xfId="0" applyFont="1" applyBorder="1" applyAlignment="1">
      <alignment horizontal="center"/>
    </xf>
    <xf numFmtId="0" fontId="1" fillId="0" borderId="46" xfId="0" applyFont="1" applyBorder="1" applyAlignment="1">
      <alignment horizontal="center"/>
    </xf>
    <xf numFmtId="2" fontId="9" fillId="8" borderId="1" xfId="0" applyNumberFormat="1" applyFont="1" applyFill="1" applyBorder="1" applyAlignment="1">
      <alignment horizontal="center" vertical="center"/>
    </xf>
    <xf numFmtId="0" fontId="9" fillId="8" borderId="1" xfId="0" applyFont="1" applyFill="1" applyBorder="1" applyAlignment="1">
      <alignment horizontal="center" vertical="center"/>
    </xf>
    <xf numFmtId="0" fontId="0" fillId="0" borderId="0" xfId="0" applyAlignment="1">
      <alignment horizontal="center"/>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9" xfId="0" applyFont="1" applyBorder="1" applyAlignment="1">
      <alignment horizontal="center" vertical="center" wrapText="1"/>
    </xf>
    <xf numFmtId="0" fontId="4" fillId="0" borderId="3" xfId="0" applyFont="1" applyBorder="1" applyAlignment="1">
      <alignment horizontal="center" vertical="center" wrapText="1"/>
    </xf>
    <xf numFmtId="0" fontId="0" fillId="0" borderId="4" xfId="0" applyBorder="1" applyAlignment="1">
      <alignment horizontal="center"/>
    </xf>
    <xf numFmtId="0" fontId="1" fillId="0" borderId="0" xfId="0" applyFont="1" applyAlignment="1">
      <alignment horizontal="right"/>
    </xf>
    <xf numFmtId="2" fontId="9" fillId="14" borderId="1" xfId="0" applyNumberFormat="1" applyFont="1" applyFill="1" applyBorder="1" applyAlignment="1">
      <alignment horizontal="center" vertical="center"/>
    </xf>
    <xf numFmtId="0" fontId="9" fillId="14" borderId="1" xfId="0" applyFont="1" applyFill="1" applyBorder="1" applyAlignment="1">
      <alignment horizontal="center" vertical="center"/>
    </xf>
    <xf numFmtId="2" fontId="9" fillId="19" borderId="1" xfId="0" applyNumberFormat="1" applyFont="1" applyFill="1" applyBorder="1" applyAlignment="1">
      <alignment horizontal="center" vertical="center"/>
    </xf>
    <xf numFmtId="0" fontId="9" fillId="19" borderId="1" xfId="0" applyFont="1" applyFill="1" applyBorder="1" applyAlignment="1">
      <alignment horizontal="center" vertical="center"/>
    </xf>
    <xf numFmtId="2" fontId="9" fillId="16" borderId="1" xfId="0" applyNumberFormat="1" applyFont="1" applyFill="1" applyBorder="1" applyAlignment="1">
      <alignment horizontal="center" vertical="center"/>
    </xf>
    <xf numFmtId="0" fontId="9" fillId="16" borderId="1" xfId="0" applyFont="1" applyFill="1" applyBorder="1" applyAlignment="1">
      <alignment horizontal="center" vertical="center"/>
    </xf>
    <xf numFmtId="0" fontId="0" fillId="0" borderId="0" xfId="0" applyAlignment="1">
      <alignment horizontal="right"/>
    </xf>
    <xf numFmtId="3" fontId="0" fillId="0" borderId="0" xfId="0" applyNumberFormat="1" applyAlignment="1">
      <alignment horizontal="center" vertical="center"/>
    </xf>
    <xf numFmtId="0" fontId="0" fillId="0" borderId="1" xfId="0" applyBorder="1" applyAlignment="1">
      <alignment horizontal="center" vertical="center" wrapText="1"/>
    </xf>
    <xf numFmtId="0" fontId="4" fillId="0" borderId="0" xfId="0" applyFont="1" applyAlignment="1">
      <alignment horizontal="center"/>
    </xf>
    <xf numFmtId="0" fontId="12" fillId="0" borderId="1" xfId="0" applyFont="1" applyBorder="1" applyAlignment="1">
      <alignment horizontal="center" vertical="center"/>
    </xf>
    <xf numFmtId="10" fontId="5" fillId="8" borderId="1" xfId="0" applyNumberFormat="1" applyFont="1" applyFill="1" applyBorder="1" applyAlignment="1">
      <alignment horizontal="center" vertical="center"/>
    </xf>
    <xf numFmtId="0" fontId="5" fillId="0" borderId="1" xfId="0" applyFont="1" applyBorder="1" applyAlignment="1">
      <alignment horizontal="center" vertical="center"/>
    </xf>
    <xf numFmtId="0" fontId="5" fillId="3" borderId="1" xfId="0" applyFont="1" applyFill="1" applyBorder="1" applyAlignment="1">
      <alignment horizontal="center" vertical="center"/>
    </xf>
    <xf numFmtId="0" fontId="5" fillId="4" borderId="1" xfId="0" applyFont="1" applyFill="1" applyBorder="1" applyAlignment="1">
      <alignment horizontal="center" vertical="center"/>
    </xf>
    <xf numFmtId="0" fontId="5" fillId="5" borderId="1" xfId="0" applyFont="1" applyFill="1" applyBorder="1" applyAlignment="1">
      <alignment horizontal="center" vertical="center"/>
    </xf>
    <xf numFmtId="0" fontId="5" fillId="6" borderId="1" xfId="0" applyFont="1" applyFill="1" applyBorder="1" applyAlignment="1">
      <alignment horizontal="center" vertical="center"/>
    </xf>
    <xf numFmtId="10" fontId="5" fillId="8" borderId="6" xfId="0" applyNumberFormat="1" applyFont="1" applyFill="1" applyBorder="1" applyAlignment="1">
      <alignment horizontal="center" vertical="center"/>
    </xf>
    <xf numFmtId="10" fontId="5" fillId="8" borderId="24" xfId="0" applyNumberFormat="1" applyFont="1" applyFill="1" applyBorder="1" applyAlignment="1">
      <alignment horizontal="center" vertical="center"/>
    </xf>
    <xf numFmtId="0" fontId="5" fillId="0" borderId="6" xfId="0" applyFont="1" applyBorder="1" applyAlignment="1">
      <alignment horizontal="center" vertical="center"/>
    </xf>
    <xf numFmtId="0" fontId="5" fillId="0" borderId="4" xfId="0" applyFont="1" applyBorder="1" applyAlignment="1">
      <alignment horizontal="center" vertical="center"/>
    </xf>
    <xf numFmtId="0" fontId="5" fillId="0" borderId="24" xfId="0" applyFont="1" applyBorder="1" applyAlignment="1">
      <alignment horizontal="center" vertical="center"/>
    </xf>
    <xf numFmtId="0" fontId="5" fillId="4" borderId="6" xfId="0" applyFont="1" applyFill="1" applyBorder="1" applyAlignment="1">
      <alignment horizontal="center" vertical="center"/>
    </xf>
    <xf numFmtId="0" fontId="5" fillId="4" borderId="24" xfId="0" applyFont="1" applyFill="1" applyBorder="1" applyAlignment="1">
      <alignment horizontal="center" vertical="center"/>
    </xf>
    <xf numFmtId="0" fontId="5" fillId="5" borderId="6" xfId="0" applyFont="1" applyFill="1" applyBorder="1" applyAlignment="1">
      <alignment horizontal="center" vertical="center"/>
    </xf>
    <xf numFmtId="0" fontId="5" fillId="5" borderId="24" xfId="0" applyFont="1" applyFill="1" applyBorder="1" applyAlignment="1">
      <alignment horizontal="center" vertical="center"/>
    </xf>
    <xf numFmtId="0" fontId="5" fillId="6" borderId="6" xfId="0" applyFont="1" applyFill="1" applyBorder="1" applyAlignment="1">
      <alignment horizontal="center" vertical="center"/>
    </xf>
    <xf numFmtId="0" fontId="5" fillId="6" borderId="24" xfId="0" applyFont="1" applyFill="1" applyBorder="1" applyAlignment="1">
      <alignment horizontal="center" vertical="center"/>
    </xf>
    <xf numFmtId="0" fontId="5" fillId="3" borderId="6" xfId="0" applyFont="1" applyFill="1" applyBorder="1" applyAlignment="1">
      <alignment horizontal="center" vertical="center"/>
    </xf>
    <xf numFmtId="0" fontId="5" fillId="3" borderId="24" xfId="0" applyFont="1" applyFill="1" applyBorder="1" applyAlignment="1">
      <alignment horizontal="center" vertical="center"/>
    </xf>
    <xf numFmtId="0" fontId="12" fillId="0" borderId="6" xfId="0" applyFont="1" applyBorder="1" applyAlignment="1">
      <alignment horizontal="center" vertical="center"/>
    </xf>
    <xf numFmtId="0" fontId="12" fillId="0" borderId="4" xfId="0" applyFont="1" applyBorder="1" applyAlignment="1">
      <alignment horizontal="center" vertical="center"/>
    </xf>
    <xf numFmtId="0" fontId="12" fillId="0" borderId="24" xfId="0" applyFont="1" applyBorder="1" applyAlignment="1">
      <alignment horizontal="center" vertical="center"/>
    </xf>
    <xf numFmtId="3" fontId="0" fillId="0" borderId="1" xfId="0" applyNumberFormat="1" applyBorder="1" applyAlignment="1">
      <alignment horizontal="center" vertical="center"/>
    </xf>
    <xf numFmtId="0" fontId="0" fillId="0" borderId="1" xfId="0" applyBorder="1" applyAlignment="1">
      <alignment horizontal="center"/>
    </xf>
    <xf numFmtId="0" fontId="0" fillId="0" borderId="1" xfId="0" applyBorder="1" applyAlignment="1">
      <alignment horizontal="right"/>
    </xf>
    <xf numFmtId="0" fontId="0" fillId="0" borderId="6" xfId="0" applyBorder="1" applyAlignment="1">
      <alignment horizontal="left"/>
    </xf>
    <xf numFmtId="0" fontId="0" fillId="0" borderId="4" xfId="0" applyBorder="1" applyAlignment="1">
      <alignment horizontal="left"/>
    </xf>
    <xf numFmtId="0" fontId="0" fillId="0" borderId="24" xfId="0" applyBorder="1" applyAlignment="1">
      <alignment horizontal="left"/>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9" xfId="0" applyFont="1" applyBorder="1" applyAlignment="1">
      <alignment horizontal="center" vertical="center" wrapText="1"/>
    </xf>
    <xf numFmtId="0" fontId="1" fillId="0" borderId="3" xfId="0" applyFont="1" applyBorder="1" applyAlignment="1">
      <alignment horizontal="center" vertical="center" wrapText="1"/>
    </xf>
    <xf numFmtId="165" fontId="1" fillId="0" borderId="0" xfId="0" applyNumberFormat="1" applyFont="1" applyAlignment="1">
      <alignment horizontal="center" vertical="center"/>
    </xf>
    <xf numFmtId="0" fontId="1" fillId="0" borderId="1" xfId="0" applyFont="1" applyBorder="1" applyAlignment="1">
      <alignment horizontal="center" wrapText="1"/>
    </xf>
    <xf numFmtId="165" fontId="4" fillId="0" borderId="7" xfId="0" applyNumberFormat="1" applyFont="1" applyBorder="1" applyAlignment="1">
      <alignment horizontal="center" vertical="center" wrapText="1"/>
    </xf>
    <xf numFmtId="165" fontId="4" fillId="0" borderId="5" xfId="0" applyNumberFormat="1" applyFont="1" applyBorder="1" applyAlignment="1">
      <alignment horizontal="center" vertical="center" wrapText="1"/>
    </xf>
    <xf numFmtId="165" fontId="4" fillId="0" borderId="8" xfId="0" applyNumberFormat="1" applyFont="1" applyBorder="1" applyAlignment="1">
      <alignment horizontal="center" vertical="center" wrapText="1"/>
    </xf>
    <xf numFmtId="165" fontId="4" fillId="0" borderId="9" xfId="0" applyNumberFormat="1" applyFont="1" applyBorder="1" applyAlignment="1">
      <alignment horizontal="center" vertical="center" wrapText="1"/>
    </xf>
    <xf numFmtId="165" fontId="4" fillId="0" borderId="2" xfId="0" applyNumberFormat="1" applyFont="1" applyBorder="1" applyAlignment="1">
      <alignment horizontal="center" vertical="center" wrapText="1"/>
    </xf>
    <xf numFmtId="165" fontId="4" fillId="0" borderId="3" xfId="0" applyNumberFormat="1" applyFont="1" applyBorder="1" applyAlignment="1">
      <alignment horizontal="center" vertical="center" wrapText="1"/>
    </xf>
    <xf numFmtId="165" fontId="1" fillId="0" borderId="1" xfId="0" applyNumberFormat="1" applyFont="1" applyBorder="1" applyAlignment="1">
      <alignment horizontal="center" vertical="center"/>
    </xf>
    <xf numFmtId="0" fontId="31" fillId="0" borderId="43" xfId="0" applyFont="1" applyBorder="1" applyAlignment="1">
      <alignment horizontal="center" vertical="center"/>
    </xf>
    <xf numFmtId="0" fontId="31" fillId="0" borderId="50" xfId="0" applyFont="1" applyBorder="1" applyAlignment="1">
      <alignment horizontal="center" vertical="center"/>
    </xf>
    <xf numFmtId="0" fontId="31" fillId="0" borderId="47" xfId="0" applyFont="1" applyBorder="1" applyAlignment="1">
      <alignment horizontal="center" vertical="center"/>
    </xf>
    <xf numFmtId="0" fontId="31" fillId="0" borderId="49" xfId="0" applyFont="1" applyBorder="1" applyAlignment="1">
      <alignment horizontal="center" vertical="center"/>
    </xf>
    <xf numFmtId="0" fontId="31" fillId="0" borderId="28" xfId="0" applyFont="1" applyBorder="1" applyAlignment="1">
      <alignment horizontal="center" vertical="center"/>
    </xf>
    <xf numFmtId="0" fontId="31" fillId="0" borderId="69" xfId="0" applyFont="1" applyBorder="1" applyAlignment="1">
      <alignment horizontal="center" vertical="center"/>
    </xf>
    <xf numFmtId="0" fontId="1" fillId="0" borderId="4" xfId="0" applyFont="1" applyBorder="1" applyAlignment="1">
      <alignment horizontal="center" vertical="center"/>
    </xf>
    <xf numFmtId="0" fontId="1" fillId="0" borderId="76" xfId="0" applyFont="1" applyBorder="1" applyAlignment="1">
      <alignment horizontal="center" vertical="center" wrapText="1"/>
    </xf>
    <xf numFmtId="0" fontId="1" fillId="0" borderId="77" xfId="0" applyFont="1" applyBorder="1" applyAlignment="1">
      <alignment horizontal="center" vertical="center" wrapText="1"/>
    </xf>
    <xf numFmtId="0" fontId="1" fillId="0" borderId="55" xfId="0" applyFont="1" applyBorder="1" applyAlignment="1">
      <alignment horizontal="center" vertical="center" wrapText="1"/>
    </xf>
    <xf numFmtId="3" fontId="21" fillId="0" borderId="71" xfId="0" applyNumberFormat="1" applyFont="1" applyBorder="1" applyAlignment="1">
      <alignment horizontal="center" vertical="center"/>
    </xf>
    <xf numFmtId="0" fontId="21" fillId="0" borderId="74" xfId="0" applyFont="1" applyBorder="1" applyAlignment="1">
      <alignment horizontal="center" vertical="center"/>
    </xf>
    <xf numFmtId="0" fontId="21" fillId="0" borderId="73" xfId="0" applyFont="1" applyBorder="1" applyAlignment="1">
      <alignment horizontal="center" vertical="center"/>
    </xf>
    <xf numFmtId="0" fontId="21" fillId="0" borderId="75" xfId="0" applyFont="1" applyBorder="1" applyAlignment="1">
      <alignment horizontal="center" vertical="center"/>
    </xf>
    <xf numFmtId="3" fontId="21" fillId="0" borderId="1" xfId="0" applyNumberFormat="1" applyFont="1" applyBorder="1" applyAlignment="1">
      <alignment horizontal="center" vertical="center"/>
    </xf>
    <xf numFmtId="0" fontId="21" fillId="0" borderId="1" xfId="0" applyFont="1" applyBorder="1" applyAlignment="1">
      <alignment horizontal="center" vertical="center"/>
    </xf>
    <xf numFmtId="3" fontId="21" fillId="0" borderId="55" xfId="0" applyNumberFormat="1" applyFont="1" applyBorder="1" applyAlignment="1">
      <alignment horizontal="center" vertical="center"/>
    </xf>
    <xf numFmtId="3" fontId="21" fillId="0" borderId="30" xfId="0" applyNumberFormat="1" applyFont="1" applyBorder="1" applyAlignment="1">
      <alignment horizontal="center" vertical="center"/>
    </xf>
    <xf numFmtId="0" fontId="21" fillId="0" borderId="72" xfId="0" applyFont="1" applyBorder="1" applyAlignment="1">
      <alignment horizontal="center" vertical="center"/>
    </xf>
    <xf numFmtId="0" fontId="21" fillId="0" borderId="78" xfId="0" applyFont="1" applyBorder="1" applyAlignment="1">
      <alignment horizontal="center" vertical="center"/>
    </xf>
    <xf numFmtId="3" fontId="12" fillId="0" borderId="1" xfId="0" applyNumberFormat="1" applyFont="1" applyBorder="1" applyAlignment="1">
      <alignment horizontal="center" vertical="center"/>
    </xf>
    <xf numFmtId="3" fontId="12" fillId="0" borderId="55" xfId="0" applyNumberFormat="1" applyFont="1" applyBorder="1" applyAlignment="1">
      <alignment horizontal="center" vertical="center"/>
    </xf>
    <xf numFmtId="3" fontId="12" fillId="0" borderId="30" xfId="0" applyNumberFormat="1" applyFont="1" applyBorder="1" applyAlignment="1">
      <alignment horizontal="center" vertical="center"/>
    </xf>
    <xf numFmtId="0" fontId="1" fillId="0" borderId="53" xfId="0" applyFont="1" applyBorder="1" applyAlignment="1">
      <alignment horizontal="center" vertical="center" wrapText="1"/>
    </xf>
    <xf numFmtId="0" fontId="1" fillId="0" borderId="65" xfId="0" applyFont="1" applyBorder="1" applyAlignment="1">
      <alignment horizontal="center" vertical="center" wrapText="1"/>
    </xf>
    <xf numFmtId="3" fontId="21" fillId="0" borderId="71" xfId="0" applyNumberFormat="1" applyFont="1" applyBorder="1" applyAlignment="1">
      <alignment horizontal="center" vertical="center" wrapText="1"/>
    </xf>
    <xf numFmtId="3" fontId="21" fillId="0" borderId="74" xfId="0" applyNumberFormat="1" applyFont="1" applyBorder="1" applyAlignment="1">
      <alignment horizontal="center" vertical="center" wrapText="1"/>
    </xf>
    <xf numFmtId="3" fontId="21" fillId="0" borderId="73" xfId="0" applyNumberFormat="1" applyFont="1" applyBorder="1" applyAlignment="1">
      <alignment horizontal="center" vertical="center" wrapText="1"/>
    </xf>
    <xf numFmtId="3" fontId="21" fillId="0" borderId="75" xfId="0" applyNumberFormat="1" applyFont="1" applyBorder="1" applyAlignment="1">
      <alignment horizontal="center" vertical="center" wrapText="1"/>
    </xf>
    <xf numFmtId="0" fontId="12" fillId="0" borderId="55" xfId="0" applyFont="1" applyBorder="1" applyAlignment="1">
      <alignment horizontal="center" vertical="center"/>
    </xf>
    <xf numFmtId="0" fontId="12" fillId="0" borderId="30" xfId="0" applyFont="1" applyBorder="1" applyAlignment="1">
      <alignment horizontal="center" vertical="center"/>
    </xf>
    <xf numFmtId="0" fontId="1" fillId="0" borderId="64" xfId="0" applyFont="1" applyBorder="1" applyAlignment="1">
      <alignment horizontal="center" vertical="center" wrapText="1"/>
    </xf>
    <xf numFmtId="0" fontId="1" fillId="0" borderId="70" xfId="0" applyFont="1" applyBorder="1" applyAlignment="1">
      <alignment horizontal="center" vertical="center" wrapText="1"/>
    </xf>
    <xf numFmtId="0" fontId="1" fillId="0" borderId="67" xfId="0" applyFont="1" applyBorder="1" applyAlignment="1">
      <alignment horizontal="center" vertical="center" wrapText="1"/>
    </xf>
    <xf numFmtId="0" fontId="1" fillId="0" borderId="37" xfId="0" applyFont="1" applyBorder="1" applyAlignment="1">
      <alignment horizontal="center" vertical="center" wrapText="1"/>
    </xf>
    <xf numFmtId="3" fontId="21" fillId="0" borderId="72" xfId="0" applyNumberFormat="1" applyFont="1" applyBorder="1" applyAlignment="1">
      <alignment horizontal="center" vertical="center" wrapText="1"/>
    </xf>
    <xf numFmtId="3" fontId="21" fillId="0" borderId="78" xfId="0" applyNumberFormat="1" applyFont="1" applyBorder="1" applyAlignment="1">
      <alignment horizontal="center" vertical="center" wrapText="1"/>
    </xf>
    <xf numFmtId="0" fontId="21" fillId="0" borderId="71" xfId="0" applyFont="1" applyBorder="1" applyAlignment="1">
      <alignment horizontal="center" vertical="center"/>
    </xf>
    <xf numFmtId="3" fontId="21" fillId="0" borderId="1" xfId="0" applyNumberFormat="1" applyFont="1" applyBorder="1" applyAlignment="1">
      <alignment horizontal="center" vertical="center" wrapText="1"/>
    </xf>
    <xf numFmtId="0" fontId="0" fillId="0" borderId="71" xfId="0" applyBorder="1" applyAlignment="1">
      <alignment horizontal="center" vertical="center"/>
    </xf>
    <xf numFmtId="0" fontId="0" fillId="0" borderId="74" xfId="0" applyBorder="1" applyAlignment="1">
      <alignment horizontal="center" vertical="center"/>
    </xf>
    <xf numFmtId="0" fontId="0" fillId="0" borderId="73" xfId="0" applyBorder="1" applyAlignment="1">
      <alignment horizontal="center" vertical="center"/>
    </xf>
    <xf numFmtId="0" fontId="0" fillId="0" borderId="75" xfId="0"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3" xfId="0" applyFont="1" applyBorder="1" applyAlignment="1">
      <alignment horizontal="center" vertical="center"/>
    </xf>
    <xf numFmtId="2" fontId="21" fillId="0" borderId="7" xfId="0" applyNumberFormat="1" applyFont="1" applyBorder="1" applyAlignment="1">
      <alignment horizontal="center" vertical="center"/>
    </xf>
    <xf numFmtId="2" fontId="21" fillId="0" borderId="5" xfId="0" applyNumberFormat="1" applyFont="1" applyBorder="1" applyAlignment="1">
      <alignment horizontal="center" vertical="center"/>
    </xf>
    <xf numFmtId="2" fontId="21" fillId="0" borderId="9" xfId="0" applyNumberFormat="1" applyFont="1" applyBorder="1" applyAlignment="1">
      <alignment horizontal="center" vertical="center"/>
    </xf>
    <xf numFmtId="2" fontId="21" fillId="0" borderId="2" xfId="0" applyNumberFormat="1" applyFont="1" applyBorder="1" applyAlignment="1">
      <alignment horizontal="center" vertical="center"/>
    </xf>
    <xf numFmtId="2" fontId="21" fillId="0" borderId="1" xfId="0" applyNumberFormat="1" applyFont="1" applyBorder="1" applyAlignment="1">
      <alignment horizontal="center" vertical="center"/>
    </xf>
    <xf numFmtId="2" fontId="21" fillId="0" borderId="6" xfId="0" applyNumberFormat="1" applyFont="1" applyBorder="1" applyAlignment="1">
      <alignment horizontal="center" vertical="center"/>
    </xf>
    <xf numFmtId="0" fontId="21" fillId="0" borderId="6" xfId="0" applyFont="1" applyBorder="1" applyAlignment="1">
      <alignment horizontal="center" vertical="center"/>
    </xf>
    <xf numFmtId="1" fontId="21" fillId="0" borderId="1" xfId="0" applyNumberFormat="1" applyFont="1" applyBorder="1" applyAlignment="1">
      <alignment horizontal="center" vertical="center"/>
    </xf>
    <xf numFmtId="10" fontId="21" fillId="0" borderId="1" xfId="1" applyNumberFormat="1" applyFont="1" applyBorder="1" applyAlignment="1">
      <alignment horizontal="center" vertical="center"/>
    </xf>
    <xf numFmtId="10" fontId="21" fillId="0" borderId="6" xfId="1" applyNumberFormat="1" applyFont="1" applyBorder="1" applyAlignment="1">
      <alignment horizontal="center" vertical="center"/>
    </xf>
    <xf numFmtId="0" fontId="31" fillId="0" borderId="44" xfId="0" applyFont="1" applyBorder="1" applyAlignment="1">
      <alignment horizontal="center" vertical="center"/>
    </xf>
    <xf numFmtId="0" fontId="31" fillId="0" borderId="45" xfId="0" applyFont="1" applyBorder="1" applyAlignment="1">
      <alignment horizontal="center" vertical="center"/>
    </xf>
    <xf numFmtId="0" fontId="31" fillId="0" borderId="46" xfId="0" applyFont="1" applyBorder="1" applyAlignment="1">
      <alignment horizontal="center" vertical="center"/>
    </xf>
    <xf numFmtId="0" fontId="1" fillId="23" borderId="1" xfId="0" applyFont="1" applyFill="1" applyBorder="1" applyAlignment="1">
      <alignment horizontal="center" vertical="center" wrapText="1"/>
    </xf>
    <xf numFmtId="2" fontId="21" fillId="23" borderId="7" xfId="0" applyNumberFormat="1" applyFont="1" applyFill="1" applyBorder="1" applyAlignment="1">
      <alignment horizontal="center"/>
    </xf>
    <xf numFmtId="2" fontId="21" fillId="23" borderId="5" xfId="0" applyNumberFormat="1" applyFont="1" applyFill="1" applyBorder="1" applyAlignment="1">
      <alignment horizontal="center"/>
    </xf>
    <xf numFmtId="2" fontId="21" fillId="23" borderId="9" xfId="0" applyNumberFormat="1" applyFont="1" applyFill="1" applyBorder="1" applyAlignment="1">
      <alignment horizontal="center"/>
    </xf>
    <xf numFmtId="2" fontId="21" fillId="23" borderId="2" xfId="0" applyNumberFormat="1" applyFont="1" applyFill="1" applyBorder="1" applyAlignment="1">
      <alignment horizontal="center"/>
    </xf>
    <xf numFmtId="0" fontId="21" fillId="22" borderId="1" xfId="0" applyFont="1" applyFill="1" applyBorder="1" applyAlignment="1">
      <alignment horizontal="center" vertical="center"/>
    </xf>
    <xf numFmtId="2" fontId="21" fillId="0" borderId="7" xfId="0" applyNumberFormat="1" applyFont="1" applyBorder="1" applyAlignment="1">
      <alignment horizontal="center"/>
    </xf>
    <xf numFmtId="2" fontId="21" fillId="0" borderId="5" xfId="0" applyNumberFormat="1" applyFont="1" applyBorder="1" applyAlignment="1">
      <alignment horizontal="center"/>
    </xf>
    <xf numFmtId="2" fontId="21" fillId="0" borderId="9" xfId="0" applyNumberFormat="1" applyFont="1" applyBorder="1" applyAlignment="1">
      <alignment horizontal="center"/>
    </xf>
    <xf numFmtId="2" fontId="21" fillId="0" borderId="2" xfId="0" applyNumberFormat="1" applyFont="1" applyBorder="1" applyAlignment="1">
      <alignment horizontal="center"/>
    </xf>
    <xf numFmtId="0" fontId="1" fillId="23" borderId="7" xfId="0" applyFont="1" applyFill="1" applyBorder="1" applyAlignment="1">
      <alignment horizontal="center" vertical="center" wrapText="1"/>
    </xf>
    <xf numFmtId="0" fontId="1" fillId="23" borderId="8" xfId="0" applyFont="1" applyFill="1" applyBorder="1" applyAlignment="1">
      <alignment horizontal="center" vertical="center" wrapText="1"/>
    </xf>
    <xf numFmtId="0" fontId="1" fillId="23" borderId="9" xfId="0" applyFont="1" applyFill="1" applyBorder="1" applyAlignment="1">
      <alignment horizontal="center" vertical="center" wrapText="1"/>
    </xf>
    <xf numFmtId="0" fontId="1" fillId="23" borderId="3" xfId="0" applyFont="1" applyFill="1" applyBorder="1" applyAlignment="1">
      <alignment horizontal="center" vertical="center" wrapText="1"/>
    </xf>
    <xf numFmtId="0" fontId="21" fillId="0" borderId="7" xfId="0" applyFont="1" applyBorder="1" applyAlignment="1">
      <alignment horizontal="center"/>
    </xf>
    <xf numFmtId="0" fontId="21" fillId="0" borderId="5" xfId="0" applyFont="1" applyBorder="1" applyAlignment="1">
      <alignment horizontal="center"/>
    </xf>
    <xf numFmtId="0" fontId="21" fillId="0" borderId="9" xfId="0" applyFont="1" applyBorder="1" applyAlignment="1">
      <alignment horizontal="center"/>
    </xf>
    <xf numFmtId="0" fontId="21" fillId="0" borderId="2" xfId="0" applyFont="1" applyBorder="1" applyAlignment="1">
      <alignment horizontal="center"/>
    </xf>
    <xf numFmtId="2" fontId="21" fillId="0" borderId="1" xfId="0" applyNumberFormat="1" applyFont="1" applyBorder="1" applyAlignment="1">
      <alignment horizontal="center"/>
    </xf>
    <xf numFmtId="2" fontId="21" fillId="0" borderId="55" xfId="0" applyNumberFormat="1" applyFont="1" applyBorder="1" applyAlignment="1">
      <alignment horizontal="center"/>
    </xf>
    <xf numFmtId="2" fontId="21" fillId="0" borderId="30" xfId="0" applyNumberFormat="1" applyFont="1" applyBorder="1" applyAlignment="1">
      <alignment horizontal="center"/>
    </xf>
    <xf numFmtId="2" fontId="21" fillId="4" borderId="1" xfId="0" applyNumberFormat="1" applyFont="1" applyFill="1" applyBorder="1" applyAlignment="1">
      <alignment horizontal="center" vertical="center"/>
    </xf>
    <xf numFmtId="0" fontId="1" fillId="4" borderId="7" xfId="0" applyFont="1" applyFill="1" applyBorder="1" applyAlignment="1">
      <alignment horizontal="center" vertical="center" wrapText="1"/>
    </xf>
    <xf numFmtId="0" fontId="1" fillId="4" borderId="8"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21" fillId="4" borderId="7" xfId="0" applyFont="1" applyFill="1" applyBorder="1" applyAlignment="1">
      <alignment horizontal="center"/>
    </xf>
    <xf numFmtId="0" fontId="21" fillId="4" borderId="5" xfId="0" applyFont="1" applyFill="1" applyBorder="1" applyAlignment="1">
      <alignment horizontal="center"/>
    </xf>
    <xf numFmtId="0" fontId="21" fillId="4" borderId="9" xfId="0" applyFont="1" applyFill="1" applyBorder="1" applyAlignment="1">
      <alignment horizontal="center"/>
    </xf>
    <xf numFmtId="0" fontId="21" fillId="4" borderId="2" xfId="0" applyFont="1" applyFill="1" applyBorder="1" applyAlignment="1">
      <alignment horizontal="center"/>
    </xf>
    <xf numFmtId="0" fontId="29" fillId="0" borderId="0" xfId="0" applyFont="1" applyAlignment="1">
      <alignment horizontal="center"/>
    </xf>
    <xf numFmtId="0" fontId="4" fillId="0" borderId="6" xfId="0" applyFont="1" applyBorder="1" applyAlignment="1">
      <alignment horizontal="center" vertical="center" wrapText="1"/>
    </xf>
    <xf numFmtId="0" fontId="0" fillId="0" borderId="43" xfId="0" applyBorder="1" applyAlignment="1">
      <alignment horizontal="left" vertical="center" wrapText="1"/>
    </xf>
    <xf numFmtId="0" fontId="0" fillId="0" borderId="50" xfId="0" applyBorder="1" applyAlignment="1">
      <alignment horizontal="left" vertical="center" wrapText="1"/>
    </xf>
    <xf numFmtId="0" fontId="0" fillId="0" borderId="47" xfId="0" applyBorder="1" applyAlignment="1">
      <alignment horizontal="left" vertical="center" wrapText="1"/>
    </xf>
    <xf numFmtId="0" fontId="0" fillId="0" borderId="27" xfId="0" applyBorder="1" applyAlignment="1">
      <alignment horizontal="left" vertical="center" wrapText="1"/>
    </xf>
    <xf numFmtId="0" fontId="0" fillId="0" borderId="0" xfId="0" applyAlignment="1">
      <alignment horizontal="left" vertical="center" wrapText="1"/>
    </xf>
    <xf numFmtId="0" fontId="0" fillId="0" borderId="48" xfId="0" applyBorder="1" applyAlignment="1">
      <alignment horizontal="left" vertical="center" wrapText="1"/>
    </xf>
    <xf numFmtId="0" fontId="0" fillId="0" borderId="49" xfId="0" applyBorder="1" applyAlignment="1">
      <alignment horizontal="left" vertical="center" wrapText="1"/>
    </xf>
    <xf numFmtId="0" fontId="0" fillId="0" borderId="28" xfId="0" applyBorder="1" applyAlignment="1">
      <alignment horizontal="left" vertical="center" wrapText="1"/>
    </xf>
    <xf numFmtId="0" fontId="0" fillId="0" borderId="69" xfId="0" applyBorder="1" applyAlignment="1">
      <alignment horizontal="left" vertical="center" wrapText="1"/>
    </xf>
    <xf numFmtId="3" fontId="4" fillId="8" borderId="1" xfId="0" applyNumberFormat="1" applyFont="1" applyFill="1" applyBorder="1" applyAlignment="1">
      <alignment horizontal="center" vertical="center"/>
    </xf>
    <xf numFmtId="3" fontId="4" fillId="8" borderId="6" xfId="0" applyNumberFormat="1" applyFont="1" applyFill="1" applyBorder="1" applyAlignment="1">
      <alignment horizontal="center" vertical="center"/>
    </xf>
    <xf numFmtId="3" fontId="4" fillId="0" borderId="6" xfId="0" applyNumberFormat="1" applyFont="1" applyBorder="1" applyAlignment="1">
      <alignment horizontal="center" vertical="center"/>
    </xf>
    <xf numFmtId="3" fontId="4" fillId="0" borderId="24" xfId="0" applyNumberFormat="1" applyFont="1" applyBorder="1" applyAlignment="1">
      <alignment horizontal="center" vertical="center"/>
    </xf>
    <xf numFmtId="0" fontId="1" fillId="0" borderId="0" xfId="0" applyFont="1" applyAlignment="1">
      <alignment horizontal="left" vertical="center" wrapText="1"/>
    </xf>
    <xf numFmtId="3" fontId="4" fillId="8" borderId="55" xfId="0" applyNumberFormat="1" applyFont="1" applyFill="1" applyBorder="1" applyAlignment="1">
      <alignment horizontal="center" vertical="center"/>
    </xf>
    <xf numFmtId="3" fontId="4" fillId="7" borderId="1" xfId="0" applyNumberFormat="1" applyFont="1" applyFill="1" applyBorder="1" applyAlignment="1">
      <alignment horizontal="center" vertical="center"/>
    </xf>
    <xf numFmtId="3" fontId="4" fillId="7" borderId="6" xfId="0" applyNumberFormat="1" applyFont="1" applyFill="1" applyBorder="1" applyAlignment="1">
      <alignment horizontal="center" vertical="center"/>
    </xf>
    <xf numFmtId="3" fontId="4" fillId="7" borderId="55" xfId="0" applyNumberFormat="1" applyFont="1" applyFill="1" applyBorder="1" applyAlignment="1">
      <alignment horizontal="center" vertical="center"/>
    </xf>
    <xf numFmtId="3" fontId="4" fillId="7" borderId="7" xfId="0" applyNumberFormat="1" applyFont="1" applyFill="1" applyBorder="1" applyAlignment="1">
      <alignment horizontal="center" vertical="center"/>
    </xf>
    <xf numFmtId="3" fontId="1" fillId="0" borderId="1" xfId="0" applyNumberFormat="1" applyFont="1" applyBorder="1" applyAlignment="1">
      <alignment horizontal="center"/>
    </xf>
    <xf numFmtId="0" fontId="0" fillId="0" borderId="55" xfId="0" applyBorder="1" applyAlignment="1">
      <alignment horizontal="center"/>
    </xf>
    <xf numFmtId="0" fontId="0" fillId="0" borderId="30" xfId="0" applyBorder="1" applyAlignment="1">
      <alignment horizontal="center"/>
    </xf>
    <xf numFmtId="0" fontId="1" fillId="0" borderId="55" xfId="0" applyFont="1" applyBorder="1" applyAlignment="1">
      <alignment horizontal="center" wrapText="1"/>
    </xf>
    <xf numFmtId="0" fontId="1" fillId="0" borderId="30" xfId="0" applyFont="1" applyBorder="1" applyAlignment="1">
      <alignment horizontal="center" wrapText="1"/>
    </xf>
    <xf numFmtId="0" fontId="1" fillId="0" borderId="7" xfId="0" applyFont="1" applyBorder="1" applyAlignment="1">
      <alignment horizontal="center"/>
    </xf>
    <xf numFmtId="0" fontId="1" fillId="0" borderId="5"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55" xfId="0" applyFont="1" applyBorder="1" applyAlignment="1">
      <alignment horizontal="center"/>
    </xf>
    <xf numFmtId="0" fontId="1" fillId="0" borderId="30" xfId="0" applyFont="1" applyBorder="1" applyAlignment="1">
      <alignment horizontal="center"/>
    </xf>
    <xf numFmtId="0" fontId="1" fillId="0" borderId="55" xfId="0" applyFont="1" applyBorder="1" applyAlignment="1">
      <alignment horizontal="center" vertical="center"/>
    </xf>
    <xf numFmtId="0" fontId="1" fillId="0" borderId="63" xfId="0" applyFont="1" applyBorder="1" applyAlignment="1">
      <alignment horizontal="center" vertical="center"/>
    </xf>
    <xf numFmtId="0" fontId="1" fillId="0" borderId="30" xfId="0" applyFont="1" applyBorder="1" applyAlignment="1">
      <alignment horizontal="center" vertical="center"/>
    </xf>
    <xf numFmtId="3" fontId="0" fillId="0" borderId="55" xfId="0" applyNumberFormat="1" applyBorder="1" applyAlignment="1">
      <alignment horizontal="center"/>
    </xf>
    <xf numFmtId="3" fontId="0" fillId="0" borderId="30" xfId="0" applyNumberFormat="1" applyBorder="1" applyAlignment="1">
      <alignment horizontal="center"/>
    </xf>
    <xf numFmtId="1" fontId="0" fillId="0" borderId="55" xfId="0" applyNumberFormat="1" applyBorder="1" applyAlignment="1">
      <alignment horizontal="center"/>
    </xf>
    <xf numFmtId="1" fontId="0" fillId="0" borderId="30" xfId="0" applyNumberFormat="1" applyBorder="1" applyAlignment="1">
      <alignment horizontal="center"/>
    </xf>
    <xf numFmtId="0" fontId="4" fillId="8" borderId="7" xfId="0" applyFont="1" applyFill="1" applyBorder="1" applyAlignment="1">
      <alignment horizontal="center" vertical="center"/>
    </xf>
    <xf numFmtId="0" fontId="4" fillId="8" borderId="5" xfId="0" applyFont="1" applyFill="1" applyBorder="1" applyAlignment="1">
      <alignment horizontal="center" vertical="center"/>
    </xf>
    <xf numFmtId="0" fontId="4" fillId="8" borderId="9" xfId="0" applyFont="1" applyFill="1" applyBorder="1" applyAlignment="1">
      <alignment horizontal="center" vertical="center"/>
    </xf>
    <xf numFmtId="0" fontId="4" fillId="8" borderId="2" xfId="0" applyFont="1" applyFill="1" applyBorder="1" applyAlignment="1">
      <alignment horizontal="center" vertical="center"/>
    </xf>
    <xf numFmtId="0" fontId="5" fillId="0" borderId="7" xfId="0" applyFont="1" applyBorder="1" applyAlignment="1">
      <alignment horizontal="center" vertical="center"/>
    </xf>
    <xf numFmtId="0" fontId="5" fillId="0" borderId="5"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9" fillId="0" borderId="28" xfId="0" applyFont="1" applyBorder="1" applyAlignment="1">
      <alignment horizontal="center"/>
    </xf>
    <xf numFmtId="0" fontId="4" fillId="0" borderId="17" xfId="0" applyFont="1" applyBorder="1" applyAlignment="1">
      <alignment horizontal="center" vertical="center"/>
    </xf>
    <xf numFmtId="0" fontId="4" fillId="0" borderId="18"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13" xfId="0" applyFont="1" applyBorder="1" applyAlignment="1">
      <alignment horizontal="center" vertical="center"/>
    </xf>
    <xf numFmtId="0" fontId="7" fillId="0" borderId="18" xfId="0" applyFont="1" applyBorder="1" applyAlignment="1">
      <alignment horizontal="center" vertical="center"/>
    </xf>
    <xf numFmtId="0" fontId="4" fillId="0" borderId="14" xfId="0" applyFont="1" applyBorder="1" applyAlignment="1">
      <alignment horizontal="center" vertical="center"/>
    </xf>
    <xf numFmtId="0" fontId="4" fillId="0" borderId="19" xfId="0" applyFont="1" applyBorder="1" applyAlignment="1">
      <alignment horizontal="center" vertical="center"/>
    </xf>
    <xf numFmtId="0" fontId="0" fillId="0" borderId="30" xfId="0" applyBorder="1" applyAlignment="1">
      <alignment horizontal="left" vertical="center"/>
    </xf>
    <xf numFmtId="0" fontId="0" fillId="0" borderId="30" xfId="0" applyBorder="1" applyAlignment="1">
      <alignment horizontal="center" vertical="center"/>
    </xf>
    <xf numFmtId="0" fontId="0" fillId="0" borderId="18" xfId="0" applyBorder="1" applyAlignment="1">
      <alignment horizontal="center" vertical="center"/>
    </xf>
    <xf numFmtId="0" fontId="33" fillId="0" borderId="43" xfId="0" applyFont="1" applyBorder="1" applyAlignment="1">
      <alignment horizontal="center" vertical="center"/>
    </xf>
    <xf numFmtId="0" fontId="33" fillId="0" borderId="50" xfId="0" applyFont="1" applyBorder="1" applyAlignment="1">
      <alignment horizontal="center" vertical="center"/>
    </xf>
    <xf numFmtId="0" fontId="33" fillId="0" borderId="47" xfId="0" applyFont="1" applyBorder="1" applyAlignment="1">
      <alignment horizontal="center" vertical="center"/>
    </xf>
    <xf numFmtId="0" fontId="33" fillId="0" borderId="49" xfId="0" applyFont="1" applyBorder="1" applyAlignment="1">
      <alignment horizontal="center" vertical="center"/>
    </xf>
    <xf numFmtId="0" fontId="33" fillId="0" borderId="28" xfId="0" applyFont="1" applyBorder="1" applyAlignment="1">
      <alignment horizontal="center" vertical="center"/>
    </xf>
    <xf numFmtId="0" fontId="33" fillId="0" borderId="69" xfId="0" applyFont="1" applyBorder="1" applyAlignment="1">
      <alignment horizontal="center" vertical="center"/>
    </xf>
    <xf numFmtId="10" fontId="0" fillId="0" borderId="6" xfId="0" applyNumberFormat="1" applyBorder="1" applyAlignment="1">
      <alignment horizontal="center"/>
    </xf>
    <xf numFmtId="10" fontId="0" fillId="0" borderId="89" xfId="0" applyNumberFormat="1" applyBorder="1" applyAlignment="1">
      <alignment horizontal="center"/>
    </xf>
    <xf numFmtId="10" fontId="0" fillId="0" borderId="65" xfId="0" applyNumberFormat="1" applyBorder="1" applyAlignment="1">
      <alignment horizontal="center"/>
    </xf>
    <xf numFmtId="10" fontId="0" fillId="0" borderId="90" xfId="0" applyNumberFormat="1" applyBorder="1" applyAlignment="1">
      <alignment horizontal="center"/>
    </xf>
    <xf numFmtId="0" fontId="4" fillId="0" borderId="83" xfId="0" applyFont="1" applyBorder="1" applyAlignment="1">
      <alignment horizontal="center"/>
    </xf>
    <xf numFmtId="0" fontId="4" fillId="0" borderId="84" xfId="0" applyFont="1" applyBorder="1" applyAlignment="1">
      <alignment horizontal="center"/>
    </xf>
    <xf numFmtId="0" fontId="4" fillId="0" borderId="85" xfId="0" applyFont="1" applyBorder="1" applyAlignment="1">
      <alignment horizontal="center"/>
    </xf>
    <xf numFmtId="4" fontId="4" fillId="0" borderId="86" xfId="0" applyNumberFormat="1" applyFont="1" applyBorder="1" applyAlignment="1">
      <alignment horizontal="center"/>
    </xf>
    <xf numFmtId="4" fontId="4" fillId="0" borderId="85" xfId="0" applyNumberFormat="1" applyFont="1" applyBorder="1" applyAlignment="1">
      <alignment horizontal="center"/>
    </xf>
    <xf numFmtId="10" fontId="4" fillId="0" borderId="86" xfId="0" applyNumberFormat="1" applyFont="1" applyBorder="1" applyAlignment="1">
      <alignment horizontal="center"/>
    </xf>
    <xf numFmtId="10" fontId="4" fillId="0" borderId="87" xfId="0" applyNumberFormat="1" applyFont="1" applyBorder="1" applyAlignment="1">
      <alignment horizontal="center"/>
    </xf>
    <xf numFmtId="169" fontId="0" fillId="0" borderId="65" xfId="0" applyNumberFormat="1" applyBorder="1" applyAlignment="1">
      <alignment horizontal="center"/>
    </xf>
    <xf numFmtId="169" fontId="0" fillId="0" borderId="52" xfId="0" applyNumberFormat="1" applyBorder="1" applyAlignment="1">
      <alignment horizontal="center"/>
    </xf>
    <xf numFmtId="0" fontId="0" fillId="0" borderId="88" xfId="0" applyBorder="1" applyAlignment="1">
      <alignment horizontal="center"/>
    </xf>
    <xf numFmtId="0" fontId="0" fillId="0" borderId="68" xfId="0" applyBorder="1" applyAlignment="1">
      <alignment horizontal="center"/>
    </xf>
    <xf numFmtId="0" fontId="0" fillId="0" borderId="52" xfId="0" applyBorder="1" applyAlignment="1">
      <alignment horizontal="center"/>
    </xf>
    <xf numFmtId="169" fontId="0" fillId="0" borderId="68" xfId="0" applyNumberFormat="1" applyBorder="1" applyAlignment="1">
      <alignment horizontal="center"/>
    </xf>
    <xf numFmtId="169" fontId="0" fillId="0" borderId="6" xfId="0" applyNumberFormat="1" applyBorder="1" applyAlignment="1">
      <alignment horizontal="center"/>
    </xf>
    <xf numFmtId="169" fontId="0" fillId="0" borderId="24" xfId="0" applyNumberFormat="1" applyBorder="1" applyAlignment="1">
      <alignment horizontal="center"/>
    </xf>
    <xf numFmtId="4" fontId="0" fillId="0" borderId="1" xfId="0" applyNumberFormat="1" applyBorder="1" applyAlignment="1">
      <alignment horizontal="right" vertical="center"/>
    </xf>
    <xf numFmtId="0" fontId="0" fillId="0" borderId="91" xfId="0" applyBorder="1" applyAlignment="1">
      <alignment horizontal="center"/>
    </xf>
    <xf numFmtId="0" fontId="0" fillId="0" borderId="70" xfId="0" applyBorder="1" applyAlignment="1">
      <alignment horizontal="center"/>
    </xf>
    <xf numFmtId="0" fontId="0" fillId="0" borderId="79" xfId="0" applyBorder="1" applyAlignment="1">
      <alignment horizontal="center"/>
    </xf>
    <xf numFmtId="10" fontId="1" fillId="0" borderId="81" xfId="0" applyNumberFormat="1" applyFont="1" applyBorder="1" applyAlignment="1">
      <alignment horizontal="center"/>
    </xf>
    <xf numFmtId="10" fontId="1" fillId="0" borderId="82" xfId="0" applyNumberFormat="1" applyFont="1" applyBorder="1" applyAlignment="1">
      <alignment horizontal="center"/>
    </xf>
    <xf numFmtId="10" fontId="0" fillId="0" borderId="64" xfId="0" applyNumberFormat="1" applyBorder="1" applyAlignment="1">
      <alignment horizontal="center"/>
    </xf>
    <xf numFmtId="10" fontId="0" fillId="0" borderId="92" xfId="0" applyNumberFormat="1" applyBorder="1" applyAlignment="1">
      <alignment horizontal="center"/>
    </xf>
    <xf numFmtId="4" fontId="1" fillId="0" borderId="81" xfId="0" applyNumberFormat="1" applyFont="1" applyBorder="1" applyAlignment="1">
      <alignment horizontal="center"/>
    </xf>
    <xf numFmtId="0" fontId="1" fillId="0" borderId="80" xfId="0" applyFont="1" applyBorder="1" applyAlignment="1">
      <alignment horizontal="center"/>
    </xf>
    <xf numFmtId="0" fontId="1" fillId="0" borderId="81" xfId="0" applyFont="1" applyBorder="1" applyAlignment="1">
      <alignment horizontal="center"/>
    </xf>
    <xf numFmtId="169" fontId="0" fillId="0" borderId="64" xfId="0" applyNumberFormat="1" applyBorder="1" applyAlignment="1">
      <alignment horizontal="center"/>
    </xf>
    <xf numFmtId="169" fontId="0" fillId="0" borderId="79" xfId="0" applyNumberFormat="1" applyBorder="1" applyAlignment="1">
      <alignment horizontal="center"/>
    </xf>
    <xf numFmtId="0" fontId="0" fillId="0" borderId="54" xfId="0" applyBorder="1" applyAlignment="1">
      <alignment horizontal="center"/>
    </xf>
    <xf numFmtId="169" fontId="0" fillId="0" borderId="55" xfId="0" applyNumberFormat="1" applyBorder="1" applyAlignment="1">
      <alignment horizontal="center"/>
    </xf>
    <xf numFmtId="10" fontId="0" fillId="0" borderId="55" xfId="0" applyNumberFormat="1" applyBorder="1" applyAlignment="1">
      <alignment horizontal="center"/>
    </xf>
    <xf numFmtId="10" fontId="0" fillId="0" borderId="56" xfId="0" applyNumberFormat="1" applyBorder="1" applyAlignment="1">
      <alignment horizontal="center"/>
    </xf>
  </cellXfs>
  <cellStyles count="3">
    <cellStyle name="Hyperlink 2" xfId="2" xr:uid="{B0659682-5A11-485F-8B95-717E77EA195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2.2633744855967079E-2"/>
          <c:y val="3.6042348856913167E-2"/>
          <c:w val="0.95473251028806583"/>
          <c:h val="0.63670757142164236"/>
        </c:manualLayout>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7A3F-4821-875F-10E55D3D996F}"/>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7A3F-4821-875F-10E55D3D996F}"/>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7A3F-4821-875F-10E55D3D996F}"/>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7A3F-4821-875F-10E55D3D996F}"/>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7A3F-4821-875F-10E55D3D996F}"/>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7A3F-4821-875F-10E55D3D996F}"/>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7A3F-4821-875F-10E55D3D996F}"/>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7A3F-4821-875F-10E55D3D996F}"/>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7A3F-4821-875F-10E55D3D996F}"/>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3-7A3F-4821-875F-10E55D3D996F}"/>
              </c:ext>
            </c:extLst>
          </c:dPt>
          <c:dPt>
            <c:idx val="10"/>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5-7A3F-4821-875F-10E55D3D996F}"/>
              </c:ext>
            </c:extLst>
          </c:dPt>
          <c:dPt>
            <c:idx val="11"/>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7-7A3F-4821-875F-10E55D3D996F}"/>
              </c:ext>
            </c:extLst>
          </c:dPt>
          <c:dPt>
            <c:idx val="12"/>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9-2138-47BD-9BD3-DC7BF20545AD}"/>
              </c:ext>
            </c:extLst>
          </c:dPt>
          <c:cat>
            <c:strRef>
              <c:f>ALTRI_DATI!$C$34:$I$47</c:f>
              <c:strCache>
                <c:ptCount val="14"/>
                <c:pt idx="0">
                  <c:v>Costo terreno</c:v>
                </c:pt>
                <c:pt idx="1">
                  <c:v>Tranciatrici</c:v>
                </c:pt>
                <c:pt idx="2">
                  <c:v>Pressopiegatrici</c:v>
                </c:pt>
                <c:pt idx="3">
                  <c:v>Box di saldatura completi </c:v>
                </c:pt>
                <c:pt idx="4">
                  <c:v>Banco di montaggio completo</c:v>
                </c:pt>
                <c:pt idx="5">
                  <c:v>Edificio industriale</c:v>
                </c:pt>
                <c:pt idx="6">
                  <c:v>Impianti generali</c:v>
                </c:pt>
                <c:pt idx="7">
                  <c:v>Scaffalature tradizionali</c:v>
                </c:pt>
                <c:pt idx="8">
                  <c:v>Carrello Toyota 1.6t</c:v>
                </c:pt>
                <c:pt idx="9">
                  <c:v>Portoni</c:v>
                </c:pt>
                <c:pt idx="10">
                  <c:v>Punti attracco bilici</c:v>
                </c:pt>
                <c:pt idx="11">
                  <c:v>Porte di sicurezza</c:v>
                </c:pt>
                <c:pt idx="12">
                  <c:v>Braccio manipolatore pneumatico</c:v>
                </c:pt>
                <c:pt idx="13">
                  <c:v>TOTALE</c:v>
                </c:pt>
              </c:strCache>
            </c:strRef>
          </c:cat>
          <c:val>
            <c:numRef>
              <c:f>ALTRI_DATI!$M$34:$M$46</c:f>
              <c:numCache>
                <c:formatCode>_-* #,##0.00\ [$€-410]_-;\-* #,##0.00\ [$€-410]_-;_-* "-"??\ [$€-410]_-;_-@_-</c:formatCode>
                <c:ptCount val="13"/>
                <c:pt idx="0">
                  <c:v>4800000</c:v>
                </c:pt>
                <c:pt idx="1">
                  <c:v>1500000</c:v>
                </c:pt>
                <c:pt idx="2">
                  <c:v>480000</c:v>
                </c:pt>
                <c:pt idx="3">
                  <c:v>660000</c:v>
                </c:pt>
                <c:pt idx="4">
                  <c:v>280000</c:v>
                </c:pt>
                <c:pt idx="5">
                  <c:v>24264000</c:v>
                </c:pt>
                <c:pt idx="6">
                  <c:v>9948240</c:v>
                </c:pt>
                <c:pt idx="7">
                  <c:v>698800</c:v>
                </c:pt>
                <c:pt idx="8">
                  <c:v>900000</c:v>
                </c:pt>
                <c:pt idx="9">
                  <c:v>126100</c:v>
                </c:pt>
                <c:pt idx="10">
                  <c:v>31500</c:v>
                </c:pt>
                <c:pt idx="11">
                  <c:v>61600</c:v>
                </c:pt>
                <c:pt idx="12">
                  <c:v>1020000</c:v>
                </c:pt>
              </c:numCache>
            </c:numRef>
          </c:val>
          <c:extLst>
            <c:ext xmlns:c16="http://schemas.microsoft.com/office/drawing/2014/chart" uri="{C3380CC4-5D6E-409C-BE32-E72D297353CC}">
              <c16:uniqueId val="{00000000-A9EB-4F0D-B7C2-0D48709124E4}"/>
            </c:ext>
          </c:extLst>
        </c:ser>
        <c:dLbls>
          <c:showLegendKey val="0"/>
          <c:showVal val="0"/>
          <c:showCatName val="0"/>
          <c:showSerName val="0"/>
          <c:showPercent val="0"/>
          <c:showBubbleSize val="0"/>
          <c:showLeaderLines val="1"/>
        </c:dLbls>
      </c:pie3DChart>
      <c:spPr>
        <a:noFill/>
        <a:ln>
          <a:noFill/>
        </a:ln>
        <a:effectLst/>
      </c:spPr>
    </c:plotArea>
    <c:legend>
      <c:legendPos val="b"/>
      <c:layout>
        <c:manualLayout>
          <c:xMode val="edge"/>
          <c:yMode val="edge"/>
          <c:x val="0.12629451411166198"/>
          <c:y val="0.75115439211812118"/>
          <c:w val="0.73652619811412467"/>
          <c:h val="0.22082965703676757"/>
        </c:manualLayout>
      </c:layout>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iagrams/colors1.xml><?xml version="1.0" encoding="utf-8"?>
<dgm:colorsDef xmlns:dgm="http://schemas.openxmlformats.org/drawingml/2006/diagram" xmlns:a="http://schemas.openxmlformats.org/drawingml/2006/main" uniqueId="urn:microsoft.com/office/officeart/2005/8/colors/colorful1">
  <dgm:title val=""/>
  <dgm:desc val=""/>
  <dgm:catLst>
    <dgm:cat type="colorful" pri="10100"/>
  </dgm:catLst>
  <dgm:styleLbl name="node0">
    <dgm:fillClrLst meth="repeat">
      <a:schemeClr val="accent1"/>
    </dgm:fillClrLst>
    <dgm:linClrLst meth="repeat">
      <a:schemeClr val="lt1"/>
    </dgm:linClrLst>
    <dgm:effectClrLst/>
    <dgm:txLinClrLst/>
    <dgm:txFillClrLst/>
    <dgm:txEffectClrLst/>
  </dgm:styleLbl>
  <dgm:styleLbl name="node1">
    <dgm:fillClrLst meth="repeat">
      <a:schemeClr val="accent2"/>
      <a:schemeClr val="accent3"/>
      <a:schemeClr val="accent4"/>
      <a:schemeClr val="accent5"/>
      <a:schemeClr val="accent6"/>
    </dgm:fillClrLst>
    <dgm:linClrLst meth="repeat">
      <a:schemeClr val="lt1"/>
    </dgm:linClrLst>
    <dgm:effectClrLst/>
    <dgm:txLinClrLst/>
    <dgm:txFillClrLst/>
    <dgm:txEffectClrLst/>
  </dgm:styleLbl>
  <dgm:styleLbl name="alignNode1">
    <dgm:fillClrLst meth="repeat">
      <a:schemeClr val="accent2"/>
      <a:schemeClr val="accent3"/>
      <a:schemeClr val="accent4"/>
      <a:schemeClr val="accent5"/>
      <a:schemeClr val="accent6"/>
    </dgm:fillClrLst>
    <dgm:linClrLst meth="repeat">
      <a:schemeClr val="accent2"/>
      <a:schemeClr val="accent3"/>
      <a:schemeClr val="accent4"/>
      <a:schemeClr val="accent5"/>
      <a:schemeClr val="accent6"/>
    </dgm:linClrLst>
    <dgm:effectClrLst/>
    <dgm:txLinClrLst/>
    <dgm:txFillClrLst/>
    <dgm:txEffectClrLst/>
  </dgm:styleLbl>
  <dgm:styleLbl name="lnNode1">
    <dgm:fillClrLst meth="repeat">
      <a:schemeClr val="accent2"/>
      <a:schemeClr val="accent3"/>
      <a:schemeClr val="accent4"/>
      <a:schemeClr val="accent5"/>
      <a:schemeClr val="accent6"/>
    </dgm:fillClrLst>
    <dgm:linClrLst meth="repeat">
      <a:schemeClr val="lt1"/>
    </dgm:linClrLst>
    <dgm:effectClrLst/>
    <dgm:txLinClrLst/>
    <dgm:txFillClrLst/>
    <dgm:txEffectClrLst/>
  </dgm:styleLbl>
  <dgm:styleLbl name="vennNode1">
    <dgm:fillClrLst meth="repeat">
      <a:schemeClr val="accent2">
        <a:alpha val="50000"/>
      </a:schemeClr>
      <a:schemeClr val="accent3">
        <a:alpha val="50000"/>
      </a:schemeClr>
      <a:schemeClr val="accent4">
        <a:alpha val="50000"/>
      </a:schemeClr>
      <a:schemeClr val="accent5">
        <a:alpha val="50000"/>
      </a:schemeClr>
      <a:schemeClr val="accent6">
        <a:alpha val="50000"/>
      </a:schemeClr>
    </dgm:fillClrLst>
    <dgm:linClrLst meth="repeat">
      <a:schemeClr val="lt1"/>
    </dgm:linClrLst>
    <dgm:effectClrLst/>
    <dgm:txLinClrLst/>
    <dgm:txFillClrLst/>
    <dgm:txEffectClrLst/>
  </dgm:styleLbl>
  <dgm:styleLbl name="node2">
    <dgm:fillClrLst>
      <a:schemeClr val="accent2"/>
    </dgm:fillClrLst>
    <dgm:linClrLst meth="repeat">
      <a:schemeClr val="lt1"/>
    </dgm:linClrLst>
    <dgm:effectClrLst/>
    <dgm:txLinClrLst/>
    <dgm:txFillClrLst/>
    <dgm:txEffectClrLst/>
  </dgm:styleLbl>
  <dgm:styleLbl name="node3">
    <dgm:fillClrLst>
      <a:schemeClr val="accent3"/>
    </dgm:fillClrLst>
    <dgm:linClrLst meth="repeat">
      <a:schemeClr val="lt1"/>
    </dgm:linClrLst>
    <dgm:effectClrLst/>
    <dgm:txLinClrLst/>
    <dgm:txFillClrLst/>
    <dgm:txEffectClrLst/>
  </dgm:styleLbl>
  <dgm:styleLbl name="node4">
    <dgm:fillClrLst>
      <a:schemeClr val="accent4"/>
    </dgm:fillClrLst>
    <dgm:linClrLst meth="repeat">
      <a:schemeClr val="lt1"/>
    </dgm:linClrLst>
    <dgm:effectClrLst/>
    <dgm:txLinClrLst/>
    <dgm:txFillClrLst/>
    <dgm:txEffectClrLst/>
  </dgm:styleLbl>
  <dgm:styleLbl name="fgImgPlace1">
    <dgm:fillClrLst meth="repeat">
      <a:schemeClr val="accent2">
        <a:tint val="50000"/>
      </a:schemeClr>
      <a:schemeClr val="accent3">
        <a:tint val="50000"/>
      </a:schemeClr>
      <a:schemeClr val="accent4">
        <a:tint val="50000"/>
      </a:schemeClr>
      <a:schemeClr val="accent5">
        <a:tint val="50000"/>
      </a:schemeClr>
      <a:schemeClr val="accent6">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1">
        <a:tint val="50000"/>
      </a:schemeClr>
      <a:schemeClr val="accent2">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1">
        <a:tint val="50000"/>
      </a:schemeClr>
      <a:schemeClr val="accent2">
        <a:tint val="2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2"/>
      <a:schemeClr val="accent3"/>
      <a:schemeClr val="accent4"/>
      <a:schemeClr val="accent5"/>
      <a:schemeClr val="accent6"/>
    </dgm:fillClrLst>
    <dgm:linClrLst meth="cycle">
      <a:schemeClr val="lt1"/>
    </dgm:linClrLst>
    <dgm:effectClrLst/>
    <dgm:txLinClrLst/>
    <dgm:txFillClrLst/>
    <dgm:txEffectClrLst/>
  </dgm:styleLbl>
  <dgm:styleLbl name="fgSibTrans2D1">
    <dgm:fillClrLst meth="repeat">
      <a:schemeClr val="accent2"/>
      <a:schemeClr val="accent3"/>
      <a:schemeClr val="accent4"/>
      <a:schemeClr val="accent5"/>
      <a:schemeClr val="accent6"/>
    </dgm:fillClrLst>
    <dgm:linClrLst meth="cycle">
      <a:schemeClr val="lt1"/>
    </dgm:linClrLst>
    <dgm:effectClrLst/>
    <dgm:txLinClrLst/>
    <dgm:txFillClrLst meth="repeat">
      <a:schemeClr val="lt1"/>
    </dgm:txFillClrLst>
    <dgm:txEffectClrLst/>
  </dgm:styleLbl>
  <dgm:styleLbl name="bgSibTrans2D1">
    <dgm:fillClrLst meth="repeat">
      <a:schemeClr val="accent2"/>
      <a:schemeClr val="accent3"/>
      <a:schemeClr val="accent4"/>
      <a:schemeClr val="accent5"/>
      <a:schemeClr val="accent6"/>
    </dgm:fillClrLst>
    <dgm:linClrLst meth="cycle">
      <a:schemeClr val="lt1"/>
    </dgm:linClrLst>
    <dgm:effectClrLst/>
    <dgm:txLinClrLst/>
    <dgm:txFillClrLst meth="repeat">
      <a:schemeClr val="lt1"/>
    </dgm:txFillClrLst>
    <dgm:txEffectClrLst/>
  </dgm:styleLbl>
  <dgm:styleLbl name="sibTrans1D1">
    <dgm:fillClrLst meth="repeat">
      <a:schemeClr val="accent2"/>
      <a:schemeClr val="accent3"/>
      <a:schemeClr val="accent4"/>
      <a:schemeClr val="accent5"/>
      <a:schemeClr val="accent6"/>
    </dgm:fillClrLst>
    <dgm:linClrLst meth="repeat">
      <a:schemeClr val="accent2"/>
      <a:schemeClr val="accent3"/>
      <a:schemeClr val="accent4"/>
      <a:schemeClr val="accent5"/>
      <a:schemeClr val="accent6"/>
    </dgm:linClrLst>
    <dgm:effectClrLst/>
    <dgm:txLinClrLst/>
    <dgm:txFillClrLst meth="repeat">
      <a:schemeClr val="tx1"/>
    </dgm:txFillClrLst>
    <dgm:txEffectClrLst/>
  </dgm:styleLbl>
  <dgm:styleLbl name="callout">
    <dgm:fillClrLst meth="repeat">
      <a:schemeClr val="accent2"/>
    </dgm:fillClrLst>
    <dgm:linClrLst meth="repeat">
      <a:schemeClr val="accent2">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2"/>
    </dgm:fillClrLst>
    <dgm:linClrLst meth="repeat">
      <a:schemeClr val="lt1"/>
    </dgm:linClrLst>
    <dgm:effectClrLst/>
    <dgm:txLinClrLst/>
    <dgm:txFillClrLst/>
    <dgm:txEffectClrLst/>
  </dgm:styleLbl>
  <dgm:styleLbl name="asst2">
    <dgm:fillClrLst>
      <a:schemeClr val="accent3"/>
    </dgm:fillClrLst>
    <dgm:linClrLst meth="repeat">
      <a:schemeClr val="lt1"/>
    </dgm:linClrLst>
    <dgm:effectClrLst/>
    <dgm:txLinClrLst/>
    <dgm:txFillClrLst/>
    <dgm:txEffectClrLst/>
  </dgm:styleLbl>
  <dgm:styleLbl name="asst3">
    <dgm:fillClrLst>
      <a:schemeClr val="accent4"/>
    </dgm:fillClrLst>
    <dgm:linClrLst meth="repeat">
      <a:schemeClr val="lt1"/>
    </dgm:linClrLst>
    <dgm:effectClrLst/>
    <dgm:txLinClrLst/>
    <dgm:txFillClrLst/>
    <dgm:txEffectClrLst/>
  </dgm:styleLbl>
  <dgm:styleLbl name="asst4">
    <dgm:fillClrLst>
      <a:schemeClr val="accent5"/>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2"/>
    </dgm:fillClrLst>
    <dgm:linClrLst meth="repeat">
      <a:schemeClr val="accent1"/>
    </dgm:linClrLst>
    <dgm:effectClrLst/>
    <dgm:txLinClrLst/>
    <dgm:txFillClrLst meth="repeat">
      <a:schemeClr val="tx1"/>
    </dgm:txFillClrLst>
    <dgm:txEffectClrLst/>
  </dgm:styleLbl>
  <dgm:styleLbl name="parChTrans1D2">
    <dgm:fillClrLst meth="repeat">
      <a:schemeClr val="accent3">
        <a:tint val="90000"/>
      </a:schemeClr>
    </dgm:fillClrLst>
    <dgm:linClrLst meth="repeat">
      <a:schemeClr val="accent2"/>
    </dgm:linClrLst>
    <dgm:effectClrLst/>
    <dgm:txLinClrLst/>
    <dgm:txFillClrLst meth="repeat">
      <a:schemeClr val="tx1"/>
    </dgm:txFillClrLst>
    <dgm:txEffectClrLst/>
  </dgm:styleLbl>
  <dgm:styleLbl name="parChTrans1D3">
    <dgm:fillClrLst meth="repeat">
      <a:schemeClr val="accent4">
        <a:tint val="70000"/>
      </a:schemeClr>
    </dgm:fillClrLst>
    <dgm:linClrLst meth="repeat">
      <a:schemeClr val="accent3"/>
    </dgm:linClrLst>
    <dgm:effectClrLst/>
    <dgm:txLinClrLst/>
    <dgm:txFillClrLst meth="repeat">
      <a:schemeClr val="tx1"/>
    </dgm:txFillClrLst>
    <dgm:txEffectClrLst/>
  </dgm:styleLbl>
  <dgm:styleLbl name="parChTrans1D4">
    <dgm:fillClrLst meth="repeat">
      <a:schemeClr val="accent5">
        <a:tint val="50000"/>
      </a:schemeClr>
    </dgm:fillClrLst>
    <dgm:linClrLst meth="repeat">
      <a:schemeClr val="accent4"/>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Fg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Align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Bg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fg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align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bg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1"/>
    </dgm:linClrLst>
    <dgm:effectClrLst/>
    <dgm:txLinClrLst/>
    <dgm:txFillClrLst meth="repeat">
      <a:schemeClr val="dk1"/>
    </dgm:txFillClrLst>
    <dgm:txEffectClrLst/>
  </dgm:styleLbl>
  <dgm:styleLbl name="fgAcc2">
    <dgm:fillClrLst meth="repeat">
      <a:schemeClr val="lt1">
        <a:alpha val="90000"/>
      </a:schemeClr>
    </dgm:fillClrLst>
    <dgm:linClrLst>
      <a:schemeClr val="accent2"/>
    </dgm:linClrLst>
    <dgm:effectClrLst/>
    <dgm:txLinClrLst/>
    <dgm:txFillClrLst meth="repeat">
      <a:schemeClr val="dk1"/>
    </dgm:txFillClrLst>
    <dgm:txEffectClrLst/>
  </dgm:styleLbl>
  <dgm:styleLbl name="fgAcc3">
    <dgm:fillClrLst meth="repeat">
      <a:schemeClr val="lt1">
        <a:alpha val="90000"/>
      </a:schemeClr>
    </dgm:fillClrLst>
    <dgm:linClrLst>
      <a:schemeClr val="accent3"/>
    </dgm:linClrLst>
    <dgm:effectClrLst/>
    <dgm:txLinClrLst/>
    <dgm:txFillClrLst meth="repeat">
      <a:schemeClr val="dk1"/>
    </dgm:txFillClrLst>
    <dgm:txEffectClrLst/>
  </dgm:styleLbl>
  <dgm:styleLbl name="fgAcc4">
    <dgm:fillClrLst meth="repeat">
      <a:schemeClr val="lt1">
        <a:alpha val="90000"/>
      </a:schemeClr>
    </dgm:fillClrLst>
    <dgm:linClrLst>
      <a:schemeClr val="accent4"/>
    </dgm:linClrLst>
    <dgm:effectClrLst/>
    <dgm:txLinClrLst/>
    <dgm:txFillClrLst meth="repeat">
      <a:schemeClr val="dk1"/>
    </dgm:txFillClrLst>
    <dgm:txEffectClrLst/>
  </dgm:styleLbl>
  <dgm:styleLbl name="bgShp">
    <dgm:fillClrLst meth="repeat">
      <a:schemeClr val="accent2">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2">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2"/>
    </dgm:linClrLst>
    <dgm:effectClrLst/>
    <dgm:txLinClrLst/>
    <dgm:txFillClrLst meth="repeat">
      <a:schemeClr val="lt1"/>
    </dgm:txFillClrLst>
    <dgm:txEffectClrLst/>
  </dgm:styleLbl>
  <dgm:styleLbl name="fgShp">
    <dgm:fillClrLst meth="repeat">
      <a:schemeClr val="accent2">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1">
  <dgm:title val=""/>
  <dgm:desc val=""/>
  <dgm:catLst>
    <dgm:cat type="colorful" pri="10100"/>
  </dgm:catLst>
  <dgm:styleLbl name="node0">
    <dgm:fillClrLst meth="repeat">
      <a:schemeClr val="accent1"/>
    </dgm:fillClrLst>
    <dgm:linClrLst meth="repeat">
      <a:schemeClr val="lt1"/>
    </dgm:linClrLst>
    <dgm:effectClrLst/>
    <dgm:txLinClrLst/>
    <dgm:txFillClrLst/>
    <dgm:txEffectClrLst/>
  </dgm:styleLbl>
  <dgm:styleLbl name="node1">
    <dgm:fillClrLst meth="repeat">
      <a:schemeClr val="accent2"/>
      <a:schemeClr val="accent3"/>
      <a:schemeClr val="accent4"/>
      <a:schemeClr val="accent5"/>
      <a:schemeClr val="accent6"/>
    </dgm:fillClrLst>
    <dgm:linClrLst meth="repeat">
      <a:schemeClr val="lt1"/>
    </dgm:linClrLst>
    <dgm:effectClrLst/>
    <dgm:txLinClrLst/>
    <dgm:txFillClrLst/>
    <dgm:txEffectClrLst/>
  </dgm:styleLbl>
  <dgm:styleLbl name="alignNode1">
    <dgm:fillClrLst meth="repeat">
      <a:schemeClr val="accent2"/>
      <a:schemeClr val="accent3"/>
      <a:schemeClr val="accent4"/>
      <a:schemeClr val="accent5"/>
      <a:schemeClr val="accent6"/>
    </dgm:fillClrLst>
    <dgm:linClrLst meth="repeat">
      <a:schemeClr val="accent2"/>
      <a:schemeClr val="accent3"/>
      <a:schemeClr val="accent4"/>
      <a:schemeClr val="accent5"/>
      <a:schemeClr val="accent6"/>
    </dgm:linClrLst>
    <dgm:effectClrLst/>
    <dgm:txLinClrLst/>
    <dgm:txFillClrLst/>
    <dgm:txEffectClrLst/>
  </dgm:styleLbl>
  <dgm:styleLbl name="lnNode1">
    <dgm:fillClrLst meth="repeat">
      <a:schemeClr val="accent2"/>
      <a:schemeClr val="accent3"/>
      <a:schemeClr val="accent4"/>
      <a:schemeClr val="accent5"/>
      <a:schemeClr val="accent6"/>
    </dgm:fillClrLst>
    <dgm:linClrLst meth="repeat">
      <a:schemeClr val="lt1"/>
    </dgm:linClrLst>
    <dgm:effectClrLst/>
    <dgm:txLinClrLst/>
    <dgm:txFillClrLst/>
    <dgm:txEffectClrLst/>
  </dgm:styleLbl>
  <dgm:styleLbl name="vennNode1">
    <dgm:fillClrLst meth="repeat">
      <a:schemeClr val="accent2">
        <a:alpha val="50000"/>
      </a:schemeClr>
      <a:schemeClr val="accent3">
        <a:alpha val="50000"/>
      </a:schemeClr>
      <a:schemeClr val="accent4">
        <a:alpha val="50000"/>
      </a:schemeClr>
      <a:schemeClr val="accent5">
        <a:alpha val="50000"/>
      </a:schemeClr>
      <a:schemeClr val="accent6">
        <a:alpha val="50000"/>
      </a:schemeClr>
    </dgm:fillClrLst>
    <dgm:linClrLst meth="repeat">
      <a:schemeClr val="lt1"/>
    </dgm:linClrLst>
    <dgm:effectClrLst/>
    <dgm:txLinClrLst/>
    <dgm:txFillClrLst/>
    <dgm:txEffectClrLst/>
  </dgm:styleLbl>
  <dgm:styleLbl name="node2">
    <dgm:fillClrLst>
      <a:schemeClr val="accent2"/>
    </dgm:fillClrLst>
    <dgm:linClrLst meth="repeat">
      <a:schemeClr val="lt1"/>
    </dgm:linClrLst>
    <dgm:effectClrLst/>
    <dgm:txLinClrLst/>
    <dgm:txFillClrLst/>
    <dgm:txEffectClrLst/>
  </dgm:styleLbl>
  <dgm:styleLbl name="node3">
    <dgm:fillClrLst>
      <a:schemeClr val="accent3"/>
    </dgm:fillClrLst>
    <dgm:linClrLst meth="repeat">
      <a:schemeClr val="lt1"/>
    </dgm:linClrLst>
    <dgm:effectClrLst/>
    <dgm:txLinClrLst/>
    <dgm:txFillClrLst/>
    <dgm:txEffectClrLst/>
  </dgm:styleLbl>
  <dgm:styleLbl name="node4">
    <dgm:fillClrLst>
      <a:schemeClr val="accent4"/>
    </dgm:fillClrLst>
    <dgm:linClrLst meth="repeat">
      <a:schemeClr val="lt1"/>
    </dgm:linClrLst>
    <dgm:effectClrLst/>
    <dgm:txLinClrLst/>
    <dgm:txFillClrLst/>
    <dgm:txEffectClrLst/>
  </dgm:styleLbl>
  <dgm:styleLbl name="fgImgPlace1">
    <dgm:fillClrLst meth="repeat">
      <a:schemeClr val="accent2">
        <a:tint val="50000"/>
      </a:schemeClr>
      <a:schemeClr val="accent3">
        <a:tint val="50000"/>
      </a:schemeClr>
      <a:schemeClr val="accent4">
        <a:tint val="50000"/>
      </a:schemeClr>
      <a:schemeClr val="accent5">
        <a:tint val="50000"/>
      </a:schemeClr>
      <a:schemeClr val="accent6">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1">
        <a:tint val="50000"/>
      </a:schemeClr>
      <a:schemeClr val="accent2">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1">
        <a:tint val="50000"/>
      </a:schemeClr>
      <a:schemeClr val="accent2">
        <a:tint val="2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2"/>
      <a:schemeClr val="accent3"/>
      <a:schemeClr val="accent4"/>
      <a:schemeClr val="accent5"/>
      <a:schemeClr val="accent6"/>
    </dgm:fillClrLst>
    <dgm:linClrLst meth="cycle">
      <a:schemeClr val="lt1"/>
    </dgm:linClrLst>
    <dgm:effectClrLst/>
    <dgm:txLinClrLst/>
    <dgm:txFillClrLst/>
    <dgm:txEffectClrLst/>
  </dgm:styleLbl>
  <dgm:styleLbl name="fgSibTrans2D1">
    <dgm:fillClrLst meth="repeat">
      <a:schemeClr val="accent2"/>
      <a:schemeClr val="accent3"/>
      <a:schemeClr val="accent4"/>
      <a:schemeClr val="accent5"/>
      <a:schemeClr val="accent6"/>
    </dgm:fillClrLst>
    <dgm:linClrLst meth="cycle">
      <a:schemeClr val="lt1"/>
    </dgm:linClrLst>
    <dgm:effectClrLst/>
    <dgm:txLinClrLst/>
    <dgm:txFillClrLst meth="repeat">
      <a:schemeClr val="lt1"/>
    </dgm:txFillClrLst>
    <dgm:txEffectClrLst/>
  </dgm:styleLbl>
  <dgm:styleLbl name="bgSibTrans2D1">
    <dgm:fillClrLst meth="repeat">
      <a:schemeClr val="accent2"/>
      <a:schemeClr val="accent3"/>
      <a:schemeClr val="accent4"/>
      <a:schemeClr val="accent5"/>
      <a:schemeClr val="accent6"/>
    </dgm:fillClrLst>
    <dgm:linClrLst meth="cycle">
      <a:schemeClr val="lt1"/>
    </dgm:linClrLst>
    <dgm:effectClrLst/>
    <dgm:txLinClrLst/>
    <dgm:txFillClrLst meth="repeat">
      <a:schemeClr val="lt1"/>
    </dgm:txFillClrLst>
    <dgm:txEffectClrLst/>
  </dgm:styleLbl>
  <dgm:styleLbl name="sibTrans1D1">
    <dgm:fillClrLst meth="repeat">
      <a:schemeClr val="accent2"/>
      <a:schemeClr val="accent3"/>
      <a:schemeClr val="accent4"/>
      <a:schemeClr val="accent5"/>
      <a:schemeClr val="accent6"/>
    </dgm:fillClrLst>
    <dgm:linClrLst meth="repeat">
      <a:schemeClr val="accent2"/>
      <a:schemeClr val="accent3"/>
      <a:schemeClr val="accent4"/>
      <a:schemeClr val="accent5"/>
      <a:schemeClr val="accent6"/>
    </dgm:linClrLst>
    <dgm:effectClrLst/>
    <dgm:txLinClrLst/>
    <dgm:txFillClrLst meth="repeat">
      <a:schemeClr val="tx1"/>
    </dgm:txFillClrLst>
    <dgm:txEffectClrLst/>
  </dgm:styleLbl>
  <dgm:styleLbl name="callout">
    <dgm:fillClrLst meth="repeat">
      <a:schemeClr val="accent2"/>
    </dgm:fillClrLst>
    <dgm:linClrLst meth="repeat">
      <a:schemeClr val="accent2">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2"/>
    </dgm:fillClrLst>
    <dgm:linClrLst meth="repeat">
      <a:schemeClr val="lt1"/>
    </dgm:linClrLst>
    <dgm:effectClrLst/>
    <dgm:txLinClrLst/>
    <dgm:txFillClrLst/>
    <dgm:txEffectClrLst/>
  </dgm:styleLbl>
  <dgm:styleLbl name="asst2">
    <dgm:fillClrLst>
      <a:schemeClr val="accent3"/>
    </dgm:fillClrLst>
    <dgm:linClrLst meth="repeat">
      <a:schemeClr val="lt1"/>
    </dgm:linClrLst>
    <dgm:effectClrLst/>
    <dgm:txLinClrLst/>
    <dgm:txFillClrLst/>
    <dgm:txEffectClrLst/>
  </dgm:styleLbl>
  <dgm:styleLbl name="asst3">
    <dgm:fillClrLst>
      <a:schemeClr val="accent4"/>
    </dgm:fillClrLst>
    <dgm:linClrLst meth="repeat">
      <a:schemeClr val="lt1"/>
    </dgm:linClrLst>
    <dgm:effectClrLst/>
    <dgm:txLinClrLst/>
    <dgm:txFillClrLst/>
    <dgm:txEffectClrLst/>
  </dgm:styleLbl>
  <dgm:styleLbl name="asst4">
    <dgm:fillClrLst>
      <a:schemeClr val="accent5"/>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2"/>
    </dgm:fillClrLst>
    <dgm:linClrLst meth="repeat">
      <a:schemeClr val="accent1"/>
    </dgm:linClrLst>
    <dgm:effectClrLst/>
    <dgm:txLinClrLst/>
    <dgm:txFillClrLst meth="repeat">
      <a:schemeClr val="tx1"/>
    </dgm:txFillClrLst>
    <dgm:txEffectClrLst/>
  </dgm:styleLbl>
  <dgm:styleLbl name="parChTrans1D2">
    <dgm:fillClrLst meth="repeat">
      <a:schemeClr val="accent3">
        <a:tint val="90000"/>
      </a:schemeClr>
    </dgm:fillClrLst>
    <dgm:linClrLst meth="repeat">
      <a:schemeClr val="accent2"/>
    </dgm:linClrLst>
    <dgm:effectClrLst/>
    <dgm:txLinClrLst/>
    <dgm:txFillClrLst meth="repeat">
      <a:schemeClr val="tx1"/>
    </dgm:txFillClrLst>
    <dgm:txEffectClrLst/>
  </dgm:styleLbl>
  <dgm:styleLbl name="parChTrans1D3">
    <dgm:fillClrLst meth="repeat">
      <a:schemeClr val="accent4">
        <a:tint val="70000"/>
      </a:schemeClr>
    </dgm:fillClrLst>
    <dgm:linClrLst meth="repeat">
      <a:schemeClr val="accent3"/>
    </dgm:linClrLst>
    <dgm:effectClrLst/>
    <dgm:txLinClrLst/>
    <dgm:txFillClrLst meth="repeat">
      <a:schemeClr val="tx1"/>
    </dgm:txFillClrLst>
    <dgm:txEffectClrLst/>
  </dgm:styleLbl>
  <dgm:styleLbl name="parChTrans1D4">
    <dgm:fillClrLst meth="repeat">
      <a:schemeClr val="accent5">
        <a:tint val="50000"/>
      </a:schemeClr>
    </dgm:fillClrLst>
    <dgm:linClrLst meth="repeat">
      <a:schemeClr val="accent4"/>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Fg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Align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Bg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fg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align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bg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1"/>
    </dgm:linClrLst>
    <dgm:effectClrLst/>
    <dgm:txLinClrLst/>
    <dgm:txFillClrLst meth="repeat">
      <a:schemeClr val="dk1"/>
    </dgm:txFillClrLst>
    <dgm:txEffectClrLst/>
  </dgm:styleLbl>
  <dgm:styleLbl name="fgAcc2">
    <dgm:fillClrLst meth="repeat">
      <a:schemeClr val="lt1">
        <a:alpha val="90000"/>
      </a:schemeClr>
    </dgm:fillClrLst>
    <dgm:linClrLst>
      <a:schemeClr val="accent2"/>
    </dgm:linClrLst>
    <dgm:effectClrLst/>
    <dgm:txLinClrLst/>
    <dgm:txFillClrLst meth="repeat">
      <a:schemeClr val="dk1"/>
    </dgm:txFillClrLst>
    <dgm:txEffectClrLst/>
  </dgm:styleLbl>
  <dgm:styleLbl name="fgAcc3">
    <dgm:fillClrLst meth="repeat">
      <a:schemeClr val="lt1">
        <a:alpha val="90000"/>
      </a:schemeClr>
    </dgm:fillClrLst>
    <dgm:linClrLst>
      <a:schemeClr val="accent3"/>
    </dgm:linClrLst>
    <dgm:effectClrLst/>
    <dgm:txLinClrLst/>
    <dgm:txFillClrLst meth="repeat">
      <a:schemeClr val="dk1"/>
    </dgm:txFillClrLst>
    <dgm:txEffectClrLst/>
  </dgm:styleLbl>
  <dgm:styleLbl name="fgAcc4">
    <dgm:fillClrLst meth="repeat">
      <a:schemeClr val="lt1">
        <a:alpha val="90000"/>
      </a:schemeClr>
    </dgm:fillClrLst>
    <dgm:linClrLst>
      <a:schemeClr val="accent4"/>
    </dgm:linClrLst>
    <dgm:effectClrLst/>
    <dgm:txLinClrLst/>
    <dgm:txFillClrLst meth="repeat">
      <a:schemeClr val="dk1"/>
    </dgm:txFillClrLst>
    <dgm:txEffectClrLst/>
  </dgm:styleLbl>
  <dgm:styleLbl name="bgShp">
    <dgm:fillClrLst meth="repeat">
      <a:schemeClr val="accent2">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2">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2"/>
    </dgm:linClrLst>
    <dgm:effectClrLst/>
    <dgm:txLinClrLst/>
    <dgm:txFillClrLst meth="repeat">
      <a:schemeClr val="lt1"/>
    </dgm:txFillClrLst>
    <dgm:txEffectClrLst/>
  </dgm:styleLbl>
  <dgm:styleLbl name="fgShp">
    <dgm:fillClrLst meth="repeat">
      <a:schemeClr val="accent2">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7B00E043-875A-4A60-A7BD-2775E65F19B2}" type="doc">
      <dgm:prSet loTypeId="urn:microsoft.com/office/officeart/2005/8/layout/orgChart1" loCatId="hierarchy" qsTypeId="urn:microsoft.com/office/officeart/2005/8/quickstyle/simple1" qsCatId="simple" csTypeId="urn:microsoft.com/office/officeart/2005/8/colors/colorful1" csCatId="colorful" phldr="1"/>
      <dgm:spPr/>
      <dgm:t>
        <a:bodyPr/>
        <a:lstStyle/>
        <a:p>
          <a:endParaRPr lang="en-GB"/>
        </a:p>
      </dgm:t>
    </dgm:pt>
    <dgm:pt modelId="{BE108FD2-3A0C-4907-9ADF-8F5A07EE0C01}">
      <dgm:prSet phldrT="[Text]"/>
      <dgm:spPr>
        <a:solidFill>
          <a:schemeClr val="tx2"/>
        </a:solidFill>
      </dgm:spPr>
      <dgm:t>
        <a:bodyPr/>
        <a:lstStyle/>
        <a:p>
          <a:r>
            <a:rPr lang="en-GB"/>
            <a:t>Trinciatutto Completo L=1500</a:t>
          </a:r>
        </a:p>
      </dgm:t>
    </dgm:pt>
    <dgm:pt modelId="{8F48B282-2873-4CA3-BE10-C61BCD1E452A}" type="parTrans" cxnId="{EDB88597-9630-4CB6-A2CD-903B5DF41076}">
      <dgm:prSet/>
      <dgm:spPr/>
      <dgm:t>
        <a:bodyPr/>
        <a:lstStyle/>
        <a:p>
          <a:endParaRPr lang="en-GB"/>
        </a:p>
      </dgm:t>
    </dgm:pt>
    <dgm:pt modelId="{5225EDEF-6573-4E8D-A1EA-25F884A5E013}" type="sibTrans" cxnId="{EDB88597-9630-4CB6-A2CD-903B5DF41076}">
      <dgm:prSet/>
      <dgm:spPr/>
      <dgm:t>
        <a:bodyPr/>
        <a:lstStyle/>
        <a:p>
          <a:endParaRPr lang="en-GB"/>
        </a:p>
      </dgm:t>
    </dgm:pt>
    <dgm:pt modelId="{23ED8CFC-81C1-428B-A966-C87223B77595}">
      <dgm:prSet phldrT="[Text]"/>
      <dgm:spPr>
        <a:solidFill>
          <a:schemeClr val="tx2"/>
        </a:solidFill>
      </dgm:spPr>
      <dgm:t>
        <a:bodyPr/>
        <a:lstStyle/>
        <a:p>
          <a:r>
            <a:rPr lang="en-GB"/>
            <a:t>Telaio Completo per Trinciatutto L=1500 (1)</a:t>
          </a:r>
        </a:p>
      </dgm:t>
    </dgm:pt>
    <dgm:pt modelId="{98738C59-5ADF-4431-8B3C-5AAD82547238}" type="parTrans" cxnId="{EC25550A-E9CC-45FC-88B3-54160EF44D16}">
      <dgm:prSet/>
      <dgm:spPr>
        <a:ln w="38100">
          <a:solidFill>
            <a:schemeClr val="accent1"/>
          </a:solidFill>
        </a:ln>
      </dgm:spPr>
      <dgm:t>
        <a:bodyPr/>
        <a:lstStyle/>
        <a:p>
          <a:endParaRPr lang="en-GB"/>
        </a:p>
      </dgm:t>
    </dgm:pt>
    <dgm:pt modelId="{F2759905-CCCC-465E-9841-8A119BD49559}" type="sibTrans" cxnId="{EC25550A-E9CC-45FC-88B3-54160EF44D16}">
      <dgm:prSet/>
      <dgm:spPr/>
      <dgm:t>
        <a:bodyPr/>
        <a:lstStyle/>
        <a:p>
          <a:endParaRPr lang="en-GB"/>
        </a:p>
      </dgm:t>
    </dgm:pt>
    <dgm:pt modelId="{A53E9160-5CAA-4D15-A8FF-26C7A1BB68F3}">
      <dgm:prSet phldrT="[Text]"/>
      <dgm:spPr>
        <a:solidFill>
          <a:schemeClr val="tx2"/>
        </a:solidFill>
      </dgm:spPr>
      <dgm:t>
        <a:bodyPr/>
        <a:lstStyle/>
        <a:p>
          <a:r>
            <a:rPr lang="en-GB"/>
            <a:t>Carter L=1500 (1)</a:t>
          </a:r>
        </a:p>
      </dgm:t>
    </dgm:pt>
    <dgm:pt modelId="{F068F1B7-D50F-4E19-AF22-0D439665847E}" type="parTrans" cxnId="{8C98EB91-9C5B-45BF-BEF5-E0EEFD77DCC7}">
      <dgm:prSet/>
      <dgm:spPr>
        <a:ln w="38100">
          <a:solidFill>
            <a:schemeClr val="accent2"/>
          </a:solidFill>
        </a:ln>
      </dgm:spPr>
      <dgm:t>
        <a:bodyPr/>
        <a:lstStyle/>
        <a:p>
          <a:endParaRPr lang="en-GB"/>
        </a:p>
      </dgm:t>
    </dgm:pt>
    <dgm:pt modelId="{439329C8-3E8D-44D1-80F8-FAF1444C6D0A}" type="sibTrans" cxnId="{8C98EB91-9C5B-45BF-BEF5-E0EEFD77DCC7}">
      <dgm:prSet/>
      <dgm:spPr/>
      <dgm:t>
        <a:bodyPr/>
        <a:lstStyle/>
        <a:p>
          <a:endParaRPr lang="en-GB"/>
        </a:p>
      </dgm:t>
    </dgm:pt>
    <dgm:pt modelId="{2046EEBA-982B-4301-8241-2803CAE760D1}">
      <dgm:prSet phldrT="[Text]"/>
      <dgm:spPr>
        <a:solidFill>
          <a:schemeClr val="accent6"/>
        </a:solidFill>
      </dgm:spPr>
      <dgm:t>
        <a:bodyPr/>
        <a:lstStyle/>
        <a:p>
          <a:r>
            <a:rPr lang="en-GB"/>
            <a:t>Foglio Lamiera 1500x2000x3 (0.17)</a:t>
          </a:r>
        </a:p>
      </dgm:t>
    </dgm:pt>
    <dgm:pt modelId="{345A7164-9B84-4772-B53F-578508EB30FA}" type="parTrans" cxnId="{E7636A60-3B6B-48E7-8BF9-6E8672DDA6F4}">
      <dgm:prSet/>
      <dgm:spPr>
        <a:ln w="38100">
          <a:solidFill>
            <a:schemeClr val="accent4"/>
          </a:solidFill>
        </a:ln>
      </dgm:spPr>
      <dgm:t>
        <a:bodyPr/>
        <a:lstStyle/>
        <a:p>
          <a:endParaRPr lang="en-GB"/>
        </a:p>
      </dgm:t>
    </dgm:pt>
    <dgm:pt modelId="{0603BC87-DD29-460F-B651-36077527D28A}" type="sibTrans" cxnId="{E7636A60-3B6B-48E7-8BF9-6E8672DDA6F4}">
      <dgm:prSet/>
      <dgm:spPr/>
      <dgm:t>
        <a:bodyPr/>
        <a:lstStyle/>
        <a:p>
          <a:endParaRPr lang="en-GB"/>
        </a:p>
      </dgm:t>
    </dgm:pt>
    <dgm:pt modelId="{04D28262-27D4-4A96-8A9B-E9CC736D7103}">
      <dgm:prSet phldrT="[Text]"/>
      <dgm:spPr>
        <a:solidFill>
          <a:schemeClr val="tx2"/>
        </a:solidFill>
      </dgm:spPr>
      <dgm:t>
        <a:bodyPr/>
        <a:lstStyle/>
        <a:p>
          <a:r>
            <a:rPr lang="en-GB"/>
            <a:t>Staffe Rinforzo (3)</a:t>
          </a:r>
        </a:p>
      </dgm:t>
    </dgm:pt>
    <dgm:pt modelId="{3CB4F370-1677-4FF7-A431-6F134EE8D01A}" type="parTrans" cxnId="{74B077DD-C98B-4ECD-9A27-8215910CE3D9}">
      <dgm:prSet/>
      <dgm:spPr>
        <a:ln w="38100">
          <a:solidFill>
            <a:schemeClr val="accent2"/>
          </a:solidFill>
        </a:ln>
      </dgm:spPr>
      <dgm:t>
        <a:bodyPr/>
        <a:lstStyle/>
        <a:p>
          <a:endParaRPr lang="en-GB"/>
        </a:p>
      </dgm:t>
    </dgm:pt>
    <dgm:pt modelId="{80966A06-83D7-4147-A13E-1A0543822CC6}" type="sibTrans" cxnId="{74B077DD-C98B-4ECD-9A27-8215910CE3D9}">
      <dgm:prSet/>
      <dgm:spPr/>
      <dgm:t>
        <a:bodyPr/>
        <a:lstStyle/>
        <a:p>
          <a:endParaRPr lang="en-GB"/>
        </a:p>
      </dgm:t>
    </dgm:pt>
    <dgm:pt modelId="{A8B36F11-EDFA-448E-ACCA-F4E3B0ABB64C}">
      <dgm:prSet phldrT="[Text]"/>
      <dgm:spPr>
        <a:solidFill>
          <a:schemeClr val="accent6"/>
        </a:solidFill>
      </dgm:spPr>
      <dgm:t>
        <a:bodyPr/>
        <a:lstStyle/>
        <a:p>
          <a:r>
            <a:rPr lang="en-GB"/>
            <a:t>Foglio Lamiera 1000x1500x3 (0.05)</a:t>
          </a:r>
        </a:p>
      </dgm:t>
    </dgm:pt>
    <dgm:pt modelId="{819E766C-2ED8-47CA-A45D-E5D90E97075D}" type="parTrans" cxnId="{47DB8AB3-3E00-409F-8DC6-8EA6E7A4A41E}">
      <dgm:prSet/>
      <dgm:spPr>
        <a:ln w="38100">
          <a:solidFill>
            <a:schemeClr val="accent4"/>
          </a:solidFill>
        </a:ln>
      </dgm:spPr>
      <dgm:t>
        <a:bodyPr/>
        <a:lstStyle/>
        <a:p>
          <a:endParaRPr lang="en-GB"/>
        </a:p>
      </dgm:t>
    </dgm:pt>
    <dgm:pt modelId="{D4A2B17E-4084-4B25-B047-343383A7F61B}" type="sibTrans" cxnId="{47DB8AB3-3E00-409F-8DC6-8EA6E7A4A41E}">
      <dgm:prSet/>
      <dgm:spPr/>
      <dgm:t>
        <a:bodyPr/>
        <a:lstStyle/>
        <a:p>
          <a:endParaRPr lang="en-GB"/>
        </a:p>
      </dgm:t>
    </dgm:pt>
    <dgm:pt modelId="{1D8AAA2E-60A5-4FA8-BB8D-CF032DC80AE2}">
      <dgm:prSet phldrT="[Text]"/>
      <dgm:spPr>
        <a:solidFill>
          <a:schemeClr val="tx2"/>
        </a:solidFill>
      </dgm:spPr>
      <dgm:t>
        <a:bodyPr/>
        <a:lstStyle/>
        <a:p>
          <a:r>
            <a:rPr lang="en-GB"/>
            <a:t>Piastre Attacco Trattore (2)</a:t>
          </a:r>
        </a:p>
      </dgm:t>
    </dgm:pt>
    <dgm:pt modelId="{D0B3D3DE-7CB5-4F0F-B82E-AE744B2CBB75}" type="parTrans" cxnId="{7F5EAC2E-203C-401D-9E50-A6FA2FDA94DA}">
      <dgm:prSet/>
      <dgm:spPr>
        <a:ln w="38100">
          <a:solidFill>
            <a:schemeClr val="accent2"/>
          </a:solidFill>
        </a:ln>
      </dgm:spPr>
      <dgm:t>
        <a:bodyPr/>
        <a:lstStyle/>
        <a:p>
          <a:endParaRPr lang="en-GB"/>
        </a:p>
      </dgm:t>
    </dgm:pt>
    <dgm:pt modelId="{1C18BB0E-00C4-4AB9-8E94-E571BD89AF5C}" type="sibTrans" cxnId="{7F5EAC2E-203C-401D-9E50-A6FA2FDA94DA}">
      <dgm:prSet/>
      <dgm:spPr/>
      <dgm:t>
        <a:bodyPr/>
        <a:lstStyle/>
        <a:p>
          <a:endParaRPr lang="en-GB"/>
        </a:p>
      </dgm:t>
    </dgm:pt>
    <dgm:pt modelId="{01E09FA3-99A2-4DF9-9321-D18EE72FF41D}">
      <dgm:prSet phldrT="[Text]"/>
      <dgm:spPr>
        <a:solidFill>
          <a:schemeClr val="accent6"/>
        </a:solidFill>
      </dgm:spPr>
      <dgm:t>
        <a:bodyPr/>
        <a:lstStyle/>
        <a:p>
          <a:r>
            <a:rPr lang="en-GB"/>
            <a:t>Foglio Lamiera 1000x2000x3 (0.22)</a:t>
          </a:r>
        </a:p>
      </dgm:t>
    </dgm:pt>
    <dgm:pt modelId="{61B097B9-80ED-4819-BEC2-3D1040F26A3F}" type="parTrans" cxnId="{E541A665-FABF-44BA-A858-C774A1EBC96C}">
      <dgm:prSet/>
      <dgm:spPr>
        <a:ln w="38100">
          <a:solidFill>
            <a:schemeClr val="accent4"/>
          </a:solidFill>
        </a:ln>
      </dgm:spPr>
      <dgm:t>
        <a:bodyPr/>
        <a:lstStyle/>
        <a:p>
          <a:endParaRPr lang="en-GB"/>
        </a:p>
      </dgm:t>
    </dgm:pt>
    <dgm:pt modelId="{BE05A8A2-7299-4B23-A3B7-281AB018F750}" type="sibTrans" cxnId="{E541A665-FABF-44BA-A858-C774A1EBC96C}">
      <dgm:prSet/>
      <dgm:spPr/>
      <dgm:t>
        <a:bodyPr/>
        <a:lstStyle/>
        <a:p>
          <a:endParaRPr lang="en-GB"/>
        </a:p>
      </dgm:t>
    </dgm:pt>
    <dgm:pt modelId="{A40BA4BE-0B14-451B-9D4C-5CA23E3806E7}">
      <dgm:prSet phldrT="[Text]"/>
      <dgm:spPr>
        <a:solidFill>
          <a:schemeClr val="accent6"/>
        </a:solidFill>
      </dgm:spPr>
      <dgm:t>
        <a:bodyPr/>
        <a:lstStyle/>
        <a:p>
          <a:r>
            <a:rPr lang="en-GB"/>
            <a:t>Rastrello per Trinciatutto (1)</a:t>
          </a:r>
        </a:p>
      </dgm:t>
    </dgm:pt>
    <dgm:pt modelId="{1D8C16E0-4599-455F-94C1-B94B89884C13}" type="parTrans" cxnId="{35E9D75E-5A88-4170-A161-FA2BF2A5495D}">
      <dgm:prSet/>
      <dgm:spPr>
        <a:ln w="38100">
          <a:solidFill>
            <a:schemeClr val="accent2"/>
          </a:solidFill>
        </a:ln>
      </dgm:spPr>
      <dgm:t>
        <a:bodyPr/>
        <a:lstStyle/>
        <a:p>
          <a:endParaRPr lang="en-GB"/>
        </a:p>
      </dgm:t>
    </dgm:pt>
    <dgm:pt modelId="{9A41387E-C038-4649-B1C0-34385333535C}" type="sibTrans" cxnId="{35E9D75E-5A88-4170-A161-FA2BF2A5495D}">
      <dgm:prSet/>
      <dgm:spPr/>
      <dgm:t>
        <a:bodyPr/>
        <a:lstStyle/>
        <a:p>
          <a:endParaRPr lang="en-GB"/>
        </a:p>
      </dgm:t>
    </dgm:pt>
    <dgm:pt modelId="{EAA85139-F8E3-4BBA-8393-786789E6EBE2}">
      <dgm:prSet phldrT="[Text]"/>
      <dgm:spPr>
        <a:solidFill>
          <a:schemeClr val="accent6"/>
        </a:solidFill>
      </dgm:spPr>
      <dgm:t>
        <a:bodyPr/>
        <a:lstStyle/>
        <a:p>
          <a:pPr algn="ctr"/>
          <a:r>
            <a:rPr lang="en-GB"/>
            <a:t>Albero di trasmissione per macchine L=1500 (1)</a:t>
          </a:r>
        </a:p>
      </dgm:t>
    </dgm:pt>
    <dgm:pt modelId="{EEACE347-62BD-43BF-9D33-81718D276236}" type="parTrans" cxnId="{3C7D47F7-6CB2-4F43-9C04-E83788E602E9}">
      <dgm:prSet/>
      <dgm:spPr>
        <a:ln w="38100">
          <a:solidFill>
            <a:schemeClr val="accent1"/>
          </a:solidFill>
        </a:ln>
      </dgm:spPr>
      <dgm:t>
        <a:bodyPr/>
        <a:lstStyle/>
        <a:p>
          <a:endParaRPr lang="en-GB"/>
        </a:p>
      </dgm:t>
    </dgm:pt>
    <dgm:pt modelId="{2C92DF4F-6112-414F-B5F1-B34720944213}" type="sibTrans" cxnId="{3C7D47F7-6CB2-4F43-9C04-E83788E602E9}">
      <dgm:prSet/>
      <dgm:spPr/>
      <dgm:t>
        <a:bodyPr/>
        <a:lstStyle/>
        <a:p>
          <a:endParaRPr lang="en-GB"/>
        </a:p>
      </dgm:t>
    </dgm:pt>
    <dgm:pt modelId="{D3EAD832-C3B7-4F16-9218-900EF7C01B26}">
      <dgm:prSet phldrT="[Text]"/>
      <dgm:spPr>
        <a:solidFill>
          <a:schemeClr val="accent6"/>
        </a:solidFill>
      </dgm:spPr>
      <dgm:t>
        <a:bodyPr/>
        <a:lstStyle/>
        <a:p>
          <a:r>
            <a:rPr lang="en-GB"/>
            <a:t>Ruota dentata conica (2)</a:t>
          </a:r>
        </a:p>
      </dgm:t>
    </dgm:pt>
    <dgm:pt modelId="{814D8EC5-A029-4C0B-8818-7679B1066622}" type="parTrans" cxnId="{0A31A697-3AEE-4FAD-9723-4E07816C5A78}">
      <dgm:prSet/>
      <dgm:spPr>
        <a:ln w="38100">
          <a:solidFill>
            <a:schemeClr val="accent1"/>
          </a:solidFill>
        </a:ln>
      </dgm:spPr>
      <dgm:t>
        <a:bodyPr/>
        <a:lstStyle/>
        <a:p>
          <a:endParaRPr lang="en-GB"/>
        </a:p>
      </dgm:t>
    </dgm:pt>
    <dgm:pt modelId="{ACEA1F23-050F-4A7E-81C4-B8661588BC3A}" type="sibTrans" cxnId="{0A31A697-3AEE-4FAD-9723-4E07816C5A78}">
      <dgm:prSet/>
      <dgm:spPr/>
      <dgm:t>
        <a:bodyPr/>
        <a:lstStyle/>
        <a:p>
          <a:endParaRPr lang="en-GB"/>
        </a:p>
      </dgm:t>
    </dgm:pt>
    <dgm:pt modelId="{720A84F5-A8C3-42D6-9F6F-4D2126BBBA83}">
      <dgm:prSet phldrT="[Text]"/>
      <dgm:spPr>
        <a:solidFill>
          <a:schemeClr val="accent6"/>
        </a:solidFill>
      </dgm:spPr>
      <dgm:t>
        <a:bodyPr/>
        <a:lstStyle/>
        <a:p>
          <a:r>
            <a:rPr lang="en-GB"/>
            <a:t>Ruota dentata cilindrica (3)</a:t>
          </a:r>
        </a:p>
      </dgm:t>
    </dgm:pt>
    <dgm:pt modelId="{38CB51C5-3562-4000-A3D7-91940DD857E4}" type="parTrans" cxnId="{B8D4DA16-B6C4-4121-B023-F170713D6AA7}">
      <dgm:prSet/>
      <dgm:spPr>
        <a:ln w="38100">
          <a:solidFill>
            <a:schemeClr val="accent1"/>
          </a:solidFill>
        </a:ln>
      </dgm:spPr>
      <dgm:t>
        <a:bodyPr/>
        <a:lstStyle/>
        <a:p>
          <a:endParaRPr lang="en-GB"/>
        </a:p>
      </dgm:t>
    </dgm:pt>
    <dgm:pt modelId="{4AB5C324-30D6-4C82-8CB8-34ED816646D6}" type="sibTrans" cxnId="{B8D4DA16-B6C4-4121-B023-F170713D6AA7}">
      <dgm:prSet/>
      <dgm:spPr/>
      <dgm:t>
        <a:bodyPr/>
        <a:lstStyle/>
        <a:p>
          <a:endParaRPr lang="en-GB"/>
        </a:p>
      </dgm:t>
    </dgm:pt>
    <dgm:pt modelId="{904C68A8-6EB1-4096-BAE2-F8597E3545F7}">
      <dgm:prSet phldrT="[Text]"/>
      <dgm:spPr>
        <a:solidFill>
          <a:schemeClr val="accent6"/>
        </a:solidFill>
      </dgm:spPr>
      <dgm:t>
        <a:bodyPr/>
        <a:lstStyle/>
        <a:p>
          <a:r>
            <a:rPr lang="en-GB"/>
            <a:t>Albero completo frese per Trinciatutto L=1500 (1)</a:t>
          </a:r>
        </a:p>
      </dgm:t>
    </dgm:pt>
    <dgm:pt modelId="{D7203144-6EEB-4CE8-8887-D45809D8E0A2}" type="parTrans" cxnId="{F608F54C-3AAD-4057-8B3B-38FCFBB65B31}">
      <dgm:prSet/>
      <dgm:spPr>
        <a:ln w="38100">
          <a:solidFill>
            <a:schemeClr val="accent1"/>
          </a:solidFill>
        </a:ln>
      </dgm:spPr>
      <dgm:t>
        <a:bodyPr/>
        <a:lstStyle/>
        <a:p>
          <a:endParaRPr lang="en-GB"/>
        </a:p>
      </dgm:t>
    </dgm:pt>
    <dgm:pt modelId="{BD1078CA-3716-4737-9B2C-0A4BF3F70586}" type="sibTrans" cxnId="{F608F54C-3AAD-4057-8B3B-38FCFBB65B31}">
      <dgm:prSet/>
      <dgm:spPr/>
      <dgm:t>
        <a:bodyPr/>
        <a:lstStyle/>
        <a:p>
          <a:endParaRPr lang="en-GB"/>
        </a:p>
      </dgm:t>
    </dgm:pt>
    <dgm:pt modelId="{F9823C52-5345-410C-9F4A-613A5C21F0E8}" type="pres">
      <dgm:prSet presAssocID="{7B00E043-875A-4A60-A7BD-2775E65F19B2}" presName="hierChild1" presStyleCnt="0">
        <dgm:presLayoutVars>
          <dgm:orgChart val="1"/>
          <dgm:chPref val="1"/>
          <dgm:dir/>
          <dgm:animOne val="branch"/>
          <dgm:animLvl val="lvl"/>
          <dgm:resizeHandles/>
        </dgm:presLayoutVars>
      </dgm:prSet>
      <dgm:spPr/>
    </dgm:pt>
    <dgm:pt modelId="{713AD229-56A2-4412-94A8-192ED355CA95}" type="pres">
      <dgm:prSet presAssocID="{BE108FD2-3A0C-4907-9ADF-8F5A07EE0C01}" presName="hierRoot1" presStyleCnt="0">
        <dgm:presLayoutVars>
          <dgm:hierBranch val="init"/>
        </dgm:presLayoutVars>
      </dgm:prSet>
      <dgm:spPr/>
    </dgm:pt>
    <dgm:pt modelId="{7D7AEAE3-F839-473A-B6BE-671413977CFC}" type="pres">
      <dgm:prSet presAssocID="{BE108FD2-3A0C-4907-9ADF-8F5A07EE0C01}" presName="rootComposite1" presStyleCnt="0"/>
      <dgm:spPr/>
    </dgm:pt>
    <dgm:pt modelId="{B5EF23FE-E97C-4F8C-B341-37F1FEA0D4DD}" type="pres">
      <dgm:prSet presAssocID="{BE108FD2-3A0C-4907-9ADF-8F5A07EE0C01}" presName="rootText1" presStyleLbl="node0" presStyleIdx="0" presStyleCnt="1">
        <dgm:presLayoutVars>
          <dgm:chPref val="3"/>
        </dgm:presLayoutVars>
      </dgm:prSet>
      <dgm:spPr/>
    </dgm:pt>
    <dgm:pt modelId="{7A853995-3DC4-4A23-BB8E-35D3332D16E6}" type="pres">
      <dgm:prSet presAssocID="{BE108FD2-3A0C-4907-9ADF-8F5A07EE0C01}" presName="rootConnector1" presStyleLbl="node1" presStyleIdx="0" presStyleCnt="0"/>
      <dgm:spPr/>
    </dgm:pt>
    <dgm:pt modelId="{E9344533-571F-48FF-B221-7CE27D1FAD8F}" type="pres">
      <dgm:prSet presAssocID="{BE108FD2-3A0C-4907-9ADF-8F5A07EE0C01}" presName="hierChild2" presStyleCnt="0"/>
      <dgm:spPr/>
    </dgm:pt>
    <dgm:pt modelId="{340F67C4-F267-4C22-B5DF-B7550B5CA0DF}" type="pres">
      <dgm:prSet presAssocID="{98738C59-5ADF-4431-8B3C-5AAD82547238}" presName="Name37" presStyleLbl="parChTrans1D2" presStyleIdx="0" presStyleCnt="5"/>
      <dgm:spPr/>
    </dgm:pt>
    <dgm:pt modelId="{3B530F0C-F368-430D-9728-F0951AF79F67}" type="pres">
      <dgm:prSet presAssocID="{23ED8CFC-81C1-428B-A966-C87223B77595}" presName="hierRoot2" presStyleCnt="0">
        <dgm:presLayoutVars>
          <dgm:hierBranch val="init"/>
        </dgm:presLayoutVars>
      </dgm:prSet>
      <dgm:spPr/>
    </dgm:pt>
    <dgm:pt modelId="{0541DB2A-74CC-40F8-A4C9-221E4BDDBC0F}" type="pres">
      <dgm:prSet presAssocID="{23ED8CFC-81C1-428B-A966-C87223B77595}" presName="rootComposite" presStyleCnt="0"/>
      <dgm:spPr/>
    </dgm:pt>
    <dgm:pt modelId="{7A0B9906-977A-4B42-942C-11DDBAD50226}" type="pres">
      <dgm:prSet presAssocID="{23ED8CFC-81C1-428B-A966-C87223B77595}" presName="rootText" presStyleLbl="node2" presStyleIdx="0" presStyleCnt="5">
        <dgm:presLayoutVars>
          <dgm:chPref val="3"/>
        </dgm:presLayoutVars>
      </dgm:prSet>
      <dgm:spPr/>
    </dgm:pt>
    <dgm:pt modelId="{4DF62BC4-0040-4565-93E9-FE04334E95F7}" type="pres">
      <dgm:prSet presAssocID="{23ED8CFC-81C1-428B-A966-C87223B77595}" presName="rootConnector" presStyleLbl="node2" presStyleIdx="0" presStyleCnt="5"/>
      <dgm:spPr/>
    </dgm:pt>
    <dgm:pt modelId="{ADE0A641-D530-4348-A4C3-AE6295B7BFB2}" type="pres">
      <dgm:prSet presAssocID="{23ED8CFC-81C1-428B-A966-C87223B77595}" presName="hierChild4" presStyleCnt="0"/>
      <dgm:spPr/>
    </dgm:pt>
    <dgm:pt modelId="{3D65BB9A-E472-4012-9432-AF20FB359CF9}" type="pres">
      <dgm:prSet presAssocID="{F068F1B7-D50F-4E19-AF22-0D439665847E}" presName="Name37" presStyleLbl="parChTrans1D3" presStyleIdx="0" presStyleCnt="4"/>
      <dgm:spPr/>
    </dgm:pt>
    <dgm:pt modelId="{0EEB9817-48D2-459A-BF87-6EE7F6749BC8}" type="pres">
      <dgm:prSet presAssocID="{A53E9160-5CAA-4D15-A8FF-26C7A1BB68F3}" presName="hierRoot2" presStyleCnt="0">
        <dgm:presLayoutVars>
          <dgm:hierBranch val="init"/>
        </dgm:presLayoutVars>
      </dgm:prSet>
      <dgm:spPr/>
    </dgm:pt>
    <dgm:pt modelId="{507DE141-A108-4466-A9FC-498E5E6CE6FF}" type="pres">
      <dgm:prSet presAssocID="{A53E9160-5CAA-4D15-A8FF-26C7A1BB68F3}" presName="rootComposite" presStyleCnt="0"/>
      <dgm:spPr/>
    </dgm:pt>
    <dgm:pt modelId="{1FB34EFA-170E-4CEC-8A83-94E6D3D1104A}" type="pres">
      <dgm:prSet presAssocID="{A53E9160-5CAA-4D15-A8FF-26C7A1BB68F3}" presName="rootText" presStyleLbl="node3" presStyleIdx="0" presStyleCnt="4">
        <dgm:presLayoutVars>
          <dgm:chPref val="3"/>
        </dgm:presLayoutVars>
      </dgm:prSet>
      <dgm:spPr/>
    </dgm:pt>
    <dgm:pt modelId="{13EE620A-8E91-4933-90A0-B10DD4BFB838}" type="pres">
      <dgm:prSet presAssocID="{A53E9160-5CAA-4D15-A8FF-26C7A1BB68F3}" presName="rootConnector" presStyleLbl="node3" presStyleIdx="0" presStyleCnt="4"/>
      <dgm:spPr/>
    </dgm:pt>
    <dgm:pt modelId="{F2590A2E-914F-42F0-B0E2-B8E1E522C117}" type="pres">
      <dgm:prSet presAssocID="{A53E9160-5CAA-4D15-A8FF-26C7A1BB68F3}" presName="hierChild4" presStyleCnt="0"/>
      <dgm:spPr/>
    </dgm:pt>
    <dgm:pt modelId="{3A5A8D36-8B03-42BF-B627-CE87AF11EC22}" type="pres">
      <dgm:prSet presAssocID="{345A7164-9B84-4772-B53F-578508EB30FA}" presName="Name37" presStyleLbl="parChTrans1D4" presStyleIdx="0" presStyleCnt="3"/>
      <dgm:spPr/>
    </dgm:pt>
    <dgm:pt modelId="{7D182248-D391-4EEA-BCFF-9EFF4F0659C7}" type="pres">
      <dgm:prSet presAssocID="{2046EEBA-982B-4301-8241-2803CAE760D1}" presName="hierRoot2" presStyleCnt="0">
        <dgm:presLayoutVars>
          <dgm:hierBranch val="init"/>
        </dgm:presLayoutVars>
      </dgm:prSet>
      <dgm:spPr/>
    </dgm:pt>
    <dgm:pt modelId="{1D625D73-B697-4891-BA6E-54D81034BF41}" type="pres">
      <dgm:prSet presAssocID="{2046EEBA-982B-4301-8241-2803CAE760D1}" presName="rootComposite" presStyleCnt="0"/>
      <dgm:spPr/>
    </dgm:pt>
    <dgm:pt modelId="{43782A98-1838-41BA-B5F4-3F6A5D3A4643}" type="pres">
      <dgm:prSet presAssocID="{2046EEBA-982B-4301-8241-2803CAE760D1}" presName="rootText" presStyleLbl="node4" presStyleIdx="0" presStyleCnt="3" custLinFactY="17877" custLinFactNeighborX="1072" custLinFactNeighborY="100000">
        <dgm:presLayoutVars>
          <dgm:chPref val="3"/>
        </dgm:presLayoutVars>
      </dgm:prSet>
      <dgm:spPr/>
    </dgm:pt>
    <dgm:pt modelId="{8AF5AB59-B06C-46A8-910F-A9FC22C138D6}" type="pres">
      <dgm:prSet presAssocID="{2046EEBA-982B-4301-8241-2803CAE760D1}" presName="rootConnector" presStyleLbl="node4" presStyleIdx="0" presStyleCnt="3"/>
      <dgm:spPr/>
    </dgm:pt>
    <dgm:pt modelId="{C01AD7B7-51E8-4A3B-8D3B-5E509C0EBD14}" type="pres">
      <dgm:prSet presAssocID="{2046EEBA-982B-4301-8241-2803CAE760D1}" presName="hierChild4" presStyleCnt="0"/>
      <dgm:spPr/>
    </dgm:pt>
    <dgm:pt modelId="{3AB739AB-CB04-4871-88F4-1806691FA6FB}" type="pres">
      <dgm:prSet presAssocID="{2046EEBA-982B-4301-8241-2803CAE760D1}" presName="hierChild5" presStyleCnt="0"/>
      <dgm:spPr/>
    </dgm:pt>
    <dgm:pt modelId="{A440448E-AD3F-4042-8AC2-096A091EB180}" type="pres">
      <dgm:prSet presAssocID="{A53E9160-5CAA-4D15-A8FF-26C7A1BB68F3}" presName="hierChild5" presStyleCnt="0"/>
      <dgm:spPr/>
    </dgm:pt>
    <dgm:pt modelId="{F4372CDA-AFB5-4451-92EF-ECBD1813E030}" type="pres">
      <dgm:prSet presAssocID="{3CB4F370-1677-4FF7-A431-6F134EE8D01A}" presName="Name37" presStyleLbl="parChTrans1D3" presStyleIdx="1" presStyleCnt="4"/>
      <dgm:spPr/>
    </dgm:pt>
    <dgm:pt modelId="{AA08A403-89D7-4468-860F-4C8D9083D262}" type="pres">
      <dgm:prSet presAssocID="{04D28262-27D4-4A96-8A9B-E9CC736D7103}" presName="hierRoot2" presStyleCnt="0">
        <dgm:presLayoutVars>
          <dgm:hierBranch val="init"/>
        </dgm:presLayoutVars>
      </dgm:prSet>
      <dgm:spPr/>
    </dgm:pt>
    <dgm:pt modelId="{7ECA534C-9B68-4623-86C0-B1B2B8E47C27}" type="pres">
      <dgm:prSet presAssocID="{04D28262-27D4-4A96-8A9B-E9CC736D7103}" presName="rootComposite" presStyleCnt="0"/>
      <dgm:spPr/>
    </dgm:pt>
    <dgm:pt modelId="{BF4BB1AA-4DBE-4507-B279-84DB611DE3D9}" type="pres">
      <dgm:prSet presAssocID="{04D28262-27D4-4A96-8A9B-E9CC736D7103}" presName="rootText" presStyleLbl="node3" presStyleIdx="1" presStyleCnt="4">
        <dgm:presLayoutVars>
          <dgm:chPref val="3"/>
        </dgm:presLayoutVars>
      </dgm:prSet>
      <dgm:spPr/>
    </dgm:pt>
    <dgm:pt modelId="{B662C18C-FD65-4B35-81DA-0AA07988768D}" type="pres">
      <dgm:prSet presAssocID="{04D28262-27D4-4A96-8A9B-E9CC736D7103}" presName="rootConnector" presStyleLbl="node3" presStyleIdx="1" presStyleCnt="4"/>
      <dgm:spPr/>
    </dgm:pt>
    <dgm:pt modelId="{9459F0E1-5508-4192-A472-B8C4A37233FB}" type="pres">
      <dgm:prSet presAssocID="{04D28262-27D4-4A96-8A9B-E9CC736D7103}" presName="hierChild4" presStyleCnt="0"/>
      <dgm:spPr/>
    </dgm:pt>
    <dgm:pt modelId="{B8429EAD-8128-43ED-AC95-1F16B0237B6E}" type="pres">
      <dgm:prSet presAssocID="{819E766C-2ED8-47CA-A45D-E5D90E97075D}" presName="Name37" presStyleLbl="parChTrans1D4" presStyleIdx="1" presStyleCnt="3"/>
      <dgm:spPr/>
    </dgm:pt>
    <dgm:pt modelId="{B78DF617-0C60-4DFF-9A4A-3499B36D3A05}" type="pres">
      <dgm:prSet presAssocID="{A8B36F11-EDFA-448E-ACCA-F4E3B0ABB64C}" presName="hierRoot2" presStyleCnt="0">
        <dgm:presLayoutVars>
          <dgm:hierBranch val="init"/>
        </dgm:presLayoutVars>
      </dgm:prSet>
      <dgm:spPr/>
    </dgm:pt>
    <dgm:pt modelId="{6E5C4F98-26EB-440B-BEE0-9C5BD6BCEA32}" type="pres">
      <dgm:prSet presAssocID="{A8B36F11-EDFA-448E-ACCA-F4E3B0ABB64C}" presName="rootComposite" presStyleCnt="0"/>
      <dgm:spPr/>
    </dgm:pt>
    <dgm:pt modelId="{89C82BCD-3E8F-4B3E-ADEB-9F0B68EEFC29}" type="pres">
      <dgm:prSet presAssocID="{A8B36F11-EDFA-448E-ACCA-F4E3B0ABB64C}" presName="rootText" presStyleLbl="node4" presStyleIdx="1" presStyleCnt="3" custLinFactY="17877" custLinFactNeighborX="1072" custLinFactNeighborY="100000">
        <dgm:presLayoutVars>
          <dgm:chPref val="3"/>
        </dgm:presLayoutVars>
      </dgm:prSet>
      <dgm:spPr/>
    </dgm:pt>
    <dgm:pt modelId="{A616E4E2-6302-4B13-9A4D-0A15F519358E}" type="pres">
      <dgm:prSet presAssocID="{A8B36F11-EDFA-448E-ACCA-F4E3B0ABB64C}" presName="rootConnector" presStyleLbl="node4" presStyleIdx="1" presStyleCnt="3"/>
      <dgm:spPr/>
    </dgm:pt>
    <dgm:pt modelId="{72703296-1B66-4433-9D88-4E9CC73449CD}" type="pres">
      <dgm:prSet presAssocID="{A8B36F11-EDFA-448E-ACCA-F4E3B0ABB64C}" presName="hierChild4" presStyleCnt="0"/>
      <dgm:spPr/>
    </dgm:pt>
    <dgm:pt modelId="{C8674BAC-EC0F-48E6-BE54-13CC6AF2546C}" type="pres">
      <dgm:prSet presAssocID="{A8B36F11-EDFA-448E-ACCA-F4E3B0ABB64C}" presName="hierChild5" presStyleCnt="0"/>
      <dgm:spPr/>
    </dgm:pt>
    <dgm:pt modelId="{D7C749B0-249E-4EFF-B39B-600769655A0E}" type="pres">
      <dgm:prSet presAssocID="{04D28262-27D4-4A96-8A9B-E9CC736D7103}" presName="hierChild5" presStyleCnt="0"/>
      <dgm:spPr/>
    </dgm:pt>
    <dgm:pt modelId="{52FD661B-2D3B-49BB-9A28-EEFCCA35AD9B}" type="pres">
      <dgm:prSet presAssocID="{D0B3D3DE-7CB5-4F0F-B82E-AE744B2CBB75}" presName="Name37" presStyleLbl="parChTrans1D3" presStyleIdx="2" presStyleCnt="4"/>
      <dgm:spPr/>
    </dgm:pt>
    <dgm:pt modelId="{C7EB2C27-4BE2-4C9E-9FBD-516A7416693A}" type="pres">
      <dgm:prSet presAssocID="{1D8AAA2E-60A5-4FA8-BB8D-CF032DC80AE2}" presName="hierRoot2" presStyleCnt="0">
        <dgm:presLayoutVars>
          <dgm:hierBranch val="init"/>
        </dgm:presLayoutVars>
      </dgm:prSet>
      <dgm:spPr/>
    </dgm:pt>
    <dgm:pt modelId="{2D67EAD2-9E10-49BF-9895-79AFB5089F5D}" type="pres">
      <dgm:prSet presAssocID="{1D8AAA2E-60A5-4FA8-BB8D-CF032DC80AE2}" presName="rootComposite" presStyleCnt="0"/>
      <dgm:spPr/>
    </dgm:pt>
    <dgm:pt modelId="{2475995F-D1F8-4107-A258-730E90BCD88D}" type="pres">
      <dgm:prSet presAssocID="{1D8AAA2E-60A5-4FA8-BB8D-CF032DC80AE2}" presName="rootText" presStyleLbl="node3" presStyleIdx="2" presStyleCnt="4">
        <dgm:presLayoutVars>
          <dgm:chPref val="3"/>
        </dgm:presLayoutVars>
      </dgm:prSet>
      <dgm:spPr/>
    </dgm:pt>
    <dgm:pt modelId="{F0C0DE88-8657-4FB8-84E9-EE1A7E96A7BA}" type="pres">
      <dgm:prSet presAssocID="{1D8AAA2E-60A5-4FA8-BB8D-CF032DC80AE2}" presName="rootConnector" presStyleLbl="node3" presStyleIdx="2" presStyleCnt="4"/>
      <dgm:spPr/>
    </dgm:pt>
    <dgm:pt modelId="{965FFA83-479B-47EC-8AF1-1C0CFFC610CE}" type="pres">
      <dgm:prSet presAssocID="{1D8AAA2E-60A5-4FA8-BB8D-CF032DC80AE2}" presName="hierChild4" presStyleCnt="0"/>
      <dgm:spPr/>
    </dgm:pt>
    <dgm:pt modelId="{91D23516-BC80-4A96-83F0-C5CFAB70308E}" type="pres">
      <dgm:prSet presAssocID="{61B097B9-80ED-4819-BEC2-3D1040F26A3F}" presName="Name37" presStyleLbl="parChTrans1D4" presStyleIdx="2" presStyleCnt="3"/>
      <dgm:spPr/>
    </dgm:pt>
    <dgm:pt modelId="{B8824ECB-13C7-4A8B-9913-B10FF9421312}" type="pres">
      <dgm:prSet presAssocID="{01E09FA3-99A2-4DF9-9321-D18EE72FF41D}" presName="hierRoot2" presStyleCnt="0">
        <dgm:presLayoutVars>
          <dgm:hierBranch val="init"/>
        </dgm:presLayoutVars>
      </dgm:prSet>
      <dgm:spPr/>
    </dgm:pt>
    <dgm:pt modelId="{C58BDCA1-9B4F-40F3-8ABB-174C68C01412}" type="pres">
      <dgm:prSet presAssocID="{01E09FA3-99A2-4DF9-9321-D18EE72FF41D}" presName="rootComposite" presStyleCnt="0"/>
      <dgm:spPr/>
    </dgm:pt>
    <dgm:pt modelId="{96EAEC2D-51A0-4D58-8D8D-ED695F4677BC}" type="pres">
      <dgm:prSet presAssocID="{01E09FA3-99A2-4DF9-9321-D18EE72FF41D}" presName="rootText" presStyleLbl="node4" presStyleIdx="2" presStyleCnt="3" custLinFactY="17877" custLinFactNeighborX="1072" custLinFactNeighborY="100000">
        <dgm:presLayoutVars>
          <dgm:chPref val="3"/>
        </dgm:presLayoutVars>
      </dgm:prSet>
      <dgm:spPr/>
    </dgm:pt>
    <dgm:pt modelId="{6028E1F5-EAEC-42CF-AD1E-785122FD505B}" type="pres">
      <dgm:prSet presAssocID="{01E09FA3-99A2-4DF9-9321-D18EE72FF41D}" presName="rootConnector" presStyleLbl="node4" presStyleIdx="2" presStyleCnt="3"/>
      <dgm:spPr/>
    </dgm:pt>
    <dgm:pt modelId="{DB86481F-E835-4255-93DD-00A8591AFD2A}" type="pres">
      <dgm:prSet presAssocID="{01E09FA3-99A2-4DF9-9321-D18EE72FF41D}" presName="hierChild4" presStyleCnt="0"/>
      <dgm:spPr/>
    </dgm:pt>
    <dgm:pt modelId="{1F21D95E-A82F-4FEC-8679-201D0F68FF87}" type="pres">
      <dgm:prSet presAssocID="{01E09FA3-99A2-4DF9-9321-D18EE72FF41D}" presName="hierChild5" presStyleCnt="0"/>
      <dgm:spPr/>
    </dgm:pt>
    <dgm:pt modelId="{A69BEC85-7D63-48D6-B881-C892AE65D5D6}" type="pres">
      <dgm:prSet presAssocID="{1D8AAA2E-60A5-4FA8-BB8D-CF032DC80AE2}" presName="hierChild5" presStyleCnt="0"/>
      <dgm:spPr/>
    </dgm:pt>
    <dgm:pt modelId="{17103C69-0302-483E-83B6-DDD01D942D32}" type="pres">
      <dgm:prSet presAssocID="{1D8C16E0-4599-455F-94C1-B94B89884C13}" presName="Name37" presStyleLbl="parChTrans1D3" presStyleIdx="3" presStyleCnt="4"/>
      <dgm:spPr/>
    </dgm:pt>
    <dgm:pt modelId="{6D7C1801-74A8-4D14-BCD0-996644C52870}" type="pres">
      <dgm:prSet presAssocID="{A40BA4BE-0B14-451B-9D4C-5CA23E3806E7}" presName="hierRoot2" presStyleCnt="0">
        <dgm:presLayoutVars>
          <dgm:hierBranch val="init"/>
        </dgm:presLayoutVars>
      </dgm:prSet>
      <dgm:spPr/>
    </dgm:pt>
    <dgm:pt modelId="{BE7D34A5-5527-4060-B06D-654E69E5502B}" type="pres">
      <dgm:prSet presAssocID="{A40BA4BE-0B14-451B-9D4C-5CA23E3806E7}" presName="rootComposite" presStyleCnt="0"/>
      <dgm:spPr/>
    </dgm:pt>
    <dgm:pt modelId="{8626661B-01F0-4DF6-819E-869027AAF714}" type="pres">
      <dgm:prSet presAssocID="{A40BA4BE-0B14-451B-9D4C-5CA23E3806E7}" presName="rootText" presStyleLbl="node3" presStyleIdx="3" presStyleCnt="4">
        <dgm:presLayoutVars>
          <dgm:chPref val="3"/>
        </dgm:presLayoutVars>
      </dgm:prSet>
      <dgm:spPr/>
    </dgm:pt>
    <dgm:pt modelId="{0857AC9D-95D4-4A52-9D1C-207F7D093922}" type="pres">
      <dgm:prSet presAssocID="{A40BA4BE-0B14-451B-9D4C-5CA23E3806E7}" presName="rootConnector" presStyleLbl="node3" presStyleIdx="3" presStyleCnt="4"/>
      <dgm:spPr/>
    </dgm:pt>
    <dgm:pt modelId="{5DB5BE4C-CAFC-4A01-86F3-DA9FA36C0D79}" type="pres">
      <dgm:prSet presAssocID="{A40BA4BE-0B14-451B-9D4C-5CA23E3806E7}" presName="hierChild4" presStyleCnt="0"/>
      <dgm:spPr/>
    </dgm:pt>
    <dgm:pt modelId="{1C6CC99E-B773-4ACD-9060-AC6310D71328}" type="pres">
      <dgm:prSet presAssocID="{A40BA4BE-0B14-451B-9D4C-5CA23E3806E7}" presName="hierChild5" presStyleCnt="0"/>
      <dgm:spPr/>
    </dgm:pt>
    <dgm:pt modelId="{289BC3D3-6900-4405-AF4F-92EACE1CB878}" type="pres">
      <dgm:prSet presAssocID="{23ED8CFC-81C1-428B-A966-C87223B77595}" presName="hierChild5" presStyleCnt="0"/>
      <dgm:spPr/>
    </dgm:pt>
    <dgm:pt modelId="{A6339135-5765-4A4B-AE66-1F85B67972B6}" type="pres">
      <dgm:prSet presAssocID="{EEACE347-62BD-43BF-9D33-81718D276236}" presName="Name37" presStyleLbl="parChTrans1D2" presStyleIdx="1" presStyleCnt="5"/>
      <dgm:spPr/>
    </dgm:pt>
    <dgm:pt modelId="{229BEA70-9311-4A25-9595-781F96417EA2}" type="pres">
      <dgm:prSet presAssocID="{EAA85139-F8E3-4BBA-8393-786789E6EBE2}" presName="hierRoot2" presStyleCnt="0">
        <dgm:presLayoutVars>
          <dgm:hierBranch val="init"/>
        </dgm:presLayoutVars>
      </dgm:prSet>
      <dgm:spPr/>
    </dgm:pt>
    <dgm:pt modelId="{D5E3CC9F-3F6B-4D10-A6ED-A2946E623EF2}" type="pres">
      <dgm:prSet presAssocID="{EAA85139-F8E3-4BBA-8393-786789E6EBE2}" presName="rootComposite" presStyleCnt="0"/>
      <dgm:spPr/>
    </dgm:pt>
    <dgm:pt modelId="{0865E7C1-C8C5-4628-BF91-DFD448E2F845}" type="pres">
      <dgm:prSet presAssocID="{EAA85139-F8E3-4BBA-8393-786789E6EBE2}" presName="rootText" presStyleLbl="node2" presStyleIdx="1" presStyleCnt="5">
        <dgm:presLayoutVars>
          <dgm:chPref val="3"/>
        </dgm:presLayoutVars>
      </dgm:prSet>
      <dgm:spPr/>
    </dgm:pt>
    <dgm:pt modelId="{653B3261-3336-439D-8CA1-E643C0521771}" type="pres">
      <dgm:prSet presAssocID="{EAA85139-F8E3-4BBA-8393-786789E6EBE2}" presName="rootConnector" presStyleLbl="node2" presStyleIdx="1" presStyleCnt="5"/>
      <dgm:spPr/>
    </dgm:pt>
    <dgm:pt modelId="{9BA7BDF4-D218-48E7-A497-B9F6038DBB89}" type="pres">
      <dgm:prSet presAssocID="{EAA85139-F8E3-4BBA-8393-786789E6EBE2}" presName="hierChild4" presStyleCnt="0"/>
      <dgm:spPr/>
    </dgm:pt>
    <dgm:pt modelId="{ECBC1C88-C064-4FCB-8BE5-9A9B55AE6E6A}" type="pres">
      <dgm:prSet presAssocID="{EAA85139-F8E3-4BBA-8393-786789E6EBE2}" presName="hierChild5" presStyleCnt="0"/>
      <dgm:spPr/>
    </dgm:pt>
    <dgm:pt modelId="{9212C7B4-A036-482B-A3D9-AA773E264725}" type="pres">
      <dgm:prSet presAssocID="{814D8EC5-A029-4C0B-8818-7679B1066622}" presName="Name37" presStyleLbl="parChTrans1D2" presStyleIdx="2" presStyleCnt="5"/>
      <dgm:spPr/>
    </dgm:pt>
    <dgm:pt modelId="{AD74046B-5360-4517-A12C-9F42201B4D9B}" type="pres">
      <dgm:prSet presAssocID="{D3EAD832-C3B7-4F16-9218-900EF7C01B26}" presName="hierRoot2" presStyleCnt="0">
        <dgm:presLayoutVars>
          <dgm:hierBranch val="init"/>
        </dgm:presLayoutVars>
      </dgm:prSet>
      <dgm:spPr/>
    </dgm:pt>
    <dgm:pt modelId="{3BB6078C-1922-4E8B-B257-10DF6457F419}" type="pres">
      <dgm:prSet presAssocID="{D3EAD832-C3B7-4F16-9218-900EF7C01B26}" presName="rootComposite" presStyleCnt="0"/>
      <dgm:spPr/>
    </dgm:pt>
    <dgm:pt modelId="{7AA36B74-A52B-45E3-A0CB-60087D0C2443}" type="pres">
      <dgm:prSet presAssocID="{D3EAD832-C3B7-4F16-9218-900EF7C01B26}" presName="rootText" presStyleLbl="node2" presStyleIdx="2" presStyleCnt="5">
        <dgm:presLayoutVars>
          <dgm:chPref val="3"/>
        </dgm:presLayoutVars>
      </dgm:prSet>
      <dgm:spPr/>
    </dgm:pt>
    <dgm:pt modelId="{A9BC85F3-FCB6-4CF0-8CCC-4C4CB663CFB9}" type="pres">
      <dgm:prSet presAssocID="{D3EAD832-C3B7-4F16-9218-900EF7C01B26}" presName="rootConnector" presStyleLbl="node2" presStyleIdx="2" presStyleCnt="5"/>
      <dgm:spPr/>
    </dgm:pt>
    <dgm:pt modelId="{2F13A907-A147-4CF6-A78E-ACFBD33DEF94}" type="pres">
      <dgm:prSet presAssocID="{D3EAD832-C3B7-4F16-9218-900EF7C01B26}" presName="hierChild4" presStyleCnt="0"/>
      <dgm:spPr/>
    </dgm:pt>
    <dgm:pt modelId="{4B3C8E36-C582-44A1-BD1F-A44F180DCADF}" type="pres">
      <dgm:prSet presAssocID="{D3EAD832-C3B7-4F16-9218-900EF7C01B26}" presName="hierChild5" presStyleCnt="0"/>
      <dgm:spPr/>
    </dgm:pt>
    <dgm:pt modelId="{83E92D29-5D87-4FBD-92AC-2EEFA23E617A}" type="pres">
      <dgm:prSet presAssocID="{38CB51C5-3562-4000-A3D7-91940DD857E4}" presName="Name37" presStyleLbl="parChTrans1D2" presStyleIdx="3" presStyleCnt="5"/>
      <dgm:spPr/>
    </dgm:pt>
    <dgm:pt modelId="{8473ACC8-048A-42E7-AFE9-979DD9A621A4}" type="pres">
      <dgm:prSet presAssocID="{720A84F5-A8C3-42D6-9F6F-4D2126BBBA83}" presName="hierRoot2" presStyleCnt="0">
        <dgm:presLayoutVars>
          <dgm:hierBranch val="init"/>
        </dgm:presLayoutVars>
      </dgm:prSet>
      <dgm:spPr/>
    </dgm:pt>
    <dgm:pt modelId="{420094F4-BAA9-40AE-B319-FA30DFAA258F}" type="pres">
      <dgm:prSet presAssocID="{720A84F5-A8C3-42D6-9F6F-4D2126BBBA83}" presName="rootComposite" presStyleCnt="0"/>
      <dgm:spPr/>
    </dgm:pt>
    <dgm:pt modelId="{8164BF52-63BB-40C9-A999-DB74F871BBE3}" type="pres">
      <dgm:prSet presAssocID="{720A84F5-A8C3-42D6-9F6F-4D2126BBBA83}" presName="rootText" presStyleLbl="node2" presStyleIdx="3" presStyleCnt="5">
        <dgm:presLayoutVars>
          <dgm:chPref val="3"/>
        </dgm:presLayoutVars>
      </dgm:prSet>
      <dgm:spPr/>
    </dgm:pt>
    <dgm:pt modelId="{3AABA5AD-67FB-4A5E-84CC-23B186557FB6}" type="pres">
      <dgm:prSet presAssocID="{720A84F5-A8C3-42D6-9F6F-4D2126BBBA83}" presName="rootConnector" presStyleLbl="node2" presStyleIdx="3" presStyleCnt="5"/>
      <dgm:spPr/>
    </dgm:pt>
    <dgm:pt modelId="{3D9DE625-E69C-4266-8428-D1316D2ED9B0}" type="pres">
      <dgm:prSet presAssocID="{720A84F5-A8C3-42D6-9F6F-4D2126BBBA83}" presName="hierChild4" presStyleCnt="0"/>
      <dgm:spPr/>
    </dgm:pt>
    <dgm:pt modelId="{D6127A26-2E68-4B06-B9AD-3C2A370A55C7}" type="pres">
      <dgm:prSet presAssocID="{720A84F5-A8C3-42D6-9F6F-4D2126BBBA83}" presName="hierChild5" presStyleCnt="0"/>
      <dgm:spPr/>
    </dgm:pt>
    <dgm:pt modelId="{00268D7A-8C38-48B0-961F-1FD70B54E78D}" type="pres">
      <dgm:prSet presAssocID="{D7203144-6EEB-4CE8-8887-D45809D8E0A2}" presName="Name37" presStyleLbl="parChTrans1D2" presStyleIdx="4" presStyleCnt="5"/>
      <dgm:spPr/>
    </dgm:pt>
    <dgm:pt modelId="{29B2F634-9C26-476A-86AF-8EC37649FEFD}" type="pres">
      <dgm:prSet presAssocID="{904C68A8-6EB1-4096-BAE2-F8597E3545F7}" presName="hierRoot2" presStyleCnt="0">
        <dgm:presLayoutVars>
          <dgm:hierBranch val="init"/>
        </dgm:presLayoutVars>
      </dgm:prSet>
      <dgm:spPr/>
    </dgm:pt>
    <dgm:pt modelId="{3193FDBC-03F9-4399-A776-07F180B82236}" type="pres">
      <dgm:prSet presAssocID="{904C68A8-6EB1-4096-BAE2-F8597E3545F7}" presName="rootComposite" presStyleCnt="0"/>
      <dgm:spPr/>
    </dgm:pt>
    <dgm:pt modelId="{2A9C3C54-5B58-49BD-BB0F-7BD286DF6C57}" type="pres">
      <dgm:prSet presAssocID="{904C68A8-6EB1-4096-BAE2-F8597E3545F7}" presName="rootText" presStyleLbl="node2" presStyleIdx="4" presStyleCnt="5">
        <dgm:presLayoutVars>
          <dgm:chPref val="3"/>
        </dgm:presLayoutVars>
      </dgm:prSet>
      <dgm:spPr/>
    </dgm:pt>
    <dgm:pt modelId="{75F1D8B1-431B-40B6-B7D0-99CA4BAD291D}" type="pres">
      <dgm:prSet presAssocID="{904C68A8-6EB1-4096-BAE2-F8597E3545F7}" presName="rootConnector" presStyleLbl="node2" presStyleIdx="4" presStyleCnt="5"/>
      <dgm:spPr/>
    </dgm:pt>
    <dgm:pt modelId="{AAD0481A-6EA6-4AC8-8F38-35667754CC35}" type="pres">
      <dgm:prSet presAssocID="{904C68A8-6EB1-4096-BAE2-F8597E3545F7}" presName="hierChild4" presStyleCnt="0"/>
      <dgm:spPr/>
    </dgm:pt>
    <dgm:pt modelId="{C89F1E55-C151-4630-AECB-8DE73B34F6E0}" type="pres">
      <dgm:prSet presAssocID="{904C68A8-6EB1-4096-BAE2-F8597E3545F7}" presName="hierChild5" presStyleCnt="0"/>
      <dgm:spPr/>
    </dgm:pt>
    <dgm:pt modelId="{7750E4D9-DB4C-4E8F-8CE6-4C4B89A1ECFF}" type="pres">
      <dgm:prSet presAssocID="{BE108FD2-3A0C-4907-9ADF-8F5A07EE0C01}" presName="hierChild3" presStyleCnt="0"/>
      <dgm:spPr/>
    </dgm:pt>
  </dgm:ptLst>
  <dgm:cxnLst>
    <dgm:cxn modelId="{2B870502-9B1B-4585-95F4-A123DF81CA0B}" type="presOf" srcId="{345A7164-9B84-4772-B53F-578508EB30FA}" destId="{3A5A8D36-8B03-42BF-B627-CE87AF11EC22}" srcOrd="0" destOrd="0" presId="urn:microsoft.com/office/officeart/2005/8/layout/orgChart1"/>
    <dgm:cxn modelId="{E0FCF806-74F9-4621-B431-0B01D73D49BD}" type="presOf" srcId="{A8B36F11-EDFA-448E-ACCA-F4E3B0ABB64C}" destId="{89C82BCD-3E8F-4B3E-ADEB-9F0B68EEFC29}" srcOrd="0" destOrd="0" presId="urn:microsoft.com/office/officeart/2005/8/layout/orgChart1"/>
    <dgm:cxn modelId="{EC25550A-E9CC-45FC-88B3-54160EF44D16}" srcId="{BE108FD2-3A0C-4907-9ADF-8F5A07EE0C01}" destId="{23ED8CFC-81C1-428B-A966-C87223B77595}" srcOrd="0" destOrd="0" parTransId="{98738C59-5ADF-4431-8B3C-5AAD82547238}" sibTransId="{F2759905-CCCC-465E-9841-8A119BD49559}"/>
    <dgm:cxn modelId="{93AFF50C-E062-49F7-995A-5DE16FD8AE02}" type="presOf" srcId="{D7203144-6EEB-4CE8-8887-D45809D8E0A2}" destId="{00268D7A-8C38-48B0-961F-1FD70B54E78D}" srcOrd="0" destOrd="0" presId="urn:microsoft.com/office/officeart/2005/8/layout/orgChart1"/>
    <dgm:cxn modelId="{EBFE660E-8517-408C-A626-E3D07E016552}" type="presOf" srcId="{04D28262-27D4-4A96-8A9B-E9CC736D7103}" destId="{BF4BB1AA-4DBE-4507-B279-84DB611DE3D9}" srcOrd="0" destOrd="0" presId="urn:microsoft.com/office/officeart/2005/8/layout/orgChart1"/>
    <dgm:cxn modelId="{A3CDB313-A0F8-4032-9ADB-C55809D3267A}" type="presOf" srcId="{04D28262-27D4-4A96-8A9B-E9CC736D7103}" destId="{B662C18C-FD65-4B35-81DA-0AA07988768D}" srcOrd="1" destOrd="0" presId="urn:microsoft.com/office/officeart/2005/8/layout/orgChart1"/>
    <dgm:cxn modelId="{B8D4DA16-B6C4-4121-B023-F170713D6AA7}" srcId="{BE108FD2-3A0C-4907-9ADF-8F5A07EE0C01}" destId="{720A84F5-A8C3-42D6-9F6F-4D2126BBBA83}" srcOrd="3" destOrd="0" parTransId="{38CB51C5-3562-4000-A3D7-91940DD857E4}" sibTransId="{4AB5C324-30D6-4C82-8CB8-34ED816646D6}"/>
    <dgm:cxn modelId="{7F5EAC2E-203C-401D-9E50-A6FA2FDA94DA}" srcId="{23ED8CFC-81C1-428B-A966-C87223B77595}" destId="{1D8AAA2E-60A5-4FA8-BB8D-CF032DC80AE2}" srcOrd="2" destOrd="0" parTransId="{D0B3D3DE-7CB5-4F0F-B82E-AE744B2CBB75}" sibTransId="{1C18BB0E-00C4-4AB9-8E94-E571BD89AF5C}"/>
    <dgm:cxn modelId="{F57BDE30-D8B2-49AF-BEC6-7140ED8E3F91}" type="presOf" srcId="{01E09FA3-99A2-4DF9-9321-D18EE72FF41D}" destId="{96EAEC2D-51A0-4D58-8D8D-ED695F4677BC}" srcOrd="0" destOrd="0" presId="urn:microsoft.com/office/officeart/2005/8/layout/orgChart1"/>
    <dgm:cxn modelId="{324B2936-BE62-4603-BA2D-2C0FDE9815D0}" type="presOf" srcId="{EAA85139-F8E3-4BBA-8393-786789E6EBE2}" destId="{0865E7C1-C8C5-4628-BF91-DFD448E2F845}" srcOrd="0" destOrd="0" presId="urn:microsoft.com/office/officeart/2005/8/layout/orgChart1"/>
    <dgm:cxn modelId="{373ACC38-5177-4B97-9AB1-80E17CA92893}" type="presOf" srcId="{2046EEBA-982B-4301-8241-2803CAE760D1}" destId="{8AF5AB59-B06C-46A8-910F-A9FC22C138D6}" srcOrd="1" destOrd="0" presId="urn:microsoft.com/office/officeart/2005/8/layout/orgChart1"/>
    <dgm:cxn modelId="{148CFB39-DBFE-46A9-88EB-9741985B287B}" type="presOf" srcId="{A53E9160-5CAA-4D15-A8FF-26C7A1BB68F3}" destId="{1FB34EFA-170E-4CEC-8A83-94E6D3D1104A}" srcOrd="0" destOrd="0" presId="urn:microsoft.com/office/officeart/2005/8/layout/orgChart1"/>
    <dgm:cxn modelId="{8C83143A-D9C9-40BB-8C8F-9FD75F91FBC2}" type="presOf" srcId="{EAA85139-F8E3-4BBA-8393-786789E6EBE2}" destId="{653B3261-3336-439D-8CA1-E643C0521771}" srcOrd="1" destOrd="0" presId="urn:microsoft.com/office/officeart/2005/8/layout/orgChart1"/>
    <dgm:cxn modelId="{99444B3B-7A2F-4A8E-9C27-18483C25B821}" type="presOf" srcId="{23ED8CFC-81C1-428B-A966-C87223B77595}" destId="{4DF62BC4-0040-4565-93E9-FE04334E95F7}" srcOrd="1" destOrd="0" presId="urn:microsoft.com/office/officeart/2005/8/layout/orgChart1"/>
    <dgm:cxn modelId="{EAAE665D-9024-4C8F-B311-38B834CA51BC}" type="presOf" srcId="{814D8EC5-A029-4C0B-8818-7679B1066622}" destId="{9212C7B4-A036-482B-A3D9-AA773E264725}" srcOrd="0" destOrd="0" presId="urn:microsoft.com/office/officeart/2005/8/layout/orgChart1"/>
    <dgm:cxn modelId="{0C78355E-5FCC-4414-B32C-F9F7062C9370}" type="presOf" srcId="{1D8AAA2E-60A5-4FA8-BB8D-CF032DC80AE2}" destId="{F0C0DE88-8657-4FB8-84E9-EE1A7E96A7BA}" srcOrd="1" destOrd="0" presId="urn:microsoft.com/office/officeart/2005/8/layout/orgChart1"/>
    <dgm:cxn modelId="{35E9D75E-5A88-4170-A161-FA2BF2A5495D}" srcId="{23ED8CFC-81C1-428B-A966-C87223B77595}" destId="{A40BA4BE-0B14-451B-9D4C-5CA23E3806E7}" srcOrd="3" destOrd="0" parTransId="{1D8C16E0-4599-455F-94C1-B94B89884C13}" sibTransId="{9A41387E-C038-4649-B1C0-34385333535C}"/>
    <dgm:cxn modelId="{E7636A60-3B6B-48E7-8BF9-6E8672DDA6F4}" srcId="{A53E9160-5CAA-4D15-A8FF-26C7A1BB68F3}" destId="{2046EEBA-982B-4301-8241-2803CAE760D1}" srcOrd="0" destOrd="0" parTransId="{345A7164-9B84-4772-B53F-578508EB30FA}" sibTransId="{0603BC87-DD29-460F-B651-36077527D28A}"/>
    <dgm:cxn modelId="{7C1AEA61-29E9-49FF-930C-6321EBBC0A0D}" type="presOf" srcId="{720A84F5-A8C3-42D6-9F6F-4D2126BBBA83}" destId="{3AABA5AD-67FB-4A5E-84CC-23B186557FB6}" srcOrd="1" destOrd="0" presId="urn:microsoft.com/office/officeart/2005/8/layout/orgChart1"/>
    <dgm:cxn modelId="{06989445-AAE0-442C-8687-02557B085975}" type="presOf" srcId="{D0B3D3DE-7CB5-4F0F-B82E-AE744B2CBB75}" destId="{52FD661B-2D3B-49BB-9A28-EEFCCA35AD9B}" srcOrd="0" destOrd="0" presId="urn:microsoft.com/office/officeart/2005/8/layout/orgChart1"/>
    <dgm:cxn modelId="{E541A665-FABF-44BA-A858-C774A1EBC96C}" srcId="{1D8AAA2E-60A5-4FA8-BB8D-CF032DC80AE2}" destId="{01E09FA3-99A2-4DF9-9321-D18EE72FF41D}" srcOrd="0" destOrd="0" parTransId="{61B097B9-80ED-4819-BEC2-3D1040F26A3F}" sibTransId="{BE05A8A2-7299-4B23-A3B7-281AB018F750}"/>
    <dgm:cxn modelId="{A1DD8D67-B5BD-4001-8762-8A11B838B32E}" type="presOf" srcId="{D3EAD832-C3B7-4F16-9218-900EF7C01B26}" destId="{7AA36B74-A52B-45E3-A0CB-60087D0C2443}" srcOrd="0" destOrd="0" presId="urn:microsoft.com/office/officeart/2005/8/layout/orgChart1"/>
    <dgm:cxn modelId="{F3831569-8A20-4058-A64B-4268E5D0EDBB}" type="presOf" srcId="{904C68A8-6EB1-4096-BAE2-F8597E3545F7}" destId="{2A9C3C54-5B58-49BD-BB0F-7BD286DF6C57}" srcOrd="0" destOrd="0" presId="urn:microsoft.com/office/officeart/2005/8/layout/orgChart1"/>
    <dgm:cxn modelId="{F608F54C-3AAD-4057-8B3B-38FCFBB65B31}" srcId="{BE108FD2-3A0C-4907-9ADF-8F5A07EE0C01}" destId="{904C68A8-6EB1-4096-BAE2-F8597E3545F7}" srcOrd="4" destOrd="0" parTransId="{D7203144-6EEB-4CE8-8887-D45809D8E0A2}" sibTransId="{BD1078CA-3716-4737-9B2C-0A4BF3F70586}"/>
    <dgm:cxn modelId="{4BCF8B83-3C18-45A5-B5BA-515474ECA790}" type="presOf" srcId="{01E09FA3-99A2-4DF9-9321-D18EE72FF41D}" destId="{6028E1F5-EAEC-42CF-AD1E-785122FD505B}" srcOrd="1" destOrd="0" presId="urn:microsoft.com/office/officeart/2005/8/layout/orgChart1"/>
    <dgm:cxn modelId="{C166CB86-4844-48C3-9DFE-F65E726C3D43}" type="presOf" srcId="{98738C59-5ADF-4431-8B3C-5AAD82547238}" destId="{340F67C4-F267-4C22-B5DF-B7550B5CA0DF}" srcOrd="0" destOrd="0" presId="urn:microsoft.com/office/officeart/2005/8/layout/orgChart1"/>
    <dgm:cxn modelId="{89C01690-30C1-4A0C-A3CC-B8E39A49CDE2}" type="presOf" srcId="{2046EEBA-982B-4301-8241-2803CAE760D1}" destId="{43782A98-1838-41BA-B5F4-3F6A5D3A4643}" srcOrd="0" destOrd="0" presId="urn:microsoft.com/office/officeart/2005/8/layout/orgChart1"/>
    <dgm:cxn modelId="{8C98EB91-9C5B-45BF-BEF5-E0EEFD77DCC7}" srcId="{23ED8CFC-81C1-428B-A966-C87223B77595}" destId="{A53E9160-5CAA-4D15-A8FF-26C7A1BB68F3}" srcOrd="0" destOrd="0" parTransId="{F068F1B7-D50F-4E19-AF22-0D439665847E}" sibTransId="{439329C8-3E8D-44D1-80F8-FAF1444C6D0A}"/>
    <dgm:cxn modelId="{EDB88597-9630-4CB6-A2CD-903B5DF41076}" srcId="{7B00E043-875A-4A60-A7BD-2775E65F19B2}" destId="{BE108FD2-3A0C-4907-9ADF-8F5A07EE0C01}" srcOrd="0" destOrd="0" parTransId="{8F48B282-2873-4CA3-BE10-C61BCD1E452A}" sibTransId="{5225EDEF-6573-4E8D-A1EA-25F884A5E013}"/>
    <dgm:cxn modelId="{0A31A697-3AEE-4FAD-9723-4E07816C5A78}" srcId="{BE108FD2-3A0C-4907-9ADF-8F5A07EE0C01}" destId="{D3EAD832-C3B7-4F16-9218-900EF7C01B26}" srcOrd="2" destOrd="0" parTransId="{814D8EC5-A029-4C0B-8818-7679B1066622}" sibTransId="{ACEA1F23-050F-4A7E-81C4-B8661588BC3A}"/>
    <dgm:cxn modelId="{C844809A-B3FA-4012-95AA-B491AFA8C89A}" type="presOf" srcId="{720A84F5-A8C3-42D6-9F6F-4D2126BBBA83}" destId="{8164BF52-63BB-40C9-A999-DB74F871BBE3}" srcOrd="0" destOrd="0" presId="urn:microsoft.com/office/officeart/2005/8/layout/orgChart1"/>
    <dgm:cxn modelId="{BE00F89A-7054-40B2-B7F9-24CF6451E451}" type="presOf" srcId="{819E766C-2ED8-47CA-A45D-E5D90E97075D}" destId="{B8429EAD-8128-43ED-AC95-1F16B0237B6E}" srcOrd="0" destOrd="0" presId="urn:microsoft.com/office/officeart/2005/8/layout/orgChart1"/>
    <dgm:cxn modelId="{DBC0889D-68DF-4F66-8218-13736751E2A0}" type="presOf" srcId="{1D8AAA2E-60A5-4FA8-BB8D-CF032DC80AE2}" destId="{2475995F-D1F8-4107-A258-730E90BCD88D}" srcOrd="0" destOrd="0" presId="urn:microsoft.com/office/officeart/2005/8/layout/orgChart1"/>
    <dgm:cxn modelId="{4D06ABA5-EBF3-4C02-8495-FC5108C182DA}" type="presOf" srcId="{38CB51C5-3562-4000-A3D7-91940DD857E4}" destId="{83E92D29-5D87-4FBD-92AC-2EEFA23E617A}" srcOrd="0" destOrd="0" presId="urn:microsoft.com/office/officeart/2005/8/layout/orgChart1"/>
    <dgm:cxn modelId="{771FC8A5-BC27-4308-A0A4-18033C44106B}" type="presOf" srcId="{BE108FD2-3A0C-4907-9ADF-8F5A07EE0C01}" destId="{7A853995-3DC4-4A23-BB8E-35D3332D16E6}" srcOrd="1" destOrd="0" presId="urn:microsoft.com/office/officeart/2005/8/layout/orgChart1"/>
    <dgm:cxn modelId="{3FAA9AA7-60F6-46CD-A4F5-D5E03A02793B}" type="presOf" srcId="{A40BA4BE-0B14-451B-9D4C-5CA23E3806E7}" destId="{0857AC9D-95D4-4A52-9D1C-207F7D093922}" srcOrd="1" destOrd="0" presId="urn:microsoft.com/office/officeart/2005/8/layout/orgChart1"/>
    <dgm:cxn modelId="{47DB8AB3-3E00-409F-8DC6-8EA6E7A4A41E}" srcId="{04D28262-27D4-4A96-8A9B-E9CC736D7103}" destId="{A8B36F11-EDFA-448E-ACCA-F4E3B0ABB64C}" srcOrd="0" destOrd="0" parTransId="{819E766C-2ED8-47CA-A45D-E5D90E97075D}" sibTransId="{D4A2B17E-4084-4B25-B047-343383A7F61B}"/>
    <dgm:cxn modelId="{83DD4FB4-20F4-49C0-930D-DADABBD39A2A}" type="presOf" srcId="{61B097B9-80ED-4819-BEC2-3D1040F26A3F}" destId="{91D23516-BC80-4A96-83F0-C5CFAB70308E}" srcOrd="0" destOrd="0" presId="urn:microsoft.com/office/officeart/2005/8/layout/orgChart1"/>
    <dgm:cxn modelId="{54F436BC-DA84-498C-9CF5-9FBF0A62103D}" type="presOf" srcId="{7B00E043-875A-4A60-A7BD-2775E65F19B2}" destId="{F9823C52-5345-410C-9F4A-613A5C21F0E8}" srcOrd="0" destOrd="0" presId="urn:microsoft.com/office/officeart/2005/8/layout/orgChart1"/>
    <dgm:cxn modelId="{543477C3-9AA9-4A53-A048-F157D4AF2FDB}" type="presOf" srcId="{A8B36F11-EDFA-448E-ACCA-F4E3B0ABB64C}" destId="{A616E4E2-6302-4B13-9A4D-0A15F519358E}" srcOrd="1" destOrd="0" presId="urn:microsoft.com/office/officeart/2005/8/layout/orgChart1"/>
    <dgm:cxn modelId="{68CDD8C3-41D1-4BBD-9F32-721B8EC1A105}" type="presOf" srcId="{904C68A8-6EB1-4096-BAE2-F8597E3545F7}" destId="{75F1D8B1-431B-40B6-B7D0-99CA4BAD291D}" srcOrd="1" destOrd="0" presId="urn:microsoft.com/office/officeart/2005/8/layout/orgChart1"/>
    <dgm:cxn modelId="{3F21E5CC-7E08-4DE7-9110-5172B08073A2}" type="presOf" srcId="{D3EAD832-C3B7-4F16-9218-900EF7C01B26}" destId="{A9BC85F3-FCB6-4CF0-8CCC-4C4CB663CFB9}" srcOrd="1" destOrd="0" presId="urn:microsoft.com/office/officeart/2005/8/layout/orgChart1"/>
    <dgm:cxn modelId="{1DDF29D4-27DF-43BA-84F9-E67FE9641B3C}" type="presOf" srcId="{BE108FD2-3A0C-4907-9ADF-8F5A07EE0C01}" destId="{B5EF23FE-E97C-4F8C-B341-37F1FEA0D4DD}" srcOrd="0" destOrd="0" presId="urn:microsoft.com/office/officeart/2005/8/layout/orgChart1"/>
    <dgm:cxn modelId="{F33BE4D9-AA90-4DE8-9535-77548F995C8B}" type="presOf" srcId="{1D8C16E0-4599-455F-94C1-B94B89884C13}" destId="{17103C69-0302-483E-83B6-DDD01D942D32}" srcOrd="0" destOrd="0" presId="urn:microsoft.com/office/officeart/2005/8/layout/orgChart1"/>
    <dgm:cxn modelId="{8520C2DA-CF19-4355-8D66-FF39A8A90970}" type="presOf" srcId="{A40BA4BE-0B14-451B-9D4C-5CA23E3806E7}" destId="{8626661B-01F0-4DF6-819E-869027AAF714}" srcOrd="0" destOrd="0" presId="urn:microsoft.com/office/officeart/2005/8/layout/orgChart1"/>
    <dgm:cxn modelId="{74B077DD-C98B-4ECD-9A27-8215910CE3D9}" srcId="{23ED8CFC-81C1-428B-A966-C87223B77595}" destId="{04D28262-27D4-4A96-8A9B-E9CC736D7103}" srcOrd="1" destOrd="0" parTransId="{3CB4F370-1677-4FF7-A431-6F134EE8D01A}" sibTransId="{80966A06-83D7-4147-A13E-1A0543822CC6}"/>
    <dgm:cxn modelId="{37ECAEE0-FD61-4712-A0D0-6C7E879849F2}" type="presOf" srcId="{EEACE347-62BD-43BF-9D33-81718D276236}" destId="{A6339135-5765-4A4B-AE66-1F85B67972B6}" srcOrd="0" destOrd="0" presId="urn:microsoft.com/office/officeart/2005/8/layout/orgChart1"/>
    <dgm:cxn modelId="{40C716EB-E526-438B-9DAD-7A42BF54C3D2}" type="presOf" srcId="{23ED8CFC-81C1-428B-A966-C87223B77595}" destId="{7A0B9906-977A-4B42-942C-11DDBAD50226}" srcOrd="0" destOrd="0" presId="urn:microsoft.com/office/officeart/2005/8/layout/orgChart1"/>
    <dgm:cxn modelId="{3C7D47F7-6CB2-4F43-9C04-E83788E602E9}" srcId="{BE108FD2-3A0C-4907-9ADF-8F5A07EE0C01}" destId="{EAA85139-F8E3-4BBA-8393-786789E6EBE2}" srcOrd="1" destOrd="0" parTransId="{EEACE347-62BD-43BF-9D33-81718D276236}" sibTransId="{2C92DF4F-6112-414F-B5F1-B34720944213}"/>
    <dgm:cxn modelId="{402BC0F7-8792-4617-A190-6AFFCA2AEEEF}" type="presOf" srcId="{A53E9160-5CAA-4D15-A8FF-26C7A1BB68F3}" destId="{13EE620A-8E91-4933-90A0-B10DD4BFB838}" srcOrd="1" destOrd="0" presId="urn:microsoft.com/office/officeart/2005/8/layout/orgChart1"/>
    <dgm:cxn modelId="{BD48EFF9-93CC-48D7-BF29-18F1B2791E67}" type="presOf" srcId="{F068F1B7-D50F-4E19-AF22-0D439665847E}" destId="{3D65BB9A-E472-4012-9432-AF20FB359CF9}" srcOrd="0" destOrd="0" presId="urn:microsoft.com/office/officeart/2005/8/layout/orgChart1"/>
    <dgm:cxn modelId="{F8E020FF-D75D-4EB6-89AB-8B4B865909B6}" type="presOf" srcId="{3CB4F370-1677-4FF7-A431-6F134EE8D01A}" destId="{F4372CDA-AFB5-4451-92EF-ECBD1813E030}" srcOrd="0" destOrd="0" presId="urn:microsoft.com/office/officeart/2005/8/layout/orgChart1"/>
    <dgm:cxn modelId="{86AA19A6-0908-4CA7-8EFE-D0EDCBFD9C39}" type="presParOf" srcId="{F9823C52-5345-410C-9F4A-613A5C21F0E8}" destId="{713AD229-56A2-4412-94A8-192ED355CA95}" srcOrd="0" destOrd="0" presId="urn:microsoft.com/office/officeart/2005/8/layout/orgChart1"/>
    <dgm:cxn modelId="{22AE6C1F-9EBC-4DE3-A2CC-D7A378F2C73F}" type="presParOf" srcId="{713AD229-56A2-4412-94A8-192ED355CA95}" destId="{7D7AEAE3-F839-473A-B6BE-671413977CFC}" srcOrd="0" destOrd="0" presId="urn:microsoft.com/office/officeart/2005/8/layout/orgChart1"/>
    <dgm:cxn modelId="{AFA4C6BE-F754-479E-8CED-347C4781170F}" type="presParOf" srcId="{7D7AEAE3-F839-473A-B6BE-671413977CFC}" destId="{B5EF23FE-E97C-4F8C-B341-37F1FEA0D4DD}" srcOrd="0" destOrd="0" presId="urn:microsoft.com/office/officeart/2005/8/layout/orgChart1"/>
    <dgm:cxn modelId="{BFA19FC2-7A43-425F-B7AB-DC29E8594418}" type="presParOf" srcId="{7D7AEAE3-F839-473A-B6BE-671413977CFC}" destId="{7A853995-3DC4-4A23-BB8E-35D3332D16E6}" srcOrd="1" destOrd="0" presId="urn:microsoft.com/office/officeart/2005/8/layout/orgChart1"/>
    <dgm:cxn modelId="{5559B732-3438-4A60-B0F0-E8982415CC51}" type="presParOf" srcId="{713AD229-56A2-4412-94A8-192ED355CA95}" destId="{E9344533-571F-48FF-B221-7CE27D1FAD8F}" srcOrd="1" destOrd="0" presId="urn:microsoft.com/office/officeart/2005/8/layout/orgChart1"/>
    <dgm:cxn modelId="{C29EE5CF-D4AF-4A9F-9B5A-86D05BDBAE55}" type="presParOf" srcId="{E9344533-571F-48FF-B221-7CE27D1FAD8F}" destId="{340F67C4-F267-4C22-B5DF-B7550B5CA0DF}" srcOrd="0" destOrd="0" presId="urn:microsoft.com/office/officeart/2005/8/layout/orgChart1"/>
    <dgm:cxn modelId="{75F73382-12C9-46FB-957E-AA88D06329F4}" type="presParOf" srcId="{E9344533-571F-48FF-B221-7CE27D1FAD8F}" destId="{3B530F0C-F368-430D-9728-F0951AF79F67}" srcOrd="1" destOrd="0" presId="urn:microsoft.com/office/officeart/2005/8/layout/orgChart1"/>
    <dgm:cxn modelId="{08BF8931-6776-4DEC-AB87-1BF010853954}" type="presParOf" srcId="{3B530F0C-F368-430D-9728-F0951AF79F67}" destId="{0541DB2A-74CC-40F8-A4C9-221E4BDDBC0F}" srcOrd="0" destOrd="0" presId="urn:microsoft.com/office/officeart/2005/8/layout/orgChart1"/>
    <dgm:cxn modelId="{F6A8955A-C104-49CD-B4B2-FC60CC315B81}" type="presParOf" srcId="{0541DB2A-74CC-40F8-A4C9-221E4BDDBC0F}" destId="{7A0B9906-977A-4B42-942C-11DDBAD50226}" srcOrd="0" destOrd="0" presId="urn:microsoft.com/office/officeart/2005/8/layout/orgChart1"/>
    <dgm:cxn modelId="{8092F9FE-9748-47EC-87B7-6000A3D72AED}" type="presParOf" srcId="{0541DB2A-74CC-40F8-A4C9-221E4BDDBC0F}" destId="{4DF62BC4-0040-4565-93E9-FE04334E95F7}" srcOrd="1" destOrd="0" presId="urn:microsoft.com/office/officeart/2005/8/layout/orgChart1"/>
    <dgm:cxn modelId="{DCEFD348-2E06-4C57-B3A3-53352E603036}" type="presParOf" srcId="{3B530F0C-F368-430D-9728-F0951AF79F67}" destId="{ADE0A641-D530-4348-A4C3-AE6295B7BFB2}" srcOrd="1" destOrd="0" presId="urn:microsoft.com/office/officeart/2005/8/layout/orgChart1"/>
    <dgm:cxn modelId="{6D83250B-009A-4FC7-B74B-4C52BC262B97}" type="presParOf" srcId="{ADE0A641-D530-4348-A4C3-AE6295B7BFB2}" destId="{3D65BB9A-E472-4012-9432-AF20FB359CF9}" srcOrd="0" destOrd="0" presId="urn:microsoft.com/office/officeart/2005/8/layout/orgChart1"/>
    <dgm:cxn modelId="{93CD3413-2E29-4DF5-A499-23673208D1A3}" type="presParOf" srcId="{ADE0A641-D530-4348-A4C3-AE6295B7BFB2}" destId="{0EEB9817-48D2-459A-BF87-6EE7F6749BC8}" srcOrd="1" destOrd="0" presId="urn:microsoft.com/office/officeart/2005/8/layout/orgChart1"/>
    <dgm:cxn modelId="{1197B74C-83EE-488D-B6A9-CEC357CE1026}" type="presParOf" srcId="{0EEB9817-48D2-459A-BF87-6EE7F6749BC8}" destId="{507DE141-A108-4466-A9FC-498E5E6CE6FF}" srcOrd="0" destOrd="0" presId="urn:microsoft.com/office/officeart/2005/8/layout/orgChart1"/>
    <dgm:cxn modelId="{AF7C290E-9C7A-40D7-8949-B91FFC560635}" type="presParOf" srcId="{507DE141-A108-4466-A9FC-498E5E6CE6FF}" destId="{1FB34EFA-170E-4CEC-8A83-94E6D3D1104A}" srcOrd="0" destOrd="0" presId="urn:microsoft.com/office/officeart/2005/8/layout/orgChart1"/>
    <dgm:cxn modelId="{E358C183-1DCE-4EAB-BBAD-AAE3A07CB97F}" type="presParOf" srcId="{507DE141-A108-4466-A9FC-498E5E6CE6FF}" destId="{13EE620A-8E91-4933-90A0-B10DD4BFB838}" srcOrd="1" destOrd="0" presId="urn:microsoft.com/office/officeart/2005/8/layout/orgChart1"/>
    <dgm:cxn modelId="{7C297B48-1408-40E0-B7A4-EC7871FCC10C}" type="presParOf" srcId="{0EEB9817-48D2-459A-BF87-6EE7F6749BC8}" destId="{F2590A2E-914F-42F0-B0E2-B8E1E522C117}" srcOrd="1" destOrd="0" presId="urn:microsoft.com/office/officeart/2005/8/layout/orgChart1"/>
    <dgm:cxn modelId="{FFEF5EF2-0FCD-408F-8B83-56C668596EE4}" type="presParOf" srcId="{F2590A2E-914F-42F0-B0E2-B8E1E522C117}" destId="{3A5A8D36-8B03-42BF-B627-CE87AF11EC22}" srcOrd="0" destOrd="0" presId="urn:microsoft.com/office/officeart/2005/8/layout/orgChart1"/>
    <dgm:cxn modelId="{0191ED6D-BAF5-4F61-8108-7DFAF43A6DD3}" type="presParOf" srcId="{F2590A2E-914F-42F0-B0E2-B8E1E522C117}" destId="{7D182248-D391-4EEA-BCFF-9EFF4F0659C7}" srcOrd="1" destOrd="0" presId="urn:microsoft.com/office/officeart/2005/8/layout/orgChart1"/>
    <dgm:cxn modelId="{563887DB-81C3-4C46-8EA7-D4370B762CEF}" type="presParOf" srcId="{7D182248-D391-4EEA-BCFF-9EFF4F0659C7}" destId="{1D625D73-B697-4891-BA6E-54D81034BF41}" srcOrd="0" destOrd="0" presId="urn:microsoft.com/office/officeart/2005/8/layout/orgChart1"/>
    <dgm:cxn modelId="{074AB39A-3903-4BEB-B10F-CD1F3A94925D}" type="presParOf" srcId="{1D625D73-B697-4891-BA6E-54D81034BF41}" destId="{43782A98-1838-41BA-B5F4-3F6A5D3A4643}" srcOrd="0" destOrd="0" presId="urn:microsoft.com/office/officeart/2005/8/layout/orgChart1"/>
    <dgm:cxn modelId="{ADD68F58-F2DA-46D3-A2FF-AB4C31348E84}" type="presParOf" srcId="{1D625D73-B697-4891-BA6E-54D81034BF41}" destId="{8AF5AB59-B06C-46A8-910F-A9FC22C138D6}" srcOrd="1" destOrd="0" presId="urn:microsoft.com/office/officeart/2005/8/layout/orgChart1"/>
    <dgm:cxn modelId="{872C5284-5F11-454B-9229-59F30FE43F57}" type="presParOf" srcId="{7D182248-D391-4EEA-BCFF-9EFF4F0659C7}" destId="{C01AD7B7-51E8-4A3B-8D3B-5E509C0EBD14}" srcOrd="1" destOrd="0" presId="urn:microsoft.com/office/officeart/2005/8/layout/orgChart1"/>
    <dgm:cxn modelId="{DF43DE49-FFFD-4F8F-B61F-F3336FEA8956}" type="presParOf" srcId="{7D182248-D391-4EEA-BCFF-9EFF4F0659C7}" destId="{3AB739AB-CB04-4871-88F4-1806691FA6FB}" srcOrd="2" destOrd="0" presId="urn:microsoft.com/office/officeart/2005/8/layout/orgChart1"/>
    <dgm:cxn modelId="{B28F931A-8340-4FB5-A4B8-773B7E3FAFAB}" type="presParOf" srcId="{0EEB9817-48D2-459A-BF87-6EE7F6749BC8}" destId="{A440448E-AD3F-4042-8AC2-096A091EB180}" srcOrd="2" destOrd="0" presId="urn:microsoft.com/office/officeart/2005/8/layout/orgChart1"/>
    <dgm:cxn modelId="{A3D9362C-213A-4F92-B9B1-4CFE604FD488}" type="presParOf" srcId="{ADE0A641-D530-4348-A4C3-AE6295B7BFB2}" destId="{F4372CDA-AFB5-4451-92EF-ECBD1813E030}" srcOrd="2" destOrd="0" presId="urn:microsoft.com/office/officeart/2005/8/layout/orgChart1"/>
    <dgm:cxn modelId="{0D54A1F0-19ED-40EB-A6F0-53FB8CBCDFBB}" type="presParOf" srcId="{ADE0A641-D530-4348-A4C3-AE6295B7BFB2}" destId="{AA08A403-89D7-4468-860F-4C8D9083D262}" srcOrd="3" destOrd="0" presId="urn:microsoft.com/office/officeart/2005/8/layout/orgChart1"/>
    <dgm:cxn modelId="{6728FA9B-DC06-4A94-9DA4-ADE0D9220083}" type="presParOf" srcId="{AA08A403-89D7-4468-860F-4C8D9083D262}" destId="{7ECA534C-9B68-4623-86C0-B1B2B8E47C27}" srcOrd="0" destOrd="0" presId="urn:microsoft.com/office/officeart/2005/8/layout/orgChart1"/>
    <dgm:cxn modelId="{1B8FB36C-CCAB-480E-9C2D-4DE8BFAFEE44}" type="presParOf" srcId="{7ECA534C-9B68-4623-86C0-B1B2B8E47C27}" destId="{BF4BB1AA-4DBE-4507-B279-84DB611DE3D9}" srcOrd="0" destOrd="0" presId="urn:microsoft.com/office/officeart/2005/8/layout/orgChart1"/>
    <dgm:cxn modelId="{F1EDFE60-DDAE-4427-BF89-985CEF33A5CF}" type="presParOf" srcId="{7ECA534C-9B68-4623-86C0-B1B2B8E47C27}" destId="{B662C18C-FD65-4B35-81DA-0AA07988768D}" srcOrd="1" destOrd="0" presId="urn:microsoft.com/office/officeart/2005/8/layout/orgChart1"/>
    <dgm:cxn modelId="{CA12B3EA-F8DD-4BE5-9EDC-AD87C4CB26E0}" type="presParOf" srcId="{AA08A403-89D7-4468-860F-4C8D9083D262}" destId="{9459F0E1-5508-4192-A472-B8C4A37233FB}" srcOrd="1" destOrd="0" presId="urn:microsoft.com/office/officeart/2005/8/layout/orgChart1"/>
    <dgm:cxn modelId="{7CC3B617-4E72-4394-AB49-B2335D9E1B3B}" type="presParOf" srcId="{9459F0E1-5508-4192-A472-B8C4A37233FB}" destId="{B8429EAD-8128-43ED-AC95-1F16B0237B6E}" srcOrd="0" destOrd="0" presId="urn:microsoft.com/office/officeart/2005/8/layout/orgChart1"/>
    <dgm:cxn modelId="{3A4A9147-BF7E-4373-A0C1-606DB5A4495F}" type="presParOf" srcId="{9459F0E1-5508-4192-A472-B8C4A37233FB}" destId="{B78DF617-0C60-4DFF-9A4A-3499B36D3A05}" srcOrd="1" destOrd="0" presId="urn:microsoft.com/office/officeart/2005/8/layout/orgChart1"/>
    <dgm:cxn modelId="{9ABA4384-D7A2-4FD8-9216-D833BD6FE218}" type="presParOf" srcId="{B78DF617-0C60-4DFF-9A4A-3499B36D3A05}" destId="{6E5C4F98-26EB-440B-BEE0-9C5BD6BCEA32}" srcOrd="0" destOrd="0" presId="urn:microsoft.com/office/officeart/2005/8/layout/orgChart1"/>
    <dgm:cxn modelId="{E7575C78-8A2A-4C62-A125-405C25C8582E}" type="presParOf" srcId="{6E5C4F98-26EB-440B-BEE0-9C5BD6BCEA32}" destId="{89C82BCD-3E8F-4B3E-ADEB-9F0B68EEFC29}" srcOrd="0" destOrd="0" presId="urn:microsoft.com/office/officeart/2005/8/layout/orgChart1"/>
    <dgm:cxn modelId="{7840A7AB-A388-4432-BA93-8C9B149B85B0}" type="presParOf" srcId="{6E5C4F98-26EB-440B-BEE0-9C5BD6BCEA32}" destId="{A616E4E2-6302-4B13-9A4D-0A15F519358E}" srcOrd="1" destOrd="0" presId="urn:microsoft.com/office/officeart/2005/8/layout/orgChart1"/>
    <dgm:cxn modelId="{B8269E03-6AE8-4D7D-9B57-5666424DB125}" type="presParOf" srcId="{B78DF617-0C60-4DFF-9A4A-3499B36D3A05}" destId="{72703296-1B66-4433-9D88-4E9CC73449CD}" srcOrd="1" destOrd="0" presId="urn:microsoft.com/office/officeart/2005/8/layout/orgChart1"/>
    <dgm:cxn modelId="{F96C6A53-FC3B-4399-9B08-8FE975220CD9}" type="presParOf" srcId="{B78DF617-0C60-4DFF-9A4A-3499B36D3A05}" destId="{C8674BAC-EC0F-48E6-BE54-13CC6AF2546C}" srcOrd="2" destOrd="0" presId="urn:microsoft.com/office/officeart/2005/8/layout/orgChart1"/>
    <dgm:cxn modelId="{87D3E95A-92DD-46AA-AABE-DA09C900509B}" type="presParOf" srcId="{AA08A403-89D7-4468-860F-4C8D9083D262}" destId="{D7C749B0-249E-4EFF-B39B-600769655A0E}" srcOrd="2" destOrd="0" presId="urn:microsoft.com/office/officeart/2005/8/layout/orgChart1"/>
    <dgm:cxn modelId="{0FDD7475-B451-488B-B7F3-F260EB391AAF}" type="presParOf" srcId="{ADE0A641-D530-4348-A4C3-AE6295B7BFB2}" destId="{52FD661B-2D3B-49BB-9A28-EEFCCA35AD9B}" srcOrd="4" destOrd="0" presId="urn:microsoft.com/office/officeart/2005/8/layout/orgChart1"/>
    <dgm:cxn modelId="{A5EED9A6-3B1E-4825-9D3B-84AB9CAD70B0}" type="presParOf" srcId="{ADE0A641-D530-4348-A4C3-AE6295B7BFB2}" destId="{C7EB2C27-4BE2-4C9E-9FBD-516A7416693A}" srcOrd="5" destOrd="0" presId="urn:microsoft.com/office/officeart/2005/8/layout/orgChart1"/>
    <dgm:cxn modelId="{37510912-E84F-4BF8-A120-97484A32422D}" type="presParOf" srcId="{C7EB2C27-4BE2-4C9E-9FBD-516A7416693A}" destId="{2D67EAD2-9E10-49BF-9895-79AFB5089F5D}" srcOrd="0" destOrd="0" presId="urn:microsoft.com/office/officeart/2005/8/layout/orgChart1"/>
    <dgm:cxn modelId="{209A224B-C4D4-471C-87A9-1D10E1D82033}" type="presParOf" srcId="{2D67EAD2-9E10-49BF-9895-79AFB5089F5D}" destId="{2475995F-D1F8-4107-A258-730E90BCD88D}" srcOrd="0" destOrd="0" presId="urn:microsoft.com/office/officeart/2005/8/layout/orgChart1"/>
    <dgm:cxn modelId="{AEC11A64-15F7-4107-807E-FE8B4FF8B697}" type="presParOf" srcId="{2D67EAD2-9E10-49BF-9895-79AFB5089F5D}" destId="{F0C0DE88-8657-4FB8-84E9-EE1A7E96A7BA}" srcOrd="1" destOrd="0" presId="urn:microsoft.com/office/officeart/2005/8/layout/orgChart1"/>
    <dgm:cxn modelId="{B1EA1E34-349F-41E0-AA87-C13070E860AC}" type="presParOf" srcId="{C7EB2C27-4BE2-4C9E-9FBD-516A7416693A}" destId="{965FFA83-479B-47EC-8AF1-1C0CFFC610CE}" srcOrd="1" destOrd="0" presId="urn:microsoft.com/office/officeart/2005/8/layout/orgChart1"/>
    <dgm:cxn modelId="{1ECE711C-C822-4C51-9E58-F8C99CC4E8B6}" type="presParOf" srcId="{965FFA83-479B-47EC-8AF1-1C0CFFC610CE}" destId="{91D23516-BC80-4A96-83F0-C5CFAB70308E}" srcOrd="0" destOrd="0" presId="urn:microsoft.com/office/officeart/2005/8/layout/orgChart1"/>
    <dgm:cxn modelId="{F0BABF52-B56C-49C2-9FC3-4EF53614FA47}" type="presParOf" srcId="{965FFA83-479B-47EC-8AF1-1C0CFFC610CE}" destId="{B8824ECB-13C7-4A8B-9913-B10FF9421312}" srcOrd="1" destOrd="0" presId="urn:microsoft.com/office/officeart/2005/8/layout/orgChart1"/>
    <dgm:cxn modelId="{02E056F7-5043-4F2B-97DE-BAFFCA5FEB50}" type="presParOf" srcId="{B8824ECB-13C7-4A8B-9913-B10FF9421312}" destId="{C58BDCA1-9B4F-40F3-8ABB-174C68C01412}" srcOrd="0" destOrd="0" presId="urn:microsoft.com/office/officeart/2005/8/layout/orgChart1"/>
    <dgm:cxn modelId="{48F11373-B60A-4B83-95A4-AC567F31CBEF}" type="presParOf" srcId="{C58BDCA1-9B4F-40F3-8ABB-174C68C01412}" destId="{96EAEC2D-51A0-4D58-8D8D-ED695F4677BC}" srcOrd="0" destOrd="0" presId="urn:microsoft.com/office/officeart/2005/8/layout/orgChart1"/>
    <dgm:cxn modelId="{12BF9FAE-551F-4CEB-B503-17810753FD9D}" type="presParOf" srcId="{C58BDCA1-9B4F-40F3-8ABB-174C68C01412}" destId="{6028E1F5-EAEC-42CF-AD1E-785122FD505B}" srcOrd="1" destOrd="0" presId="urn:microsoft.com/office/officeart/2005/8/layout/orgChart1"/>
    <dgm:cxn modelId="{36154B80-8FF0-461D-91DE-8300BAAF598C}" type="presParOf" srcId="{B8824ECB-13C7-4A8B-9913-B10FF9421312}" destId="{DB86481F-E835-4255-93DD-00A8591AFD2A}" srcOrd="1" destOrd="0" presId="urn:microsoft.com/office/officeart/2005/8/layout/orgChart1"/>
    <dgm:cxn modelId="{3923CE5E-3626-4016-9E09-1532B2B39704}" type="presParOf" srcId="{B8824ECB-13C7-4A8B-9913-B10FF9421312}" destId="{1F21D95E-A82F-4FEC-8679-201D0F68FF87}" srcOrd="2" destOrd="0" presId="urn:microsoft.com/office/officeart/2005/8/layout/orgChart1"/>
    <dgm:cxn modelId="{3CC423B7-27E6-4986-950B-678A9082D8E4}" type="presParOf" srcId="{C7EB2C27-4BE2-4C9E-9FBD-516A7416693A}" destId="{A69BEC85-7D63-48D6-B881-C892AE65D5D6}" srcOrd="2" destOrd="0" presId="urn:microsoft.com/office/officeart/2005/8/layout/orgChart1"/>
    <dgm:cxn modelId="{35481D53-ADC6-4BE2-823F-8BA0F784D0A7}" type="presParOf" srcId="{ADE0A641-D530-4348-A4C3-AE6295B7BFB2}" destId="{17103C69-0302-483E-83B6-DDD01D942D32}" srcOrd="6" destOrd="0" presId="urn:microsoft.com/office/officeart/2005/8/layout/orgChart1"/>
    <dgm:cxn modelId="{D1E8DA88-0255-4294-A59B-23098C8250CB}" type="presParOf" srcId="{ADE0A641-D530-4348-A4C3-AE6295B7BFB2}" destId="{6D7C1801-74A8-4D14-BCD0-996644C52870}" srcOrd="7" destOrd="0" presId="urn:microsoft.com/office/officeart/2005/8/layout/orgChart1"/>
    <dgm:cxn modelId="{5074B6D7-A9B4-4E41-A49D-18020FF4E2B2}" type="presParOf" srcId="{6D7C1801-74A8-4D14-BCD0-996644C52870}" destId="{BE7D34A5-5527-4060-B06D-654E69E5502B}" srcOrd="0" destOrd="0" presId="urn:microsoft.com/office/officeart/2005/8/layout/orgChart1"/>
    <dgm:cxn modelId="{757674AE-B818-4D50-9865-E7D66B906A87}" type="presParOf" srcId="{BE7D34A5-5527-4060-B06D-654E69E5502B}" destId="{8626661B-01F0-4DF6-819E-869027AAF714}" srcOrd="0" destOrd="0" presId="urn:microsoft.com/office/officeart/2005/8/layout/orgChart1"/>
    <dgm:cxn modelId="{28E89D52-A6F3-49EB-9618-D538AF10B009}" type="presParOf" srcId="{BE7D34A5-5527-4060-B06D-654E69E5502B}" destId="{0857AC9D-95D4-4A52-9D1C-207F7D093922}" srcOrd="1" destOrd="0" presId="urn:microsoft.com/office/officeart/2005/8/layout/orgChart1"/>
    <dgm:cxn modelId="{79940FDC-3DE6-4462-946E-672C6D4EC584}" type="presParOf" srcId="{6D7C1801-74A8-4D14-BCD0-996644C52870}" destId="{5DB5BE4C-CAFC-4A01-86F3-DA9FA36C0D79}" srcOrd="1" destOrd="0" presId="urn:microsoft.com/office/officeart/2005/8/layout/orgChart1"/>
    <dgm:cxn modelId="{2DCC9C7F-446A-48DD-9FCF-8542060401CE}" type="presParOf" srcId="{6D7C1801-74A8-4D14-BCD0-996644C52870}" destId="{1C6CC99E-B773-4ACD-9060-AC6310D71328}" srcOrd="2" destOrd="0" presId="urn:microsoft.com/office/officeart/2005/8/layout/orgChart1"/>
    <dgm:cxn modelId="{1844CA0B-E4CB-4CF6-9200-55A6CBE8D4C3}" type="presParOf" srcId="{3B530F0C-F368-430D-9728-F0951AF79F67}" destId="{289BC3D3-6900-4405-AF4F-92EACE1CB878}" srcOrd="2" destOrd="0" presId="urn:microsoft.com/office/officeart/2005/8/layout/orgChart1"/>
    <dgm:cxn modelId="{3A573F02-F062-4248-981D-D4E43FF1B874}" type="presParOf" srcId="{E9344533-571F-48FF-B221-7CE27D1FAD8F}" destId="{A6339135-5765-4A4B-AE66-1F85B67972B6}" srcOrd="2" destOrd="0" presId="urn:microsoft.com/office/officeart/2005/8/layout/orgChart1"/>
    <dgm:cxn modelId="{49E560B3-A6CB-4C36-AB97-5C7BACF26862}" type="presParOf" srcId="{E9344533-571F-48FF-B221-7CE27D1FAD8F}" destId="{229BEA70-9311-4A25-9595-781F96417EA2}" srcOrd="3" destOrd="0" presId="urn:microsoft.com/office/officeart/2005/8/layout/orgChart1"/>
    <dgm:cxn modelId="{83CD7684-A369-4AFC-B7DF-D779361430E4}" type="presParOf" srcId="{229BEA70-9311-4A25-9595-781F96417EA2}" destId="{D5E3CC9F-3F6B-4D10-A6ED-A2946E623EF2}" srcOrd="0" destOrd="0" presId="urn:microsoft.com/office/officeart/2005/8/layout/orgChart1"/>
    <dgm:cxn modelId="{0592084F-9F30-4C11-BD64-30F537792D9C}" type="presParOf" srcId="{D5E3CC9F-3F6B-4D10-A6ED-A2946E623EF2}" destId="{0865E7C1-C8C5-4628-BF91-DFD448E2F845}" srcOrd="0" destOrd="0" presId="urn:microsoft.com/office/officeart/2005/8/layout/orgChart1"/>
    <dgm:cxn modelId="{384F09BA-0B67-4559-951B-512F83D96AC1}" type="presParOf" srcId="{D5E3CC9F-3F6B-4D10-A6ED-A2946E623EF2}" destId="{653B3261-3336-439D-8CA1-E643C0521771}" srcOrd="1" destOrd="0" presId="urn:microsoft.com/office/officeart/2005/8/layout/orgChart1"/>
    <dgm:cxn modelId="{6DB965B5-353C-41D5-9B78-35890B2C26AD}" type="presParOf" srcId="{229BEA70-9311-4A25-9595-781F96417EA2}" destId="{9BA7BDF4-D218-48E7-A497-B9F6038DBB89}" srcOrd="1" destOrd="0" presId="urn:microsoft.com/office/officeart/2005/8/layout/orgChart1"/>
    <dgm:cxn modelId="{7E3824C1-1C85-4895-9310-6790E944B4FE}" type="presParOf" srcId="{229BEA70-9311-4A25-9595-781F96417EA2}" destId="{ECBC1C88-C064-4FCB-8BE5-9A9B55AE6E6A}" srcOrd="2" destOrd="0" presId="urn:microsoft.com/office/officeart/2005/8/layout/orgChart1"/>
    <dgm:cxn modelId="{D2379655-8E59-4DBE-96A6-525B2AD09AF5}" type="presParOf" srcId="{E9344533-571F-48FF-B221-7CE27D1FAD8F}" destId="{9212C7B4-A036-482B-A3D9-AA773E264725}" srcOrd="4" destOrd="0" presId="urn:microsoft.com/office/officeart/2005/8/layout/orgChart1"/>
    <dgm:cxn modelId="{8C898392-12E0-4758-A51B-44472F11662A}" type="presParOf" srcId="{E9344533-571F-48FF-B221-7CE27D1FAD8F}" destId="{AD74046B-5360-4517-A12C-9F42201B4D9B}" srcOrd="5" destOrd="0" presId="urn:microsoft.com/office/officeart/2005/8/layout/orgChart1"/>
    <dgm:cxn modelId="{69B37D67-446C-4775-8EE2-6AD3D36A7E86}" type="presParOf" srcId="{AD74046B-5360-4517-A12C-9F42201B4D9B}" destId="{3BB6078C-1922-4E8B-B257-10DF6457F419}" srcOrd="0" destOrd="0" presId="urn:microsoft.com/office/officeart/2005/8/layout/orgChart1"/>
    <dgm:cxn modelId="{681E872E-3659-46C7-971D-F7955000AD3E}" type="presParOf" srcId="{3BB6078C-1922-4E8B-B257-10DF6457F419}" destId="{7AA36B74-A52B-45E3-A0CB-60087D0C2443}" srcOrd="0" destOrd="0" presId="urn:microsoft.com/office/officeart/2005/8/layout/orgChart1"/>
    <dgm:cxn modelId="{DDFEAF40-12F9-45D4-8774-BA26B2C036EE}" type="presParOf" srcId="{3BB6078C-1922-4E8B-B257-10DF6457F419}" destId="{A9BC85F3-FCB6-4CF0-8CCC-4C4CB663CFB9}" srcOrd="1" destOrd="0" presId="urn:microsoft.com/office/officeart/2005/8/layout/orgChart1"/>
    <dgm:cxn modelId="{488F8914-564C-4F6B-AD44-2C8141CFE51F}" type="presParOf" srcId="{AD74046B-5360-4517-A12C-9F42201B4D9B}" destId="{2F13A907-A147-4CF6-A78E-ACFBD33DEF94}" srcOrd="1" destOrd="0" presId="urn:microsoft.com/office/officeart/2005/8/layout/orgChart1"/>
    <dgm:cxn modelId="{7148A3C9-DEFD-418E-82AC-83C7343A0472}" type="presParOf" srcId="{AD74046B-5360-4517-A12C-9F42201B4D9B}" destId="{4B3C8E36-C582-44A1-BD1F-A44F180DCADF}" srcOrd="2" destOrd="0" presId="urn:microsoft.com/office/officeart/2005/8/layout/orgChart1"/>
    <dgm:cxn modelId="{63E726C7-C876-4D1C-BCCF-5A512A35A2F2}" type="presParOf" srcId="{E9344533-571F-48FF-B221-7CE27D1FAD8F}" destId="{83E92D29-5D87-4FBD-92AC-2EEFA23E617A}" srcOrd="6" destOrd="0" presId="urn:microsoft.com/office/officeart/2005/8/layout/orgChart1"/>
    <dgm:cxn modelId="{8C3DD004-C501-4F0C-AC0F-B3D1FA7E08D8}" type="presParOf" srcId="{E9344533-571F-48FF-B221-7CE27D1FAD8F}" destId="{8473ACC8-048A-42E7-AFE9-979DD9A621A4}" srcOrd="7" destOrd="0" presId="urn:microsoft.com/office/officeart/2005/8/layout/orgChart1"/>
    <dgm:cxn modelId="{86AC0A6F-4320-48B1-B7BA-659EFAA0A777}" type="presParOf" srcId="{8473ACC8-048A-42E7-AFE9-979DD9A621A4}" destId="{420094F4-BAA9-40AE-B319-FA30DFAA258F}" srcOrd="0" destOrd="0" presId="urn:microsoft.com/office/officeart/2005/8/layout/orgChart1"/>
    <dgm:cxn modelId="{AE04DF69-E12E-4351-B427-34918E8099F2}" type="presParOf" srcId="{420094F4-BAA9-40AE-B319-FA30DFAA258F}" destId="{8164BF52-63BB-40C9-A999-DB74F871BBE3}" srcOrd="0" destOrd="0" presId="urn:microsoft.com/office/officeart/2005/8/layout/orgChart1"/>
    <dgm:cxn modelId="{8E1DBEBD-4133-406B-9B13-51E19335B3E8}" type="presParOf" srcId="{420094F4-BAA9-40AE-B319-FA30DFAA258F}" destId="{3AABA5AD-67FB-4A5E-84CC-23B186557FB6}" srcOrd="1" destOrd="0" presId="urn:microsoft.com/office/officeart/2005/8/layout/orgChart1"/>
    <dgm:cxn modelId="{AE57BCAB-3238-4E4F-902D-42222135258A}" type="presParOf" srcId="{8473ACC8-048A-42E7-AFE9-979DD9A621A4}" destId="{3D9DE625-E69C-4266-8428-D1316D2ED9B0}" srcOrd="1" destOrd="0" presId="urn:microsoft.com/office/officeart/2005/8/layout/orgChart1"/>
    <dgm:cxn modelId="{125FA1A0-62AC-4672-A8D7-96FA5D48D7AA}" type="presParOf" srcId="{8473ACC8-048A-42E7-AFE9-979DD9A621A4}" destId="{D6127A26-2E68-4B06-B9AD-3C2A370A55C7}" srcOrd="2" destOrd="0" presId="urn:microsoft.com/office/officeart/2005/8/layout/orgChart1"/>
    <dgm:cxn modelId="{DF463765-1E88-45D3-A541-CCDBB8F49BE9}" type="presParOf" srcId="{E9344533-571F-48FF-B221-7CE27D1FAD8F}" destId="{00268D7A-8C38-48B0-961F-1FD70B54E78D}" srcOrd="8" destOrd="0" presId="urn:microsoft.com/office/officeart/2005/8/layout/orgChart1"/>
    <dgm:cxn modelId="{5D7622FD-0885-450D-AEFE-31C9F25DBB00}" type="presParOf" srcId="{E9344533-571F-48FF-B221-7CE27D1FAD8F}" destId="{29B2F634-9C26-476A-86AF-8EC37649FEFD}" srcOrd="9" destOrd="0" presId="urn:microsoft.com/office/officeart/2005/8/layout/orgChart1"/>
    <dgm:cxn modelId="{5FD959B5-9BD1-4031-A985-5168FFAFAA04}" type="presParOf" srcId="{29B2F634-9C26-476A-86AF-8EC37649FEFD}" destId="{3193FDBC-03F9-4399-A776-07F180B82236}" srcOrd="0" destOrd="0" presId="urn:microsoft.com/office/officeart/2005/8/layout/orgChart1"/>
    <dgm:cxn modelId="{29C33B0B-DC0D-4756-B02D-28695A56C409}" type="presParOf" srcId="{3193FDBC-03F9-4399-A776-07F180B82236}" destId="{2A9C3C54-5B58-49BD-BB0F-7BD286DF6C57}" srcOrd="0" destOrd="0" presId="urn:microsoft.com/office/officeart/2005/8/layout/orgChart1"/>
    <dgm:cxn modelId="{F0568FAC-114D-4CD9-BA03-4BCA513188A3}" type="presParOf" srcId="{3193FDBC-03F9-4399-A776-07F180B82236}" destId="{75F1D8B1-431B-40B6-B7D0-99CA4BAD291D}" srcOrd="1" destOrd="0" presId="urn:microsoft.com/office/officeart/2005/8/layout/orgChart1"/>
    <dgm:cxn modelId="{92EC6712-5C5B-4FC5-9551-BC3F35B80200}" type="presParOf" srcId="{29B2F634-9C26-476A-86AF-8EC37649FEFD}" destId="{AAD0481A-6EA6-4AC8-8F38-35667754CC35}" srcOrd="1" destOrd="0" presId="urn:microsoft.com/office/officeart/2005/8/layout/orgChart1"/>
    <dgm:cxn modelId="{F6D3FC0E-D7FE-4B18-9CBD-C222389E62D3}" type="presParOf" srcId="{29B2F634-9C26-476A-86AF-8EC37649FEFD}" destId="{C89F1E55-C151-4630-AECB-8DE73B34F6E0}" srcOrd="2" destOrd="0" presId="urn:microsoft.com/office/officeart/2005/8/layout/orgChart1"/>
    <dgm:cxn modelId="{7C9127EE-286D-447C-8E84-B299C6D8CECC}" type="presParOf" srcId="{713AD229-56A2-4412-94A8-192ED355CA95}" destId="{7750E4D9-DB4C-4E8F-8CE6-4C4B89A1ECFF}" srcOrd="2" destOrd="0" presId="urn:microsoft.com/office/officeart/2005/8/layout/orgChart1"/>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7B00E043-875A-4A60-A7BD-2775E65F19B2}" type="doc">
      <dgm:prSet loTypeId="urn:microsoft.com/office/officeart/2005/8/layout/orgChart1" loCatId="hierarchy" qsTypeId="urn:microsoft.com/office/officeart/2005/8/quickstyle/simple1" qsCatId="simple" csTypeId="urn:microsoft.com/office/officeart/2005/8/colors/colorful1" csCatId="colorful" phldr="1"/>
      <dgm:spPr/>
      <dgm:t>
        <a:bodyPr/>
        <a:lstStyle/>
        <a:p>
          <a:endParaRPr lang="en-GB"/>
        </a:p>
      </dgm:t>
    </dgm:pt>
    <dgm:pt modelId="{BE108FD2-3A0C-4907-9ADF-8F5A07EE0C01}">
      <dgm:prSet phldrT="[Text]"/>
      <dgm:spPr>
        <a:solidFill>
          <a:schemeClr val="tx2"/>
        </a:solidFill>
      </dgm:spPr>
      <dgm:t>
        <a:bodyPr/>
        <a:lstStyle/>
        <a:p>
          <a:r>
            <a:rPr lang="en-GB"/>
            <a:t>Trinciatutto Completo L=1750</a:t>
          </a:r>
        </a:p>
      </dgm:t>
    </dgm:pt>
    <dgm:pt modelId="{8F48B282-2873-4CA3-BE10-C61BCD1E452A}" type="parTrans" cxnId="{EDB88597-9630-4CB6-A2CD-903B5DF41076}">
      <dgm:prSet/>
      <dgm:spPr/>
      <dgm:t>
        <a:bodyPr/>
        <a:lstStyle/>
        <a:p>
          <a:endParaRPr lang="en-GB"/>
        </a:p>
      </dgm:t>
    </dgm:pt>
    <dgm:pt modelId="{5225EDEF-6573-4E8D-A1EA-25F884A5E013}" type="sibTrans" cxnId="{EDB88597-9630-4CB6-A2CD-903B5DF41076}">
      <dgm:prSet/>
      <dgm:spPr/>
      <dgm:t>
        <a:bodyPr/>
        <a:lstStyle/>
        <a:p>
          <a:endParaRPr lang="en-GB"/>
        </a:p>
      </dgm:t>
    </dgm:pt>
    <dgm:pt modelId="{23ED8CFC-81C1-428B-A966-C87223B77595}">
      <dgm:prSet phldrT="[Text]"/>
      <dgm:spPr>
        <a:solidFill>
          <a:schemeClr val="tx2"/>
        </a:solidFill>
      </dgm:spPr>
      <dgm:t>
        <a:bodyPr/>
        <a:lstStyle/>
        <a:p>
          <a:r>
            <a:rPr lang="en-GB"/>
            <a:t>Telaio Completo per Trinciatutto L=1750 (1)</a:t>
          </a:r>
        </a:p>
      </dgm:t>
    </dgm:pt>
    <dgm:pt modelId="{98738C59-5ADF-4431-8B3C-5AAD82547238}" type="parTrans" cxnId="{EC25550A-E9CC-45FC-88B3-54160EF44D16}">
      <dgm:prSet/>
      <dgm:spPr>
        <a:ln w="38100">
          <a:solidFill>
            <a:schemeClr val="accent1"/>
          </a:solidFill>
        </a:ln>
      </dgm:spPr>
      <dgm:t>
        <a:bodyPr/>
        <a:lstStyle/>
        <a:p>
          <a:endParaRPr lang="en-GB"/>
        </a:p>
      </dgm:t>
    </dgm:pt>
    <dgm:pt modelId="{F2759905-CCCC-465E-9841-8A119BD49559}" type="sibTrans" cxnId="{EC25550A-E9CC-45FC-88B3-54160EF44D16}">
      <dgm:prSet/>
      <dgm:spPr/>
      <dgm:t>
        <a:bodyPr/>
        <a:lstStyle/>
        <a:p>
          <a:endParaRPr lang="en-GB"/>
        </a:p>
      </dgm:t>
    </dgm:pt>
    <dgm:pt modelId="{A53E9160-5CAA-4D15-A8FF-26C7A1BB68F3}">
      <dgm:prSet phldrT="[Text]"/>
      <dgm:spPr>
        <a:solidFill>
          <a:schemeClr val="tx2"/>
        </a:solidFill>
      </dgm:spPr>
      <dgm:t>
        <a:bodyPr/>
        <a:lstStyle/>
        <a:p>
          <a:r>
            <a:rPr lang="en-GB"/>
            <a:t>Carter L=1750 (1)</a:t>
          </a:r>
        </a:p>
      </dgm:t>
    </dgm:pt>
    <dgm:pt modelId="{F068F1B7-D50F-4E19-AF22-0D439665847E}" type="parTrans" cxnId="{8C98EB91-9C5B-45BF-BEF5-E0EEFD77DCC7}">
      <dgm:prSet/>
      <dgm:spPr>
        <a:ln w="38100">
          <a:solidFill>
            <a:schemeClr val="accent2"/>
          </a:solidFill>
        </a:ln>
      </dgm:spPr>
      <dgm:t>
        <a:bodyPr/>
        <a:lstStyle/>
        <a:p>
          <a:endParaRPr lang="en-GB"/>
        </a:p>
      </dgm:t>
    </dgm:pt>
    <dgm:pt modelId="{439329C8-3E8D-44D1-80F8-FAF1444C6D0A}" type="sibTrans" cxnId="{8C98EB91-9C5B-45BF-BEF5-E0EEFD77DCC7}">
      <dgm:prSet/>
      <dgm:spPr/>
      <dgm:t>
        <a:bodyPr/>
        <a:lstStyle/>
        <a:p>
          <a:endParaRPr lang="en-GB"/>
        </a:p>
      </dgm:t>
    </dgm:pt>
    <dgm:pt modelId="{2046EEBA-982B-4301-8241-2803CAE760D1}">
      <dgm:prSet phldrT="[Text]"/>
      <dgm:spPr>
        <a:solidFill>
          <a:schemeClr val="accent6"/>
        </a:solidFill>
      </dgm:spPr>
      <dgm:t>
        <a:bodyPr/>
        <a:lstStyle/>
        <a:p>
          <a:r>
            <a:rPr lang="en-GB"/>
            <a:t>Foglio Lamiera 1500x2000x3 (0.17)</a:t>
          </a:r>
        </a:p>
      </dgm:t>
    </dgm:pt>
    <dgm:pt modelId="{345A7164-9B84-4772-B53F-578508EB30FA}" type="parTrans" cxnId="{E7636A60-3B6B-48E7-8BF9-6E8672DDA6F4}">
      <dgm:prSet/>
      <dgm:spPr>
        <a:ln w="38100">
          <a:solidFill>
            <a:schemeClr val="accent4"/>
          </a:solidFill>
        </a:ln>
      </dgm:spPr>
      <dgm:t>
        <a:bodyPr/>
        <a:lstStyle/>
        <a:p>
          <a:endParaRPr lang="en-GB"/>
        </a:p>
      </dgm:t>
    </dgm:pt>
    <dgm:pt modelId="{0603BC87-DD29-460F-B651-36077527D28A}" type="sibTrans" cxnId="{E7636A60-3B6B-48E7-8BF9-6E8672DDA6F4}">
      <dgm:prSet/>
      <dgm:spPr/>
      <dgm:t>
        <a:bodyPr/>
        <a:lstStyle/>
        <a:p>
          <a:endParaRPr lang="en-GB"/>
        </a:p>
      </dgm:t>
    </dgm:pt>
    <dgm:pt modelId="{04D28262-27D4-4A96-8A9B-E9CC736D7103}">
      <dgm:prSet phldrT="[Text]"/>
      <dgm:spPr>
        <a:solidFill>
          <a:schemeClr val="tx2"/>
        </a:solidFill>
      </dgm:spPr>
      <dgm:t>
        <a:bodyPr/>
        <a:lstStyle/>
        <a:p>
          <a:r>
            <a:rPr lang="en-GB"/>
            <a:t>Staffe Rinforzo (3)</a:t>
          </a:r>
        </a:p>
      </dgm:t>
    </dgm:pt>
    <dgm:pt modelId="{3CB4F370-1677-4FF7-A431-6F134EE8D01A}" type="parTrans" cxnId="{74B077DD-C98B-4ECD-9A27-8215910CE3D9}">
      <dgm:prSet/>
      <dgm:spPr>
        <a:ln w="38100">
          <a:solidFill>
            <a:schemeClr val="accent2"/>
          </a:solidFill>
        </a:ln>
      </dgm:spPr>
      <dgm:t>
        <a:bodyPr/>
        <a:lstStyle/>
        <a:p>
          <a:endParaRPr lang="en-GB"/>
        </a:p>
      </dgm:t>
    </dgm:pt>
    <dgm:pt modelId="{80966A06-83D7-4147-A13E-1A0543822CC6}" type="sibTrans" cxnId="{74B077DD-C98B-4ECD-9A27-8215910CE3D9}">
      <dgm:prSet/>
      <dgm:spPr/>
      <dgm:t>
        <a:bodyPr/>
        <a:lstStyle/>
        <a:p>
          <a:endParaRPr lang="en-GB"/>
        </a:p>
      </dgm:t>
    </dgm:pt>
    <dgm:pt modelId="{A8B36F11-EDFA-448E-ACCA-F4E3B0ABB64C}">
      <dgm:prSet phldrT="[Text]"/>
      <dgm:spPr>
        <a:solidFill>
          <a:schemeClr val="accent6"/>
        </a:solidFill>
      </dgm:spPr>
      <dgm:t>
        <a:bodyPr/>
        <a:lstStyle/>
        <a:p>
          <a:r>
            <a:rPr lang="en-GB"/>
            <a:t>Foglio Lamiera 1000x1500x3 (0.05)</a:t>
          </a:r>
        </a:p>
      </dgm:t>
    </dgm:pt>
    <dgm:pt modelId="{819E766C-2ED8-47CA-A45D-E5D90E97075D}" type="parTrans" cxnId="{47DB8AB3-3E00-409F-8DC6-8EA6E7A4A41E}">
      <dgm:prSet/>
      <dgm:spPr>
        <a:ln w="38100">
          <a:solidFill>
            <a:schemeClr val="accent4"/>
          </a:solidFill>
        </a:ln>
      </dgm:spPr>
      <dgm:t>
        <a:bodyPr/>
        <a:lstStyle/>
        <a:p>
          <a:endParaRPr lang="en-GB"/>
        </a:p>
      </dgm:t>
    </dgm:pt>
    <dgm:pt modelId="{D4A2B17E-4084-4B25-B047-343383A7F61B}" type="sibTrans" cxnId="{47DB8AB3-3E00-409F-8DC6-8EA6E7A4A41E}">
      <dgm:prSet/>
      <dgm:spPr/>
      <dgm:t>
        <a:bodyPr/>
        <a:lstStyle/>
        <a:p>
          <a:endParaRPr lang="en-GB"/>
        </a:p>
      </dgm:t>
    </dgm:pt>
    <dgm:pt modelId="{1D8AAA2E-60A5-4FA8-BB8D-CF032DC80AE2}">
      <dgm:prSet phldrT="[Text]"/>
      <dgm:spPr>
        <a:solidFill>
          <a:schemeClr val="tx2"/>
        </a:solidFill>
      </dgm:spPr>
      <dgm:t>
        <a:bodyPr/>
        <a:lstStyle/>
        <a:p>
          <a:r>
            <a:rPr lang="en-GB"/>
            <a:t>Piastre Attacco Trattore (2)</a:t>
          </a:r>
        </a:p>
      </dgm:t>
    </dgm:pt>
    <dgm:pt modelId="{D0B3D3DE-7CB5-4F0F-B82E-AE744B2CBB75}" type="parTrans" cxnId="{7F5EAC2E-203C-401D-9E50-A6FA2FDA94DA}">
      <dgm:prSet/>
      <dgm:spPr>
        <a:ln w="38100">
          <a:solidFill>
            <a:schemeClr val="accent2"/>
          </a:solidFill>
        </a:ln>
      </dgm:spPr>
      <dgm:t>
        <a:bodyPr/>
        <a:lstStyle/>
        <a:p>
          <a:endParaRPr lang="en-GB"/>
        </a:p>
      </dgm:t>
    </dgm:pt>
    <dgm:pt modelId="{1C18BB0E-00C4-4AB9-8E94-E571BD89AF5C}" type="sibTrans" cxnId="{7F5EAC2E-203C-401D-9E50-A6FA2FDA94DA}">
      <dgm:prSet/>
      <dgm:spPr/>
      <dgm:t>
        <a:bodyPr/>
        <a:lstStyle/>
        <a:p>
          <a:endParaRPr lang="en-GB"/>
        </a:p>
      </dgm:t>
    </dgm:pt>
    <dgm:pt modelId="{01E09FA3-99A2-4DF9-9321-D18EE72FF41D}">
      <dgm:prSet phldrT="[Text]"/>
      <dgm:spPr>
        <a:solidFill>
          <a:schemeClr val="accent6"/>
        </a:solidFill>
      </dgm:spPr>
      <dgm:t>
        <a:bodyPr/>
        <a:lstStyle/>
        <a:p>
          <a:r>
            <a:rPr lang="en-GB"/>
            <a:t>Foglio Lamiera 1000x2000x3 (0.22)</a:t>
          </a:r>
        </a:p>
      </dgm:t>
    </dgm:pt>
    <dgm:pt modelId="{61B097B9-80ED-4819-BEC2-3D1040F26A3F}" type="parTrans" cxnId="{E541A665-FABF-44BA-A858-C774A1EBC96C}">
      <dgm:prSet/>
      <dgm:spPr>
        <a:ln w="38100">
          <a:solidFill>
            <a:schemeClr val="accent4"/>
          </a:solidFill>
        </a:ln>
      </dgm:spPr>
      <dgm:t>
        <a:bodyPr/>
        <a:lstStyle/>
        <a:p>
          <a:endParaRPr lang="en-GB"/>
        </a:p>
      </dgm:t>
    </dgm:pt>
    <dgm:pt modelId="{BE05A8A2-7299-4B23-A3B7-281AB018F750}" type="sibTrans" cxnId="{E541A665-FABF-44BA-A858-C774A1EBC96C}">
      <dgm:prSet/>
      <dgm:spPr/>
      <dgm:t>
        <a:bodyPr/>
        <a:lstStyle/>
        <a:p>
          <a:endParaRPr lang="en-GB"/>
        </a:p>
      </dgm:t>
    </dgm:pt>
    <dgm:pt modelId="{A40BA4BE-0B14-451B-9D4C-5CA23E3806E7}">
      <dgm:prSet phldrT="[Text]"/>
      <dgm:spPr>
        <a:solidFill>
          <a:schemeClr val="accent6"/>
        </a:solidFill>
      </dgm:spPr>
      <dgm:t>
        <a:bodyPr/>
        <a:lstStyle/>
        <a:p>
          <a:r>
            <a:rPr lang="en-GB"/>
            <a:t>Rastrello per Trinciatutto L=1750 (1)</a:t>
          </a:r>
        </a:p>
      </dgm:t>
    </dgm:pt>
    <dgm:pt modelId="{1D8C16E0-4599-455F-94C1-B94B89884C13}" type="parTrans" cxnId="{35E9D75E-5A88-4170-A161-FA2BF2A5495D}">
      <dgm:prSet/>
      <dgm:spPr>
        <a:ln w="38100">
          <a:solidFill>
            <a:schemeClr val="accent2"/>
          </a:solidFill>
        </a:ln>
      </dgm:spPr>
      <dgm:t>
        <a:bodyPr/>
        <a:lstStyle/>
        <a:p>
          <a:endParaRPr lang="en-GB"/>
        </a:p>
      </dgm:t>
    </dgm:pt>
    <dgm:pt modelId="{9A41387E-C038-4649-B1C0-34385333535C}" type="sibTrans" cxnId="{35E9D75E-5A88-4170-A161-FA2BF2A5495D}">
      <dgm:prSet/>
      <dgm:spPr/>
      <dgm:t>
        <a:bodyPr/>
        <a:lstStyle/>
        <a:p>
          <a:endParaRPr lang="en-GB"/>
        </a:p>
      </dgm:t>
    </dgm:pt>
    <dgm:pt modelId="{EAA85139-F8E3-4BBA-8393-786789E6EBE2}">
      <dgm:prSet phldrT="[Text]"/>
      <dgm:spPr>
        <a:solidFill>
          <a:schemeClr val="accent6"/>
        </a:solidFill>
      </dgm:spPr>
      <dgm:t>
        <a:bodyPr/>
        <a:lstStyle/>
        <a:p>
          <a:pPr algn="ctr"/>
          <a:r>
            <a:rPr lang="en-GB"/>
            <a:t>Albero di trasmissione per macchine L=1750 (1)</a:t>
          </a:r>
        </a:p>
      </dgm:t>
    </dgm:pt>
    <dgm:pt modelId="{EEACE347-62BD-43BF-9D33-81718D276236}" type="parTrans" cxnId="{3C7D47F7-6CB2-4F43-9C04-E83788E602E9}">
      <dgm:prSet/>
      <dgm:spPr>
        <a:ln w="38100">
          <a:solidFill>
            <a:schemeClr val="accent1"/>
          </a:solidFill>
        </a:ln>
      </dgm:spPr>
      <dgm:t>
        <a:bodyPr/>
        <a:lstStyle/>
        <a:p>
          <a:endParaRPr lang="en-GB"/>
        </a:p>
      </dgm:t>
    </dgm:pt>
    <dgm:pt modelId="{2C92DF4F-6112-414F-B5F1-B34720944213}" type="sibTrans" cxnId="{3C7D47F7-6CB2-4F43-9C04-E83788E602E9}">
      <dgm:prSet/>
      <dgm:spPr/>
      <dgm:t>
        <a:bodyPr/>
        <a:lstStyle/>
        <a:p>
          <a:endParaRPr lang="en-GB"/>
        </a:p>
      </dgm:t>
    </dgm:pt>
    <dgm:pt modelId="{D3EAD832-C3B7-4F16-9218-900EF7C01B26}">
      <dgm:prSet phldrT="[Text]"/>
      <dgm:spPr>
        <a:solidFill>
          <a:schemeClr val="accent6"/>
        </a:solidFill>
      </dgm:spPr>
      <dgm:t>
        <a:bodyPr/>
        <a:lstStyle/>
        <a:p>
          <a:r>
            <a:rPr lang="en-GB"/>
            <a:t>Ruota dentata conica (2)</a:t>
          </a:r>
        </a:p>
      </dgm:t>
    </dgm:pt>
    <dgm:pt modelId="{814D8EC5-A029-4C0B-8818-7679B1066622}" type="parTrans" cxnId="{0A31A697-3AEE-4FAD-9723-4E07816C5A78}">
      <dgm:prSet/>
      <dgm:spPr>
        <a:ln w="38100">
          <a:solidFill>
            <a:schemeClr val="accent1"/>
          </a:solidFill>
        </a:ln>
      </dgm:spPr>
      <dgm:t>
        <a:bodyPr/>
        <a:lstStyle/>
        <a:p>
          <a:endParaRPr lang="en-GB"/>
        </a:p>
      </dgm:t>
    </dgm:pt>
    <dgm:pt modelId="{ACEA1F23-050F-4A7E-81C4-B8661588BC3A}" type="sibTrans" cxnId="{0A31A697-3AEE-4FAD-9723-4E07816C5A78}">
      <dgm:prSet/>
      <dgm:spPr/>
      <dgm:t>
        <a:bodyPr/>
        <a:lstStyle/>
        <a:p>
          <a:endParaRPr lang="en-GB"/>
        </a:p>
      </dgm:t>
    </dgm:pt>
    <dgm:pt modelId="{720A84F5-A8C3-42D6-9F6F-4D2126BBBA83}">
      <dgm:prSet phldrT="[Text]"/>
      <dgm:spPr>
        <a:solidFill>
          <a:schemeClr val="accent6"/>
        </a:solidFill>
      </dgm:spPr>
      <dgm:t>
        <a:bodyPr/>
        <a:lstStyle/>
        <a:p>
          <a:r>
            <a:rPr lang="en-GB"/>
            <a:t>Ruota dentata cilindrica (3)</a:t>
          </a:r>
        </a:p>
      </dgm:t>
    </dgm:pt>
    <dgm:pt modelId="{38CB51C5-3562-4000-A3D7-91940DD857E4}" type="parTrans" cxnId="{B8D4DA16-B6C4-4121-B023-F170713D6AA7}">
      <dgm:prSet/>
      <dgm:spPr>
        <a:ln w="38100">
          <a:solidFill>
            <a:schemeClr val="accent1"/>
          </a:solidFill>
        </a:ln>
      </dgm:spPr>
      <dgm:t>
        <a:bodyPr/>
        <a:lstStyle/>
        <a:p>
          <a:endParaRPr lang="en-GB"/>
        </a:p>
      </dgm:t>
    </dgm:pt>
    <dgm:pt modelId="{4AB5C324-30D6-4C82-8CB8-34ED816646D6}" type="sibTrans" cxnId="{B8D4DA16-B6C4-4121-B023-F170713D6AA7}">
      <dgm:prSet/>
      <dgm:spPr/>
      <dgm:t>
        <a:bodyPr/>
        <a:lstStyle/>
        <a:p>
          <a:endParaRPr lang="en-GB"/>
        </a:p>
      </dgm:t>
    </dgm:pt>
    <dgm:pt modelId="{904C68A8-6EB1-4096-BAE2-F8597E3545F7}">
      <dgm:prSet phldrT="[Text]"/>
      <dgm:spPr>
        <a:solidFill>
          <a:schemeClr val="accent6"/>
        </a:solidFill>
      </dgm:spPr>
      <dgm:t>
        <a:bodyPr/>
        <a:lstStyle/>
        <a:p>
          <a:r>
            <a:rPr lang="en-GB"/>
            <a:t>Albero completo frese per Trinciatutto L=1750 (1)</a:t>
          </a:r>
        </a:p>
      </dgm:t>
    </dgm:pt>
    <dgm:pt modelId="{D7203144-6EEB-4CE8-8887-D45809D8E0A2}" type="parTrans" cxnId="{F608F54C-3AAD-4057-8B3B-38FCFBB65B31}">
      <dgm:prSet/>
      <dgm:spPr>
        <a:ln w="38100">
          <a:solidFill>
            <a:schemeClr val="accent1"/>
          </a:solidFill>
        </a:ln>
      </dgm:spPr>
      <dgm:t>
        <a:bodyPr/>
        <a:lstStyle/>
        <a:p>
          <a:endParaRPr lang="en-GB"/>
        </a:p>
      </dgm:t>
    </dgm:pt>
    <dgm:pt modelId="{BD1078CA-3716-4737-9B2C-0A4BF3F70586}" type="sibTrans" cxnId="{F608F54C-3AAD-4057-8B3B-38FCFBB65B31}">
      <dgm:prSet/>
      <dgm:spPr/>
      <dgm:t>
        <a:bodyPr/>
        <a:lstStyle/>
        <a:p>
          <a:endParaRPr lang="en-GB"/>
        </a:p>
      </dgm:t>
    </dgm:pt>
    <dgm:pt modelId="{F9823C52-5345-410C-9F4A-613A5C21F0E8}" type="pres">
      <dgm:prSet presAssocID="{7B00E043-875A-4A60-A7BD-2775E65F19B2}" presName="hierChild1" presStyleCnt="0">
        <dgm:presLayoutVars>
          <dgm:orgChart val="1"/>
          <dgm:chPref val="1"/>
          <dgm:dir/>
          <dgm:animOne val="branch"/>
          <dgm:animLvl val="lvl"/>
          <dgm:resizeHandles/>
        </dgm:presLayoutVars>
      </dgm:prSet>
      <dgm:spPr/>
    </dgm:pt>
    <dgm:pt modelId="{713AD229-56A2-4412-94A8-192ED355CA95}" type="pres">
      <dgm:prSet presAssocID="{BE108FD2-3A0C-4907-9ADF-8F5A07EE0C01}" presName="hierRoot1" presStyleCnt="0">
        <dgm:presLayoutVars>
          <dgm:hierBranch val="init"/>
        </dgm:presLayoutVars>
      </dgm:prSet>
      <dgm:spPr/>
    </dgm:pt>
    <dgm:pt modelId="{7D7AEAE3-F839-473A-B6BE-671413977CFC}" type="pres">
      <dgm:prSet presAssocID="{BE108FD2-3A0C-4907-9ADF-8F5A07EE0C01}" presName="rootComposite1" presStyleCnt="0"/>
      <dgm:spPr/>
    </dgm:pt>
    <dgm:pt modelId="{B5EF23FE-E97C-4F8C-B341-37F1FEA0D4DD}" type="pres">
      <dgm:prSet presAssocID="{BE108FD2-3A0C-4907-9ADF-8F5A07EE0C01}" presName="rootText1" presStyleLbl="node0" presStyleIdx="0" presStyleCnt="1">
        <dgm:presLayoutVars>
          <dgm:chPref val="3"/>
        </dgm:presLayoutVars>
      </dgm:prSet>
      <dgm:spPr/>
    </dgm:pt>
    <dgm:pt modelId="{7A853995-3DC4-4A23-BB8E-35D3332D16E6}" type="pres">
      <dgm:prSet presAssocID="{BE108FD2-3A0C-4907-9ADF-8F5A07EE0C01}" presName="rootConnector1" presStyleLbl="node1" presStyleIdx="0" presStyleCnt="0"/>
      <dgm:spPr/>
    </dgm:pt>
    <dgm:pt modelId="{E9344533-571F-48FF-B221-7CE27D1FAD8F}" type="pres">
      <dgm:prSet presAssocID="{BE108FD2-3A0C-4907-9ADF-8F5A07EE0C01}" presName="hierChild2" presStyleCnt="0"/>
      <dgm:spPr/>
    </dgm:pt>
    <dgm:pt modelId="{340F67C4-F267-4C22-B5DF-B7550B5CA0DF}" type="pres">
      <dgm:prSet presAssocID="{98738C59-5ADF-4431-8B3C-5AAD82547238}" presName="Name37" presStyleLbl="parChTrans1D2" presStyleIdx="0" presStyleCnt="5"/>
      <dgm:spPr/>
    </dgm:pt>
    <dgm:pt modelId="{3B530F0C-F368-430D-9728-F0951AF79F67}" type="pres">
      <dgm:prSet presAssocID="{23ED8CFC-81C1-428B-A966-C87223B77595}" presName="hierRoot2" presStyleCnt="0">
        <dgm:presLayoutVars>
          <dgm:hierBranch val="init"/>
        </dgm:presLayoutVars>
      </dgm:prSet>
      <dgm:spPr/>
    </dgm:pt>
    <dgm:pt modelId="{0541DB2A-74CC-40F8-A4C9-221E4BDDBC0F}" type="pres">
      <dgm:prSet presAssocID="{23ED8CFC-81C1-428B-A966-C87223B77595}" presName="rootComposite" presStyleCnt="0"/>
      <dgm:spPr/>
    </dgm:pt>
    <dgm:pt modelId="{7A0B9906-977A-4B42-942C-11DDBAD50226}" type="pres">
      <dgm:prSet presAssocID="{23ED8CFC-81C1-428B-A966-C87223B77595}" presName="rootText" presStyleLbl="node2" presStyleIdx="0" presStyleCnt="5">
        <dgm:presLayoutVars>
          <dgm:chPref val="3"/>
        </dgm:presLayoutVars>
      </dgm:prSet>
      <dgm:spPr/>
    </dgm:pt>
    <dgm:pt modelId="{4DF62BC4-0040-4565-93E9-FE04334E95F7}" type="pres">
      <dgm:prSet presAssocID="{23ED8CFC-81C1-428B-A966-C87223B77595}" presName="rootConnector" presStyleLbl="node2" presStyleIdx="0" presStyleCnt="5"/>
      <dgm:spPr/>
    </dgm:pt>
    <dgm:pt modelId="{ADE0A641-D530-4348-A4C3-AE6295B7BFB2}" type="pres">
      <dgm:prSet presAssocID="{23ED8CFC-81C1-428B-A966-C87223B77595}" presName="hierChild4" presStyleCnt="0"/>
      <dgm:spPr/>
    </dgm:pt>
    <dgm:pt modelId="{3D65BB9A-E472-4012-9432-AF20FB359CF9}" type="pres">
      <dgm:prSet presAssocID="{F068F1B7-D50F-4E19-AF22-0D439665847E}" presName="Name37" presStyleLbl="parChTrans1D3" presStyleIdx="0" presStyleCnt="4"/>
      <dgm:spPr/>
    </dgm:pt>
    <dgm:pt modelId="{0EEB9817-48D2-459A-BF87-6EE7F6749BC8}" type="pres">
      <dgm:prSet presAssocID="{A53E9160-5CAA-4D15-A8FF-26C7A1BB68F3}" presName="hierRoot2" presStyleCnt="0">
        <dgm:presLayoutVars>
          <dgm:hierBranch val="init"/>
        </dgm:presLayoutVars>
      </dgm:prSet>
      <dgm:spPr/>
    </dgm:pt>
    <dgm:pt modelId="{507DE141-A108-4466-A9FC-498E5E6CE6FF}" type="pres">
      <dgm:prSet presAssocID="{A53E9160-5CAA-4D15-A8FF-26C7A1BB68F3}" presName="rootComposite" presStyleCnt="0"/>
      <dgm:spPr/>
    </dgm:pt>
    <dgm:pt modelId="{1FB34EFA-170E-4CEC-8A83-94E6D3D1104A}" type="pres">
      <dgm:prSet presAssocID="{A53E9160-5CAA-4D15-A8FF-26C7A1BB68F3}" presName="rootText" presStyleLbl="node3" presStyleIdx="0" presStyleCnt="4">
        <dgm:presLayoutVars>
          <dgm:chPref val="3"/>
        </dgm:presLayoutVars>
      </dgm:prSet>
      <dgm:spPr/>
    </dgm:pt>
    <dgm:pt modelId="{13EE620A-8E91-4933-90A0-B10DD4BFB838}" type="pres">
      <dgm:prSet presAssocID="{A53E9160-5CAA-4D15-A8FF-26C7A1BB68F3}" presName="rootConnector" presStyleLbl="node3" presStyleIdx="0" presStyleCnt="4"/>
      <dgm:spPr/>
    </dgm:pt>
    <dgm:pt modelId="{F2590A2E-914F-42F0-B0E2-B8E1E522C117}" type="pres">
      <dgm:prSet presAssocID="{A53E9160-5CAA-4D15-A8FF-26C7A1BB68F3}" presName="hierChild4" presStyleCnt="0"/>
      <dgm:spPr/>
    </dgm:pt>
    <dgm:pt modelId="{3A5A8D36-8B03-42BF-B627-CE87AF11EC22}" type="pres">
      <dgm:prSet presAssocID="{345A7164-9B84-4772-B53F-578508EB30FA}" presName="Name37" presStyleLbl="parChTrans1D4" presStyleIdx="0" presStyleCnt="3"/>
      <dgm:spPr/>
    </dgm:pt>
    <dgm:pt modelId="{7D182248-D391-4EEA-BCFF-9EFF4F0659C7}" type="pres">
      <dgm:prSet presAssocID="{2046EEBA-982B-4301-8241-2803CAE760D1}" presName="hierRoot2" presStyleCnt="0">
        <dgm:presLayoutVars>
          <dgm:hierBranch val="init"/>
        </dgm:presLayoutVars>
      </dgm:prSet>
      <dgm:spPr/>
    </dgm:pt>
    <dgm:pt modelId="{1D625D73-B697-4891-BA6E-54D81034BF41}" type="pres">
      <dgm:prSet presAssocID="{2046EEBA-982B-4301-8241-2803CAE760D1}" presName="rootComposite" presStyleCnt="0"/>
      <dgm:spPr/>
    </dgm:pt>
    <dgm:pt modelId="{43782A98-1838-41BA-B5F4-3F6A5D3A4643}" type="pres">
      <dgm:prSet presAssocID="{2046EEBA-982B-4301-8241-2803CAE760D1}" presName="rootText" presStyleLbl="node4" presStyleIdx="0" presStyleCnt="3" custLinFactY="32880" custLinFactNeighborX="2143" custLinFactNeighborY="100000">
        <dgm:presLayoutVars>
          <dgm:chPref val="3"/>
        </dgm:presLayoutVars>
      </dgm:prSet>
      <dgm:spPr/>
    </dgm:pt>
    <dgm:pt modelId="{8AF5AB59-B06C-46A8-910F-A9FC22C138D6}" type="pres">
      <dgm:prSet presAssocID="{2046EEBA-982B-4301-8241-2803CAE760D1}" presName="rootConnector" presStyleLbl="node4" presStyleIdx="0" presStyleCnt="3"/>
      <dgm:spPr/>
    </dgm:pt>
    <dgm:pt modelId="{C01AD7B7-51E8-4A3B-8D3B-5E509C0EBD14}" type="pres">
      <dgm:prSet presAssocID="{2046EEBA-982B-4301-8241-2803CAE760D1}" presName="hierChild4" presStyleCnt="0"/>
      <dgm:spPr/>
    </dgm:pt>
    <dgm:pt modelId="{3AB739AB-CB04-4871-88F4-1806691FA6FB}" type="pres">
      <dgm:prSet presAssocID="{2046EEBA-982B-4301-8241-2803CAE760D1}" presName="hierChild5" presStyleCnt="0"/>
      <dgm:spPr/>
    </dgm:pt>
    <dgm:pt modelId="{A440448E-AD3F-4042-8AC2-096A091EB180}" type="pres">
      <dgm:prSet presAssocID="{A53E9160-5CAA-4D15-A8FF-26C7A1BB68F3}" presName="hierChild5" presStyleCnt="0"/>
      <dgm:spPr/>
    </dgm:pt>
    <dgm:pt modelId="{F4372CDA-AFB5-4451-92EF-ECBD1813E030}" type="pres">
      <dgm:prSet presAssocID="{3CB4F370-1677-4FF7-A431-6F134EE8D01A}" presName="Name37" presStyleLbl="parChTrans1D3" presStyleIdx="1" presStyleCnt="4"/>
      <dgm:spPr/>
    </dgm:pt>
    <dgm:pt modelId="{AA08A403-89D7-4468-860F-4C8D9083D262}" type="pres">
      <dgm:prSet presAssocID="{04D28262-27D4-4A96-8A9B-E9CC736D7103}" presName="hierRoot2" presStyleCnt="0">
        <dgm:presLayoutVars>
          <dgm:hierBranch val="init"/>
        </dgm:presLayoutVars>
      </dgm:prSet>
      <dgm:spPr/>
    </dgm:pt>
    <dgm:pt modelId="{7ECA534C-9B68-4623-86C0-B1B2B8E47C27}" type="pres">
      <dgm:prSet presAssocID="{04D28262-27D4-4A96-8A9B-E9CC736D7103}" presName="rootComposite" presStyleCnt="0"/>
      <dgm:spPr/>
    </dgm:pt>
    <dgm:pt modelId="{BF4BB1AA-4DBE-4507-B279-84DB611DE3D9}" type="pres">
      <dgm:prSet presAssocID="{04D28262-27D4-4A96-8A9B-E9CC736D7103}" presName="rootText" presStyleLbl="node3" presStyleIdx="1" presStyleCnt="4">
        <dgm:presLayoutVars>
          <dgm:chPref val="3"/>
        </dgm:presLayoutVars>
      </dgm:prSet>
      <dgm:spPr/>
    </dgm:pt>
    <dgm:pt modelId="{B662C18C-FD65-4B35-81DA-0AA07988768D}" type="pres">
      <dgm:prSet presAssocID="{04D28262-27D4-4A96-8A9B-E9CC736D7103}" presName="rootConnector" presStyleLbl="node3" presStyleIdx="1" presStyleCnt="4"/>
      <dgm:spPr/>
    </dgm:pt>
    <dgm:pt modelId="{9459F0E1-5508-4192-A472-B8C4A37233FB}" type="pres">
      <dgm:prSet presAssocID="{04D28262-27D4-4A96-8A9B-E9CC736D7103}" presName="hierChild4" presStyleCnt="0"/>
      <dgm:spPr/>
    </dgm:pt>
    <dgm:pt modelId="{B8429EAD-8128-43ED-AC95-1F16B0237B6E}" type="pres">
      <dgm:prSet presAssocID="{819E766C-2ED8-47CA-A45D-E5D90E97075D}" presName="Name37" presStyleLbl="parChTrans1D4" presStyleIdx="1" presStyleCnt="3"/>
      <dgm:spPr/>
    </dgm:pt>
    <dgm:pt modelId="{B78DF617-0C60-4DFF-9A4A-3499B36D3A05}" type="pres">
      <dgm:prSet presAssocID="{A8B36F11-EDFA-448E-ACCA-F4E3B0ABB64C}" presName="hierRoot2" presStyleCnt="0">
        <dgm:presLayoutVars>
          <dgm:hierBranch val="init"/>
        </dgm:presLayoutVars>
      </dgm:prSet>
      <dgm:spPr/>
    </dgm:pt>
    <dgm:pt modelId="{6E5C4F98-26EB-440B-BEE0-9C5BD6BCEA32}" type="pres">
      <dgm:prSet presAssocID="{A8B36F11-EDFA-448E-ACCA-F4E3B0ABB64C}" presName="rootComposite" presStyleCnt="0"/>
      <dgm:spPr/>
    </dgm:pt>
    <dgm:pt modelId="{89C82BCD-3E8F-4B3E-ADEB-9F0B68EEFC29}" type="pres">
      <dgm:prSet presAssocID="{A8B36F11-EDFA-448E-ACCA-F4E3B0ABB64C}" presName="rootText" presStyleLbl="node4" presStyleIdx="1" presStyleCnt="3" custLinFactY="32880" custLinFactNeighborX="2143" custLinFactNeighborY="100000">
        <dgm:presLayoutVars>
          <dgm:chPref val="3"/>
        </dgm:presLayoutVars>
      </dgm:prSet>
      <dgm:spPr/>
    </dgm:pt>
    <dgm:pt modelId="{A616E4E2-6302-4B13-9A4D-0A15F519358E}" type="pres">
      <dgm:prSet presAssocID="{A8B36F11-EDFA-448E-ACCA-F4E3B0ABB64C}" presName="rootConnector" presStyleLbl="node4" presStyleIdx="1" presStyleCnt="3"/>
      <dgm:spPr/>
    </dgm:pt>
    <dgm:pt modelId="{72703296-1B66-4433-9D88-4E9CC73449CD}" type="pres">
      <dgm:prSet presAssocID="{A8B36F11-EDFA-448E-ACCA-F4E3B0ABB64C}" presName="hierChild4" presStyleCnt="0"/>
      <dgm:spPr/>
    </dgm:pt>
    <dgm:pt modelId="{C8674BAC-EC0F-48E6-BE54-13CC6AF2546C}" type="pres">
      <dgm:prSet presAssocID="{A8B36F11-EDFA-448E-ACCA-F4E3B0ABB64C}" presName="hierChild5" presStyleCnt="0"/>
      <dgm:spPr/>
    </dgm:pt>
    <dgm:pt modelId="{D7C749B0-249E-4EFF-B39B-600769655A0E}" type="pres">
      <dgm:prSet presAssocID="{04D28262-27D4-4A96-8A9B-E9CC736D7103}" presName="hierChild5" presStyleCnt="0"/>
      <dgm:spPr/>
    </dgm:pt>
    <dgm:pt modelId="{52FD661B-2D3B-49BB-9A28-EEFCCA35AD9B}" type="pres">
      <dgm:prSet presAssocID="{D0B3D3DE-7CB5-4F0F-B82E-AE744B2CBB75}" presName="Name37" presStyleLbl="parChTrans1D3" presStyleIdx="2" presStyleCnt="4"/>
      <dgm:spPr/>
    </dgm:pt>
    <dgm:pt modelId="{C7EB2C27-4BE2-4C9E-9FBD-516A7416693A}" type="pres">
      <dgm:prSet presAssocID="{1D8AAA2E-60A5-4FA8-BB8D-CF032DC80AE2}" presName="hierRoot2" presStyleCnt="0">
        <dgm:presLayoutVars>
          <dgm:hierBranch val="init"/>
        </dgm:presLayoutVars>
      </dgm:prSet>
      <dgm:spPr/>
    </dgm:pt>
    <dgm:pt modelId="{2D67EAD2-9E10-49BF-9895-79AFB5089F5D}" type="pres">
      <dgm:prSet presAssocID="{1D8AAA2E-60A5-4FA8-BB8D-CF032DC80AE2}" presName="rootComposite" presStyleCnt="0"/>
      <dgm:spPr/>
    </dgm:pt>
    <dgm:pt modelId="{2475995F-D1F8-4107-A258-730E90BCD88D}" type="pres">
      <dgm:prSet presAssocID="{1D8AAA2E-60A5-4FA8-BB8D-CF032DC80AE2}" presName="rootText" presStyleLbl="node3" presStyleIdx="2" presStyleCnt="4">
        <dgm:presLayoutVars>
          <dgm:chPref val="3"/>
        </dgm:presLayoutVars>
      </dgm:prSet>
      <dgm:spPr/>
    </dgm:pt>
    <dgm:pt modelId="{F0C0DE88-8657-4FB8-84E9-EE1A7E96A7BA}" type="pres">
      <dgm:prSet presAssocID="{1D8AAA2E-60A5-4FA8-BB8D-CF032DC80AE2}" presName="rootConnector" presStyleLbl="node3" presStyleIdx="2" presStyleCnt="4"/>
      <dgm:spPr/>
    </dgm:pt>
    <dgm:pt modelId="{965FFA83-479B-47EC-8AF1-1C0CFFC610CE}" type="pres">
      <dgm:prSet presAssocID="{1D8AAA2E-60A5-4FA8-BB8D-CF032DC80AE2}" presName="hierChild4" presStyleCnt="0"/>
      <dgm:spPr/>
    </dgm:pt>
    <dgm:pt modelId="{91D23516-BC80-4A96-83F0-C5CFAB70308E}" type="pres">
      <dgm:prSet presAssocID="{61B097B9-80ED-4819-BEC2-3D1040F26A3F}" presName="Name37" presStyleLbl="parChTrans1D4" presStyleIdx="2" presStyleCnt="3"/>
      <dgm:spPr/>
    </dgm:pt>
    <dgm:pt modelId="{B8824ECB-13C7-4A8B-9913-B10FF9421312}" type="pres">
      <dgm:prSet presAssocID="{01E09FA3-99A2-4DF9-9321-D18EE72FF41D}" presName="hierRoot2" presStyleCnt="0">
        <dgm:presLayoutVars>
          <dgm:hierBranch val="init"/>
        </dgm:presLayoutVars>
      </dgm:prSet>
      <dgm:spPr/>
    </dgm:pt>
    <dgm:pt modelId="{C58BDCA1-9B4F-40F3-8ABB-174C68C01412}" type="pres">
      <dgm:prSet presAssocID="{01E09FA3-99A2-4DF9-9321-D18EE72FF41D}" presName="rootComposite" presStyleCnt="0"/>
      <dgm:spPr/>
    </dgm:pt>
    <dgm:pt modelId="{96EAEC2D-51A0-4D58-8D8D-ED695F4677BC}" type="pres">
      <dgm:prSet presAssocID="{01E09FA3-99A2-4DF9-9321-D18EE72FF41D}" presName="rootText" presStyleLbl="node4" presStyleIdx="2" presStyleCnt="3" custLinFactY="32880" custLinFactNeighborX="2143" custLinFactNeighborY="100000">
        <dgm:presLayoutVars>
          <dgm:chPref val="3"/>
        </dgm:presLayoutVars>
      </dgm:prSet>
      <dgm:spPr/>
    </dgm:pt>
    <dgm:pt modelId="{6028E1F5-EAEC-42CF-AD1E-785122FD505B}" type="pres">
      <dgm:prSet presAssocID="{01E09FA3-99A2-4DF9-9321-D18EE72FF41D}" presName="rootConnector" presStyleLbl="node4" presStyleIdx="2" presStyleCnt="3"/>
      <dgm:spPr/>
    </dgm:pt>
    <dgm:pt modelId="{DB86481F-E835-4255-93DD-00A8591AFD2A}" type="pres">
      <dgm:prSet presAssocID="{01E09FA3-99A2-4DF9-9321-D18EE72FF41D}" presName="hierChild4" presStyleCnt="0"/>
      <dgm:spPr/>
    </dgm:pt>
    <dgm:pt modelId="{1F21D95E-A82F-4FEC-8679-201D0F68FF87}" type="pres">
      <dgm:prSet presAssocID="{01E09FA3-99A2-4DF9-9321-D18EE72FF41D}" presName="hierChild5" presStyleCnt="0"/>
      <dgm:spPr/>
    </dgm:pt>
    <dgm:pt modelId="{A69BEC85-7D63-48D6-B881-C892AE65D5D6}" type="pres">
      <dgm:prSet presAssocID="{1D8AAA2E-60A5-4FA8-BB8D-CF032DC80AE2}" presName="hierChild5" presStyleCnt="0"/>
      <dgm:spPr/>
    </dgm:pt>
    <dgm:pt modelId="{17103C69-0302-483E-83B6-DDD01D942D32}" type="pres">
      <dgm:prSet presAssocID="{1D8C16E0-4599-455F-94C1-B94B89884C13}" presName="Name37" presStyleLbl="parChTrans1D3" presStyleIdx="3" presStyleCnt="4"/>
      <dgm:spPr/>
    </dgm:pt>
    <dgm:pt modelId="{6D7C1801-74A8-4D14-BCD0-996644C52870}" type="pres">
      <dgm:prSet presAssocID="{A40BA4BE-0B14-451B-9D4C-5CA23E3806E7}" presName="hierRoot2" presStyleCnt="0">
        <dgm:presLayoutVars>
          <dgm:hierBranch val="init"/>
        </dgm:presLayoutVars>
      </dgm:prSet>
      <dgm:spPr/>
    </dgm:pt>
    <dgm:pt modelId="{BE7D34A5-5527-4060-B06D-654E69E5502B}" type="pres">
      <dgm:prSet presAssocID="{A40BA4BE-0B14-451B-9D4C-5CA23E3806E7}" presName="rootComposite" presStyleCnt="0"/>
      <dgm:spPr/>
    </dgm:pt>
    <dgm:pt modelId="{8626661B-01F0-4DF6-819E-869027AAF714}" type="pres">
      <dgm:prSet presAssocID="{A40BA4BE-0B14-451B-9D4C-5CA23E3806E7}" presName="rootText" presStyleLbl="node3" presStyleIdx="3" presStyleCnt="4">
        <dgm:presLayoutVars>
          <dgm:chPref val="3"/>
        </dgm:presLayoutVars>
      </dgm:prSet>
      <dgm:spPr/>
    </dgm:pt>
    <dgm:pt modelId="{0857AC9D-95D4-4A52-9D1C-207F7D093922}" type="pres">
      <dgm:prSet presAssocID="{A40BA4BE-0B14-451B-9D4C-5CA23E3806E7}" presName="rootConnector" presStyleLbl="node3" presStyleIdx="3" presStyleCnt="4"/>
      <dgm:spPr/>
    </dgm:pt>
    <dgm:pt modelId="{5DB5BE4C-CAFC-4A01-86F3-DA9FA36C0D79}" type="pres">
      <dgm:prSet presAssocID="{A40BA4BE-0B14-451B-9D4C-5CA23E3806E7}" presName="hierChild4" presStyleCnt="0"/>
      <dgm:spPr/>
    </dgm:pt>
    <dgm:pt modelId="{1C6CC99E-B773-4ACD-9060-AC6310D71328}" type="pres">
      <dgm:prSet presAssocID="{A40BA4BE-0B14-451B-9D4C-5CA23E3806E7}" presName="hierChild5" presStyleCnt="0"/>
      <dgm:spPr/>
    </dgm:pt>
    <dgm:pt modelId="{289BC3D3-6900-4405-AF4F-92EACE1CB878}" type="pres">
      <dgm:prSet presAssocID="{23ED8CFC-81C1-428B-A966-C87223B77595}" presName="hierChild5" presStyleCnt="0"/>
      <dgm:spPr/>
    </dgm:pt>
    <dgm:pt modelId="{A6339135-5765-4A4B-AE66-1F85B67972B6}" type="pres">
      <dgm:prSet presAssocID="{EEACE347-62BD-43BF-9D33-81718D276236}" presName="Name37" presStyleLbl="parChTrans1D2" presStyleIdx="1" presStyleCnt="5"/>
      <dgm:spPr/>
    </dgm:pt>
    <dgm:pt modelId="{229BEA70-9311-4A25-9595-781F96417EA2}" type="pres">
      <dgm:prSet presAssocID="{EAA85139-F8E3-4BBA-8393-786789E6EBE2}" presName="hierRoot2" presStyleCnt="0">
        <dgm:presLayoutVars>
          <dgm:hierBranch val="init"/>
        </dgm:presLayoutVars>
      </dgm:prSet>
      <dgm:spPr/>
    </dgm:pt>
    <dgm:pt modelId="{D5E3CC9F-3F6B-4D10-A6ED-A2946E623EF2}" type="pres">
      <dgm:prSet presAssocID="{EAA85139-F8E3-4BBA-8393-786789E6EBE2}" presName="rootComposite" presStyleCnt="0"/>
      <dgm:spPr/>
    </dgm:pt>
    <dgm:pt modelId="{0865E7C1-C8C5-4628-BF91-DFD448E2F845}" type="pres">
      <dgm:prSet presAssocID="{EAA85139-F8E3-4BBA-8393-786789E6EBE2}" presName="rootText" presStyleLbl="node2" presStyleIdx="1" presStyleCnt="5">
        <dgm:presLayoutVars>
          <dgm:chPref val="3"/>
        </dgm:presLayoutVars>
      </dgm:prSet>
      <dgm:spPr/>
    </dgm:pt>
    <dgm:pt modelId="{653B3261-3336-439D-8CA1-E643C0521771}" type="pres">
      <dgm:prSet presAssocID="{EAA85139-F8E3-4BBA-8393-786789E6EBE2}" presName="rootConnector" presStyleLbl="node2" presStyleIdx="1" presStyleCnt="5"/>
      <dgm:spPr/>
    </dgm:pt>
    <dgm:pt modelId="{9BA7BDF4-D218-48E7-A497-B9F6038DBB89}" type="pres">
      <dgm:prSet presAssocID="{EAA85139-F8E3-4BBA-8393-786789E6EBE2}" presName="hierChild4" presStyleCnt="0"/>
      <dgm:spPr/>
    </dgm:pt>
    <dgm:pt modelId="{ECBC1C88-C064-4FCB-8BE5-9A9B55AE6E6A}" type="pres">
      <dgm:prSet presAssocID="{EAA85139-F8E3-4BBA-8393-786789E6EBE2}" presName="hierChild5" presStyleCnt="0"/>
      <dgm:spPr/>
    </dgm:pt>
    <dgm:pt modelId="{9212C7B4-A036-482B-A3D9-AA773E264725}" type="pres">
      <dgm:prSet presAssocID="{814D8EC5-A029-4C0B-8818-7679B1066622}" presName="Name37" presStyleLbl="parChTrans1D2" presStyleIdx="2" presStyleCnt="5"/>
      <dgm:spPr/>
    </dgm:pt>
    <dgm:pt modelId="{AD74046B-5360-4517-A12C-9F42201B4D9B}" type="pres">
      <dgm:prSet presAssocID="{D3EAD832-C3B7-4F16-9218-900EF7C01B26}" presName="hierRoot2" presStyleCnt="0">
        <dgm:presLayoutVars>
          <dgm:hierBranch val="init"/>
        </dgm:presLayoutVars>
      </dgm:prSet>
      <dgm:spPr/>
    </dgm:pt>
    <dgm:pt modelId="{3BB6078C-1922-4E8B-B257-10DF6457F419}" type="pres">
      <dgm:prSet presAssocID="{D3EAD832-C3B7-4F16-9218-900EF7C01B26}" presName="rootComposite" presStyleCnt="0"/>
      <dgm:spPr/>
    </dgm:pt>
    <dgm:pt modelId="{7AA36B74-A52B-45E3-A0CB-60087D0C2443}" type="pres">
      <dgm:prSet presAssocID="{D3EAD832-C3B7-4F16-9218-900EF7C01B26}" presName="rootText" presStyleLbl="node2" presStyleIdx="2" presStyleCnt="5">
        <dgm:presLayoutVars>
          <dgm:chPref val="3"/>
        </dgm:presLayoutVars>
      </dgm:prSet>
      <dgm:spPr/>
    </dgm:pt>
    <dgm:pt modelId="{A9BC85F3-FCB6-4CF0-8CCC-4C4CB663CFB9}" type="pres">
      <dgm:prSet presAssocID="{D3EAD832-C3B7-4F16-9218-900EF7C01B26}" presName="rootConnector" presStyleLbl="node2" presStyleIdx="2" presStyleCnt="5"/>
      <dgm:spPr/>
    </dgm:pt>
    <dgm:pt modelId="{2F13A907-A147-4CF6-A78E-ACFBD33DEF94}" type="pres">
      <dgm:prSet presAssocID="{D3EAD832-C3B7-4F16-9218-900EF7C01B26}" presName="hierChild4" presStyleCnt="0"/>
      <dgm:spPr/>
    </dgm:pt>
    <dgm:pt modelId="{4B3C8E36-C582-44A1-BD1F-A44F180DCADF}" type="pres">
      <dgm:prSet presAssocID="{D3EAD832-C3B7-4F16-9218-900EF7C01B26}" presName="hierChild5" presStyleCnt="0"/>
      <dgm:spPr/>
    </dgm:pt>
    <dgm:pt modelId="{83E92D29-5D87-4FBD-92AC-2EEFA23E617A}" type="pres">
      <dgm:prSet presAssocID="{38CB51C5-3562-4000-A3D7-91940DD857E4}" presName="Name37" presStyleLbl="parChTrans1D2" presStyleIdx="3" presStyleCnt="5"/>
      <dgm:spPr/>
    </dgm:pt>
    <dgm:pt modelId="{8473ACC8-048A-42E7-AFE9-979DD9A621A4}" type="pres">
      <dgm:prSet presAssocID="{720A84F5-A8C3-42D6-9F6F-4D2126BBBA83}" presName="hierRoot2" presStyleCnt="0">
        <dgm:presLayoutVars>
          <dgm:hierBranch val="init"/>
        </dgm:presLayoutVars>
      </dgm:prSet>
      <dgm:spPr/>
    </dgm:pt>
    <dgm:pt modelId="{420094F4-BAA9-40AE-B319-FA30DFAA258F}" type="pres">
      <dgm:prSet presAssocID="{720A84F5-A8C3-42D6-9F6F-4D2126BBBA83}" presName="rootComposite" presStyleCnt="0"/>
      <dgm:spPr/>
    </dgm:pt>
    <dgm:pt modelId="{8164BF52-63BB-40C9-A999-DB74F871BBE3}" type="pres">
      <dgm:prSet presAssocID="{720A84F5-A8C3-42D6-9F6F-4D2126BBBA83}" presName="rootText" presStyleLbl="node2" presStyleIdx="3" presStyleCnt="5">
        <dgm:presLayoutVars>
          <dgm:chPref val="3"/>
        </dgm:presLayoutVars>
      </dgm:prSet>
      <dgm:spPr/>
    </dgm:pt>
    <dgm:pt modelId="{3AABA5AD-67FB-4A5E-84CC-23B186557FB6}" type="pres">
      <dgm:prSet presAssocID="{720A84F5-A8C3-42D6-9F6F-4D2126BBBA83}" presName="rootConnector" presStyleLbl="node2" presStyleIdx="3" presStyleCnt="5"/>
      <dgm:spPr/>
    </dgm:pt>
    <dgm:pt modelId="{3D9DE625-E69C-4266-8428-D1316D2ED9B0}" type="pres">
      <dgm:prSet presAssocID="{720A84F5-A8C3-42D6-9F6F-4D2126BBBA83}" presName="hierChild4" presStyleCnt="0"/>
      <dgm:spPr/>
    </dgm:pt>
    <dgm:pt modelId="{D6127A26-2E68-4B06-B9AD-3C2A370A55C7}" type="pres">
      <dgm:prSet presAssocID="{720A84F5-A8C3-42D6-9F6F-4D2126BBBA83}" presName="hierChild5" presStyleCnt="0"/>
      <dgm:spPr/>
    </dgm:pt>
    <dgm:pt modelId="{00268D7A-8C38-48B0-961F-1FD70B54E78D}" type="pres">
      <dgm:prSet presAssocID="{D7203144-6EEB-4CE8-8887-D45809D8E0A2}" presName="Name37" presStyleLbl="parChTrans1D2" presStyleIdx="4" presStyleCnt="5"/>
      <dgm:spPr/>
    </dgm:pt>
    <dgm:pt modelId="{29B2F634-9C26-476A-86AF-8EC37649FEFD}" type="pres">
      <dgm:prSet presAssocID="{904C68A8-6EB1-4096-BAE2-F8597E3545F7}" presName="hierRoot2" presStyleCnt="0">
        <dgm:presLayoutVars>
          <dgm:hierBranch val="init"/>
        </dgm:presLayoutVars>
      </dgm:prSet>
      <dgm:spPr/>
    </dgm:pt>
    <dgm:pt modelId="{3193FDBC-03F9-4399-A776-07F180B82236}" type="pres">
      <dgm:prSet presAssocID="{904C68A8-6EB1-4096-BAE2-F8597E3545F7}" presName="rootComposite" presStyleCnt="0"/>
      <dgm:spPr/>
    </dgm:pt>
    <dgm:pt modelId="{2A9C3C54-5B58-49BD-BB0F-7BD286DF6C57}" type="pres">
      <dgm:prSet presAssocID="{904C68A8-6EB1-4096-BAE2-F8597E3545F7}" presName="rootText" presStyleLbl="node2" presStyleIdx="4" presStyleCnt="5">
        <dgm:presLayoutVars>
          <dgm:chPref val="3"/>
        </dgm:presLayoutVars>
      </dgm:prSet>
      <dgm:spPr/>
    </dgm:pt>
    <dgm:pt modelId="{75F1D8B1-431B-40B6-B7D0-99CA4BAD291D}" type="pres">
      <dgm:prSet presAssocID="{904C68A8-6EB1-4096-BAE2-F8597E3545F7}" presName="rootConnector" presStyleLbl="node2" presStyleIdx="4" presStyleCnt="5"/>
      <dgm:spPr/>
    </dgm:pt>
    <dgm:pt modelId="{AAD0481A-6EA6-4AC8-8F38-35667754CC35}" type="pres">
      <dgm:prSet presAssocID="{904C68A8-6EB1-4096-BAE2-F8597E3545F7}" presName="hierChild4" presStyleCnt="0"/>
      <dgm:spPr/>
    </dgm:pt>
    <dgm:pt modelId="{C89F1E55-C151-4630-AECB-8DE73B34F6E0}" type="pres">
      <dgm:prSet presAssocID="{904C68A8-6EB1-4096-BAE2-F8597E3545F7}" presName="hierChild5" presStyleCnt="0"/>
      <dgm:spPr/>
    </dgm:pt>
    <dgm:pt modelId="{7750E4D9-DB4C-4E8F-8CE6-4C4B89A1ECFF}" type="pres">
      <dgm:prSet presAssocID="{BE108FD2-3A0C-4907-9ADF-8F5A07EE0C01}" presName="hierChild3" presStyleCnt="0"/>
      <dgm:spPr/>
    </dgm:pt>
  </dgm:ptLst>
  <dgm:cxnLst>
    <dgm:cxn modelId="{2B870502-9B1B-4585-95F4-A123DF81CA0B}" type="presOf" srcId="{345A7164-9B84-4772-B53F-578508EB30FA}" destId="{3A5A8D36-8B03-42BF-B627-CE87AF11EC22}" srcOrd="0" destOrd="0" presId="urn:microsoft.com/office/officeart/2005/8/layout/orgChart1"/>
    <dgm:cxn modelId="{E0FCF806-74F9-4621-B431-0B01D73D49BD}" type="presOf" srcId="{A8B36F11-EDFA-448E-ACCA-F4E3B0ABB64C}" destId="{89C82BCD-3E8F-4B3E-ADEB-9F0B68EEFC29}" srcOrd="0" destOrd="0" presId="urn:microsoft.com/office/officeart/2005/8/layout/orgChart1"/>
    <dgm:cxn modelId="{EC25550A-E9CC-45FC-88B3-54160EF44D16}" srcId="{BE108FD2-3A0C-4907-9ADF-8F5A07EE0C01}" destId="{23ED8CFC-81C1-428B-A966-C87223B77595}" srcOrd="0" destOrd="0" parTransId="{98738C59-5ADF-4431-8B3C-5AAD82547238}" sibTransId="{F2759905-CCCC-465E-9841-8A119BD49559}"/>
    <dgm:cxn modelId="{93AFF50C-E062-49F7-995A-5DE16FD8AE02}" type="presOf" srcId="{D7203144-6EEB-4CE8-8887-D45809D8E0A2}" destId="{00268D7A-8C38-48B0-961F-1FD70B54E78D}" srcOrd="0" destOrd="0" presId="urn:microsoft.com/office/officeart/2005/8/layout/orgChart1"/>
    <dgm:cxn modelId="{EBFE660E-8517-408C-A626-E3D07E016552}" type="presOf" srcId="{04D28262-27D4-4A96-8A9B-E9CC736D7103}" destId="{BF4BB1AA-4DBE-4507-B279-84DB611DE3D9}" srcOrd="0" destOrd="0" presId="urn:microsoft.com/office/officeart/2005/8/layout/orgChart1"/>
    <dgm:cxn modelId="{A3CDB313-A0F8-4032-9ADB-C55809D3267A}" type="presOf" srcId="{04D28262-27D4-4A96-8A9B-E9CC736D7103}" destId="{B662C18C-FD65-4B35-81DA-0AA07988768D}" srcOrd="1" destOrd="0" presId="urn:microsoft.com/office/officeart/2005/8/layout/orgChart1"/>
    <dgm:cxn modelId="{B8D4DA16-B6C4-4121-B023-F170713D6AA7}" srcId="{BE108FD2-3A0C-4907-9ADF-8F5A07EE0C01}" destId="{720A84F5-A8C3-42D6-9F6F-4D2126BBBA83}" srcOrd="3" destOrd="0" parTransId="{38CB51C5-3562-4000-A3D7-91940DD857E4}" sibTransId="{4AB5C324-30D6-4C82-8CB8-34ED816646D6}"/>
    <dgm:cxn modelId="{7F5EAC2E-203C-401D-9E50-A6FA2FDA94DA}" srcId="{23ED8CFC-81C1-428B-A966-C87223B77595}" destId="{1D8AAA2E-60A5-4FA8-BB8D-CF032DC80AE2}" srcOrd="2" destOrd="0" parTransId="{D0B3D3DE-7CB5-4F0F-B82E-AE744B2CBB75}" sibTransId="{1C18BB0E-00C4-4AB9-8E94-E571BD89AF5C}"/>
    <dgm:cxn modelId="{F57BDE30-D8B2-49AF-BEC6-7140ED8E3F91}" type="presOf" srcId="{01E09FA3-99A2-4DF9-9321-D18EE72FF41D}" destId="{96EAEC2D-51A0-4D58-8D8D-ED695F4677BC}" srcOrd="0" destOrd="0" presId="urn:microsoft.com/office/officeart/2005/8/layout/orgChart1"/>
    <dgm:cxn modelId="{324B2936-BE62-4603-BA2D-2C0FDE9815D0}" type="presOf" srcId="{EAA85139-F8E3-4BBA-8393-786789E6EBE2}" destId="{0865E7C1-C8C5-4628-BF91-DFD448E2F845}" srcOrd="0" destOrd="0" presId="urn:microsoft.com/office/officeart/2005/8/layout/orgChart1"/>
    <dgm:cxn modelId="{373ACC38-5177-4B97-9AB1-80E17CA92893}" type="presOf" srcId="{2046EEBA-982B-4301-8241-2803CAE760D1}" destId="{8AF5AB59-B06C-46A8-910F-A9FC22C138D6}" srcOrd="1" destOrd="0" presId="urn:microsoft.com/office/officeart/2005/8/layout/orgChart1"/>
    <dgm:cxn modelId="{148CFB39-DBFE-46A9-88EB-9741985B287B}" type="presOf" srcId="{A53E9160-5CAA-4D15-A8FF-26C7A1BB68F3}" destId="{1FB34EFA-170E-4CEC-8A83-94E6D3D1104A}" srcOrd="0" destOrd="0" presId="urn:microsoft.com/office/officeart/2005/8/layout/orgChart1"/>
    <dgm:cxn modelId="{8C83143A-D9C9-40BB-8C8F-9FD75F91FBC2}" type="presOf" srcId="{EAA85139-F8E3-4BBA-8393-786789E6EBE2}" destId="{653B3261-3336-439D-8CA1-E643C0521771}" srcOrd="1" destOrd="0" presId="urn:microsoft.com/office/officeart/2005/8/layout/orgChart1"/>
    <dgm:cxn modelId="{99444B3B-7A2F-4A8E-9C27-18483C25B821}" type="presOf" srcId="{23ED8CFC-81C1-428B-A966-C87223B77595}" destId="{4DF62BC4-0040-4565-93E9-FE04334E95F7}" srcOrd="1" destOrd="0" presId="urn:microsoft.com/office/officeart/2005/8/layout/orgChart1"/>
    <dgm:cxn modelId="{EAAE665D-9024-4C8F-B311-38B834CA51BC}" type="presOf" srcId="{814D8EC5-A029-4C0B-8818-7679B1066622}" destId="{9212C7B4-A036-482B-A3D9-AA773E264725}" srcOrd="0" destOrd="0" presId="urn:microsoft.com/office/officeart/2005/8/layout/orgChart1"/>
    <dgm:cxn modelId="{0C78355E-5FCC-4414-B32C-F9F7062C9370}" type="presOf" srcId="{1D8AAA2E-60A5-4FA8-BB8D-CF032DC80AE2}" destId="{F0C0DE88-8657-4FB8-84E9-EE1A7E96A7BA}" srcOrd="1" destOrd="0" presId="urn:microsoft.com/office/officeart/2005/8/layout/orgChart1"/>
    <dgm:cxn modelId="{35E9D75E-5A88-4170-A161-FA2BF2A5495D}" srcId="{23ED8CFC-81C1-428B-A966-C87223B77595}" destId="{A40BA4BE-0B14-451B-9D4C-5CA23E3806E7}" srcOrd="3" destOrd="0" parTransId="{1D8C16E0-4599-455F-94C1-B94B89884C13}" sibTransId="{9A41387E-C038-4649-B1C0-34385333535C}"/>
    <dgm:cxn modelId="{E7636A60-3B6B-48E7-8BF9-6E8672DDA6F4}" srcId="{A53E9160-5CAA-4D15-A8FF-26C7A1BB68F3}" destId="{2046EEBA-982B-4301-8241-2803CAE760D1}" srcOrd="0" destOrd="0" parTransId="{345A7164-9B84-4772-B53F-578508EB30FA}" sibTransId="{0603BC87-DD29-460F-B651-36077527D28A}"/>
    <dgm:cxn modelId="{7C1AEA61-29E9-49FF-930C-6321EBBC0A0D}" type="presOf" srcId="{720A84F5-A8C3-42D6-9F6F-4D2126BBBA83}" destId="{3AABA5AD-67FB-4A5E-84CC-23B186557FB6}" srcOrd="1" destOrd="0" presId="urn:microsoft.com/office/officeart/2005/8/layout/orgChart1"/>
    <dgm:cxn modelId="{06989445-AAE0-442C-8687-02557B085975}" type="presOf" srcId="{D0B3D3DE-7CB5-4F0F-B82E-AE744B2CBB75}" destId="{52FD661B-2D3B-49BB-9A28-EEFCCA35AD9B}" srcOrd="0" destOrd="0" presId="urn:microsoft.com/office/officeart/2005/8/layout/orgChart1"/>
    <dgm:cxn modelId="{E541A665-FABF-44BA-A858-C774A1EBC96C}" srcId="{1D8AAA2E-60A5-4FA8-BB8D-CF032DC80AE2}" destId="{01E09FA3-99A2-4DF9-9321-D18EE72FF41D}" srcOrd="0" destOrd="0" parTransId="{61B097B9-80ED-4819-BEC2-3D1040F26A3F}" sibTransId="{BE05A8A2-7299-4B23-A3B7-281AB018F750}"/>
    <dgm:cxn modelId="{A1DD8D67-B5BD-4001-8762-8A11B838B32E}" type="presOf" srcId="{D3EAD832-C3B7-4F16-9218-900EF7C01B26}" destId="{7AA36B74-A52B-45E3-A0CB-60087D0C2443}" srcOrd="0" destOrd="0" presId="urn:microsoft.com/office/officeart/2005/8/layout/orgChart1"/>
    <dgm:cxn modelId="{F3831569-8A20-4058-A64B-4268E5D0EDBB}" type="presOf" srcId="{904C68A8-6EB1-4096-BAE2-F8597E3545F7}" destId="{2A9C3C54-5B58-49BD-BB0F-7BD286DF6C57}" srcOrd="0" destOrd="0" presId="urn:microsoft.com/office/officeart/2005/8/layout/orgChart1"/>
    <dgm:cxn modelId="{F608F54C-3AAD-4057-8B3B-38FCFBB65B31}" srcId="{BE108FD2-3A0C-4907-9ADF-8F5A07EE0C01}" destId="{904C68A8-6EB1-4096-BAE2-F8597E3545F7}" srcOrd="4" destOrd="0" parTransId="{D7203144-6EEB-4CE8-8887-D45809D8E0A2}" sibTransId="{BD1078CA-3716-4737-9B2C-0A4BF3F70586}"/>
    <dgm:cxn modelId="{4BCF8B83-3C18-45A5-B5BA-515474ECA790}" type="presOf" srcId="{01E09FA3-99A2-4DF9-9321-D18EE72FF41D}" destId="{6028E1F5-EAEC-42CF-AD1E-785122FD505B}" srcOrd="1" destOrd="0" presId="urn:microsoft.com/office/officeart/2005/8/layout/orgChart1"/>
    <dgm:cxn modelId="{C166CB86-4844-48C3-9DFE-F65E726C3D43}" type="presOf" srcId="{98738C59-5ADF-4431-8B3C-5AAD82547238}" destId="{340F67C4-F267-4C22-B5DF-B7550B5CA0DF}" srcOrd="0" destOrd="0" presId="urn:microsoft.com/office/officeart/2005/8/layout/orgChart1"/>
    <dgm:cxn modelId="{89C01690-30C1-4A0C-A3CC-B8E39A49CDE2}" type="presOf" srcId="{2046EEBA-982B-4301-8241-2803CAE760D1}" destId="{43782A98-1838-41BA-B5F4-3F6A5D3A4643}" srcOrd="0" destOrd="0" presId="urn:microsoft.com/office/officeart/2005/8/layout/orgChart1"/>
    <dgm:cxn modelId="{8C98EB91-9C5B-45BF-BEF5-E0EEFD77DCC7}" srcId="{23ED8CFC-81C1-428B-A966-C87223B77595}" destId="{A53E9160-5CAA-4D15-A8FF-26C7A1BB68F3}" srcOrd="0" destOrd="0" parTransId="{F068F1B7-D50F-4E19-AF22-0D439665847E}" sibTransId="{439329C8-3E8D-44D1-80F8-FAF1444C6D0A}"/>
    <dgm:cxn modelId="{EDB88597-9630-4CB6-A2CD-903B5DF41076}" srcId="{7B00E043-875A-4A60-A7BD-2775E65F19B2}" destId="{BE108FD2-3A0C-4907-9ADF-8F5A07EE0C01}" srcOrd="0" destOrd="0" parTransId="{8F48B282-2873-4CA3-BE10-C61BCD1E452A}" sibTransId="{5225EDEF-6573-4E8D-A1EA-25F884A5E013}"/>
    <dgm:cxn modelId="{0A31A697-3AEE-4FAD-9723-4E07816C5A78}" srcId="{BE108FD2-3A0C-4907-9ADF-8F5A07EE0C01}" destId="{D3EAD832-C3B7-4F16-9218-900EF7C01B26}" srcOrd="2" destOrd="0" parTransId="{814D8EC5-A029-4C0B-8818-7679B1066622}" sibTransId="{ACEA1F23-050F-4A7E-81C4-B8661588BC3A}"/>
    <dgm:cxn modelId="{C844809A-B3FA-4012-95AA-B491AFA8C89A}" type="presOf" srcId="{720A84F5-A8C3-42D6-9F6F-4D2126BBBA83}" destId="{8164BF52-63BB-40C9-A999-DB74F871BBE3}" srcOrd="0" destOrd="0" presId="urn:microsoft.com/office/officeart/2005/8/layout/orgChart1"/>
    <dgm:cxn modelId="{BE00F89A-7054-40B2-B7F9-24CF6451E451}" type="presOf" srcId="{819E766C-2ED8-47CA-A45D-E5D90E97075D}" destId="{B8429EAD-8128-43ED-AC95-1F16B0237B6E}" srcOrd="0" destOrd="0" presId="urn:microsoft.com/office/officeart/2005/8/layout/orgChart1"/>
    <dgm:cxn modelId="{DBC0889D-68DF-4F66-8218-13736751E2A0}" type="presOf" srcId="{1D8AAA2E-60A5-4FA8-BB8D-CF032DC80AE2}" destId="{2475995F-D1F8-4107-A258-730E90BCD88D}" srcOrd="0" destOrd="0" presId="urn:microsoft.com/office/officeart/2005/8/layout/orgChart1"/>
    <dgm:cxn modelId="{4D06ABA5-EBF3-4C02-8495-FC5108C182DA}" type="presOf" srcId="{38CB51C5-3562-4000-A3D7-91940DD857E4}" destId="{83E92D29-5D87-4FBD-92AC-2EEFA23E617A}" srcOrd="0" destOrd="0" presId="urn:microsoft.com/office/officeart/2005/8/layout/orgChart1"/>
    <dgm:cxn modelId="{771FC8A5-BC27-4308-A0A4-18033C44106B}" type="presOf" srcId="{BE108FD2-3A0C-4907-9ADF-8F5A07EE0C01}" destId="{7A853995-3DC4-4A23-BB8E-35D3332D16E6}" srcOrd="1" destOrd="0" presId="urn:microsoft.com/office/officeart/2005/8/layout/orgChart1"/>
    <dgm:cxn modelId="{3FAA9AA7-60F6-46CD-A4F5-D5E03A02793B}" type="presOf" srcId="{A40BA4BE-0B14-451B-9D4C-5CA23E3806E7}" destId="{0857AC9D-95D4-4A52-9D1C-207F7D093922}" srcOrd="1" destOrd="0" presId="urn:microsoft.com/office/officeart/2005/8/layout/orgChart1"/>
    <dgm:cxn modelId="{47DB8AB3-3E00-409F-8DC6-8EA6E7A4A41E}" srcId="{04D28262-27D4-4A96-8A9B-E9CC736D7103}" destId="{A8B36F11-EDFA-448E-ACCA-F4E3B0ABB64C}" srcOrd="0" destOrd="0" parTransId="{819E766C-2ED8-47CA-A45D-E5D90E97075D}" sibTransId="{D4A2B17E-4084-4B25-B047-343383A7F61B}"/>
    <dgm:cxn modelId="{83DD4FB4-20F4-49C0-930D-DADABBD39A2A}" type="presOf" srcId="{61B097B9-80ED-4819-BEC2-3D1040F26A3F}" destId="{91D23516-BC80-4A96-83F0-C5CFAB70308E}" srcOrd="0" destOrd="0" presId="urn:microsoft.com/office/officeart/2005/8/layout/orgChart1"/>
    <dgm:cxn modelId="{54F436BC-DA84-498C-9CF5-9FBF0A62103D}" type="presOf" srcId="{7B00E043-875A-4A60-A7BD-2775E65F19B2}" destId="{F9823C52-5345-410C-9F4A-613A5C21F0E8}" srcOrd="0" destOrd="0" presId="urn:microsoft.com/office/officeart/2005/8/layout/orgChart1"/>
    <dgm:cxn modelId="{543477C3-9AA9-4A53-A048-F157D4AF2FDB}" type="presOf" srcId="{A8B36F11-EDFA-448E-ACCA-F4E3B0ABB64C}" destId="{A616E4E2-6302-4B13-9A4D-0A15F519358E}" srcOrd="1" destOrd="0" presId="urn:microsoft.com/office/officeart/2005/8/layout/orgChart1"/>
    <dgm:cxn modelId="{68CDD8C3-41D1-4BBD-9F32-721B8EC1A105}" type="presOf" srcId="{904C68A8-6EB1-4096-BAE2-F8597E3545F7}" destId="{75F1D8B1-431B-40B6-B7D0-99CA4BAD291D}" srcOrd="1" destOrd="0" presId="urn:microsoft.com/office/officeart/2005/8/layout/orgChart1"/>
    <dgm:cxn modelId="{3F21E5CC-7E08-4DE7-9110-5172B08073A2}" type="presOf" srcId="{D3EAD832-C3B7-4F16-9218-900EF7C01B26}" destId="{A9BC85F3-FCB6-4CF0-8CCC-4C4CB663CFB9}" srcOrd="1" destOrd="0" presId="urn:microsoft.com/office/officeart/2005/8/layout/orgChart1"/>
    <dgm:cxn modelId="{1DDF29D4-27DF-43BA-84F9-E67FE9641B3C}" type="presOf" srcId="{BE108FD2-3A0C-4907-9ADF-8F5A07EE0C01}" destId="{B5EF23FE-E97C-4F8C-B341-37F1FEA0D4DD}" srcOrd="0" destOrd="0" presId="urn:microsoft.com/office/officeart/2005/8/layout/orgChart1"/>
    <dgm:cxn modelId="{F33BE4D9-AA90-4DE8-9535-77548F995C8B}" type="presOf" srcId="{1D8C16E0-4599-455F-94C1-B94B89884C13}" destId="{17103C69-0302-483E-83B6-DDD01D942D32}" srcOrd="0" destOrd="0" presId="urn:microsoft.com/office/officeart/2005/8/layout/orgChart1"/>
    <dgm:cxn modelId="{8520C2DA-CF19-4355-8D66-FF39A8A90970}" type="presOf" srcId="{A40BA4BE-0B14-451B-9D4C-5CA23E3806E7}" destId="{8626661B-01F0-4DF6-819E-869027AAF714}" srcOrd="0" destOrd="0" presId="urn:microsoft.com/office/officeart/2005/8/layout/orgChart1"/>
    <dgm:cxn modelId="{74B077DD-C98B-4ECD-9A27-8215910CE3D9}" srcId="{23ED8CFC-81C1-428B-A966-C87223B77595}" destId="{04D28262-27D4-4A96-8A9B-E9CC736D7103}" srcOrd="1" destOrd="0" parTransId="{3CB4F370-1677-4FF7-A431-6F134EE8D01A}" sibTransId="{80966A06-83D7-4147-A13E-1A0543822CC6}"/>
    <dgm:cxn modelId="{37ECAEE0-FD61-4712-A0D0-6C7E879849F2}" type="presOf" srcId="{EEACE347-62BD-43BF-9D33-81718D276236}" destId="{A6339135-5765-4A4B-AE66-1F85B67972B6}" srcOrd="0" destOrd="0" presId="urn:microsoft.com/office/officeart/2005/8/layout/orgChart1"/>
    <dgm:cxn modelId="{40C716EB-E526-438B-9DAD-7A42BF54C3D2}" type="presOf" srcId="{23ED8CFC-81C1-428B-A966-C87223B77595}" destId="{7A0B9906-977A-4B42-942C-11DDBAD50226}" srcOrd="0" destOrd="0" presId="urn:microsoft.com/office/officeart/2005/8/layout/orgChart1"/>
    <dgm:cxn modelId="{3C7D47F7-6CB2-4F43-9C04-E83788E602E9}" srcId="{BE108FD2-3A0C-4907-9ADF-8F5A07EE0C01}" destId="{EAA85139-F8E3-4BBA-8393-786789E6EBE2}" srcOrd="1" destOrd="0" parTransId="{EEACE347-62BD-43BF-9D33-81718D276236}" sibTransId="{2C92DF4F-6112-414F-B5F1-B34720944213}"/>
    <dgm:cxn modelId="{402BC0F7-8792-4617-A190-6AFFCA2AEEEF}" type="presOf" srcId="{A53E9160-5CAA-4D15-A8FF-26C7A1BB68F3}" destId="{13EE620A-8E91-4933-90A0-B10DD4BFB838}" srcOrd="1" destOrd="0" presId="urn:microsoft.com/office/officeart/2005/8/layout/orgChart1"/>
    <dgm:cxn modelId="{BD48EFF9-93CC-48D7-BF29-18F1B2791E67}" type="presOf" srcId="{F068F1B7-D50F-4E19-AF22-0D439665847E}" destId="{3D65BB9A-E472-4012-9432-AF20FB359CF9}" srcOrd="0" destOrd="0" presId="urn:microsoft.com/office/officeart/2005/8/layout/orgChart1"/>
    <dgm:cxn modelId="{F8E020FF-D75D-4EB6-89AB-8B4B865909B6}" type="presOf" srcId="{3CB4F370-1677-4FF7-A431-6F134EE8D01A}" destId="{F4372CDA-AFB5-4451-92EF-ECBD1813E030}" srcOrd="0" destOrd="0" presId="urn:microsoft.com/office/officeart/2005/8/layout/orgChart1"/>
    <dgm:cxn modelId="{86AA19A6-0908-4CA7-8EFE-D0EDCBFD9C39}" type="presParOf" srcId="{F9823C52-5345-410C-9F4A-613A5C21F0E8}" destId="{713AD229-56A2-4412-94A8-192ED355CA95}" srcOrd="0" destOrd="0" presId="urn:microsoft.com/office/officeart/2005/8/layout/orgChart1"/>
    <dgm:cxn modelId="{22AE6C1F-9EBC-4DE3-A2CC-D7A378F2C73F}" type="presParOf" srcId="{713AD229-56A2-4412-94A8-192ED355CA95}" destId="{7D7AEAE3-F839-473A-B6BE-671413977CFC}" srcOrd="0" destOrd="0" presId="urn:microsoft.com/office/officeart/2005/8/layout/orgChart1"/>
    <dgm:cxn modelId="{AFA4C6BE-F754-479E-8CED-347C4781170F}" type="presParOf" srcId="{7D7AEAE3-F839-473A-B6BE-671413977CFC}" destId="{B5EF23FE-E97C-4F8C-B341-37F1FEA0D4DD}" srcOrd="0" destOrd="0" presId="urn:microsoft.com/office/officeart/2005/8/layout/orgChart1"/>
    <dgm:cxn modelId="{BFA19FC2-7A43-425F-B7AB-DC29E8594418}" type="presParOf" srcId="{7D7AEAE3-F839-473A-B6BE-671413977CFC}" destId="{7A853995-3DC4-4A23-BB8E-35D3332D16E6}" srcOrd="1" destOrd="0" presId="urn:microsoft.com/office/officeart/2005/8/layout/orgChart1"/>
    <dgm:cxn modelId="{5559B732-3438-4A60-B0F0-E8982415CC51}" type="presParOf" srcId="{713AD229-56A2-4412-94A8-192ED355CA95}" destId="{E9344533-571F-48FF-B221-7CE27D1FAD8F}" srcOrd="1" destOrd="0" presId="urn:microsoft.com/office/officeart/2005/8/layout/orgChart1"/>
    <dgm:cxn modelId="{C29EE5CF-D4AF-4A9F-9B5A-86D05BDBAE55}" type="presParOf" srcId="{E9344533-571F-48FF-B221-7CE27D1FAD8F}" destId="{340F67C4-F267-4C22-B5DF-B7550B5CA0DF}" srcOrd="0" destOrd="0" presId="urn:microsoft.com/office/officeart/2005/8/layout/orgChart1"/>
    <dgm:cxn modelId="{75F73382-12C9-46FB-957E-AA88D06329F4}" type="presParOf" srcId="{E9344533-571F-48FF-B221-7CE27D1FAD8F}" destId="{3B530F0C-F368-430D-9728-F0951AF79F67}" srcOrd="1" destOrd="0" presId="urn:microsoft.com/office/officeart/2005/8/layout/orgChart1"/>
    <dgm:cxn modelId="{08BF8931-6776-4DEC-AB87-1BF010853954}" type="presParOf" srcId="{3B530F0C-F368-430D-9728-F0951AF79F67}" destId="{0541DB2A-74CC-40F8-A4C9-221E4BDDBC0F}" srcOrd="0" destOrd="0" presId="urn:microsoft.com/office/officeart/2005/8/layout/orgChart1"/>
    <dgm:cxn modelId="{F6A8955A-C104-49CD-B4B2-FC60CC315B81}" type="presParOf" srcId="{0541DB2A-74CC-40F8-A4C9-221E4BDDBC0F}" destId="{7A0B9906-977A-4B42-942C-11DDBAD50226}" srcOrd="0" destOrd="0" presId="urn:microsoft.com/office/officeart/2005/8/layout/orgChart1"/>
    <dgm:cxn modelId="{8092F9FE-9748-47EC-87B7-6000A3D72AED}" type="presParOf" srcId="{0541DB2A-74CC-40F8-A4C9-221E4BDDBC0F}" destId="{4DF62BC4-0040-4565-93E9-FE04334E95F7}" srcOrd="1" destOrd="0" presId="urn:microsoft.com/office/officeart/2005/8/layout/orgChart1"/>
    <dgm:cxn modelId="{DCEFD348-2E06-4C57-B3A3-53352E603036}" type="presParOf" srcId="{3B530F0C-F368-430D-9728-F0951AF79F67}" destId="{ADE0A641-D530-4348-A4C3-AE6295B7BFB2}" srcOrd="1" destOrd="0" presId="urn:microsoft.com/office/officeart/2005/8/layout/orgChart1"/>
    <dgm:cxn modelId="{6D83250B-009A-4FC7-B74B-4C52BC262B97}" type="presParOf" srcId="{ADE0A641-D530-4348-A4C3-AE6295B7BFB2}" destId="{3D65BB9A-E472-4012-9432-AF20FB359CF9}" srcOrd="0" destOrd="0" presId="urn:microsoft.com/office/officeart/2005/8/layout/orgChart1"/>
    <dgm:cxn modelId="{93CD3413-2E29-4DF5-A499-23673208D1A3}" type="presParOf" srcId="{ADE0A641-D530-4348-A4C3-AE6295B7BFB2}" destId="{0EEB9817-48D2-459A-BF87-6EE7F6749BC8}" srcOrd="1" destOrd="0" presId="urn:microsoft.com/office/officeart/2005/8/layout/orgChart1"/>
    <dgm:cxn modelId="{1197B74C-83EE-488D-B6A9-CEC357CE1026}" type="presParOf" srcId="{0EEB9817-48D2-459A-BF87-6EE7F6749BC8}" destId="{507DE141-A108-4466-A9FC-498E5E6CE6FF}" srcOrd="0" destOrd="0" presId="urn:microsoft.com/office/officeart/2005/8/layout/orgChart1"/>
    <dgm:cxn modelId="{AF7C290E-9C7A-40D7-8949-B91FFC560635}" type="presParOf" srcId="{507DE141-A108-4466-A9FC-498E5E6CE6FF}" destId="{1FB34EFA-170E-4CEC-8A83-94E6D3D1104A}" srcOrd="0" destOrd="0" presId="urn:microsoft.com/office/officeart/2005/8/layout/orgChart1"/>
    <dgm:cxn modelId="{E358C183-1DCE-4EAB-BBAD-AAE3A07CB97F}" type="presParOf" srcId="{507DE141-A108-4466-A9FC-498E5E6CE6FF}" destId="{13EE620A-8E91-4933-90A0-B10DD4BFB838}" srcOrd="1" destOrd="0" presId="urn:microsoft.com/office/officeart/2005/8/layout/orgChart1"/>
    <dgm:cxn modelId="{7C297B48-1408-40E0-B7A4-EC7871FCC10C}" type="presParOf" srcId="{0EEB9817-48D2-459A-BF87-6EE7F6749BC8}" destId="{F2590A2E-914F-42F0-B0E2-B8E1E522C117}" srcOrd="1" destOrd="0" presId="urn:microsoft.com/office/officeart/2005/8/layout/orgChart1"/>
    <dgm:cxn modelId="{FFEF5EF2-0FCD-408F-8B83-56C668596EE4}" type="presParOf" srcId="{F2590A2E-914F-42F0-B0E2-B8E1E522C117}" destId="{3A5A8D36-8B03-42BF-B627-CE87AF11EC22}" srcOrd="0" destOrd="0" presId="urn:microsoft.com/office/officeart/2005/8/layout/orgChart1"/>
    <dgm:cxn modelId="{0191ED6D-BAF5-4F61-8108-7DFAF43A6DD3}" type="presParOf" srcId="{F2590A2E-914F-42F0-B0E2-B8E1E522C117}" destId="{7D182248-D391-4EEA-BCFF-9EFF4F0659C7}" srcOrd="1" destOrd="0" presId="urn:microsoft.com/office/officeart/2005/8/layout/orgChart1"/>
    <dgm:cxn modelId="{563887DB-81C3-4C46-8EA7-D4370B762CEF}" type="presParOf" srcId="{7D182248-D391-4EEA-BCFF-9EFF4F0659C7}" destId="{1D625D73-B697-4891-BA6E-54D81034BF41}" srcOrd="0" destOrd="0" presId="urn:microsoft.com/office/officeart/2005/8/layout/orgChart1"/>
    <dgm:cxn modelId="{074AB39A-3903-4BEB-B10F-CD1F3A94925D}" type="presParOf" srcId="{1D625D73-B697-4891-BA6E-54D81034BF41}" destId="{43782A98-1838-41BA-B5F4-3F6A5D3A4643}" srcOrd="0" destOrd="0" presId="urn:microsoft.com/office/officeart/2005/8/layout/orgChart1"/>
    <dgm:cxn modelId="{ADD68F58-F2DA-46D3-A2FF-AB4C31348E84}" type="presParOf" srcId="{1D625D73-B697-4891-BA6E-54D81034BF41}" destId="{8AF5AB59-B06C-46A8-910F-A9FC22C138D6}" srcOrd="1" destOrd="0" presId="urn:microsoft.com/office/officeart/2005/8/layout/orgChart1"/>
    <dgm:cxn modelId="{872C5284-5F11-454B-9229-59F30FE43F57}" type="presParOf" srcId="{7D182248-D391-4EEA-BCFF-9EFF4F0659C7}" destId="{C01AD7B7-51E8-4A3B-8D3B-5E509C0EBD14}" srcOrd="1" destOrd="0" presId="urn:microsoft.com/office/officeart/2005/8/layout/orgChart1"/>
    <dgm:cxn modelId="{DF43DE49-FFFD-4F8F-B61F-F3336FEA8956}" type="presParOf" srcId="{7D182248-D391-4EEA-BCFF-9EFF4F0659C7}" destId="{3AB739AB-CB04-4871-88F4-1806691FA6FB}" srcOrd="2" destOrd="0" presId="urn:microsoft.com/office/officeart/2005/8/layout/orgChart1"/>
    <dgm:cxn modelId="{B28F931A-8340-4FB5-A4B8-773B7E3FAFAB}" type="presParOf" srcId="{0EEB9817-48D2-459A-BF87-6EE7F6749BC8}" destId="{A440448E-AD3F-4042-8AC2-096A091EB180}" srcOrd="2" destOrd="0" presId="urn:microsoft.com/office/officeart/2005/8/layout/orgChart1"/>
    <dgm:cxn modelId="{A3D9362C-213A-4F92-B9B1-4CFE604FD488}" type="presParOf" srcId="{ADE0A641-D530-4348-A4C3-AE6295B7BFB2}" destId="{F4372CDA-AFB5-4451-92EF-ECBD1813E030}" srcOrd="2" destOrd="0" presId="urn:microsoft.com/office/officeart/2005/8/layout/orgChart1"/>
    <dgm:cxn modelId="{0D54A1F0-19ED-40EB-A6F0-53FB8CBCDFBB}" type="presParOf" srcId="{ADE0A641-D530-4348-A4C3-AE6295B7BFB2}" destId="{AA08A403-89D7-4468-860F-4C8D9083D262}" srcOrd="3" destOrd="0" presId="urn:microsoft.com/office/officeart/2005/8/layout/orgChart1"/>
    <dgm:cxn modelId="{6728FA9B-DC06-4A94-9DA4-ADE0D9220083}" type="presParOf" srcId="{AA08A403-89D7-4468-860F-4C8D9083D262}" destId="{7ECA534C-9B68-4623-86C0-B1B2B8E47C27}" srcOrd="0" destOrd="0" presId="urn:microsoft.com/office/officeart/2005/8/layout/orgChart1"/>
    <dgm:cxn modelId="{1B8FB36C-CCAB-480E-9C2D-4DE8BFAFEE44}" type="presParOf" srcId="{7ECA534C-9B68-4623-86C0-B1B2B8E47C27}" destId="{BF4BB1AA-4DBE-4507-B279-84DB611DE3D9}" srcOrd="0" destOrd="0" presId="urn:microsoft.com/office/officeart/2005/8/layout/orgChart1"/>
    <dgm:cxn modelId="{F1EDFE60-DDAE-4427-BF89-985CEF33A5CF}" type="presParOf" srcId="{7ECA534C-9B68-4623-86C0-B1B2B8E47C27}" destId="{B662C18C-FD65-4B35-81DA-0AA07988768D}" srcOrd="1" destOrd="0" presId="urn:microsoft.com/office/officeart/2005/8/layout/orgChart1"/>
    <dgm:cxn modelId="{CA12B3EA-F8DD-4BE5-9EDC-AD87C4CB26E0}" type="presParOf" srcId="{AA08A403-89D7-4468-860F-4C8D9083D262}" destId="{9459F0E1-5508-4192-A472-B8C4A37233FB}" srcOrd="1" destOrd="0" presId="urn:microsoft.com/office/officeart/2005/8/layout/orgChart1"/>
    <dgm:cxn modelId="{7CC3B617-4E72-4394-AB49-B2335D9E1B3B}" type="presParOf" srcId="{9459F0E1-5508-4192-A472-B8C4A37233FB}" destId="{B8429EAD-8128-43ED-AC95-1F16B0237B6E}" srcOrd="0" destOrd="0" presId="urn:microsoft.com/office/officeart/2005/8/layout/orgChart1"/>
    <dgm:cxn modelId="{3A4A9147-BF7E-4373-A0C1-606DB5A4495F}" type="presParOf" srcId="{9459F0E1-5508-4192-A472-B8C4A37233FB}" destId="{B78DF617-0C60-4DFF-9A4A-3499B36D3A05}" srcOrd="1" destOrd="0" presId="urn:microsoft.com/office/officeart/2005/8/layout/orgChart1"/>
    <dgm:cxn modelId="{9ABA4384-D7A2-4FD8-9216-D833BD6FE218}" type="presParOf" srcId="{B78DF617-0C60-4DFF-9A4A-3499B36D3A05}" destId="{6E5C4F98-26EB-440B-BEE0-9C5BD6BCEA32}" srcOrd="0" destOrd="0" presId="urn:microsoft.com/office/officeart/2005/8/layout/orgChart1"/>
    <dgm:cxn modelId="{E7575C78-8A2A-4C62-A125-405C25C8582E}" type="presParOf" srcId="{6E5C4F98-26EB-440B-BEE0-9C5BD6BCEA32}" destId="{89C82BCD-3E8F-4B3E-ADEB-9F0B68EEFC29}" srcOrd="0" destOrd="0" presId="urn:microsoft.com/office/officeart/2005/8/layout/orgChart1"/>
    <dgm:cxn modelId="{7840A7AB-A388-4432-BA93-8C9B149B85B0}" type="presParOf" srcId="{6E5C4F98-26EB-440B-BEE0-9C5BD6BCEA32}" destId="{A616E4E2-6302-4B13-9A4D-0A15F519358E}" srcOrd="1" destOrd="0" presId="urn:microsoft.com/office/officeart/2005/8/layout/orgChart1"/>
    <dgm:cxn modelId="{B8269E03-6AE8-4D7D-9B57-5666424DB125}" type="presParOf" srcId="{B78DF617-0C60-4DFF-9A4A-3499B36D3A05}" destId="{72703296-1B66-4433-9D88-4E9CC73449CD}" srcOrd="1" destOrd="0" presId="urn:microsoft.com/office/officeart/2005/8/layout/orgChart1"/>
    <dgm:cxn modelId="{F96C6A53-FC3B-4399-9B08-8FE975220CD9}" type="presParOf" srcId="{B78DF617-0C60-4DFF-9A4A-3499B36D3A05}" destId="{C8674BAC-EC0F-48E6-BE54-13CC6AF2546C}" srcOrd="2" destOrd="0" presId="urn:microsoft.com/office/officeart/2005/8/layout/orgChart1"/>
    <dgm:cxn modelId="{87D3E95A-92DD-46AA-AABE-DA09C900509B}" type="presParOf" srcId="{AA08A403-89D7-4468-860F-4C8D9083D262}" destId="{D7C749B0-249E-4EFF-B39B-600769655A0E}" srcOrd="2" destOrd="0" presId="urn:microsoft.com/office/officeart/2005/8/layout/orgChart1"/>
    <dgm:cxn modelId="{0FDD7475-B451-488B-B7F3-F260EB391AAF}" type="presParOf" srcId="{ADE0A641-D530-4348-A4C3-AE6295B7BFB2}" destId="{52FD661B-2D3B-49BB-9A28-EEFCCA35AD9B}" srcOrd="4" destOrd="0" presId="urn:microsoft.com/office/officeart/2005/8/layout/orgChart1"/>
    <dgm:cxn modelId="{A5EED9A6-3B1E-4825-9D3B-84AB9CAD70B0}" type="presParOf" srcId="{ADE0A641-D530-4348-A4C3-AE6295B7BFB2}" destId="{C7EB2C27-4BE2-4C9E-9FBD-516A7416693A}" srcOrd="5" destOrd="0" presId="urn:microsoft.com/office/officeart/2005/8/layout/orgChart1"/>
    <dgm:cxn modelId="{37510912-E84F-4BF8-A120-97484A32422D}" type="presParOf" srcId="{C7EB2C27-4BE2-4C9E-9FBD-516A7416693A}" destId="{2D67EAD2-9E10-49BF-9895-79AFB5089F5D}" srcOrd="0" destOrd="0" presId="urn:microsoft.com/office/officeart/2005/8/layout/orgChart1"/>
    <dgm:cxn modelId="{209A224B-C4D4-471C-87A9-1D10E1D82033}" type="presParOf" srcId="{2D67EAD2-9E10-49BF-9895-79AFB5089F5D}" destId="{2475995F-D1F8-4107-A258-730E90BCD88D}" srcOrd="0" destOrd="0" presId="urn:microsoft.com/office/officeart/2005/8/layout/orgChart1"/>
    <dgm:cxn modelId="{AEC11A64-15F7-4107-807E-FE8B4FF8B697}" type="presParOf" srcId="{2D67EAD2-9E10-49BF-9895-79AFB5089F5D}" destId="{F0C0DE88-8657-4FB8-84E9-EE1A7E96A7BA}" srcOrd="1" destOrd="0" presId="urn:microsoft.com/office/officeart/2005/8/layout/orgChart1"/>
    <dgm:cxn modelId="{B1EA1E34-349F-41E0-AA87-C13070E860AC}" type="presParOf" srcId="{C7EB2C27-4BE2-4C9E-9FBD-516A7416693A}" destId="{965FFA83-479B-47EC-8AF1-1C0CFFC610CE}" srcOrd="1" destOrd="0" presId="urn:microsoft.com/office/officeart/2005/8/layout/orgChart1"/>
    <dgm:cxn modelId="{1ECE711C-C822-4C51-9E58-F8C99CC4E8B6}" type="presParOf" srcId="{965FFA83-479B-47EC-8AF1-1C0CFFC610CE}" destId="{91D23516-BC80-4A96-83F0-C5CFAB70308E}" srcOrd="0" destOrd="0" presId="urn:microsoft.com/office/officeart/2005/8/layout/orgChart1"/>
    <dgm:cxn modelId="{F0BABF52-B56C-49C2-9FC3-4EF53614FA47}" type="presParOf" srcId="{965FFA83-479B-47EC-8AF1-1C0CFFC610CE}" destId="{B8824ECB-13C7-4A8B-9913-B10FF9421312}" srcOrd="1" destOrd="0" presId="urn:microsoft.com/office/officeart/2005/8/layout/orgChart1"/>
    <dgm:cxn modelId="{02E056F7-5043-4F2B-97DE-BAFFCA5FEB50}" type="presParOf" srcId="{B8824ECB-13C7-4A8B-9913-B10FF9421312}" destId="{C58BDCA1-9B4F-40F3-8ABB-174C68C01412}" srcOrd="0" destOrd="0" presId="urn:microsoft.com/office/officeart/2005/8/layout/orgChart1"/>
    <dgm:cxn modelId="{48F11373-B60A-4B83-95A4-AC567F31CBEF}" type="presParOf" srcId="{C58BDCA1-9B4F-40F3-8ABB-174C68C01412}" destId="{96EAEC2D-51A0-4D58-8D8D-ED695F4677BC}" srcOrd="0" destOrd="0" presId="urn:microsoft.com/office/officeart/2005/8/layout/orgChart1"/>
    <dgm:cxn modelId="{12BF9FAE-551F-4CEB-B503-17810753FD9D}" type="presParOf" srcId="{C58BDCA1-9B4F-40F3-8ABB-174C68C01412}" destId="{6028E1F5-EAEC-42CF-AD1E-785122FD505B}" srcOrd="1" destOrd="0" presId="urn:microsoft.com/office/officeart/2005/8/layout/orgChart1"/>
    <dgm:cxn modelId="{36154B80-8FF0-461D-91DE-8300BAAF598C}" type="presParOf" srcId="{B8824ECB-13C7-4A8B-9913-B10FF9421312}" destId="{DB86481F-E835-4255-93DD-00A8591AFD2A}" srcOrd="1" destOrd="0" presId="urn:microsoft.com/office/officeart/2005/8/layout/orgChart1"/>
    <dgm:cxn modelId="{3923CE5E-3626-4016-9E09-1532B2B39704}" type="presParOf" srcId="{B8824ECB-13C7-4A8B-9913-B10FF9421312}" destId="{1F21D95E-A82F-4FEC-8679-201D0F68FF87}" srcOrd="2" destOrd="0" presId="urn:microsoft.com/office/officeart/2005/8/layout/orgChart1"/>
    <dgm:cxn modelId="{3CC423B7-27E6-4986-950B-678A9082D8E4}" type="presParOf" srcId="{C7EB2C27-4BE2-4C9E-9FBD-516A7416693A}" destId="{A69BEC85-7D63-48D6-B881-C892AE65D5D6}" srcOrd="2" destOrd="0" presId="urn:microsoft.com/office/officeart/2005/8/layout/orgChart1"/>
    <dgm:cxn modelId="{35481D53-ADC6-4BE2-823F-8BA0F784D0A7}" type="presParOf" srcId="{ADE0A641-D530-4348-A4C3-AE6295B7BFB2}" destId="{17103C69-0302-483E-83B6-DDD01D942D32}" srcOrd="6" destOrd="0" presId="urn:microsoft.com/office/officeart/2005/8/layout/orgChart1"/>
    <dgm:cxn modelId="{D1E8DA88-0255-4294-A59B-23098C8250CB}" type="presParOf" srcId="{ADE0A641-D530-4348-A4C3-AE6295B7BFB2}" destId="{6D7C1801-74A8-4D14-BCD0-996644C52870}" srcOrd="7" destOrd="0" presId="urn:microsoft.com/office/officeart/2005/8/layout/orgChart1"/>
    <dgm:cxn modelId="{5074B6D7-A9B4-4E41-A49D-18020FF4E2B2}" type="presParOf" srcId="{6D7C1801-74A8-4D14-BCD0-996644C52870}" destId="{BE7D34A5-5527-4060-B06D-654E69E5502B}" srcOrd="0" destOrd="0" presId="urn:microsoft.com/office/officeart/2005/8/layout/orgChart1"/>
    <dgm:cxn modelId="{757674AE-B818-4D50-9865-E7D66B906A87}" type="presParOf" srcId="{BE7D34A5-5527-4060-B06D-654E69E5502B}" destId="{8626661B-01F0-4DF6-819E-869027AAF714}" srcOrd="0" destOrd="0" presId="urn:microsoft.com/office/officeart/2005/8/layout/orgChart1"/>
    <dgm:cxn modelId="{28E89D52-A6F3-49EB-9618-D538AF10B009}" type="presParOf" srcId="{BE7D34A5-5527-4060-B06D-654E69E5502B}" destId="{0857AC9D-95D4-4A52-9D1C-207F7D093922}" srcOrd="1" destOrd="0" presId="urn:microsoft.com/office/officeart/2005/8/layout/orgChart1"/>
    <dgm:cxn modelId="{79940FDC-3DE6-4462-946E-672C6D4EC584}" type="presParOf" srcId="{6D7C1801-74A8-4D14-BCD0-996644C52870}" destId="{5DB5BE4C-CAFC-4A01-86F3-DA9FA36C0D79}" srcOrd="1" destOrd="0" presId="urn:microsoft.com/office/officeart/2005/8/layout/orgChart1"/>
    <dgm:cxn modelId="{2DCC9C7F-446A-48DD-9FCF-8542060401CE}" type="presParOf" srcId="{6D7C1801-74A8-4D14-BCD0-996644C52870}" destId="{1C6CC99E-B773-4ACD-9060-AC6310D71328}" srcOrd="2" destOrd="0" presId="urn:microsoft.com/office/officeart/2005/8/layout/orgChart1"/>
    <dgm:cxn modelId="{1844CA0B-E4CB-4CF6-9200-55A6CBE8D4C3}" type="presParOf" srcId="{3B530F0C-F368-430D-9728-F0951AF79F67}" destId="{289BC3D3-6900-4405-AF4F-92EACE1CB878}" srcOrd="2" destOrd="0" presId="urn:microsoft.com/office/officeart/2005/8/layout/orgChart1"/>
    <dgm:cxn modelId="{3A573F02-F062-4248-981D-D4E43FF1B874}" type="presParOf" srcId="{E9344533-571F-48FF-B221-7CE27D1FAD8F}" destId="{A6339135-5765-4A4B-AE66-1F85B67972B6}" srcOrd="2" destOrd="0" presId="urn:microsoft.com/office/officeart/2005/8/layout/orgChart1"/>
    <dgm:cxn modelId="{49E560B3-A6CB-4C36-AB97-5C7BACF26862}" type="presParOf" srcId="{E9344533-571F-48FF-B221-7CE27D1FAD8F}" destId="{229BEA70-9311-4A25-9595-781F96417EA2}" srcOrd="3" destOrd="0" presId="urn:microsoft.com/office/officeart/2005/8/layout/orgChart1"/>
    <dgm:cxn modelId="{83CD7684-A369-4AFC-B7DF-D779361430E4}" type="presParOf" srcId="{229BEA70-9311-4A25-9595-781F96417EA2}" destId="{D5E3CC9F-3F6B-4D10-A6ED-A2946E623EF2}" srcOrd="0" destOrd="0" presId="urn:microsoft.com/office/officeart/2005/8/layout/orgChart1"/>
    <dgm:cxn modelId="{0592084F-9F30-4C11-BD64-30F537792D9C}" type="presParOf" srcId="{D5E3CC9F-3F6B-4D10-A6ED-A2946E623EF2}" destId="{0865E7C1-C8C5-4628-BF91-DFD448E2F845}" srcOrd="0" destOrd="0" presId="urn:microsoft.com/office/officeart/2005/8/layout/orgChart1"/>
    <dgm:cxn modelId="{384F09BA-0B67-4559-951B-512F83D96AC1}" type="presParOf" srcId="{D5E3CC9F-3F6B-4D10-A6ED-A2946E623EF2}" destId="{653B3261-3336-439D-8CA1-E643C0521771}" srcOrd="1" destOrd="0" presId="urn:microsoft.com/office/officeart/2005/8/layout/orgChart1"/>
    <dgm:cxn modelId="{6DB965B5-353C-41D5-9B78-35890B2C26AD}" type="presParOf" srcId="{229BEA70-9311-4A25-9595-781F96417EA2}" destId="{9BA7BDF4-D218-48E7-A497-B9F6038DBB89}" srcOrd="1" destOrd="0" presId="urn:microsoft.com/office/officeart/2005/8/layout/orgChart1"/>
    <dgm:cxn modelId="{7E3824C1-1C85-4895-9310-6790E944B4FE}" type="presParOf" srcId="{229BEA70-9311-4A25-9595-781F96417EA2}" destId="{ECBC1C88-C064-4FCB-8BE5-9A9B55AE6E6A}" srcOrd="2" destOrd="0" presId="urn:microsoft.com/office/officeart/2005/8/layout/orgChart1"/>
    <dgm:cxn modelId="{D2379655-8E59-4DBE-96A6-525B2AD09AF5}" type="presParOf" srcId="{E9344533-571F-48FF-B221-7CE27D1FAD8F}" destId="{9212C7B4-A036-482B-A3D9-AA773E264725}" srcOrd="4" destOrd="0" presId="urn:microsoft.com/office/officeart/2005/8/layout/orgChart1"/>
    <dgm:cxn modelId="{8C898392-12E0-4758-A51B-44472F11662A}" type="presParOf" srcId="{E9344533-571F-48FF-B221-7CE27D1FAD8F}" destId="{AD74046B-5360-4517-A12C-9F42201B4D9B}" srcOrd="5" destOrd="0" presId="urn:microsoft.com/office/officeart/2005/8/layout/orgChart1"/>
    <dgm:cxn modelId="{69B37D67-446C-4775-8EE2-6AD3D36A7E86}" type="presParOf" srcId="{AD74046B-5360-4517-A12C-9F42201B4D9B}" destId="{3BB6078C-1922-4E8B-B257-10DF6457F419}" srcOrd="0" destOrd="0" presId="urn:microsoft.com/office/officeart/2005/8/layout/orgChart1"/>
    <dgm:cxn modelId="{681E872E-3659-46C7-971D-F7955000AD3E}" type="presParOf" srcId="{3BB6078C-1922-4E8B-B257-10DF6457F419}" destId="{7AA36B74-A52B-45E3-A0CB-60087D0C2443}" srcOrd="0" destOrd="0" presId="urn:microsoft.com/office/officeart/2005/8/layout/orgChart1"/>
    <dgm:cxn modelId="{DDFEAF40-12F9-45D4-8774-BA26B2C036EE}" type="presParOf" srcId="{3BB6078C-1922-4E8B-B257-10DF6457F419}" destId="{A9BC85F3-FCB6-4CF0-8CCC-4C4CB663CFB9}" srcOrd="1" destOrd="0" presId="urn:microsoft.com/office/officeart/2005/8/layout/orgChart1"/>
    <dgm:cxn modelId="{488F8914-564C-4F6B-AD44-2C8141CFE51F}" type="presParOf" srcId="{AD74046B-5360-4517-A12C-9F42201B4D9B}" destId="{2F13A907-A147-4CF6-A78E-ACFBD33DEF94}" srcOrd="1" destOrd="0" presId="urn:microsoft.com/office/officeart/2005/8/layout/orgChart1"/>
    <dgm:cxn modelId="{7148A3C9-DEFD-418E-82AC-83C7343A0472}" type="presParOf" srcId="{AD74046B-5360-4517-A12C-9F42201B4D9B}" destId="{4B3C8E36-C582-44A1-BD1F-A44F180DCADF}" srcOrd="2" destOrd="0" presId="urn:microsoft.com/office/officeart/2005/8/layout/orgChart1"/>
    <dgm:cxn modelId="{63E726C7-C876-4D1C-BCCF-5A512A35A2F2}" type="presParOf" srcId="{E9344533-571F-48FF-B221-7CE27D1FAD8F}" destId="{83E92D29-5D87-4FBD-92AC-2EEFA23E617A}" srcOrd="6" destOrd="0" presId="urn:microsoft.com/office/officeart/2005/8/layout/orgChart1"/>
    <dgm:cxn modelId="{8C3DD004-C501-4F0C-AC0F-B3D1FA7E08D8}" type="presParOf" srcId="{E9344533-571F-48FF-B221-7CE27D1FAD8F}" destId="{8473ACC8-048A-42E7-AFE9-979DD9A621A4}" srcOrd="7" destOrd="0" presId="urn:microsoft.com/office/officeart/2005/8/layout/orgChart1"/>
    <dgm:cxn modelId="{86AC0A6F-4320-48B1-B7BA-659EFAA0A777}" type="presParOf" srcId="{8473ACC8-048A-42E7-AFE9-979DD9A621A4}" destId="{420094F4-BAA9-40AE-B319-FA30DFAA258F}" srcOrd="0" destOrd="0" presId="urn:microsoft.com/office/officeart/2005/8/layout/orgChart1"/>
    <dgm:cxn modelId="{AE04DF69-E12E-4351-B427-34918E8099F2}" type="presParOf" srcId="{420094F4-BAA9-40AE-B319-FA30DFAA258F}" destId="{8164BF52-63BB-40C9-A999-DB74F871BBE3}" srcOrd="0" destOrd="0" presId="urn:microsoft.com/office/officeart/2005/8/layout/orgChart1"/>
    <dgm:cxn modelId="{8E1DBEBD-4133-406B-9B13-51E19335B3E8}" type="presParOf" srcId="{420094F4-BAA9-40AE-B319-FA30DFAA258F}" destId="{3AABA5AD-67FB-4A5E-84CC-23B186557FB6}" srcOrd="1" destOrd="0" presId="urn:microsoft.com/office/officeart/2005/8/layout/orgChart1"/>
    <dgm:cxn modelId="{AE57BCAB-3238-4E4F-902D-42222135258A}" type="presParOf" srcId="{8473ACC8-048A-42E7-AFE9-979DD9A621A4}" destId="{3D9DE625-E69C-4266-8428-D1316D2ED9B0}" srcOrd="1" destOrd="0" presId="urn:microsoft.com/office/officeart/2005/8/layout/orgChart1"/>
    <dgm:cxn modelId="{125FA1A0-62AC-4672-A8D7-96FA5D48D7AA}" type="presParOf" srcId="{8473ACC8-048A-42E7-AFE9-979DD9A621A4}" destId="{D6127A26-2E68-4B06-B9AD-3C2A370A55C7}" srcOrd="2" destOrd="0" presId="urn:microsoft.com/office/officeart/2005/8/layout/orgChart1"/>
    <dgm:cxn modelId="{DF463765-1E88-45D3-A541-CCDBB8F49BE9}" type="presParOf" srcId="{E9344533-571F-48FF-B221-7CE27D1FAD8F}" destId="{00268D7A-8C38-48B0-961F-1FD70B54E78D}" srcOrd="8" destOrd="0" presId="urn:microsoft.com/office/officeart/2005/8/layout/orgChart1"/>
    <dgm:cxn modelId="{5D7622FD-0885-450D-AEFE-31C9F25DBB00}" type="presParOf" srcId="{E9344533-571F-48FF-B221-7CE27D1FAD8F}" destId="{29B2F634-9C26-476A-86AF-8EC37649FEFD}" srcOrd="9" destOrd="0" presId="urn:microsoft.com/office/officeart/2005/8/layout/orgChart1"/>
    <dgm:cxn modelId="{5FD959B5-9BD1-4031-A985-5168FFAFAA04}" type="presParOf" srcId="{29B2F634-9C26-476A-86AF-8EC37649FEFD}" destId="{3193FDBC-03F9-4399-A776-07F180B82236}" srcOrd="0" destOrd="0" presId="urn:microsoft.com/office/officeart/2005/8/layout/orgChart1"/>
    <dgm:cxn modelId="{29C33B0B-DC0D-4756-B02D-28695A56C409}" type="presParOf" srcId="{3193FDBC-03F9-4399-A776-07F180B82236}" destId="{2A9C3C54-5B58-49BD-BB0F-7BD286DF6C57}" srcOrd="0" destOrd="0" presId="urn:microsoft.com/office/officeart/2005/8/layout/orgChart1"/>
    <dgm:cxn modelId="{F0568FAC-114D-4CD9-BA03-4BCA513188A3}" type="presParOf" srcId="{3193FDBC-03F9-4399-A776-07F180B82236}" destId="{75F1D8B1-431B-40B6-B7D0-99CA4BAD291D}" srcOrd="1" destOrd="0" presId="urn:microsoft.com/office/officeart/2005/8/layout/orgChart1"/>
    <dgm:cxn modelId="{92EC6712-5C5B-4FC5-9551-BC3F35B80200}" type="presParOf" srcId="{29B2F634-9C26-476A-86AF-8EC37649FEFD}" destId="{AAD0481A-6EA6-4AC8-8F38-35667754CC35}" srcOrd="1" destOrd="0" presId="urn:microsoft.com/office/officeart/2005/8/layout/orgChart1"/>
    <dgm:cxn modelId="{F6D3FC0E-D7FE-4B18-9CBD-C222389E62D3}" type="presParOf" srcId="{29B2F634-9C26-476A-86AF-8EC37649FEFD}" destId="{C89F1E55-C151-4630-AECB-8DE73B34F6E0}" srcOrd="2" destOrd="0" presId="urn:microsoft.com/office/officeart/2005/8/layout/orgChart1"/>
    <dgm:cxn modelId="{7C9127EE-286D-447C-8E84-B299C6D8CECC}" type="presParOf" srcId="{713AD229-56A2-4412-94A8-192ED355CA95}" destId="{7750E4D9-DB4C-4E8F-8CE6-4C4B89A1ECFF}" srcOrd="2" destOrd="0" presId="urn:microsoft.com/office/officeart/2005/8/layout/orgChart1"/>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00268D7A-8C38-48B0-961F-1FD70B54E78D}">
      <dsp:nvSpPr>
        <dsp:cNvPr id="0" name=""/>
        <dsp:cNvSpPr/>
      </dsp:nvSpPr>
      <dsp:spPr>
        <a:xfrm>
          <a:off x="6571206" y="1890883"/>
          <a:ext cx="3358081" cy="291403"/>
        </a:xfrm>
        <a:custGeom>
          <a:avLst/>
          <a:gdLst/>
          <a:ahLst/>
          <a:cxnLst/>
          <a:rect l="0" t="0" r="0" b="0"/>
          <a:pathLst>
            <a:path>
              <a:moveTo>
                <a:pt x="0" y="0"/>
              </a:moveTo>
              <a:lnTo>
                <a:pt x="0" y="145701"/>
              </a:lnTo>
              <a:lnTo>
                <a:pt x="3358081" y="145701"/>
              </a:lnTo>
              <a:lnTo>
                <a:pt x="3358081" y="291403"/>
              </a:lnTo>
            </a:path>
          </a:pathLst>
        </a:custGeom>
        <a:noFill/>
        <a:ln w="38100" cap="flat" cmpd="sng" algn="ctr">
          <a:solidFill>
            <a:schemeClr val="accent1"/>
          </a:solidFill>
          <a:prstDash val="solid"/>
          <a:miter lim="800000"/>
        </a:ln>
        <a:effectLst/>
      </dsp:spPr>
      <dsp:style>
        <a:lnRef idx="2">
          <a:scrgbClr r="0" g="0" b="0"/>
        </a:lnRef>
        <a:fillRef idx="0">
          <a:scrgbClr r="0" g="0" b="0"/>
        </a:fillRef>
        <a:effectRef idx="0">
          <a:scrgbClr r="0" g="0" b="0"/>
        </a:effectRef>
        <a:fontRef idx="minor"/>
      </dsp:style>
    </dsp:sp>
    <dsp:sp modelId="{83E92D29-5D87-4FBD-92AC-2EEFA23E617A}">
      <dsp:nvSpPr>
        <dsp:cNvPr id="0" name=""/>
        <dsp:cNvSpPr/>
      </dsp:nvSpPr>
      <dsp:spPr>
        <a:xfrm>
          <a:off x="6571206" y="1890883"/>
          <a:ext cx="1679040" cy="291403"/>
        </a:xfrm>
        <a:custGeom>
          <a:avLst/>
          <a:gdLst/>
          <a:ahLst/>
          <a:cxnLst/>
          <a:rect l="0" t="0" r="0" b="0"/>
          <a:pathLst>
            <a:path>
              <a:moveTo>
                <a:pt x="0" y="0"/>
              </a:moveTo>
              <a:lnTo>
                <a:pt x="0" y="145701"/>
              </a:lnTo>
              <a:lnTo>
                <a:pt x="1679040" y="145701"/>
              </a:lnTo>
              <a:lnTo>
                <a:pt x="1679040" y="291403"/>
              </a:lnTo>
            </a:path>
          </a:pathLst>
        </a:custGeom>
        <a:noFill/>
        <a:ln w="38100" cap="flat" cmpd="sng" algn="ctr">
          <a:solidFill>
            <a:schemeClr val="accent1"/>
          </a:solidFill>
          <a:prstDash val="solid"/>
          <a:miter lim="800000"/>
        </a:ln>
        <a:effectLst/>
      </dsp:spPr>
      <dsp:style>
        <a:lnRef idx="2">
          <a:scrgbClr r="0" g="0" b="0"/>
        </a:lnRef>
        <a:fillRef idx="0">
          <a:scrgbClr r="0" g="0" b="0"/>
        </a:fillRef>
        <a:effectRef idx="0">
          <a:scrgbClr r="0" g="0" b="0"/>
        </a:effectRef>
        <a:fontRef idx="minor"/>
      </dsp:style>
    </dsp:sp>
    <dsp:sp modelId="{9212C7B4-A036-482B-A3D9-AA773E264725}">
      <dsp:nvSpPr>
        <dsp:cNvPr id="0" name=""/>
        <dsp:cNvSpPr/>
      </dsp:nvSpPr>
      <dsp:spPr>
        <a:xfrm>
          <a:off x="6525486" y="1890883"/>
          <a:ext cx="91440" cy="291403"/>
        </a:xfrm>
        <a:custGeom>
          <a:avLst/>
          <a:gdLst/>
          <a:ahLst/>
          <a:cxnLst/>
          <a:rect l="0" t="0" r="0" b="0"/>
          <a:pathLst>
            <a:path>
              <a:moveTo>
                <a:pt x="45720" y="0"/>
              </a:moveTo>
              <a:lnTo>
                <a:pt x="45720" y="291403"/>
              </a:lnTo>
            </a:path>
          </a:pathLst>
        </a:custGeom>
        <a:noFill/>
        <a:ln w="38100" cap="flat" cmpd="sng" algn="ctr">
          <a:solidFill>
            <a:schemeClr val="accent1"/>
          </a:solidFill>
          <a:prstDash val="solid"/>
          <a:miter lim="800000"/>
        </a:ln>
        <a:effectLst/>
      </dsp:spPr>
      <dsp:style>
        <a:lnRef idx="2">
          <a:scrgbClr r="0" g="0" b="0"/>
        </a:lnRef>
        <a:fillRef idx="0">
          <a:scrgbClr r="0" g="0" b="0"/>
        </a:fillRef>
        <a:effectRef idx="0">
          <a:scrgbClr r="0" g="0" b="0"/>
        </a:effectRef>
        <a:fontRef idx="minor"/>
      </dsp:style>
    </dsp:sp>
    <dsp:sp modelId="{A6339135-5765-4A4B-AE66-1F85B67972B6}">
      <dsp:nvSpPr>
        <dsp:cNvPr id="0" name=""/>
        <dsp:cNvSpPr/>
      </dsp:nvSpPr>
      <dsp:spPr>
        <a:xfrm>
          <a:off x="4892165" y="1890883"/>
          <a:ext cx="1679040" cy="291403"/>
        </a:xfrm>
        <a:custGeom>
          <a:avLst/>
          <a:gdLst/>
          <a:ahLst/>
          <a:cxnLst/>
          <a:rect l="0" t="0" r="0" b="0"/>
          <a:pathLst>
            <a:path>
              <a:moveTo>
                <a:pt x="1679040" y="0"/>
              </a:moveTo>
              <a:lnTo>
                <a:pt x="1679040" y="145701"/>
              </a:lnTo>
              <a:lnTo>
                <a:pt x="0" y="145701"/>
              </a:lnTo>
              <a:lnTo>
                <a:pt x="0" y="291403"/>
              </a:lnTo>
            </a:path>
          </a:pathLst>
        </a:custGeom>
        <a:noFill/>
        <a:ln w="38100" cap="flat" cmpd="sng" algn="ctr">
          <a:solidFill>
            <a:schemeClr val="accent1"/>
          </a:solidFill>
          <a:prstDash val="solid"/>
          <a:miter lim="800000"/>
        </a:ln>
        <a:effectLst/>
      </dsp:spPr>
      <dsp:style>
        <a:lnRef idx="2">
          <a:scrgbClr r="0" g="0" b="0"/>
        </a:lnRef>
        <a:fillRef idx="0">
          <a:scrgbClr r="0" g="0" b="0"/>
        </a:fillRef>
        <a:effectRef idx="0">
          <a:scrgbClr r="0" g="0" b="0"/>
        </a:effectRef>
        <a:fontRef idx="minor"/>
      </dsp:style>
    </dsp:sp>
    <dsp:sp modelId="{17103C69-0302-483E-83B6-DDD01D942D32}">
      <dsp:nvSpPr>
        <dsp:cNvPr id="0" name=""/>
        <dsp:cNvSpPr/>
      </dsp:nvSpPr>
      <dsp:spPr>
        <a:xfrm>
          <a:off x="3213125" y="2876106"/>
          <a:ext cx="2518561" cy="291403"/>
        </a:xfrm>
        <a:custGeom>
          <a:avLst/>
          <a:gdLst/>
          <a:ahLst/>
          <a:cxnLst/>
          <a:rect l="0" t="0" r="0" b="0"/>
          <a:pathLst>
            <a:path>
              <a:moveTo>
                <a:pt x="0" y="0"/>
              </a:moveTo>
              <a:lnTo>
                <a:pt x="0" y="145701"/>
              </a:lnTo>
              <a:lnTo>
                <a:pt x="2518561" y="145701"/>
              </a:lnTo>
              <a:lnTo>
                <a:pt x="2518561" y="291403"/>
              </a:lnTo>
            </a:path>
          </a:pathLst>
        </a:custGeom>
        <a:noFill/>
        <a:ln w="38100" cap="flat" cmpd="sng" algn="ctr">
          <a:solidFill>
            <a:schemeClr val="accent2"/>
          </a:solidFill>
          <a:prstDash val="solid"/>
          <a:miter lim="800000"/>
        </a:ln>
        <a:effectLst/>
      </dsp:spPr>
      <dsp:style>
        <a:lnRef idx="2">
          <a:scrgbClr r="0" g="0" b="0"/>
        </a:lnRef>
        <a:fillRef idx="0">
          <a:scrgbClr r="0" g="0" b="0"/>
        </a:fillRef>
        <a:effectRef idx="0">
          <a:scrgbClr r="0" g="0" b="0"/>
        </a:effectRef>
        <a:fontRef idx="minor"/>
      </dsp:style>
    </dsp:sp>
    <dsp:sp modelId="{91D23516-BC80-4A96-83F0-C5CFAB70308E}">
      <dsp:nvSpPr>
        <dsp:cNvPr id="0" name=""/>
        <dsp:cNvSpPr/>
      </dsp:nvSpPr>
      <dsp:spPr>
        <a:xfrm>
          <a:off x="3497590" y="3861328"/>
          <a:ext cx="223021" cy="1456165"/>
        </a:xfrm>
        <a:custGeom>
          <a:avLst/>
          <a:gdLst/>
          <a:ahLst/>
          <a:cxnLst/>
          <a:rect l="0" t="0" r="0" b="0"/>
          <a:pathLst>
            <a:path>
              <a:moveTo>
                <a:pt x="0" y="0"/>
              </a:moveTo>
              <a:lnTo>
                <a:pt x="0" y="1456165"/>
              </a:lnTo>
              <a:lnTo>
                <a:pt x="223021" y="1456165"/>
              </a:lnTo>
            </a:path>
          </a:pathLst>
        </a:custGeom>
        <a:noFill/>
        <a:ln w="38100" cap="flat" cmpd="sng" algn="ctr">
          <a:solidFill>
            <a:schemeClr val="accent4"/>
          </a:solidFill>
          <a:prstDash val="solid"/>
          <a:miter lim="800000"/>
        </a:ln>
        <a:effectLst/>
      </dsp:spPr>
      <dsp:style>
        <a:lnRef idx="2">
          <a:scrgbClr r="0" g="0" b="0"/>
        </a:lnRef>
        <a:fillRef idx="0">
          <a:scrgbClr r="0" g="0" b="0"/>
        </a:fillRef>
        <a:effectRef idx="0">
          <a:scrgbClr r="0" g="0" b="0"/>
        </a:effectRef>
        <a:fontRef idx="minor"/>
      </dsp:style>
    </dsp:sp>
    <dsp:sp modelId="{52FD661B-2D3B-49BB-9A28-EEFCCA35AD9B}">
      <dsp:nvSpPr>
        <dsp:cNvPr id="0" name=""/>
        <dsp:cNvSpPr/>
      </dsp:nvSpPr>
      <dsp:spPr>
        <a:xfrm>
          <a:off x="3213125" y="2876106"/>
          <a:ext cx="839520" cy="291403"/>
        </a:xfrm>
        <a:custGeom>
          <a:avLst/>
          <a:gdLst/>
          <a:ahLst/>
          <a:cxnLst/>
          <a:rect l="0" t="0" r="0" b="0"/>
          <a:pathLst>
            <a:path>
              <a:moveTo>
                <a:pt x="0" y="0"/>
              </a:moveTo>
              <a:lnTo>
                <a:pt x="0" y="145701"/>
              </a:lnTo>
              <a:lnTo>
                <a:pt x="839520" y="145701"/>
              </a:lnTo>
              <a:lnTo>
                <a:pt x="839520" y="291403"/>
              </a:lnTo>
            </a:path>
          </a:pathLst>
        </a:custGeom>
        <a:noFill/>
        <a:ln w="38100" cap="flat" cmpd="sng" algn="ctr">
          <a:solidFill>
            <a:schemeClr val="accent2"/>
          </a:solidFill>
          <a:prstDash val="solid"/>
          <a:miter lim="800000"/>
        </a:ln>
        <a:effectLst/>
      </dsp:spPr>
      <dsp:style>
        <a:lnRef idx="2">
          <a:scrgbClr r="0" g="0" b="0"/>
        </a:lnRef>
        <a:fillRef idx="0">
          <a:scrgbClr r="0" g="0" b="0"/>
        </a:fillRef>
        <a:effectRef idx="0">
          <a:scrgbClr r="0" g="0" b="0"/>
        </a:effectRef>
        <a:fontRef idx="minor"/>
      </dsp:style>
    </dsp:sp>
    <dsp:sp modelId="{B8429EAD-8128-43ED-AC95-1F16B0237B6E}">
      <dsp:nvSpPr>
        <dsp:cNvPr id="0" name=""/>
        <dsp:cNvSpPr/>
      </dsp:nvSpPr>
      <dsp:spPr>
        <a:xfrm>
          <a:off x="1818550" y="3861328"/>
          <a:ext cx="223021" cy="1456165"/>
        </a:xfrm>
        <a:custGeom>
          <a:avLst/>
          <a:gdLst/>
          <a:ahLst/>
          <a:cxnLst/>
          <a:rect l="0" t="0" r="0" b="0"/>
          <a:pathLst>
            <a:path>
              <a:moveTo>
                <a:pt x="0" y="0"/>
              </a:moveTo>
              <a:lnTo>
                <a:pt x="0" y="1456165"/>
              </a:lnTo>
              <a:lnTo>
                <a:pt x="223021" y="1456165"/>
              </a:lnTo>
            </a:path>
          </a:pathLst>
        </a:custGeom>
        <a:noFill/>
        <a:ln w="38100" cap="flat" cmpd="sng" algn="ctr">
          <a:solidFill>
            <a:schemeClr val="accent4"/>
          </a:solidFill>
          <a:prstDash val="solid"/>
          <a:miter lim="800000"/>
        </a:ln>
        <a:effectLst/>
      </dsp:spPr>
      <dsp:style>
        <a:lnRef idx="2">
          <a:scrgbClr r="0" g="0" b="0"/>
        </a:lnRef>
        <a:fillRef idx="0">
          <a:scrgbClr r="0" g="0" b="0"/>
        </a:fillRef>
        <a:effectRef idx="0">
          <a:scrgbClr r="0" g="0" b="0"/>
        </a:effectRef>
        <a:fontRef idx="minor"/>
      </dsp:style>
    </dsp:sp>
    <dsp:sp modelId="{F4372CDA-AFB5-4451-92EF-ECBD1813E030}">
      <dsp:nvSpPr>
        <dsp:cNvPr id="0" name=""/>
        <dsp:cNvSpPr/>
      </dsp:nvSpPr>
      <dsp:spPr>
        <a:xfrm>
          <a:off x="2373604" y="2876106"/>
          <a:ext cx="839520" cy="291403"/>
        </a:xfrm>
        <a:custGeom>
          <a:avLst/>
          <a:gdLst/>
          <a:ahLst/>
          <a:cxnLst/>
          <a:rect l="0" t="0" r="0" b="0"/>
          <a:pathLst>
            <a:path>
              <a:moveTo>
                <a:pt x="839520" y="0"/>
              </a:moveTo>
              <a:lnTo>
                <a:pt x="839520" y="145701"/>
              </a:lnTo>
              <a:lnTo>
                <a:pt x="0" y="145701"/>
              </a:lnTo>
              <a:lnTo>
                <a:pt x="0" y="291403"/>
              </a:lnTo>
            </a:path>
          </a:pathLst>
        </a:custGeom>
        <a:noFill/>
        <a:ln w="38100" cap="flat" cmpd="sng" algn="ctr">
          <a:solidFill>
            <a:schemeClr val="accent2"/>
          </a:solidFill>
          <a:prstDash val="solid"/>
          <a:miter lim="800000"/>
        </a:ln>
        <a:effectLst/>
      </dsp:spPr>
      <dsp:style>
        <a:lnRef idx="2">
          <a:scrgbClr r="0" g="0" b="0"/>
        </a:lnRef>
        <a:fillRef idx="0">
          <a:scrgbClr r="0" g="0" b="0"/>
        </a:fillRef>
        <a:effectRef idx="0">
          <a:scrgbClr r="0" g="0" b="0"/>
        </a:effectRef>
        <a:fontRef idx="minor"/>
      </dsp:style>
    </dsp:sp>
    <dsp:sp modelId="{3A5A8D36-8B03-42BF-B627-CE87AF11EC22}">
      <dsp:nvSpPr>
        <dsp:cNvPr id="0" name=""/>
        <dsp:cNvSpPr/>
      </dsp:nvSpPr>
      <dsp:spPr>
        <a:xfrm>
          <a:off x="139509" y="3861328"/>
          <a:ext cx="223021" cy="1456165"/>
        </a:xfrm>
        <a:custGeom>
          <a:avLst/>
          <a:gdLst/>
          <a:ahLst/>
          <a:cxnLst/>
          <a:rect l="0" t="0" r="0" b="0"/>
          <a:pathLst>
            <a:path>
              <a:moveTo>
                <a:pt x="0" y="0"/>
              </a:moveTo>
              <a:lnTo>
                <a:pt x="0" y="1456165"/>
              </a:lnTo>
              <a:lnTo>
                <a:pt x="223021" y="1456165"/>
              </a:lnTo>
            </a:path>
          </a:pathLst>
        </a:custGeom>
        <a:noFill/>
        <a:ln w="38100" cap="flat" cmpd="sng" algn="ctr">
          <a:solidFill>
            <a:schemeClr val="accent4"/>
          </a:solidFill>
          <a:prstDash val="solid"/>
          <a:miter lim="800000"/>
        </a:ln>
        <a:effectLst/>
      </dsp:spPr>
      <dsp:style>
        <a:lnRef idx="2">
          <a:scrgbClr r="0" g="0" b="0"/>
        </a:lnRef>
        <a:fillRef idx="0">
          <a:scrgbClr r="0" g="0" b="0"/>
        </a:fillRef>
        <a:effectRef idx="0">
          <a:scrgbClr r="0" g="0" b="0"/>
        </a:effectRef>
        <a:fontRef idx="minor"/>
      </dsp:style>
    </dsp:sp>
    <dsp:sp modelId="{3D65BB9A-E472-4012-9432-AF20FB359CF9}">
      <dsp:nvSpPr>
        <dsp:cNvPr id="0" name=""/>
        <dsp:cNvSpPr/>
      </dsp:nvSpPr>
      <dsp:spPr>
        <a:xfrm>
          <a:off x="694564" y="2876106"/>
          <a:ext cx="2518561" cy="291403"/>
        </a:xfrm>
        <a:custGeom>
          <a:avLst/>
          <a:gdLst/>
          <a:ahLst/>
          <a:cxnLst/>
          <a:rect l="0" t="0" r="0" b="0"/>
          <a:pathLst>
            <a:path>
              <a:moveTo>
                <a:pt x="2518561" y="0"/>
              </a:moveTo>
              <a:lnTo>
                <a:pt x="2518561" y="145701"/>
              </a:lnTo>
              <a:lnTo>
                <a:pt x="0" y="145701"/>
              </a:lnTo>
              <a:lnTo>
                <a:pt x="0" y="291403"/>
              </a:lnTo>
            </a:path>
          </a:pathLst>
        </a:custGeom>
        <a:noFill/>
        <a:ln w="38100" cap="flat" cmpd="sng" algn="ctr">
          <a:solidFill>
            <a:schemeClr val="accent2"/>
          </a:solidFill>
          <a:prstDash val="solid"/>
          <a:miter lim="800000"/>
        </a:ln>
        <a:effectLst/>
      </dsp:spPr>
      <dsp:style>
        <a:lnRef idx="2">
          <a:scrgbClr r="0" g="0" b="0"/>
        </a:lnRef>
        <a:fillRef idx="0">
          <a:scrgbClr r="0" g="0" b="0"/>
        </a:fillRef>
        <a:effectRef idx="0">
          <a:scrgbClr r="0" g="0" b="0"/>
        </a:effectRef>
        <a:fontRef idx="minor"/>
      </dsp:style>
    </dsp:sp>
    <dsp:sp modelId="{340F67C4-F267-4C22-B5DF-B7550B5CA0DF}">
      <dsp:nvSpPr>
        <dsp:cNvPr id="0" name=""/>
        <dsp:cNvSpPr/>
      </dsp:nvSpPr>
      <dsp:spPr>
        <a:xfrm>
          <a:off x="3213125" y="1890883"/>
          <a:ext cx="3358081" cy="291403"/>
        </a:xfrm>
        <a:custGeom>
          <a:avLst/>
          <a:gdLst/>
          <a:ahLst/>
          <a:cxnLst/>
          <a:rect l="0" t="0" r="0" b="0"/>
          <a:pathLst>
            <a:path>
              <a:moveTo>
                <a:pt x="3358081" y="0"/>
              </a:moveTo>
              <a:lnTo>
                <a:pt x="3358081" y="145701"/>
              </a:lnTo>
              <a:lnTo>
                <a:pt x="0" y="145701"/>
              </a:lnTo>
              <a:lnTo>
                <a:pt x="0" y="291403"/>
              </a:lnTo>
            </a:path>
          </a:pathLst>
        </a:custGeom>
        <a:noFill/>
        <a:ln w="38100" cap="flat" cmpd="sng" algn="ctr">
          <a:solidFill>
            <a:schemeClr val="accent1"/>
          </a:solidFill>
          <a:prstDash val="solid"/>
          <a:miter lim="800000"/>
        </a:ln>
        <a:effectLst/>
      </dsp:spPr>
      <dsp:style>
        <a:lnRef idx="2">
          <a:scrgbClr r="0" g="0" b="0"/>
        </a:lnRef>
        <a:fillRef idx="0">
          <a:scrgbClr r="0" g="0" b="0"/>
        </a:fillRef>
        <a:effectRef idx="0">
          <a:scrgbClr r="0" g="0" b="0"/>
        </a:effectRef>
        <a:fontRef idx="minor"/>
      </dsp:style>
    </dsp:sp>
    <dsp:sp modelId="{B5EF23FE-E97C-4F8C-B341-37F1FEA0D4DD}">
      <dsp:nvSpPr>
        <dsp:cNvPr id="0" name=""/>
        <dsp:cNvSpPr/>
      </dsp:nvSpPr>
      <dsp:spPr>
        <a:xfrm>
          <a:off x="5877388" y="1197065"/>
          <a:ext cx="1387636" cy="693818"/>
        </a:xfrm>
        <a:prstGeom prst="rect">
          <a:avLst/>
        </a:prstGeom>
        <a:solidFill>
          <a:schemeClr val="tx2"/>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7620" tIns="7620" rIns="7620" bIns="7620" numCol="1" spcCol="1270" anchor="ctr" anchorCtr="0">
          <a:noAutofit/>
        </a:bodyPr>
        <a:lstStyle/>
        <a:p>
          <a:pPr marL="0" lvl="0" indent="0" algn="ctr" defTabSz="533400">
            <a:lnSpc>
              <a:spcPct val="90000"/>
            </a:lnSpc>
            <a:spcBef>
              <a:spcPct val="0"/>
            </a:spcBef>
            <a:spcAft>
              <a:spcPct val="35000"/>
            </a:spcAft>
            <a:buNone/>
          </a:pPr>
          <a:r>
            <a:rPr lang="en-GB" sz="1200" kern="1200"/>
            <a:t>Trinciatutto Completo L=1500</a:t>
          </a:r>
        </a:p>
      </dsp:txBody>
      <dsp:txXfrm>
        <a:off x="5877388" y="1197065"/>
        <a:ext cx="1387636" cy="693818"/>
      </dsp:txXfrm>
    </dsp:sp>
    <dsp:sp modelId="{7A0B9906-977A-4B42-942C-11DDBAD50226}">
      <dsp:nvSpPr>
        <dsp:cNvPr id="0" name=""/>
        <dsp:cNvSpPr/>
      </dsp:nvSpPr>
      <dsp:spPr>
        <a:xfrm>
          <a:off x="2519306" y="2182287"/>
          <a:ext cx="1387636" cy="693818"/>
        </a:xfrm>
        <a:prstGeom prst="rect">
          <a:avLst/>
        </a:prstGeom>
        <a:solidFill>
          <a:schemeClr val="tx2"/>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7620" tIns="7620" rIns="7620" bIns="7620" numCol="1" spcCol="1270" anchor="ctr" anchorCtr="0">
          <a:noAutofit/>
        </a:bodyPr>
        <a:lstStyle/>
        <a:p>
          <a:pPr marL="0" lvl="0" indent="0" algn="ctr" defTabSz="533400">
            <a:lnSpc>
              <a:spcPct val="90000"/>
            </a:lnSpc>
            <a:spcBef>
              <a:spcPct val="0"/>
            </a:spcBef>
            <a:spcAft>
              <a:spcPct val="35000"/>
            </a:spcAft>
            <a:buNone/>
          </a:pPr>
          <a:r>
            <a:rPr lang="en-GB" sz="1200" kern="1200"/>
            <a:t>Telaio Completo per Trinciatutto L=1500 (1)</a:t>
          </a:r>
        </a:p>
      </dsp:txBody>
      <dsp:txXfrm>
        <a:off x="2519306" y="2182287"/>
        <a:ext cx="1387636" cy="693818"/>
      </dsp:txXfrm>
    </dsp:sp>
    <dsp:sp modelId="{1FB34EFA-170E-4CEC-8A83-94E6D3D1104A}">
      <dsp:nvSpPr>
        <dsp:cNvPr id="0" name=""/>
        <dsp:cNvSpPr/>
      </dsp:nvSpPr>
      <dsp:spPr>
        <a:xfrm>
          <a:off x="745" y="3167509"/>
          <a:ext cx="1387636" cy="693818"/>
        </a:xfrm>
        <a:prstGeom prst="rect">
          <a:avLst/>
        </a:prstGeom>
        <a:solidFill>
          <a:schemeClr val="tx2"/>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7620" tIns="7620" rIns="7620" bIns="7620" numCol="1" spcCol="1270" anchor="ctr" anchorCtr="0">
          <a:noAutofit/>
        </a:bodyPr>
        <a:lstStyle/>
        <a:p>
          <a:pPr marL="0" lvl="0" indent="0" algn="ctr" defTabSz="533400">
            <a:lnSpc>
              <a:spcPct val="90000"/>
            </a:lnSpc>
            <a:spcBef>
              <a:spcPct val="0"/>
            </a:spcBef>
            <a:spcAft>
              <a:spcPct val="35000"/>
            </a:spcAft>
            <a:buNone/>
          </a:pPr>
          <a:r>
            <a:rPr lang="en-GB" sz="1200" kern="1200"/>
            <a:t>Carter L=1500 (1)</a:t>
          </a:r>
        </a:p>
      </dsp:txBody>
      <dsp:txXfrm>
        <a:off x="745" y="3167509"/>
        <a:ext cx="1387636" cy="693818"/>
      </dsp:txXfrm>
    </dsp:sp>
    <dsp:sp modelId="{43782A98-1838-41BA-B5F4-3F6A5D3A4643}">
      <dsp:nvSpPr>
        <dsp:cNvPr id="0" name=""/>
        <dsp:cNvSpPr/>
      </dsp:nvSpPr>
      <dsp:spPr>
        <a:xfrm>
          <a:off x="362530" y="4970584"/>
          <a:ext cx="1387636" cy="693818"/>
        </a:xfrm>
        <a:prstGeom prst="rect">
          <a:avLst/>
        </a:prstGeom>
        <a:solidFill>
          <a:schemeClr val="accent6"/>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7620" tIns="7620" rIns="7620" bIns="7620" numCol="1" spcCol="1270" anchor="ctr" anchorCtr="0">
          <a:noAutofit/>
        </a:bodyPr>
        <a:lstStyle/>
        <a:p>
          <a:pPr marL="0" lvl="0" indent="0" algn="ctr" defTabSz="533400">
            <a:lnSpc>
              <a:spcPct val="90000"/>
            </a:lnSpc>
            <a:spcBef>
              <a:spcPct val="0"/>
            </a:spcBef>
            <a:spcAft>
              <a:spcPct val="35000"/>
            </a:spcAft>
            <a:buNone/>
          </a:pPr>
          <a:r>
            <a:rPr lang="en-GB" sz="1200" kern="1200"/>
            <a:t>Foglio Lamiera 1500x2000x3 (0.17)</a:t>
          </a:r>
        </a:p>
      </dsp:txBody>
      <dsp:txXfrm>
        <a:off x="362530" y="4970584"/>
        <a:ext cx="1387636" cy="693818"/>
      </dsp:txXfrm>
    </dsp:sp>
    <dsp:sp modelId="{BF4BB1AA-4DBE-4507-B279-84DB611DE3D9}">
      <dsp:nvSpPr>
        <dsp:cNvPr id="0" name=""/>
        <dsp:cNvSpPr/>
      </dsp:nvSpPr>
      <dsp:spPr>
        <a:xfrm>
          <a:off x="1679786" y="3167509"/>
          <a:ext cx="1387636" cy="693818"/>
        </a:xfrm>
        <a:prstGeom prst="rect">
          <a:avLst/>
        </a:prstGeom>
        <a:solidFill>
          <a:schemeClr val="tx2"/>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7620" tIns="7620" rIns="7620" bIns="7620" numCol="1" spcCol="1270" anchor="ctr" anchorCtr="0">
          <a:noAutofit/>
        </a:bodyPr>
        <a:lstStyle/>
        <a:p>
          <a:pPr marL="0" lvl="0" indent="0" algn="ctr" defTabSz="533400">
            <a:lnSpc>
              <a:spcPct val="90000"/>
            </a:lnSpc>
            <a:spcBef>
              <a:spcPct val="0"/>
            </a:spcBef>
            <a:spcAft>
              <a:spcPct val="35000"/>
            </a:spcAft>
            <a:buNone/>
          </a:pPr>
          <a:r>
            <a:rPr lang="en-GB" sz="1200" kern="1200"/>
            <a:t>Staffe Rinforzo (3)</a:t>
          </a:r>
        </a:p>
      </dsp:txBody>
      <dsp:txXfrm>
        <a:off x="1679786" y="3167509"/>
        <a:ext cx="1387636" cy="693818"/>
      </dsp:txXfrm>
    </dsp:sp>
    <dsp:sp modelId="{89C82BCD-3E8F-4B3E-ADEB-9F0B68EEFC29}">
      <dsp:nvSpPr>
        <dsp:cNvPr id="0" name=""/>
        <dsp:cNvSpPr/>
      </dsp:nvSpPr>
      <dsp:spPr>
        <a:xfrm>
          <a:off x="2041571" y="4970584"/>
          <a:ext cx="1387636" cy="693818"/>
        </a:xfrm>
        <a:prstGeom prst="rect">
          <a:avLst/>
        </a:prstGeom>
        <a:solidFill>
          <a:schemeClr val="accent6"/>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7620" tIns="7620" rIns="7620" bIns="7620" numCol="1" spcCol="1270" anchor="ctr" anchorCtr="0">
          <a:noAutofit/>
        </a:bodyPr>
        <a:lstStyle/>
        <a:p>
          <a:pPr marL="0" lvl="0" indent="0" algn="ctr" defTabSz="533400">
            <a:lnSpc>
              <a:spcPct val="90000"/>
            </a:lnSpc>
            <a:spcBef>
              <a:spcPct val="0"/>
            </a:spcBef>
            <a:spcAft>
              <a:spcPct val="35000"/>
            </a:spcAft>
            <a:buNone/>
          </a:pPr>
          <a:r>
            <a:rPr lang="en-GB" sz="1200" kern="1200"/>
            <a:t>Foglio Lamiera 1000x1500x3 (0.05)</a:t>
          </a:r>
        </a:p>
      </dsp:txBody>
      <dsp:txXfrm>
        <a:off x="2041571" y="4970584"/>
        <a:ext cx="1387636" cy="693818"/>
      </dsp:txXfrm>
    </dsp:sp>
    <dsp:sp modelId="{2475995F-D1F8-4107-A258-730E90BCD88D}">
      <dsp:nvSpPr>
        <dsp:cNvPr id="0" name=""/>
        <dsp:cNvSpPr/>
      </dsp:nvSpPr>
      <dsp:spPr>
        <a:xfrm>
          <a:off x="3358827" y="3167509"/>
          <a:ext cx="1387636" cy="693818"/>
        </a:xfrm>
        <a:prstGeom prst="rect">
          <a:avLst/>
        </a:prstGeom>
        <a:solidFill>
          <a:schemeClr val="tx2"/>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7620" tIns="7620" rIns="7620" bIns="7620" numCol="1" spcCol="1270" anchor="ctr" anchorCtr="0">
          <a:noAutofit/>
        </a:bodyPr>
        <a:lstStyle/>
        <a:p>
          <a:pPr marL="0" lvl="0" indent="0" algn="ctr" defTabSz="533400">
            <a:lnSpc>
              <a:spcPct val="90000"/>
            </a:lnSpc>
            <a:spcBef>
              <a:spcPct val="0"/>
            </a:spcBef>
            <a:spcAft>
              <a:spcPct val="35000"/>
            </a:spcAft>
            <a:buNone/>
          </a:pPr>
          <a:r>
            <a:rPr lang="en-GB" sz="1200" kern="1200"/>
            <a:t>Piastre Attacco Trattore (2)</a:t>
          </a:r>
        </a:p>
      </dsp:txBody>
      <dsp:txXfrm>
        <a:off x="3358827" y="3167509"/>
        <a:ext cx="1387636" cy="693818"/>
      </dsp:txXfrm>
    </dsp:sp>
    <dsp:sp modelId="{96EAEC2D-51A0-4D58-8D8D-ED695F4677BC}">
      <dsp:nvSpPr>
        <dsp:cNvPr id="0" name=""/>
        <dsp:cNvSpPr/>
      </dsp:nvSpPr>
      <dsp:spPr>
        <a:xfrm>
          <a:off x="3720611" y="4970584"/>
          <a:ext cx="1387636" cy="693818"/>
        </a:xfrm>
        <a:prstGeom prst="rect">
          <a:avLst/>
        </a:prstGeom>
        <a:solidFill>
          <a:schemeClr val="accent6"/>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7620" tIns="7620" rIns="7620" bIns="7620" numCol="1" spcCol="1270" anchor="ctr" anchorCtr="0">
          <a:noAutofit/>
        </a:bodyPr>
        <a:lstStyle/>
        <a:p>
          <a:pPr marL="0" lvl="0" indent="0" algn="ctr" defTabSz="533400">
            <a:lnSpc>
              <a:spcPct val="90000"/>
            </a:lnSpc>
            <a:spcBef>
              <a:spcPct val="0"/>
            </a:spcBef>
            <a:spcAft>
              <a:spcPct val="35000"/>
            </a:spcAft>
            <a:buNone/>
          </a:pPr>
          <a:r>
            <a:rPr lang="en-GB" sz="1200" kern="1200"/>
            <a:t>Foglio Lamiera 1000x2000x3 (0.22)</a:t>
          </a:r>
        </a:p>
      </dsp:txBody>
      <dsp:txXfrm>
        <a:off x="3720611" y="4970584"/>
        <a:ext cx="1387636" cy="693818"/>
      </dsp:txXfrm>
    </dsp:sp>
    <dsp:sp modelId="{8626661B-01F0-4DF6-819E-869027AAF714}">
      <dsp:nvSpPr>
        <dsp:cNvPr id="0" name=""/>
        <dsp:cNvSpPr/>
      </dsp:nvSpPr>
      <dsp:spPr>
        <a:xfrm>
          <a:off x="5037867" y="3167509"/>
          <a:ext cx="1387636" cy="693818"/>
        </a:xfrm>
        <a:prstGeom prst="rect">
          <a:avLst/>
        </a:prstGeom>
        <a:solidFill>
          <a:schemeClr val="accent6"/>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7620" tIns="7620" rIns="7620" bIns="7620" numCol="1" spcCol="1270" anchor="ctr" anchorCtr="0">
          <a:noAutofit/>
        </a:bodyPr>
        <a:lstStyle/>
        <a:p>
          <a:pPr marL="0" lvl="0" indent="0" algn="ctr" defTabSz="533400">
            <a:lnSpc>
              <a:spcPct val="90000"/>
            </a:lnSpc>
            <a:spcBef>
              <a:spcPct val="0"/>
            </a:spcBef>
            <a:spcAft>
              <a:spcPct val="35000"/>
            </a:spcAft>
            <a:buNone/>
          </a:pPr>
          <a:r>
            <a:rPr lang="en-GB" sz="1200" kern="1200"/>
            <a:t>Rastrello per Trinciatutto (1)</a:t>
          </a:r>
        </a:p>
      </dsp:txBody>
      <dsp:txXfrm>
        <a:off x="5037867" y="3167509"/>
        <a:ext cx="1387636" cy="693818"/>
      </dsp:txXfrm>
    </dsp:sp>
    <dsp:sp modelId="{0865E7C1-C8C5-4628-BF91-DFD448E2F845}">
      <dsp:nvSpPr>
        <dsp:cNvPr id="0" name=""/>
        <dsp:cNvSpPr/>
      </dsp:nvSpPr>
      <dsp:spPr>
        <a:xfrm>
          <a:off x="4198347" y="2182287"/>
          <a:ext cx="1387636" cy="693818"/>
        </a:xfrm>
        <a:prstGeom prst="rect">
          <a:avLst/>
        </a:prstGeom>
        <a:solidFill>
          <a:schemeClr val="accent6"/>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7620" tIns="7620" rIns="7620" bIns="7620" numCol="1" spcCol="1270" anchor="ctr" anchorCtr="0">
          <a:noAutofit/>
        </a:bodyPr>
        <a:lstStyle/>
        <a:p>
          <a:pPr marL="0" lvl="0" indent="0" algn="ctr" defTabSz="533400">
            <a:lnSpc>
              <a:spcPct val="90000"/>
            </a:lnSpc>
            <a:spcBef>
              <a:spcPct val="0"/>
            </a:spcBef>
            <a:spcAft>
              <a:spcPct val="35000"/>
            </a:spcAft>
            <a:buNone/>
          </a:pPr>
          <a:r>
            <a:rPr lang="en-GB" sz="1200" kern="1200"/>
            <a:t>Albero di trasmissione per macchine L=1500 (1)</a:t>
          </a:r>
        </a:p>
      </dsp:txBody>
      <dsp:txXfrm>
        <a:off x="4198347" y="2182287"/>
        <a:ext cx="1387636" cy="693818"/>
      </dsp:txXfrm>
    </dsp:sp>
    <dsp:sp modelId="{7AA36B74-A52B-45E3-A0CB-60087D0C2443}">
      <dsp:nvSpPr>
        <dsp:cNvPr id="0" name=""/>
        <dsp:cNvSpPr/>
      </dsp:nvSpPr>
      <dsp:spPr>
        <a:xfrm>
          <a:off x="5877388" y="2182287"/>
          <a:ext cx="1387636" cy="693818"/>
        </a:xfrm>
        <a:prstGeom prst="rect">
          <a:avLst/>
        </a:prstGeom>
        <a:solidFill>
          <a:schemeClr val="accent6"/>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7620" tIns="7620" rIns="7620" bIns="7620" numCol="1" spcCol="1270" anchor="ctr" anchorCtr="0">
          <a:noAutofit/>
        </a:bodyPr>
        <a:lstStyle/>
        <a:p>
          <a:pPr marL="0" lvl="0" indent="0" algn="ctr" defTabSz="533400">
            <a:lnSpc>
              <a:spcPct val="90000"/>
            </a:lnSpc>
            <a:spcBef>
              <a:spcPct val="0"/>
            </a:spcBef>
            <a:spcAft>
              <a:spcPct val="35000"/>
            </a:spcAft>
            <a:buNone/>
          </a:pPr>
          <a:r>
            <a:rPr lang="en-GB" sz="1200" kern="1200"/>
            <a:t>Ruota dentata conica (2)</a:t>
          </a:r>
        </a:p>
      </dsp:txBody>
      <dsp:txXfrm>
        <a:off x="5877388" y="2182287"/>
        <a:ext cx="1387636" cy="693818"/>
      </dsp:txXfrm>
    </dsp:sp>
    <dsp:sp modelId="{8164BF52-63BB-40C9-A999-DB74F871BBE3}">
      <dsp:nvSpPr>
        <dsp:cNvPr id="0" name=""/>
        <dsp:cNvSpPr/>
      </dsp:nvSpPr>
      <dsp:spPr>
        <a:xfrm>
          <a:off x="7556428" y="2182287"/>
          <a:ext cx="1387636" cy="693818"/>
        </a:xfrm>
        <a:prstGeom prst="rect">
          <a:avLst/>
        </a:prstGeom>
        <a:solidFill>
          <a:schemeClr val="accent6"/>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7620" tIns="7620" rIns="7620" bIns="7620" numCol="1" spcCol="1270" anchor="ctr" anchorCtr="0">
          <a:noAutofit/>
        </a:bodyPr>
        <a:lstStyle/>
        <a:p>
          <a:pPr marL="0" lvl="0" indent="0" algn="ctr" defTabSz="533400">
            <a:lnSpc>
              <a:spcPct val="90000"/>
            </a:lnSpc>
            <a:spcBef>
              <a:spcPct val="0"/>
            </a:spcBef>
            <a:spcAft>
              <a:spcPct val="35000"/>
            </a:spcAft>
            <a:buNone/>
          </a:pPr>
          <a:r>
            <a:rPr lang="en-GB" sz="1200" kern="1200"/>
            <a:t>Ruota dentata cilindrica (3)</a:t>
          </a:r>
        </a:p>
      </dsp:txBody>
      <dsp:txXfrm>
        <a:off x="7556428" y="2182287"/>
        <a:ext cx="1387636" cy="693818"/>
      </dsp:txXfrm>
    </dsp:sp>
    <dsp:sp modelId="{2A9C3C54-5B58-49BD-BB0F-7BD286DF6C57}">
      <dsp:nvSpPr>
        <dsp:cNvPr id="0" name=""/>
        <dsp:cNvSpPr/>
      </dsp:nvSpPr>
      <dsp:spPr>
        <a:xfrm>
          <a:off x="9235469" y="2182287"/>
          <a:ext cx="1387636" cy="693818"/>
        </a:xfrm>
        <a:prstGeom prst="rect">
          <a:avLst/>
        </a:prstGeom>
        <a:solidFill>
          <a:schemeClr val="accent6"/>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7620" tIns="7620" rIns="7620" bIns="7620" numCol="1" spcCol="1270" anchor="ctr" anchorCtr="0">
          <a:noAutofit/>
        </a:bodyPr>
        <a:lstStyle/>
        <a:p>
          <a:pPr marL="0" lvl="0" indent="0" algn="ctr" defTabSz="533400">
            <a:lnSpc>
              <a:spcPct val="90000"/>
            </a:lnSpc>
            <a:spcBef>
              <a:spcPct val="0"/>
            </a:spcBef>
            <a:spcAft>
              <a:spcPct val="35000"/>
            </a:spcAft>
            <a:buNone/>
          </a:pPr>
          <a:r>
            <a:rPr lang="en-GB" sz="1200" kern="1200"/>
            <a:t>Albero completo frese per Trinciatutto L=1500 (1)</a:t>
          </a:r>
        </a:p>
      </dsp:txBody>
      <dsp:txXfrm>
        <a:off x="9235469" y="2182287"/>
        <a:ext cx="1387636" cy="693818"/>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00268D7A-8C38-48B0-961F-1FD70B54E78D}">
      <dsp:nvSpPr>
        <dsp:cNvPr id="0" name=""/>
        <dsp:cNvSpPr/>
      </dsp:nvSpPr>
      <dsp:spPr>
        <a:xfrm>
          <a:off x="6571206" y="1774012"/>
          <a:ext cx="3358081" cy="291403"/>
        </a:xfrm>
        <a:custGeom>
          <a:avLst/>
          <a:gdLst/>
          <a:ahLst/>
          <a:cxnLst/>
          <a:rect l="0" t="0" r="0" b="0"/>
          <a:pathLst>
            <a:path>
              <a:moveTo>
                <a:pt x="0" y="0"/>
              </a:moveTo>
              <a:lnTo>
                <a:pt x="0" y="145701"/>
              </a:lnTo>
              <a:lnTo>
                <a:pt x="3358081" y="145701"/>
              </a:lnTo>
              <a:lnTo>
                <a:pt x="3358081" y="291403"/>
              </a:lnTo>
            </a:path>
          </a:pathLst>
        </a:custGeom>
        <a:noFill/>
        <a:ln w="38100" cap="flat" cmpd="sng" algn="ctr">
          <a:solidFill>
            <a:schemeClr val="accent1"/>
          </a:solidFill>
          <a:prstDash val="solid"/>
          <a:miter lim="800000"/>
        </a:ln>
        <a:effectLst/>
      </dsp:spPr>
      <dsp:style>
        <a:lnRef idx="2">
          <a:scrgbClr r="0" g="0" b="0"/>
        </a:lnRef>
        <a:fillRef idx="0">
          <a:scrgbClr r="0" g="0" b="0"/>
        </a:fillRef>
        <a:effectRef idx="0">
          <a:scrgbClr r="0" g="0" b="0"/>
        </a:effectRef>
        <a:fontRef idx="minor"/>
      </dsp:style>
    </dsp:sp>
    <dsp:sp modelId="{83E92D29-5D87-4FBD-92AC-2EEFA23E617A}">
      <dsp:nvSpPr>
        <dsp:cNvPr id="0" name=""/>
        <dsp:cNvSpPr/>
      </dsp:nvSpPr>
      <dsp:spPr>
        <a:xfrm>
          <a:off x="6571206" y="1774012"/>
          <a:ext cx="1679040" cy="291403"/>
        </a:xfrm>
        <a:custGeom>
          <a:avLst/>
          <a:gdLst/>
          <a:ahLst/>
          <a:cxnLst/>
          <a:rect l="0" t="0" r="0" b="0"/>
          <a:pathLst>
            <a:path>
              <a:moveTo>
                <a:pt x="0" y="0"/>
              </a:moveTo>
              <a:lnTo>
                <a:pt x="0" y="145701"/>
              </a:lnTo>
              <a:lnTo>
                <a:pt x="1679040" y="145701"/>
              </a:lnTo>
              <a:lnTo>
                <a:pt x="1679040" y="291403"/>
              </a:lnTo>
            </a:path>
          </a:pathLst>
        </a:custGeom>
        <a:noFill/>
        <a:ln w="38100" cap="flat" cmpd="sng" algn="ctr">
          <a:solidFill>
            <a:schemeClr val="accent1"/>
          </a:solidFill>
          <a:prstDash val="solid"/>
          <a:miter lim="800000"/>
        </a:ln>
        <a:effectLst/>
      </dsp:spPr>
      <dsp:style>
        <a:lnRef idx="2">
          <a:scrgbClr r="0" g="0" b="0"/>
        </a:lnRef>
        <a:fillRef idx="0">
          <a:scrgbClr r="0" g="0" b="0"/>
        </a:fillRef>
        <a:effectRef idx="0">
          <a:scrgbClr r="0" g="0" b="0"/>
        </a:effectRef>
        <a:fontRef idx="minor"/>
      </dsp:style>
    </dsp:sp>
    <dsp:sp modelId="{9212C7B4-A036-482B-A3D9-AA773E264725}">
      <dsp:nvSpPr>
        <dsp:cNvPr id="0" name=""/>
        <dsp:cNvSpPr/>
      </dsp:nvSpPr>
      <dsp:spPr>
        <a:xfrm>
          <a:off x="6525486" y="1774012"/>
          <a:ext cx="91440" cy="291403"/>
        </a:xfrm>
        <a:custGeom>
          <a:avLst/>
          <a:gdLst/>
          <a:ahLst/>
          <a:cxnLst/>
          <a:rect l="0" t="0" r="0" b="0"/>
          <a:pathLst>
            <a:path>
              <a:moveTo>
                <a:pt x="45720" y="0"/>
              </a:moveTo>
              <a:lnTo>
                <a:pt x="45720" y="291403"/>
              </a:lnTo>
            </a:path>
          </a:pathLst>
        </a:custGeom>
        <a:noFill/>
        <a:ln w="38100" cap="flat" cmpd="sng" algn="ctr">
          <a:solidFill>
            <a:schemeClr val="accent1"/>
          </a:solidFill>
          <a:prstDash val="solid"/>
          <a:miter lim="800000"/>
        </a:ln>
        <a:effectLst/>
      </dsp:spPr>
      <dsp:style>
        <a:lnRef idx="2">
          <a:scrgbClr r="0" g="0" b="0"/>
        </a:lnRef>
        <a:fillRef idx="0">
          <a:scrgbClr r="0" g="0" b="0"/>
        </a:fillRef>
        <a:effectRef idx="0">
          <a:scrgbClr r="0" g="0" b="0"/>
        </a:effectRef>
        <a:fontRef idx="minor"/>
      </dsp:style>
    </dsp:sp>
    <dsp:sp modelId="{A6339135-5765-4A4B-AE66-1F85B67972B6}">
      <dsp:nvSpPr>
        <dsp:cNvPr id="0" name=""/>
        <dsp:cNvSpPr/>
      </dsp:nvSpPr>
      <dsp:spPr>
        <a:xfrm>
          <a:off x="4892165" y="1774012"/>
          <a:ext cx="1679040" cy="291403"/>
        </a:xfrm>
        <a:custGeom>
          <a:avLst/>
          <a:gdLst/>
          <a:ahLst/>
          <a:cxnLst/>
          <a:rect l="0" t="0" r="0" b="0"/>
          <a:pathLst>
            <a:path>
              <a:moveTo>
                <a:pt x="1679040" y="0"/>
              </a:moveTo>
              <a:lnTo>
                <a:pt x="1679040" y="145701"/>
              </a:lnTo>
              <a:lnTo>
                <a:pt x="0" y="145701"/>
              </a:lnTo>
              <a:lnTo>
                <a:pt x="0" y="291403"/>
              </a:lnTo>
            </a:path>
          </a:pathLst>
        </a:custGeom>
        <a:noFill/>
        <a:ln w="38100" cap="flat" cmpd="sng" algn="ctr">
          <a:solidFill>
            <a:schemeClr val="accent1"/>
          </a:solidFill>
          <a:prstDash val="solid"/>
          <a:miter lim="800000"/>
        </a:ln>
        <a:effectLst/>
      </dsp:spPr>
      <dsp:style>
        <a:lnRef idx="2">
          <a:scrgbClr r="0" g="0" b="0"/>
        </a:lnRef>
        <a:fillRef idx="0">
          <a:scrgbClr r="0" g="0" b="0"/>
        </a:fillRef>
        <a:effectRef idx="0">
          <a:scrgbClr r="0" g="0" b="0"/>
        </a:effectRef>
        <a:fontRef idx="minor"/>
      </dsp:style>
    </dsp:sp>
    <dsp:sp modelId="{17103C69-0302-483E-83B6-DDD01D942D32}">
      <dsp:nvSpPr>
        <dsp:cNvPr id="0" name=""/>
        <dsp:cNvSpPr/>
      </dsp:nvSpPr>
      <dsp:spPr>
        <a:xfrm>
          <a:off x="3213125" y="2759234"/>
          <a:ext cx="2518561" cy="291403"/>
        </a:xfrm>
        <a:custGeom>
          <a:avLst/>
          <a:gdLst/>
          <a:ahLst/>
          <a:cxnLst/>
          <a:rect l="0" t="0" r="0" b="0"/>
          <a:pathLst>
            <a:path>
              <a:moveTo>
                <a:pt x="0" y="0"/>
              </a:moveTo>
              <a:lnTo>
                <a:pt x="0" y="145701"/>
              </a:lnTo>
              <a:lnTo>
                <a:pt x="2518561" y="145701"/>
              </a:lnTo>
              <a:lnTo>
                <a:pt x="2518561" y="291403"/>
              </a:lnTo>
            </a:path>
          </a:pathLst>
        </a:custGeom>
        <a:noFill/>
        <a:ln w="38100" cap="flat" cmpd="sng" algn="ctr">
          <a:solidFill>
            <a:schemeClr val="accent2"/>
          </a:solidFill>
          <a:prstDash val="solid"/>
          <a:miter lim="800000"/>
        </a:ln>
        <a:effectLst/>
      </dsp:spPr>
      <dsp:style>
        <a:lnRef idx="2">
          <a:scrgbClr r="0" g="0" b="0"/>
        </a:lnRef>
        <a:fillRef idx="0">
          <a:scrgbClr r="0" g="0" b="0"/>
        </a:fillRef>
        <a:effectRef idx="0">
          <a:scrgbClr r="0" g="0" b="0"/>
        </a:effectRef>
        <a:fontRef idx="minor"/>
      </dsp:style>
    </dsp:sp>
    <dsp:sp modelId="{91D23516-BC80-4A96-83F0-C5CFAB70308E}">
      <dsp:nvSpPr>
        <dsp:cNvPr id="0" name=""/>
        <dsp:cNvSpPr/>
      </dsp:nvSpPr>
      <dsp:spPr>
        <a:xfrm>
          <a:off x="3497590" y="3744456"/>
          <a:ext cx="237882" cy="1560258"/>
        </a:xfrm>
        <a:custGeom>
          <a:avLst/>
          <a:gdLst/>
          <a:ahLst/>
          <a:cxnLst/>
          <a:rect l="0" t="0" r="0" b="0"/>
          <a:pathLst>
            <a:path>
              <a:moveTo>
                <a:pt x="0" y="0"/>
              </a:moveTo>
              <a:lnTo>
                <a:pt x="0" y="1560258"/>
              </a:lnTo>
              <a:lnTo>
                <a:pt x="237882" y="1560258"/>
              </a:lnTo>
            </a:path>
          </a:pathLst>
        </a:custGeom>
        <a:noFill/>
        <a:ln w="38100" cap="flat" cmpd="sng" algn="ctr">
          <a:solidFill>
            <a:schemeClr val="accent4"/>
          </a:solidFill>
          <a:prstDash val="solid"/>
          <a:miter lim="800000"/>
        </a:ln>
        <a:effectLst/>
      </dsp:spPr>
      <dsp:style>
        <a:lnRef idx="2">
          <a:scrgbClr r="0" g="0" b="0"/>
        </a:lnRef>
        <a:fillRef idx="0">
          <a:scrgbClr r="0" g="0" b="0"/>
        </a:fillRef>
        <a:effectRef idx="0">
          <a:scrgbClr r="0" g="0" b="0"/>
        </a:effectRef>
        <a:fontRef idx="minor"/>
      </dsp:style>
    </dsp:sp>
    <dsp:sp modelId="{52FD661B-2D3B-49BB-9A28-EEFCCA35AD9B}">
      <dsp:nvSpPr>
        <dsp:cNvPr id="0" name=""/>
        <dsp:cNvSpPr/>
      </dsp:nvSpPr>
      <dsp:spPr>
        <a:xfrm>
          <a:off x="3213125" y="2759234"/>
          <a:ext cx="839520" cy="291403"/>
        </a:xfrm>
        <a:custGeom>
          <a:avLst/>
          <a:gdLst/>
          <a:ahLst/>
          <a:cxnLst/>
          <a:rect l="0" t="0" r="0" b="0"/>
          <a:pathLst>
            <a:path>
              <a:moveTo>
                <a:pt x="0" y="0"/>
              </a:moveTo>
              <a:lnTo>
                <a:pt x="0" y="145701"/>
              </a:lnTo>
              <a:lnTo>
                <a:pt x="839520" y="145701"/>
              </a:lnTo>
              <a:lnTo>
                <a:pt x="839520" y="291403"/>
              </a:lnTo>
            </a:path>
          </a:pathLst>
        </a:custGeom>
        <a:noFill/>
        <a:ln w="38100" cap="flat" cmpd="sng" algn="ctr">
          <a:solidFill>
            <a:schemeClr val="accent2"/>
          </a:solidFill>
          <a:prstDash val="solid"/>
          <a:miter lim="800000"/>
        </a:ln>
        <a:effectLst/>
      </dsp:spPr>
      <dsp:style>
        <a:lnRef idx="2">
          <a:scrgbClr r="0" g="0" b="0"/>
        </a:lnRef>
        <a:fillRef idx="0">
          <a:scrgbClr r="0" g="0" b="0"/>
        </a:fillRef>
        <a:effectRef idx="0">
          <a:scrgbClr r="0" g="0" b="0"/>
        </a:effectRef>
        <a:fontRef idx="minor"/>
      </dsp:style>
    </dsp:sp>
    <dsp:sp modelId="{B8429EAD-8128-43ED-AC95-1F16B0237B6E}">
      <dsp:nvSpPr>
        <dsp:cNvPr id="0" name=""/>
        <dsp:cNvSpPr/>
      </dsp:nvSpPr>
      <dsp:spPr>
        <a:xfrm>
          <a:off x="1818550" y="3744456"/>
          <a:ext cx="237882" cy="1560258"/>
        </a:xfrm>
        <a:custGeom>
          <a:avLst/>
          <a:gdLst/>
          <a:ahLst/>
          <a:cxnLst/>
          <a:rect l="0" t="0" r="0" b="0"/>
          <a:pathLst>
            <a:path>
              <a:moveTo>
                <a:pt x="0" y="0"/>
              </a:moveTo>
              <a:lnTo>
                <a:pt x="0" y="1560258"/>
              </a:lnTo>
              <a:lnTo>
                <a:pt x="237882" y="1560258"/>
              </a:lnTo>
            </a:path>
          </a:pathLst>
        </a:custGeom>
        <a:noFill/>
        <a:ln w="38100" cap="flat" cmpd="sng" algn="ctr">
          <a:solidFill>
            <a:schemeClr val="accent4"/>
          </a:solidFill>
          <a:prstDash val="solid"/>
          <a:miter lim="800000"/>
        </a:ln>
        <a:effectLst/>
      </dsp:spPr>
      <dsp:style>
        <a:lnRef idx="2">
          <a:scrgbClr r="0" g="0" b="0"/>
        </a:lnRef>
        <a:fillRef idx="0">
          <a:scrgbClr r="0" g="0" b="0"/>
        </a:fillRef>
        <a:effectRef idx="0">
          <a:scrgbClr r="0" g="0" b="0"/>
        </a:effectRef>
        <a:fontRef idx="minor"/>
      </dsp:style>
    </dsp:sp>
    <dsp:sp modelId="{F4372CDA-AFB5-4451-92EF-ECBD1813E030}">
      <dsp:nvSpPr>
        <dsp:cNvPr id="0" name=""/>
        <dsp:cNvSpPr/>
      </dsp:nvSpPr>
      <dsp:spPr>
        <a:xfrm>
          <a:off x="2373604" y="2759234"/>
          <a:ext cx="839520" cy="291403"/>
        </a:xfrm>
        <a:custGeom>
          <a:avLst/>
          <a:gdLst/>
          <a:ahLst/>
          <a:cxnLst/>
          <a:rect l="0" t="0" r="0" b="0"/>
          <a:pathLst>
            <a:path>
              <a:moveTo>
                <a:pt x="839520" y="0"/>
              </a:moveTo>
              <a:lnTo>
                <a:pt x="839520" y="145701"/>
              </a:lnTo>
              <a:lnTo>
                <a:pt x="0" y="145701"/>
              </a:lnTo>
              <a:lnTo>
                <a:pt x="0" y="291403"/>
              </a:lnTo>
            </a:path>
          </a:pathLst>
        </a:custGeom>
        <a:noFill/>
        <a:ln w="38100" cap="flat" cmpd="sng" algn="ctr">
          <a:solidFill>
            <a:schemeClr val="accent2"/>
          </a:solidFill>
          <a:prstDash val="solid"/>
          <a:miter lim="800000"/>
        </a:ln>
        <a:effectLst/>
      </dsp:spPr>
      <dsp:style>
        <a:lnRef idx="2">
          <a:scrgbClr r="0" g="0" b="0"/>
        </a:lnRef>
        <a:fillRef idx="0">
          <a:scrgbClr r="0" g="0" b="0"/>
        </a:fillRef>
        <a:effectRef idx="0">
          <a:scrgbClr r="0" g="0" b="0"/>
        </a:effectRef>
        <a:fontRef idx="minor"/>
      </dsp:style>
    </dsp:sp>
    <dsp:sp modelId="{3A5A8D36-8B03-42BF-B627-CE87AF11EC22}">
      <dsp:nvSpPr>
        <dsp:cNvPr id="0" name=""/>
        <dsp:cNvSpPr/>
      </dsp:nvSpPr>
      <dsp:spPr>
        <a:xfrm>
          <a:off x="139509" y="3744456"/>
          <a:ext cx="237882" cy="1560258"/>
        </a:xfrm>
        <a:custGeom>
          <a:avLst/>
          <a:gdLst/>
          <a:ahLst/>
          <a:cxnLst/>
          <a:rect l="0" t="0" r="0" b="0"/>
          <a:pathLst>
            <a:path>
              <a:moveTo>
                <a:pt x="0" y="0"/>
              </a:moveTo>
              <a:lnTo>
                <a:pt x="0" y="1560258"/>
              </a:lnTo>
              <a:lnTo>
                <a:pt x="237882" y="1560258"/>
              </a:lnTo>
            </a:path>
          </a:pathLst>
        </a:custGeom>
        <a:noFill/>
        <a:ln w="38100" cap="flat" cmpd="sng" algn="ctr">
          <a:solidFill>
            <a:schemeClr val="accent4"/>
          </a:solidFill>
          <a:prstDash val="solid"/>
          <a:miter lim="800000"/>
        </a:ln>
        <a:effectLst/>
      </dsp:spPr>
      <dsp:style>
        <a:lnRef idx="2">
          <a:scrgbClr r="0" g="0" b="0"/>
        </a:lnRef>
        <a:fillRef idx="0">
          <a:scrgbClr r="0" g="0" b="0"/>
        </a:fillRef>
        <a:effectRef idx="0">
          <a:scrgbClr r="0" g="0" b="0"/>
        </a:effectRef>
        <a:fontRef idx="minor"/>
      </dsp:style>
    </dsp:sp>
    <dsp:sp modelId="{3D65BB9A-E472-4012-9432-AF20FB359CF9}">
      <dsp:nvSpPr>
        <dsp:cNvPr id="0" name=""/>
        <dsp:cNvSpPr/>
      </dsp:nvSpPr>
      <dsp:spPr>
        <a:xfrm>
          <a:off x="694564" y="2759234"/>
          <a:ext cx="2518561" cy="291403"/>
        </a:xfrm>
        <a:custGeom>
          <a:avLst/>
          <a:gdLst/>
          <a:ahLst/>
          <a:cxnLst/>
          <a:rect l="0" t="0" r="0" b="0"/>
          <a:pathLst>
            <a:path>
              <a:moveTo>
                <a:pt x="2518561" y="0"/>
              </a:moveTo>
              <a:lnTo>
                <a:pt x="2518561" y="145701"/>
              </a:lnTo>
              <a:lnTo>
                <a:pt x="0" y="145701"/>
              </a:lnTo>
              <a:lnTo>
                <a:pt x="0" y="291403"/>
              </a:lnTo>
            </a:path>
          </a:pathLst>
        </a:custGeom>
        <a:noFill/>
        <a:ln w="38100" cap="flat" cmpd="sng" algn="ctr">
          <a:solidFill>
            <a:schemeClr val="accent2"/>
          </a:solidFill>
          <a:prstDash val="solid"/>
          <a:miter lim="800000"/>
        </a:ln>
        <a:effectLst/>
      </dsp:spPr>
      <dsp:style>
        <a:lnRef idx="2">
          <a:scrgbClr r="0" g="0" b="0"/>
        </a:lnRef>
        <a:fillRef idx="0">
          <a:scrgbClr r="0" g="0" b="0"/>
        </a:fillRef>
        <a:effectRef idx="0">
          <a:scrgbClr r="0" g="0" b="0"/>
        </a:effectRef>
        <a:fontRef idx="minor"/>
      </dsp:style>
    </dsp:sp>
    <dsp:sp modelId="{340F67C4-F267-4C22-B5DF-B7550B5CA0DF}">
      <dsp:nvSpPr>
        <dsp:cNvPr id="0" name=""/>
        <dsp:cNvSpPr/>
      </dsp:nvSpPr>
      <dsp:spPr>
        <a:xfrm>
          <a:off x="3213125" y="1774012"/>
          <a:ext cx="3358081" cy="291403"/>
        </a:xfrm>
        <a:custGeom>
          <a:avLst/>
          <a:gdLst/>
          <a:ahLst/>
          <a:cxnLst/>
          <a:rect l="0" t="0" r="0" b="0"/>
          <a:pathLst>
            <a:path>
              <a:moveTo>
                <a:pt x="3358081" y="0"/>
              </a:moveTo>
              <a:lnTo>
                <a:pt x="3358081" y="145701"/>
              </a:lnTo>
              <a:lnTo>
                <a:pt x="0" y="145701"/>
              </a:lnTo>
              <a:lnTo>
                <a:pt x="0" y="291403"/>
              </a:lnTo>
            </a:path>
          </a:pathLst>
        </a:custGeom>
        <a:noFill/>
        <a:ln w="38100" cap="flat" cmpd="sng" algn="ctr">
          <a:solidFill>
            <a:schemeClr val="accent1"/>
          </a:solidFill>
          <a:prstDash val="solid"/>
          <a:miter lim="800000"/>
        </a:ln>
        <a:effectLst/>
      </dsp:spPr>
      <dsp:style>
        <a:lnRef idx="2">
          <a:scrgbClr r="0" g="0" b="0"/>
        </a:lnRef>
        <a:fillRef idx="0">
          <a:scrgbClr r="0" g="0" b="0"/>
        </a:fillRef>
        <a:effectRef idx="0">
          <a:scrgbClr r="0" g="0" b="0"/>
        </a:effectRef>
        <a:fontRef idx="minor"/>
      </dsp:style>
    </dsp:sp>
    <dsp:sp modelId="{B5EF23FE-E97C-4F8C-B341-37F1FEA0D4DD}">
      <dsp:nvSpPr>
        <dsp:cNvPr id="0" name=""/>
        <dsp:cNvSpPr/>
      </dsp:nvSpPr>
      <dsp:spPr>
        <a:xfrm>
          <a:off x="5877388" y="1080193"/>
          <a:ext cx="1387636" cy="693818"/>
        </a:xfrm>
        <a:prstGeom prst="rect">
          <a:avLst/>
        </a:prstGeom>
        <a:solidFill>
          <a:schemeClr val="tx2"/>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7620" tIns="7620" rIns="7620" bIns="7620" numCol="1" spcCol="1270" anchor="ctr" anchorCtr="0">
          <a:noAutofit/>
        </a:bodyPr>
        <a:lstStyle/>
        <a:p>
          <a:pPr marL="0" lvl="0" indent="0" algn="ctr" defTabSz="533400">
            <a:lnSpc>
              <a:spcPct val="90000"/>
            </a:lnSpc>
            <a:spcBef>
              <a:spcPct val="0"/>
            </a:spcBef>
            <a:spcAft>
              <a:spcPct val="35000"/>
            </a:spcAft>
            <a:buNone/>
          </a:pPr>
          <a:r>
            <a:rPr lang="en-GB" sz="1200" kern="1200"/>
            <a:t>Trinciatutto Completo L=1750</a:t>
          </a:r>
        </a:p>
      </dsp:txBody>
      <dsp:txXfrm>
        <a:off x="5877388" y="1080193"/>
        <a:ext cx="1387636" cy="693818"/>
      </dsp:txXfrm>
    </dsp:sp>
    <dsp:sp modelId="{7A0B9906-977A-4B42-942C-11DDBAD50226}">
      <dsp:nvSpPr>
        <dsp:cNvPr id="0" name=""/>
        <dsp:cNvSpPr/>
      </dsp:nvSpPr>
      <dsp:spPr>
        <a:xfrm>
          <a:off x="2519306" y="2065416"/>
          <a:ext cx="1387636" cy="693818"/>
        </a:xfrm>
        <a:prstGeom prst="rect">
          <a:avLst/>
        </a:prstGeom>
        <a:solidFill>
          <a:schemeClr val="tx2"/>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7620" tIns="7620" rIns="7620" bIns="7620" numCol="1" spcCol="1270" anchor="ctr" anchorCtr="0">
          <a:noAutofit/>
        </a:bodyPr>
        <a:lstStyle/>
        <a:p>
          <a:pPr marL="0" lvl="0" indent="0" algn="ctr" defTabSz="533400">
            <a:lnSpc>
              <a:spcPct val="90000"/>
            </a:lnSpc>
            <a:spcBef>
              <a:spcPct val="0"/>
            </a:spcBef>
            <a:spcAft>
              <a:spcPct val="35000"/>
            </a:spcAft>
            <a:buNone/>
          </a:pPr>
          <a:r>
            <a:rPr lang="en-GB" sz="1200" kern="1200"/>
            <a:t>Telaio Completo per Trinciatutto L=1750 (1)</a:t>
          </a:r>
        </a:p>
      </dsp:txBody>
      <dsp:txXfrm>
        <a:off x="2519306" y="2065416"/>
        <a:ext cx="1387636" cy="693818"/>
      </dsp:txXfrm>
    </dsp:sp>
    <dsp:sp modelId="{1FB34EFA-170E-4CEC-8A83-94E6D3D1104A}">
      <dsp:nvSpPr>
        <dsp:cNvPr id="0" name=""/>
        <dsp:cNvSpPr/>
      </dsp:nvSpPr>
      <dsp:spPr>
        <a:xfrm>
          <a:off x="745" y="3050638"/>
          <a:ext cx="1387636" cy="693818"/>
        </a:xfrm>
        <a:prstGeom prst="rect">
          <a:avLst/>
        </a:prstGeom>
        <a:solidFill>
          <a:schemeClr val="tx2"/>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7620" tIns="7620" rIns="7620" bIns="7620" numCol="1" spcCol="1270" anchor="ctr" anchorCtr="0">
          <a:noAutofit/>
        </a:bodyPr>
        <a:lstStyle/>
        <a:p>
          <a:pPr marL="0" lvl="0" indent="0" algn="ctr" defTabSz="533400">
            <a:lnSpc>
              <a:spcPct val="90000"/>
            </a:lnSpc>
            <a:spcBef>
              <a:spcPct val="0"/>
            </a:spcBef>
            <a:spcAft>
              <a:spcPct val="35000"/>
            </a:spcAft>
            <a:buNone/>
          </a:pPr>
          <a:r>
            <a:rPr lang="en-GB" sz="1200" kern="1200"/>
            <a:t>Carter L=1750 (1)</a:t>
          </a:r>
        </a:p>
      </dsp:txBody>
      <dsp:txXfrm>
        <a:off x="745" y="3050638"/>
        <a:ext cx="1387636" cy="693818"/>
      </dsp:txXfrm>
    </dsp:sp>
    <dsp:sp modelId="{43782A98-1838-41BA-B5F4-3F6A5D3A4643}">
      <dsp:nvSpPr>
        <dsp:cNvPr id="0" name=""/>
        <dsp:cNvSpPr/>
      </dsp:nvSpPr>
      <dsp:spPr>
        <a:xfrm>
          <a:off x="377391" y="4957806"/>
          <a:ext cx="1387636" cy="693818"/>
        </a:xfrm>
        <a:prstGeom prst="rect">
          <a:avLst/>
        </a:prstGeom>
        <a:solidFill>
          <a:schemeClr val="accent6"/>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7620" tIns="7620" rIns="7620" bIns="7620" numCol="1" spcCol="1270" anchor="ctr" anchorCtr="0">
          <a:noAutofit/>
        </a:bodyPr>
        <a:lstStyle/>
        <a:p>
          <a:pPr marL="0" lvl="0" indent="0" algn="ctr" defTabSz="533400">
            <a:lnSpc>
              <a:spcPct val="90000"/>
            </a:lnSpc>
            <a:spcBef>
              <a:spcPct val="0"/>
            </a:spcBef>
            <a:spcAft>
              <a:spcPct val="35000"/>
            </a:spcAft>
            <a:buNone/>
          </a:pPr>
          <a:r>
            <a:rPr lang="en-GB" sz="1200" kern="1200"/>
            <a:t>Foglio Lamiera 1500x2000x3 (0.17)</a:t>
          </a:r>
        </a:p>
      </dsp:txBody>
      <dsp:txXfrm>
        <a:off x="377391" y="4957806"/>
        <a:ext cx="1387636" cy="693818"/>
      </dsp:txXfrm>
    </dsp:sp>
    <dsp:sp modelId="{BF4BB1AA-4DBE-4507-B279-84DB611DE3D9}">
      <dsp:nvSpPr>
        <dsp:cNvPr id="0" name=""/>
        <dsp:cNvSpPr/>
      </dsp:nvSpPr>
      <dsp:spPr>
        <a:xfrm>
          <a:off x="1679786" y="3050638"/>
          <a:ext cx="1387636" cy="693818"/>
        </a:xfrm>
        <a:prstGeom prst="rect">
          <a:avLst/>
        </a:prstGeom>
        <a:solidFill>
          <a:schemeClr val="tx2"/>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7620" tIns="7620" rIns="7620" bIns="7620" numCol="1" spcCol="1270" anchor="ctr" anchorCtr="0">
          <a:noAutofit/>
        </a:bodyPr>
        <a:lstStyle/>
        <a:p>
          <a:pPr marL="0" lvl="0" indent="0" algn="ctr" defTabSz="533400">
            <a:lnSpc>
              <a:spcPct val="90000"/>
            </a:lnSpc>
            <a:spcBef>
              <a:spcPct val="0"/>
            </a:spcBef>
            <a:spcAft>
              <a:spcPct val="35000"/>
            </a:spcAft>
            <a:buNone/>
          </a:pPr>
          <a:r>
            <a:rPr lang="en-GB" sz="1200" kern="1200"/>
            <a:t>Staffe Rinforzo (3)</a:t>
          </a:r>
        </a:p>
      </dsp:txBody>
      <dsp:txXfrm>
        <a:off x="1679786" y="3050638"/>
        <a:ext cx="1387636" cy="693818"/>
      </dsp:txXfrm>
    </dsp:sp>
    <dsp:sp modelId="{89C82BCD-3E8F-4B3E-ADEB-9F0B68EEFC29}">
      <dsp:nvSpPr>
        <dsp:cNvPr id="0" name=""/>
        <dsp:cNvSpPr/>
      </dsp:nvSpPr>
      <dsp:spPr>
        <a:xfrm>
          <a:off x="2056432" y="4957806"/>
          <a:ext cx="1387636" cy="693818"/>
        </a:xfrm>
        <a:prstGeom prst="rect">
          <a:avLst/>
        </a:prstGeom>
        <a:solidFill>
          <a:schemeClr val="accent6"/>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7620" tIns="7620" rIns="7620" bIns="7620" numCol="1" spcCol="1270" anchor="ctr" anchorCtr="0">
          <a:noAutofit/>
        </a:bodyPr>
        <a:lstStyle/>
        <a:p>
          <a:pPr marL="0" lvl="0" indent="0" algn="ctr" defTabSz="533400">
            <a:lnSpc>
              <a:spcPct val="90000"/>
            </a:lnSpc>
            <a:spcBef>
              <a:spcPct val="0"/>
            </a:spcBef>
            <a:spcAft>
              <a:spcPct val="35000"/>
            </a:spcAft>
            <a:buNone/>
          </a:pPr>
          <a:r>
            <a:rPr lang="en-GB" sz="1200" kern="1200"/>
            <a:t>Foglio Lamiera 1000x1500x3 (0.05)</a:t>
          </a:r>
        </a:p>
      </dsp:txBody>
      <dsp:txXfrm>
        <a:off x="2056432" y="4957806"/>
        <a:ext cx="1387636" cy="693818"/>
      </dsp:txXfrm>
    </dsp:sp>
    <dsp:sp modelId="{2475995F-D1F8-4107-A258-730E90BCD88D}">
      <dsp:nvSpPr>
        <dsp:cNvPr id="0" name=""/>
        <dsp:cNvSpPr/>
      </dsp:nvSpPr>
      <dsp:spPr>
        <a:xfrm>
          <a:off x="3358827" y="3050638"/>
          <a:ext cx="1387636" cy="693818"/>
        </a:xfrm>
        <a:prstGeom prst="rect">
          <a:avLst/>
        </a:prstGeom>
        <a:solidFill>
          <a:schemeClr val="tx2"/>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7620" tIns="7620" rIns="7620" bIns="7620" numCol="1" spcCol="1270" anchor="ctr" anchorCtr="0">
          <a:noAutofit/>
        </a:bodyPr>
        <a:lstStyle/>
        <a:p>
          <a:pPr marL="0" lvl="0" indent="0" algn="ctr" defTabSz="533400">
            <a:lnSpc>
              <a:spcPct val="90000"/>
            </a:lnSpc>
            <a:spcBef>
              <a:spcPct val="0"/>
            </a:spcBef>
            <a:spcAft>
              <a:spcPct val="35000"/>
            </a:spcAft>
            <a:buNone/>
          </a:pPr>
          <a:r>
            <a:rPr lang="en-GB" sz="1200" kern="1200"/>
            <a:t>Piastre Attacco Trattore (2)</a:t>
          </a:r>
        </a:p>
      </dsp:txBody>
      <dsp:txXfrm>
        <a:off x="3358827" y="3050638"/>
        <a:ext cx="1387636" cy="693818"/>
      </dsp:txXfrm>
    </dsp:sp>
    <dsp:sp modelId="{96EAEC2D-51A0-4D58-8D8D-ED695F4677BC}">
      <dsp:nvSpPr>
        <dsp:cNvPr id="0" name=""/>
        <dsp:cNvSpPr/>
      </dsp:nvSpPr>
      <dsp:spPr>
        <a:xfrm>
          <a:off x="3735473" y="4957806"/>
          <a:ext cx="1387636" cy="693818"/>
        </a:xfrm>
        <a:prstGeom prst="rect">
          <a:avLst/>
        </a:prstGeom>
        <a:solidFill>
          <a:schemeClr val="accent6"/>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7620" tIns="7620" rIns="7620" bIns="7620" numCol="1" spcCol="1270" anchor="ctr" anchorCtr="0">
          <a:noAutofit/>
        </a:bodyPr>
        <a:lstStyle/>
        <a:p>
          <a:pPr marL="0" lvl="0" indent="0" algn="ctr" defTabSz="533400">
            <a:lnSpc>
              <a:spcPct val="90000"/>
            </a:lnSpc>
            <a:spcBef>
              <a:spcPct val="0"/>
            </a:spcBef>
            <a:spcAft>
              <a:spcPct val="35000"/>
            </a:spcAft>
            <a:buNone/>
          </a:pPr>
          <a:r>
            <a:rPr lang="en-GB" sz="1200" kern="1200"/>
            <a:t>Foglio Lamiera 1000x2000x3 (0.22)</a:t>
          </a:r>
        </a:p>
      </dsp:txBody>
      <dsp:txXfrm>
        <a:off x="3735473" y="4957806"/>
        <a:ext cx="1387636" cy="693818"/>
      </dsp:txXfrm>
    </dsp:sp>
    <dsp:sp modelId="{8626661B-01F0-4DF6-819E-869027AAF714}">
      <dsp:nvSpPr>
        <dsp:cNvPr id="0" name=""/>
        <dsp:cNvSpPr/>
      </dsp:nvSpPr>
      <dsp:spPr>
        <a:xfrm>
          <a:off x="5037867" y="3050638"/>
          <a:ext cx="1387636" cy="693818"/>
        </a:xfrm>
        <a:prstGeom prst="rect">
          <a:avLst/>
        </a:prstGeom>
        <a:solidFill>
          <a:schemeClr val="accent6"/>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7620" tIns="7620" rIns="7620" bIns="7620" numCol="1" spcCol="1270" anchor="ctr" anchorCtr="0">
          <a:noAutofit/>
        </a:bodyPr>
        <a:lstStyle/>
        <a:p>
          <a:pPr marL="0" lvl="0" indent="0" algn="ctr" defTabSz="533400">
            <a:lnSpc>
              <a:spcPct val="90000"/>
            </a:lnSpc>
            <a:spcBef>
              <a:spcPct val="0"/>
            </a:spcBef>
            <a:spcAft>
              <a:spcPct val="35000"/>
            </a:spcAft>
            <a:buNone/>
          </a:pPr>
          <a:r>
            <a:rPr lang="en-GB" sz="1200" kern="1200"/>
            <a:t>Rastrello per Trinciatutto L=1750 (1)</a:t>
          </a:r>
        </a:p>
      </dsp:txBody>
      <dsp:txXfrm>
        <a:off x="5037867" y="3050638"/>
        <a:ext cx="1387636" cy="693818"/>
      </dsp:txXfrm>
    </dsp:sp>
    <dsp:sp modelId="{0865E7C1-C8C5-4628-BF91-DFD448E2F845}">
      <dsp:nvSpPr>
        <dsp:cNvPr id="0" name=""/>
        <dsp:cNvSpPr/>
      </dsp:nvSpPr>
      <dsp:spPr>
        <a:xfrm>
          <a:off x="4198347" y="2065416"/>
          <a:ext cx="1387636" cy="693818"/>
        </a:xfrm>
        <a:prstGeom prst="rect">
          <a:avLst/>
        </a:prstGeom>
        <a:solidFill>
          <a:schemeClr val="accent6"/>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7620" tIns="7620" rIns="7620" bIns="7620" numCol="1" spcCol="1270" anchor="ctr" anchorCtr="0">
          <a:noAutofit/>
        </a:bodyPr>
        <a:lstStyle/>
        <a:p>
          <a:pPr marL="0" lvl="0" indent="0" algn="ctr" defTabSz="533400">
            <a:lnSpc>
              <a:spcPct val="90000"/>
            </a:lnSpc>
            <a:spcBef>
              <a:spcPct val="0"/>
            </a:spcBef>
            <a:spcAft>
              <a:spcPct val="35000"/>
            </a:spcAft>
            <a:buNone/>
          </a:pPr>
          <a:r>
            <a:rPr lang="en-GB" sz="1200" kern="1200"/>
            <a:t>Albero di trasmissione per macchine L=1750 (1)</a:t>
          </a:r>
        </a:p>
      </dsp:txBody>
      <dsp:txXfrm>
        <a:off x="4198347" y="2065416"/>
        <a:ext cx="1387636" cy="693818"/>
      </dsp:txXfrm>
    </dsp:sp>
    <dsp:sp modelId="{7AA36B74-A52B-45E3-A0CB-60087D0C2443}">
      <dsp:nvSpPr>
        <dsp:cNvPr id="0" name=""/>
        <dsp:cNvSpPr/>
      </dsp:nvSpPr>
      <dsp:spPr>
        <a:xfrm>
          <a:off x="5877388" y="2065416"/>
          <a:ext cx="1387636" cy="693818"/>
        </a:xfrm>
        <a:prstGeom prst="rect">
          <a:avLst/>
        </a:prstGeom>
        <a:solidFill>
          <a:schemeClr val="accent6"/>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7620" tIns="7620" rIns="7620" bIns="7620" numCol="1" spcCol="1270" anchor="ctr" anchorCtr="0">
          <a:noAutofit/>
        </a:bodyPr>
        <a:lstStyle/>
        <a:p>
          <a:pPr marL="0" lvl="0" indent="0" algn="ctr" defTabSz="533400">
            <a:lnSpc>
              <a:spcPct val="90000"/>
            </a:lnSpc>
            <a:spcBef>
              <a:spcPct val="0"/>
            </a:spcBef>
            <a:spcAft>
              <a:spcPct val="35000"/>
            </a:spcAft>
            <a:buNone/>
          </a:pPr>
          <a:r>
            <a:rPr lang="en-GB" sz="1200" kern="1200"/>
            <a:t>Ruota dentata conica (2)</a:t>
          </a:r>
        </a:p>
      </dsp:txBody>
      <dsp:txXfrm>
        <a:off x="5877388" y="2065416"/>
        <a:ext cx="1387636" cy="693818"/>
      </dsp:txXfrm>
    </dsp:sp>
    <dsp:sp modelId="{8164BF52-63BB-40C9-A999-DB74F871BBE3}">
      <dsp:nvSpPr>
        <dsp:cNvPr id="0" name=""/>
        <dsp:cNvSpPr/>
      </dsp:nvSpPr>
      <dsp:spPr>
        <a:xfrm>
          <a:off x="7556428" y="2065416"/>
          <a:ext cx="1387636" cy="693818"/>
        </a:xfrm>
        <a:prstGeom prst="rect">
          <a:avLst/>
        </a:prstGeom>
        <a:solidFill>
          <a:schemeClr val="accent6"/>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7620" tIns="7620" rIns="7620" bIns="7620" numCol="1" spcCol="1270" anchor="ctr" anchorCtr="0">
          <a:noAutofit/>
        </a:bodyPr>
        <a:lstStyle/>
        <a:p>
          <a:pPr marL="0" lvl="0" indent="0" algn="ctr" defTabSz="533400">
            <a:lnSpc>
              <a:spcPct val="90000"/>
            </a:lnSpc>
            <a:spcBef>
              <a:spcPct val="0"/>
            </a:spcBef>
            <a:spcAft>
              <a:spcPct val="35000"/>
            </a:spcAft>
            <a:buNone/>
          </a:pPr>
          <a:r>
            <a:rPr lang="en-GB" sz="1200" kern="1200"/>
            <a:t>Ruota dentata cilindrica (3)</a:t>
          </a:r>
        </a:p>
      </dsp:txBody>
      <dsp:txXfrm>
        <a:off x="7556428" y="2065416"/>
        <a:ext cx="1387636" cy="693818"/>
      </dsp:txXfrm>
    </dsp:sp>
    <dsp:sp modelId="{2A9C3C54-5B58-49BD-BB0F-7BD286DF6C57}">
      <dsp:nvSpPr>
        <dsp:cNvPr id="0" name=""/>
        <dsp:cNvSpPr/>
      </dsp:nvSpPr>
      <dsp:spPr>
        <a:xfrm>
          <a:off x="9235469" y="2065416"/>
          <a:ext cx="1387636" cy="693818"/>
        </a:xfrm>
        <a:prstGeom prst="rect">
          <a:avLst/>
        </a:prstGeom>
        <a:solidFill>
          <a:schemeClr val="accent6"/>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7620" tIns="7620" rIns="7620" bIns="7620" numCol="1" spcCol="1270" anchor="ctr" anchorCtr="0">
          <a:noAutofit/>
        </a:bodyPr>
        <a:lstStyle/>
        <a:p>
          <a:pPr marL="0" lvl="0" indent="0" algn="ctr" defTabSz="533400">
            <a:lnSpc>
              <a:spcPct val="90000"/>
            </a:lnSpc>
            <a:spcBef>
              <a:spcPct val="0"/>
            </a:spcBef>
            <a:spcAft>
              <a:spcPct val="35000"/>
            </a:spcAft>
            <a:buNone/>
          </a:pPr>
          <a:r>
            <a:rPr lang="en-GB" sz="1200" kern="1200"/>
            <a:t>Albero completo frese per Trinciatutto L=1750 (1)</a:t>
          </a:r>
        </a:p>
      </dsp:txBody>
      <dsp:txXfrm>
        <a:off x="9235469" y="2065416"/>
        <a:ext cx="1387636" cy="693818"/>
      </dsp:txXfrm>
    </dsp:sp>
  </dsp:spTree>
</dsp:drawing>
</file>

<file path=xl/diagrams/layout1.xml><?xml version="1.0" encoding="utf-8"?>
<dgm:layoutDef xmlns:dgm="http://schemas.openxmlformats.org/drawingml/2006/diagram" xmlns:a="http://schemas.openxmlformats.org/drawingml/2006/main" uniqueId="urn:microsoft.com/office/officeart/2005/8/layout/orgChart1">
  <dgm:title val=""/>
  <dgm:desc val=""/>
  <dgm:catLst>
    <dgm:cat type="hierarchy" pri="1000"/>
    <dgm:cat type="convert" pri="6000"/>
  </dgm:catLst>
  <dgm:sampData>
    <dgm:dataModel>
      <dgm:ptLst>
        <dgm:pt modelId="0" type="doc"/>
        <dgm:pt modelId="1">
          <dgm:prSet phldr="1"/>
        </dgm:pt>
        <dgm:pt modelId="2" type="asst">
          <dgm:prSet phldr="1"/>
        </dgm:pt>
        <dgm:pt modelId="3">
          <dgm:prSet phldr="1"/>
        </dgm:pt>
        <dgm:pt modelId="4">
          <dgm:prSet phldr="1"/>
        </dgm:pt>
        <dgm:pt modelId="5">
          <dgm:prSet phldr="1"/>
        </dgm:pt>
      </dgm:ptLst>
      <dgm:cxnLst>
        <dgm:cxn modelId="5" srcId="0" destId="1" srcOrd="0" destOrd="0"/>
        <dgm:cxn modelId="6" srcId="1" destId="2" srcOrd="0" destOrd="0"/>
        <dgm:cxn modelId="7" srcId="1" destId="3" srcOrd="1" destOrd="0"/>
        <dgm:cxn modelId="8" srcId="1" destId="4" srcOrd="2" destOrd="0"/>
        <dgm:cxn modelId="9" srcId="1" destId="5" srcOrd="3" destOrd="0"/>
      </dgm:cxnLst>
      <dgm:bg/>
      <dgm:whole/>
    </dgm:dataModel>
  </dgm:sampData>
  <dgm:styleData>
    <dgm:dataModel>
      <dgm:ptLst>
        <dgm:pt modelId="0" type="doc"/>
        <dgm:pt modelId="1"/>
        <dgm:pt modelId="12"/>
        <dgm:pt modelId="13"/>
      </dgm:ptLst>
      <dgm:cxnLst>
        <dgm:cxn modelId="2" srcId="0" destId="1" srcOrd="0" destOrd="0"/>
        <dgm:cxn modelId="16" srcId="1" destId="12" srcOrd="1" destOrd="0"/>
        <dgm:cxn modelId="17" srcId="1" destId="13" srcOrd="2" destOrd="0"/>
      </dgm:cxnLst>
      <dgm:bg/>
      <dgm:whole/>
    </dgm:dataModel>
  </dgm:styleData>
  <dgm:clrData>
    <dgm:dataModel>
      <dgm:ptLst>
        <dgm:pt modelId="0" type="doc"/>
        <dgm:pt modelId="1"/>
        <dgm:pt modelId="11" type="asst"/>
        <dgm:pt modelId="12"/>
        <dgm:pt modelId="13"/>
        <dgm:pt modelId="14"/>
      </dgm:ptLst>
      <dgm:cxnLst>
        <dgm:cxn modelId="2" srcId="0" destId="1" srcOrd="0" destOrd="0"/>
        <dgm:cxn modelId="15" srcId="1" destId="11" srcOrd="0" destOrd="0"/>
        <dgm:cxn modelId="16" srcId="1" destId="12" srcOrd="1" destOrd="0"/>
        <dgm:cxn modelId="17" srcId="1" destId="13" srcOrd="2" destOrd="0"/>
        <dgm:cxn modelId="18" srcId="1" destId="14" srcOrd="2" destOrd="0"/>
      </dgm:cxnLst>
      <dgm:bg/>
      <dgm:whole/>
    </dgm:dataModel>
  </dgm:clrData>
  <dgm:layoutNode name="hierChild1">
    <dgm:varLst>
      <dgm:orgChart val="1"/>
      <dgm:chPref val="1"/>
      <dgm:dir/>
      <dgm:animOne val="branch"/>
      <dgm:animLvl val="lvl"/>
      <dgm:resizeHandles/>
    </dgm:varLst>
    <dgm:choose name="Name0">
      <dgm:if name="Name1" func="var" arg="dir" op="equ" val="norm">
        <dgm:alg type="hierChild">
          <dgm:param type="linDir" val="fromL"/>
        </dgm:alg>
      </dgm:if>
      <dgm:else name="Name2">
        <dgm:alg type="hierChild">
          <dgm:param type="linDir" val="fromR"/>
        </dgm:alg>
      </dgm:else>
    </dgm:choose>
    <dgm:shape xmlns:r="http://schemas.openxmlformats.org/officeDocument/2006/relationships" r:blip="">
      <dgm:adjLst/>
    </dgm:shape>
    <dgm:presOf/>
    <dgm:constrLst>
      <dgm:constr type="w" for="des" forName="rootComposite1" refType="w" fact="10"/>
      <dgm:constr type="h" for="des" forName="rootComposite1" refType="w" refFor="des" refForName="rootComposite1" fact="0.5"/>
      <dgm:constr type="w" for="des" forName="rootComposite" refType="w" fact="10"/>
      <dgm:constr type="h" for="des" forName="rootComposite" refType="w" refFor="des" refForName="rootComposite1" fact="0.5"/>
      <dgm:constr type="w" for="des" forName="rootComposite3" refType="w" fact="10"/>
      <dgm:constr type="h" for="des" forName="rootComposite3" refType="w" refFor="des" refForName="rootComposite1" fact="0.5"/>
      <dgm:constr type="primFontSz" for="des" ptType="node" op="equ"/>
      <dgm:constr type="sp" for="des" op="equ"/>
      <dgm:constr type="sp" for="des" forName="hierRoot1" refType="w" refFor="des" refForName="rootComposite1" fact="0.21"/>
      <dgm:constr type="sp" for="des" forName="hierRoot2" refType="sp" refFor="des" refForName="hierRoot1"/>
      <dgm:constr type="sp" for="des" forName="hierRoot3" refType="sp" refFor="des" refForName="hierRoot1"/>
      <dgm:constr type="sibSp" refType="w" refFor="des" refForName="rootComposite1" fact="0.21"/>
      <dgm:constr type="sibSp" for="des" forName="hierChild2" refType="sibSp"/>
      <dgm:constr type="sibSp" for="des" forName="hierChild3" refType="sibSp"/>
      <dgm:constr type="sibSp" for="des" forName="hierChild4" refType="sibSp"/>
      <dgm:constr type="sibSp" for="des" forName="hierChild5" refType="sibSp"/>
      <dgm:constr type="sibSp" for="des" forName="hierChild6" refType="sibSp"/>
      <dgm:constr type="sibSp" for="des" forName="hierChild7" refType="sibSp"/>
      <dgm:constr type="secSibSp" refType="w" refFor="des" refForName="rootComposite1" fact="0.21"/>
      <dgm:constr type="secSibSp" for="des" forName="hierChild2" refType="secSibSp"/>
      <dgm:constr type="secSibSp" for="des" forName="hierChild3" refType="secSibSp"/>
      <dgm:constr type="secSibSp" for="des" forName="hierChild4" refType="secSibSp"/>
      <dgm:constr type="secSibSp" for="des" forName="hierChild5" refType="secSibSp"/>
      <dgm:constr type="secSibSp" for="des" forName="hierChild6" refType="secSibSp"/>
      <dgm:constr type="secSibSp" for="des" forName="hierChild7" refType="secSibSp"/>
    </dgm:constrLst>
    <dgm:ruleLst/>
    <dgm:forEach name="Name3" axis="ch">
      <dgm:forEach name="Name4" axis="self" ptType="node">
        <dgm:layoutNode name="hierRoot1">
          <dgm:varLst>
            <dgm:hierBranch val="init"/>
          </dgm:varLst>
          <dgm:choose name="Name5">
            <dgm:if name="Name6" func="var" arg="hierBranch" op="equ" val="l">
              <dgm:choose name="Name7">
                <dgm:if name="Name8" axis="ch" ptType="asst" func="cnt" op="gte" val="1">
                  <dgm:alg type="hierRoot">
                    <dgm:param type="hierAlign" val="tR"/>
                  </dgm:alg>
                  <dgm:constrLst>
                    <dgm:constr type="alignOff" val="0.65"/>
                  </dgm:constrLst>
                </dgm:if>
                <dgm:else name="Name9">
                  <dgm:alg type="hierRoot">
                    <dgm:param type="hierAlign" val="tR"/>
                  </dgm:alg>
                  <dgm:constrLst>
                    <dgm:constr type="alignOff" val="0.25"/>
                  </dgm:constrLst>
                </dgm:else>
              </dgm:choose>
            </dgm:if>
            <dgm:if name="Name10" func="var" arg="hierBranch" op="equ" val="r">
              <dgm:choose name="Name11">
                <dgm:if name="Name12" axis="ch" ptType="asst" func="cnt" op="gte" val="1">
                  <dgm:alg type="hierRoot">
                    <dgm:param type="hierAlign" val="tL"/>
                  </dgm:alg>
                  <dgm:constrLst>
                    <dgm:constr type="alignOff" val="0.65"/>
                  </dgm:constrLst>
                </dgm:if>
                <dgm:else name="Name13">
                  <dgm:alg type="hierRoot">
                    <dgm:param type="hierAlign" val="tL"/>
                  </dgm:alg>
                  <dgm:constrLst>
                    <dgm:constr type="alignOff" val="0.25"/>
                  </dgm:constrLst>
                </dgm:else>
              </dgm:choose>
            </dgm:if>
            <dgm:if name="Name14" func="var" arg="hierBranch" op="equ" val="hang">
              <dgm:alg type="hierRoot"/>
              <dgm:constrLst>
                <dgm:constr type="alignOff" val="0.65"/>
              </dgm:constrLst>
            </dgm:if>
            <dgm:else name="Name15">
              <dgm:alg type="hierRoot"/>
              <dgm:constrLst>
                <dgm:constr type="alignOff"/>
                <dgm:constr type="bendDist" for="des" ptType="parTrans" refType="sp" fact="0.5"/>
              </dgm:constrLst>
            </dgm:else>
          </dgm:choose>
          <dgm:shape xmlns:r="http://schemas.openxmlformats.org/officeDocument/2006/relationships" r:blip="">
            <dgm:adjLst/>
          </dgm:shape>
          <dgm:presOf/>
          <dgm:ruleLst/>
          <dgm:layoutNode name="rootComposite1">
            <dgm:alg type="composite"/>
            <dgm:shape xmlns:r="http://schemas.openxmlformats.org/officeDocument/2006/relationships" r:blip="">
              <dgm:adjLst/>
            </dgm:shape>
            <dgm:presOf axis="self" ptType="node" cnt="1"/>
            <dgm:choose name="Name16">
              <dgm:if name="Name17" func="var" arg="hierBranch" op="equ" val="init">
                <dgm:constrLst>
                  <dgm:constr type="l" for="ch" forName="rootText1"/>
                  <dgm:constr type="t" for="ch" forName="rootText1"/>
                  <dgm:constr type="w" for="ch" forName="rootText1" refType="w"/>
                  <dgm:constr type="h" for="ch" forName="rootText1" refType="h"/>
                  <dgm:constr type="l" for="ch" forName="rootConnector1"/>
                  <dgm:constr type="t" for="ch" forName="rootConnector1"/>
                  <dgm:constr type="w" for="ch" forName="rootConnector1" refType="w" refFor="ch" refForName="rootText1" fact="0.2"/>
                  <dgm:constr type="h" for="ch" forName="rootConnector1" refType="h" refFor="ch" refForName="rootText1"/>
                </dgm:constrLst>
              </dgm:if>
              <dgm:if name="Name18" func="var" arg="hierBranch" op="equ" val="l">
                <dgm:constrLst>
                  <dgm:constr type="l" for="ch" forName="rootText1"/>
                  <dgm:constr type="t" for="ch" forName="rootText1"/>
                  <dgm:constr type="w" for="ch" forName="rootText1" refType="w"/>
                  <dgm:constr type="h" for="ch" forName="rootText1" refType="h"/>
                  <dgm:constr type="r" for="ch" forName="rootConnector1" refType="w"/>
                  <dgm:constr type="t" for="ch" forName="rootConnector1"/>
                  <dgm:constr type="w" for="ch" forName="rootConnector1" refType="w" refFor="ch" refForName="rootText1" fact="0.2"/>
                  <dgm:constr type="h" for="ch" forName="rootConnector1" refType="h" refFor="ch" refForName="rootText1"/>
                </dgm:constrLst>
              </dgm:if>
              <dgm:if name="Name19" func="var" arg="hierBranch" op="equ" val="r">
                <dgm:constrLst>
                  <dgm:constr type="l" for="ch" forName="rootText1"/>
                  <dgm:constr type="t" for="ch" forName="rootText1"/>
                  <dgm:constr type="w" for="ch" forName="rootText1" refType="w"/>
                  <dgm:constr type="h" for="ch" forName="rootText1" refType="h"/>
                  <dgm:constr type="l" for="ch" forName="rootConnector1"/>
                  <dgm:constr type="t" for="ch" forName="rootConnector1"/>
                  <dgm:constr type="w" for="ch" forName="rootConnector1" refType="w" refFor="ch" refForName="rootText1" fact="0.2"/>
                  <dgm:constr type="h" for="ch" forName="rootConnector1" refType="h" refFor="ch" refForName="rootText1"/>
                </dgm:constrLst>
              </dgm:if>
              <dgm:else name="Name20">
                <dgm:constrLst>
                  <dgm:constr type="l" for="ch" forName="rootText1"/>
                  <dgm:constr type="t" for="ch" forName="rootText1"/>
                  <dgm:constr type="w" for="ch" forName="rootText1" refType="w"/>
                  <dgm:constr type="h" for="ch" forName="rootText1" refType="h"/>
                  <dgm:constr type="r" for="ch" forName="rootConnector1" refType="w"/>
                  <dgm:constr type="t" for="ch" forName="rootConnector1"/>
                  <dgm:constr type="w" for="ch" forName="rootConnector1" refType="w" refFor="ch" refForName="rootText1" fact="0.2"/>
                  <dgm:constr type="h" for="ch" forName="rootConnector1" refType="h" refFor="ch" refForName="rootText1"/>
                </dgm:constrLst>
              </dgm:else>
            </dgm:choose>
            <dgm:ruleLst/>
            <dgm:layoutNode name="rootText1" styleLbl="node0">
              <dgm:varLst>
                <dgm:chPref val="3"/>
              </dgm:varLst>
              <dgm:alg type="tx"/>
              <dgm:shape xmlns:r="http://schemas.openxmlformats.org/officeDocument/2006/relationships" type="rect" r:blip="">
                <dgm:adjLst/>
              </dgm:shape>
              <dgm:presOf axis="self" ptType="node" cnt="1"/>
              <dgm:constrLst>
                <dgm:constr type="primFontSz" val="65"/>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layoutNode name="rootConnector1" moveWith="rootText1">
              <dgm:alg type="sp"/>
              <dgm:shape xmlns:r="http://schemas.openxmlformats.org/officeDocument/2006/relationships" type="rect" r:blip="" hideGeom="1">
                <dgm:adjLst/>
              </dgm:shape>
              <dgm:presOf axis="self" ptType="node" cnt="1"/>
              <dgm:constrLst/>
              <dgm:ruleLst/>
            </dgm:layoutNode>
          </dgm:layoutNode>
          <dgm:layoutNode name="hierChild2">
            <dgm:choose name="Name21">
              <dgm:if name="Name22" func="var" arg="hierBranch" op="equ" val="l">
                <dgm:alg type="hierChild">
                  <dgm:param type="chAlign" val="r"/>
                  <dgm:param type="linDir" val="fromT"/>
                </dgm:alg>
              </dgm:if>
              <dgm:if name="Name23" func="var" arg="hierBranch" op="equ" val="r">
                <dgm:alg type="hierChild">
                  <dgm:param type="chAlign" val="l"/>
                  <dgm:param type="linDir" val="fromT"/>
                </dgm:alg>
              </dgm:if>
              <dgm:if name="Name24" func="var" arg="hierBranch" op="equ" val="hang">
                <dgm:choose name="Name25">
                  <dgm:if name="Name26" func="var" arg="dir" op="equ" val="norm">
                    <dgm:alg type="hierChild">
                      <dgm:param type="chAlign" val="l"/>
                      <dgm:param type="linDir" val="fromL"/>
                      <dgm:param type="secChAlign" val="t"/>
                      <dgm:param type="secLinDir" val="fromT"/>
                    </dgm:alg>
                  </dgm:if>
                  <dgm:else name="Name27">
                    <dgm:alg type="hierChild">
                      <dgm:param type="chAlign" val="l"/>
                      <dgm:param type="linDir" val="fromR"/>
                      <dgm:param type="secChAlign" val="t"/>
                      <dgm:param type="secLinDir" val="fromT"/>
                    </dgm:alg>
                  </dgm:else>
                </dgm:choose>
              </dgm:if>
              <dgm:else name="Name28">
                <dgm:choose name="Name29">
                  <dgm:if name="Name30" func="var" arg="dir" op="equ" val="norm">
                    <dgm:alg type="hierChild"/>
                  </dgm:if>
                  <dgm:else name="Name31">
                    <dgm:alg type="hierChild">
                      <dgm:param type="linDir" val="fromR"/>
                    </dgm:alg>
                  </dgm:else>
                </dgm:choose>
              </dgm:else>
            </dgm:choose>
            <dgm:shape xmlns:r="http://schemas.openxmlformats.org/officeDocument/2006/relationships" r:blip="">
              <dgm:adjLst/>
            </dgm:shape>
            <dgm:presOf/>
            <dgm:constrLst/>
            <dgm:ruleLst/>
            <dgm:forEach name="rep2a" axis="ch" ptType="nonAsst">
              <dgm:forEach name="Name32" axis="precedSib" ptType="parTrans" st="-1" cnt="1">
                <dgm:choose name="Name33">
                  <dgm:if name="Name34" func="var" arg="hierBranch" op="equ" val="std">
                    <dgm:layoutNode name="Name35">
                      <dgm:alg type="conn">
                        <dgm:param type="connRout" val="bend"/>
                        <dgm:param type="dim" val="1D"/>
                        <dgm:param type="endSty" val="noArr"/>
                        <dgm:param type="begPts" val="bCtr"/>
                        <dgm:param type="endPts" val="tCtr"/>
                        <dgm:param type="bendPt" val="end"/>
                      </dgm:alg>
                      <dgm:shape xmlns:r="http://schemas.openxmlformats.org/officeDocument/2006/relationships" type="conn" r:blip="" zOrderOff="-99999">
                        <dgm:adjLst/>
                      </dgm:shape>
                      <dgm:presOf axis="self"/>
                      <dgm:constrLst>
                        <dgm:constr type="begPad"/>
                        <dgm:constr type="endPad"/>
                      </dgm:constrLst>
                      <dgm:ruleLst/>
                    </dgm:layoutNode>
                  </dgm:if>
                  <dgm:if name="Name36" func="var" arg="hierBranch" op="equ" val="init">
                    <dgm:layoutNode name="Name37">
                      <dgm:choose name="Name38">
                        <dgm:if name="Name39" axis="self" func="depth" op="lte" val="2">
                          <dgm:alg type="conn">
                            <dgm:param type="connRout" val="bend"/>
                            <dgm:param type="dim" val="1D"/>
                            <dgm:param type="endSty" val="noArr"/>
                            <dgm:param type="begPts" val="bCtr"/>
                            <dgm:param type="endPts" val="tCtr"/>
                            <dgm:param type="bendPt" val="end"/>
                          </dgm:alg>
                        </dgm:if>
                        <dgm:else name="Name40">
                          <dgm:choose name="Name41">
                            <dgm:if name="Name42" axis="par des" func="maxDepth" op="lte" val="1">
                              <dgm:choose name="Name43">
                                <dgm:if name="Name44" axis="par ch" ptType="node asst" func="cnt" op="gte" val="1">
                                  <dgm:alg type="conn">
                                    <dgm:param type="connRout" val="bend"/>
                                    <dgm:param type="dim" val="1D"/>
                                    <dgm:param type="endSty" val="noArr"/>
                                    <dgm:param type="begPts" val="bCtr"/>
                                    <dgm:param type="endPts" val="midL midR"/>
                                  </dgm:alg>
                                </dgm:if>
                                <dgm:else name="Name45">
                                  <dgm:alg type="conn">
                                    <dgm:param type="connRout" val="bend"/>
                                    <dgm:param type="dim" val="1D"/>
                                    <dgm:param type="endSty" val="noArr"/>
                                    <dgm:param type="begPts" val="bCtr"/>
                                    <dgm:param type="endPts" val="midL midR"/>
                                    <dgm:param type="srcNode" val="rootConnector"/>
                                  </dgm:alg>
                                </dgm:else>
                              </dgm:choose>
                            </dgm:if>
                            <dgm:else name="Name46">
                              <dgm:alg type="conn">
                                <dgm:param type="connRout" val="bend"/>
                                <dgm:param type="dim" val="1D"/>
                                <dgm:param type="endSty" val="noArr"/>
                                <dgm:param type="begPts" val="bCtr"/>
                                <dgm:param type="endPts" val="tCtr"/>
                                <dgm:param type="bendPt" val="end"/>
                              </dgm:alg>
                            </dgm:else>
                          </dgm:choose>
                        </dgm:else>
                      </dgm:choose>
                      <dgm:shape xmlns:r="http://schemas.openxmlformats.org/officeDocument/2006/relationships" type="conn" r:blip="" zOrderOff="-99999">
                        <dgm:adjLst/>
                      </dgm:shape>
                      <dgm:presOf axis="self"/>
                      <dgm:constrLst>
                        <dgm:constr type="begPad"/>
                        <dgm:constr type="endPad"/>
                      </dgm:constrLst>
                      <dgm:ruleLst/>
                    </dgm:layoutNode>
                  </dgm:if>
                  <dgm:if name="Name47" func="var" arg="hierBranch" op="equ" val="hang">
                    <dgm:layoutNode name="Name48">
                      <dgm:alg type="conn">
                        <dgm:param type="connRout" val="bend"/>
                        <dgm:param type="dim" val="1D"/>
                        <dgm:param type="endSty" val="noArr"/>
                        <dgm:param type="begPts" val="bCtr"/>
                        <dgm:param type="endPts" val="midL midR"/>
                      </dgm:alg>
                      <dgm:shape xmlns:r="http://schemas.openxmlformats.org/officeDocument/2006/relationships" type="conn" r:blip="" zOrderOff="-99999">
                        <dgm:adjLst/>
                      </dgm:shape>
                      <dgm:presOf axis="self"/>
                      <dgm:constrLst>
                        <dgm:constr type="begPad"/>
                        <dgm:constr type="endPad"/>
                      </dgm:constrLst>
                      <dgm:ruleLst/>
                    </dgm:layoutNode>
                  </dgm:if>
                  <dgm:else name="Name49">
                    <dgm:layoutNode name="Name50">
                      <dgm:choose name="Name51">
                        <dgm:if name="Name52" axis="self" func="depth" op="lte" val="2">
                          <dgm:choose name="Name53">
                            <dgm:if name="Name54" axis="par ch" ptType="node asst" func="cnt" op="gte" val="1">
                              <dgm:alg type="conn">
                                <dgm:param type="connRout" val="bend"/>
                                <dgm:param type="dim" val="1D"/>
                                <dgm:param type="endSty" val="noArr"/>
                                <dgm:param type="begPts" val="bCtr"/>
                                <dgm:param type="endPts" val="midL midR"/>
                              </dgm:alg>
                            </dgm:if>
                            <dgm:else name="Name55">
                              <dgm:alg type="conn">
                                <dgm:param type="connRout" val="bend"/>
                                <dgm:param type="dim" val="1D"/>
                                <dgm:param type="endSty" val="noArr"/>
                                <dgm:param type="begPts" val="bCtr"/>
                                <dgm:param type="endPts" val="midL midR"/>
                                <dgm:param type="srcNode" val="rootConnector1"/>
                              </dgm:alg>
                            </dgm:else>
                          </dgm:choose>
                        </dgm:if>
                        <dgm:else name="Name56">
                          <dgm:choose name="Name57">
                            <dgm:if name="Name58" axis="par ch" ptType="node asst" func="cnt" op="gte" val="1">
                              <dgm:alg type="conn">
                                <dgm:param type="connRout" val="bend"/>
                                <dgm:param type="dim" val="1D"/>
                                <dgm:param type="endSty" val="noArr"/>
                                <dgm:param type="begPts" val="bCtr"/>
                                <dgm:param type="endPts" val="midL midR"/>
                              </dgm:alg>
                            </dgm:if>
                            <dgm:else name="Name59">
                              <dgm:alg type="conn">
                                <dgm:param type="connRout" val="bend"/>
                                <dgm:param type="dim" val="1D"/>
                                <dgm:param type="endSty" val="noArr"/>
                                <dgm:param type="begPts" val="bCtr"/>
                                <dgm:param type="endPts" val="midL midR"/>
                                <dgm:param type="srcNode" val="rootConnector"/>
                              </dgm:alg>
                            </dgm:else>
                          </dgm:choose>
                        </dgm:else>
                      </dgm:choose>
                      <dgm:shape xmlns:r="http://schemas.openxmlformats.org/officeDocument/2006/relationships" type="conn" r:blip="" zOrderOff="-99999">
                        <dgm:adjLst/>
                      </dgm:shape>
                      <dgm:presOf axis="self"/>
                      <dgm:constrLst>
                        <dgm:constr type="begPad"/>
                        <dgm:constr type="endPad"/>
                      </dgm:constrLst>
                      <dgm:ruleLst/>
                    </dgm:layoutNode>
                  </dgm:else>
                </dgm:choose>
              </dgm:forEach>
              <dgm:layoutNode name="hierRoot2">
                <dgm:varLst>
                  <dgm:hierBranch val="init"/>
                </dgm:varLst>
                <dgm:choose name="Name60">
                  <dgm:if name="Name61" func="var" arg="hierBranch" op="equ" val="l">
                    <dgm:choose name="Name62">
                      <dgm:if name="Name63" axis="ch" ptType="asst" func="cnt" op="gte" val="1">
                        <dgm:alg type="hierRoot">
                          <dgm:param type="hierAlign" val="tR"/>
                        </dgm:alg>
                        <dgm:shape xmlns:r="http://schemas.openxmlformats.org/officeDocument/2006/relationships" r:blip="">
                          <dgm:adjLst/>
                        </dgm:shape>
                        <dgm:presOf/>
                        <dgm:constrLst>
                          <dgm:constr type="alignOff" val="0.65"/>
                        </dgm:constrLst>
                      </dgm:if>
                      <dgm:else name="Name64">
                        <dgm:alg type="hierRoot">
                          <dgm:param type="hierAlign" val="tR"/>
                        </dgm:alg>
                        <dgm:shape xmlns:r="http://schemas.openxmlformats.org/officeDocument/2006/relationships" r:blip="">
                          <dgm:adjLst/>
                        </dgm:shape>
                        <dgm:presOf/>
                        <dgm:constrLst>
                          <dgm:constr type="alignOff" val="0.25"/>
                        </dgm:constrLst>
                      </dgm:else>
                    </dgm:choose>
                  </dgm:if>
                  <dgm:if name="Name65" func="var" arg="hierBranch" op="equ" val="r">
                    <dgm:choose name="Name66">
                      <dgm:if name="Name67" axis="ch" ptType="asst" func="cnt" op="gte" val="1">
                        <dgm:alg type="hierRoot">
                          <dgm:param type="hierAlign" val="tL"/>
                        </dgm:alg>
                        <dgm:shape xmlns:r="http://schemas.openxmlformats.org/officeDocument/2006/relationships" r:blip="">
                          <dgm:adjLst/>
                        </dgm:shape>
                        <dgm:presOf/>
                        <dgm:constrLst>
                          <dgm:constr type="alignOff" val="0.65"/>
                        </dgm:constrLst>
                      </dgm:if>
                      <dgm:else name="Name68">
                        <dgm:alg type="hierRoot">
                          <dgm:param type="hierAlign" val="tL"/>
                        </dgm:alg>
                        <dgm:shape xmlns:r="http://schemas.openxmlformats.org/officeDocument/2006/relationships" r:blip="">
                          <dgm:adjLst/>
                        </dgm:shape>
                        <dgm:presOf/>
                        <dgm:constrLst>
                          <dgm:constr type="alignOff" val="0.25"/>
                        </dgm:constrLst>
                      </dgm:else>
                    </dgm:choose>
                  </dgm:if>
                  <dgm:if name="Name69" func="var" arg="hierBranch" op="equ" val="std">
                    <dgm:alg type="hierRoot"/>
                    <dgm:shape xmlns:r="http://schemas.openxmlformats.org/officeDocument/2006/relationships" r:blip="">
                      <dgm:adjLst/>
                    </dgm:shape>
                    <dgm:presOf/>
                    <dgm:constrLst>
                      <dgm:constr type="alignOff"/>
                      <dgm:constr type="bendDist" for="des" ptType="parTrans" refType="sp" fact="0.5"/>
                    </dgm:constrLst>
                  </dgm:if>
                  <dgm:if name="Name70" func="var" arg="hierBranch" op="equ" val="init">
                    <dgm:choose name="Name71">
                      <dgm:if name="Name72" axis="des" func="maxDepth" op="lte" val="1">
                        <dgm:choose name="Name73">
                          <dgm:if name="Name74" axis="ch" ptType="asst" func="cnt" op="gte" val="1">
                            <dgm:alg type="hierRoot">
                              <dgm:param type="hierAlign" val="tL"/>
                            </dgm:alg>
                            <dgm:shape xmlns:r="http://schemas.openxmlformats.org/officeDocument/2006/relationships" r:blip="">
                              <dgm:adjLst/>
                            </dgm:shape>
                            <dgm:presOf/>
                            <dgm:constrLst>
                              <dgm:constr type="alignOff" val="0.65"/>
                            </dgm:constrLst>
                          </dgm:if>
                          <dgm:else name="Name75">
                            <dgm:alg type="hierRoot">
                              <dgm:param type="hierAlign" val="tL"/>
                            </dgm:alg>
                            <dgm:shape xmlns:r="http://schemas.openxmlformats.org/officeDocument/2006/relationships" r:blip="">
                              <dgm:adjLst/>
                            </dgm:shape>
                            <dgm:presOf/>
                            <dgm:constrLst>
                              <dgm:constr type="alignOff" val="0.25"/>
                            </dgm:constrLst>
                          </dgm:else>
                        </dgm:choose>
                      </dgm:if>
                      <dgm:else name="Name76">
                        <dgm:alg type="hierRoot"/>
                        <dgm:shape xmlns:r="http://schemas.openxmlformats.org/officeDocument/2006/relationships" r:blip="">
                          <dgm:adjLst/>
                        </dgm:shape>
                        <dgm:presOf/>
                        <dgm:constrLst>
                          <dgm:constr type="alignOff"/>
                          <dgm:constr type="bendDist" for="des" ptType="parTrans" refType="sp" fact="0.5"/>
                        </dgm:constrLst>
                      </dgm:else>
                    </dgm:choose>
                  </dgm:if>
                  <dgm:else name="Name77">
                    <dgm:alg type="hierRoot"/>
                    <dgm:shape xmlns:r="http://schemas.openxmlformats.org/officeDocument/2006/relationships" r:blip="">
                      <dgm:adjLst/>
                    </dgm:shape>
                    <dgm:presOf/>
                    <dgm:constrLst>
                      <dgm:constr type="alignOff" val="0.65"/>
                    </dgm:constrLst>
                  </dgm:else>
                </dgm:choose>
                <dgm:ruleLst/>
                <dgm:layoutNode name="rootComposite">
                  <dgm:alg type="composite"/>
                  <dgm:shape xmlns:r="http://schemas.openxmlformats.org/officeDocument/2006/relationships" r:blip="">
                    <dgm:adjLst/>
                  </dgm:shape>
                  <dgm:presOf axis="self" ptType="node" cnt="1"/>
                  <dgm:choose name="Name78">
                    <dgm:if name="Name79" func="var" arg="hierBranch" op="equ" val="init">
                      <dgm:constrLst>
                        <dgm:constr type="l" for="ch" forName="rootText"/>
                        <dgm:constr type="t" for="ch" forName="rootText"/>
                        <dgm:constr type="w" for="ch" forName="rootText" refType="w"/>
                        <dgm:constr type="h" for="ch" forName="rootText" refType="h"/>
                        <dgm:constr type="l" for="ch" forName="rootConnector"/>
                        <dgm:constr type="t" for="ch" forName="rootConnector"/>
                        <dgm:constr type="w" for="ch" forName="rootConnector" refType="w" refFor="ch" refForName="rootText" fact="0.2"/>
                        <dgm:constr type="h" for="ch" forName="rootConnector" refType="h" refFor="ch" refForName="rootText"/>
                      </dgm:constrLst>
                    </dgm:if>
                    <dgm:if name="Name80" func="var" arg="hierBranch" op="equ" val="l">
                      <dgm:constrLst>
                        <dgm:constr type="l" for="ch" forName="rootText"/>
                        <dgm:constr type="t" for="ch" forName="rootText"/>
                        <dgm:constr type="w" for="ch" forName="rootText" refType="w"/>
                        <dgm:constr type="h" for="ch" forName="rootText" refType="h"/>
                        <dgm:constr type="r" for="ch" forName="rootConnector" refType="w"/>
                        <dgm:constr type="t" for="ch" forName="rootConnector"/>
                        <dgm:constr type="w" for="ch" forName="rootConnector" refType="w" refFor="ch" refForName="rootText" fact="0.2"/>
                        <dgm:constr type="h" for="ch" forName="rootConnector" refType="h" refFor="ch" refForName="rootText"/>
                      </dgm:constrLst>
                    </dgm:if>
                    <dgm:if name="Name81" func="var" arg="hierBranch" op="equ" val="r">
                      <dgm:constrLst>
                        <dgm:constr type="l" for="ch" forName="rootText"/>
                        <dgm:constr type="t" for="ch" forName="rootText"/>
                        <dgm:constr type="w" for="ch" forName="rootText" refType="w"/>
                        <dgm:constr type="h" for="ch" forName="rootText" refType="h"/>
                        <dgm:constr type="l" for="ch" forName="rootConnector"/>
                        <dgm:constr type="t" for="ch" forName="rootConnector"/>
                        <dgm:constr type="w" for="ch" forName="rootConnector" refType="w" refFor="ch" refForName="rootText" fact="0.2"/>
                        <dgm:constr type="h" for="ch" forName="rootConnector" refType="h" refFor="ch" refForName="rootText"/>
                      </dgm:constrLst>
                    </dgm:if>
                    <dgm:else name="Name82">
                      <dgm:constrLst>
                        <dgm:constr type="l" for="ch" forName="rootText"/>
                        <dgm:constr type="t" for="ch" forName="rootText"/>
                        <dgm:constr type="w" for="ch" forName="rootText" refType="w"/>
                        <dgm:constr type="h" for="ch" forName="rootText" refType="h"/>
                        <dgm:constr type="r" for="ch" forName="rootConnector" refType="w"/>
                        <dgm:constr type="t" for="ch" forName="rootConnector"/>
                        <dgm:constr type="w" for="ch" forName="rootConnector" refType="w" refFor="ch" refForName="rootText" fact="0.2"/>
                        <dgm:constr type="h" for="ch" forName="rootConnector" refType="h" refFor="ch" refForName="rootText"/>
                      </dgm:constrLst>
                    </dgm:else>
                  </dgm:choose>
                  <dgm:ruleLst/>
                  <dgm:layoutNode name="rootText">
                    <dgm:varLst>
                      <dgm:chPref val="3"/>
                    </dgm:varLst>
                    <dgm:alg type="tx"/>
                    <dgm:shape xmlns:r="http://schemas.openxmlformats.org/officeDocument/2006/relationships" type="rect" r:blip="">
                      <dgm:adjLst/>
                    </dgm:shape>
                    <dgm:presOf axis="self" ptType="node" cnt="1"/>
                    <dgm:constrLst>
                      <dgm:constr type="primFontSz" val="65"/>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layoutNode name="rootConnector" moveWith="rootText">
                    <dgm:alg type="sp"/>
                    <dgm:shape xmlns:r="http://schemas.openxmlformats.org/officeDocument/2006/relationships" type="rect" r:blip="" hideGeom="1">
                      <dgm:adjLst/>
                    </dgm:shape>
                    <dgm:presOf axis="self" ptType="node" cnt="1"/>
                    <dgm:constrLst/>
                    <dgm:ruleLst/>
                  </dgm:layoutNode>
                </dgm:layoutNode>
                <dgm:layoutNode name="hierChild4">
                  <dgm:choose name="Name83">
                    <dgm:if name="Name84" func="var" arg="hierBranch" op="equ" val="l">
                      <dgm:alg type="hierChild">
                        <dgm:param type="chAlign" val="r"/>
                        <dgm:param type="linDir" val="fromT"/>
                      </dgm:alg>
                    </dgm:if>
                    <dgm:if name="Name85" func="var" arg="hierBranch" op="equ" val="r">
                      <dgm:alg type="hierChild">
                        <dgm:param type="chAlign" val="l"/>
                        <dgm:param type="linDir" val="fromT"/>
                      </dgm:alg>
                    </dgm:if>
                    <dgm:if name="Name86" func="var" arg="hierBranch" op="equ" val="hang">
                      <dgm:choose name="Name87">
                        <dgm:if name="Name88" func="var" arg="dir" op="equ" val="norm">
                          <dgm:alg type="hierChild">
                            <dgm:param type="chAlign" val="l"/>
                            <dgm:param type="linDir" val="fromL"/>
                            <dgm:param type="secChAlign" val="t"/>
                            <dgm:param type="secLinDir" val="fromT"/>
                          </dgm:alg>
                        </dgm:if>
                        <dgm:else name="Name89">
                          <dgm:alg type="hierChild">
                            <dgm:param type="chAlign" val="l"/>
                            <dgm:param type="linDir" val="fromR"/>
                            <dgm:param type="secChAlign" val="t"/>
                            <dgm:param type="secLinDir" val="fromT"/>
                          </dgm:alg>
                        </dgm:else>
                      </dgm:choose>
                    </dgm:if>
                    <dgm:if name="Name90" func="var" arg="hierBranch" op="equ" val="std">
                      <dgm:choose name="Name91">
                        <dgm:if name="Name92" func="var" arg="dir" op="equ" val="norm">
                          <dgm:alg type="hierChild"/>
                        </dgm:if>
                        <dgm:else name="Name93">
                          <dgm:alg type="hierChild">
                            <dgm:param type="linDir" val="fromR"/>
                          </dgm:alg>
                        </dgm:else>
                      </dgm:choose>
                    </dgm:if>
                    <dgm:if name="Name94" func="var" arg="hierBranch" op="equ" val="init">
                      <dgm:choose name="Name95">
                        <dgm:if name="Name96" axis="des" func="maxDepth" op="lte" val="1">
                          <dgm:alg type="hierChild">
                            <dgm:param type="chAlign" val="l"/>
                            <dgm:param type="linDir" val="fromT"/>
                          </dgm:alg>
                        </dgm:if>
                        <dgm:else name="Name97">
                          <dgm:choose name="Name98">
                            <dgm:if name="Name99" func="var" arg="dir" op="equ" val="norm">
                              <dgm:alg type="hierChild"/>
                            </dgm:if>
                            <dgm:else name="Name100">
                              <dgm:alg type="hierChild">
                                <dgm:param type="linDir" val="fromR"/>
                              </dgm:alg>
                            </dgm:else>
                          </dgm:choose>
                        </dgm:else>
                      </dgm:choose>
                    </dgm:if>
                    <dgm:else name="Name101"/>
                  </dgm:choose>
                  <dgm:shape xmlns:r="http://schemas.openxmlformats.org/officeDocument/2006/relationships" r:blip="">
                    <dgm:adjLst/>
                  </dgm:shape>
                  <dgm:presOf/>
                  <dgm:constrLst/>
                  <dgm:ruleLst/>
                  <dgm:forEach name="Name102" ref="rep2a"/>
                </dgm:layoutNode>
                <dgm:layoutNode name="hierChild5">
                  <dgm:choose name="Name103">
                    <dgm:if name="Name104" func="var" arg="dir" op="equ" val="norm">
                      <dgm:alg type="hierChild">
                        <dgm:param type="chAlign" val="l"/>
                        <dgm:param type="linDir" val="fromL"/>
                        <dgm:param type="secChAlign" val="t"/>
                        <dgm:param type="secLinDir" val="fromT"/>
                      </dgm:alg>
                    </dgm:if>
                    <dgm:else name="Name105">
                      <dgm:alg type="hierChild">
                        <dgm:param type="chAlign" val="l"/>
                        <dgm:param type="linDir" val="fromR"/>
                        <dgm:param type="secChAlign" val="t"/>
                        <dgm:param type="secLinDir" val="fromT"/>
                      </dgm:alg>
                    </dgm:else>
                  </dgm:choose>
                  <dgm:shape xmlns:r="http://schemas.openxmlformats.org/officeDocument/2006/relationships" r:blip="">
                    <dgm:adjLst/>
                  </dgm:shape>
                  <dgm:presOf/>
                  <dgm:constrLst/>
                  <dgm:ruleLst/>
                  <dgm:forEach name="Name106" ref="rep2b"/>
                </dgm:layoutNode>
              </dgm:layoutNode>
            </dgm:forEach>
          </dgm:layoutNode>
          <dgm:layoutNode name="hierChild3">
            <dgm:choose name="Name107">
              <dgm:if name="Name108" func="var" arg="dir" op="equ" val="norm">
                <dgm:alg type="hierChild">
                  <dgm:param type="chAlign" val="l"/>
                  <dgm:param type="linDir" val="fromL"/>
                  <dgm:param type="secChAlign" val="t"/>
                  <dgm:param type="secLinDir" val="fromT"/>
                </dgm:alg>
              </dgm:if>
              <dgm:else name="Name109">
                <dgm:alg type="hierChild">
                  <dgm:param type="chAlign" val="l"/>
                  <dgm:param type="linDir" val="fromR"/>
                  <dgm:param type="secChAlign" val="t"/>
                  <dgm:param type="secLinDir" val="fromT"/>
                </dgm:alg>
              </dgm:else>
            </dgm:choose>
            <dgm:shape xmlns:r="http://schemas.openxmlformats.org/officeDocument/2006/relationships" r:blip="">
              <dgm:adjLst/>
            </dgm:shape>
            <dgm:presOf/>
            <dgm:constrLst/>
            <dgm:ruleLst/>
            <dgm:forEach name="rep2b" axis="ch" ptType="asst">
              <dgm:forEach name="Name110" axis="precedSib" ptType="parTrans" st="-1" cnt="1">
                <dgm:layoutNode name="Name111">
                  <dgm:alg type="conn">
                    <dgm:param type="connRout" val="bend"/>
                    <dgm:param type="dim" val="1D"/>
                    <dgm:param type="endSty" val="noArr"/>
                    <dgm:param type="begPts" val="bCtr"/>
                    <dgm:param type="endPts" val="midL midR"/>
                  </dgm:alg>
                  <dgm:shape xmlns:r="http://schemas.openxmlformats.org/officeDocument/2006/relationships" type="conn" r:blip="" zOrderOff="-99999">
                    <dgm:adjLst/>
                  </dgm:shape>
                  <dgm:presOf axis="self"/>
                  <dgm:constrLst>
                    <dgm:constr type="begPad"/>
                    <dgm:constr type="endPad"/>
                  </dgm:constrLst>
                  <dgm:ruleLst/>
                </dgm:layoutNode>
              </dgm:forEach>
              <dgm:layoutNode name="hierRoot3">
                <dgm:varLst>
                  <dgm:hierBranch val="init"/>
                </dgm:varLst>
                <dgm:choose name="Name112">
                  <dgm:if name="Name113" func="var" arg="hierBranch" op="equ" val="l">
                    <dgm:alg type="hierRoot">
                      <dgm:param type="hierAlign" val="tR"/>
                    </dgm:alg>
                    <dgm:shape xmlns:r="http://schemas.openxmlformats.org/officeDocument/2006/relationships" r:blip="">
                      <dgm:adjLst/>
                    </dgm:shape>
                    <dgm:presOf/>
                    <dgm:constrLst>
                      <dgm:constr type="alignOff" val="0.65"/>
                    </dgm:constrLst>
                  </dgm:if>
                  <dgm:if name="Name114" func="var" arg="hierBranch" op="equ" val="r">
                    <dgm:alg type="hierRoot">
                      <dgm:param type="hierAlign" val="tL"/>
                    </dgm:alg>
                    <dgm:shape xmlns:r="http://schemas.openxmlformats.org/officeDocument/2006/relationships" r:blip="">
                      <dgm:adjLst/>
                    </dgm:shape>
                    <dgm:presOf/>
                    <dgm:constrLst>
                      <dgm:constr type="alignOff" val="0.65"/>
                    </dgm:constrLst>
                  </dgm:if>
                  <dgm:if name="Name115" func="var" arg="hierBranch" op="equ" val="hang">
                    <dgm:alg type="hierRoot"/>
                    <dgm:shape xmlns:r="http://schemas.openxmlformats.org/officeDocument/2006/relationships" r:blip="">
                      <dgm:adjLst/>
                    </dgm:shape>
                    <dgm:presOf/>
                    <dgm:constrLst>
                      <dgm:constr type="alignOff" val="0.65"/>
                    </dgm:constrLst>
                  </dgm:if>
                  <dgm:if name="Name116" func="var" arg="hierBranch" op="equ" val="std">
                    <dgm:alg type="hierRoot"/>
                    <dgm:shape xmlns:r="http://schemas.openxmlformats.org/officeDocument/2006/relationships" r:blip="">
                      <dgm:adjLst/>
                    </dgm:shape>
                    <dgm:presOf/>
                    <dgm:constrLst>
                      <dgm:constr type="alignOff"/>
                      <dgm:constr type="bendDist" for="des" ptType="parTrans" refType="sp" fact="0.5"/>
                    </dgm:constrLst>
                  </dgm:if>
                  <dgm:if name="Name117" func="var" arg="hierBranch" op="equ" val="init">
                    <dgm:choose name="Name118">
                      <dgm:if name="Name119" axis="des" func="maxDepth" op="lte" val="1">
                        <dgm:alg type="hierRoot">
                          <dgm:param type="hierAlign" val="tL"/>
                        </dgm:alg>
                        <dgm:shape xmlns:r="http://schemas.openxmlformats.org/officeDocument/2006/relationships" r:blip="">
                          <dgm:adjLst/>
                        </dgm:shape>
                        <dgm:presOf/>
                        <dgm:constrLst>
                          <dgm:constr type="alignOff" val="0.65"/>
                        </dgm:constrLst>
                      </dgm:if>
                      <dgm:else name="Name120">
                        <dgm:alg type="hierRoot"/>
                        <dgm:shape xmlns:r="http://schemas.openxmlformats.org/officeDocument/2006/relationships" r:blip="">
                          <dgm:adjLst/>
                        </dgm:shape>
                        <dgm:presOf/>
                        <dgm:constrLst>
                          <dgm:constr type="alignOff"/>
                          <dgm:constr type="bendDist" for="des" ptType="parTrans" refType="sp" fact="0.5"/>
                        </dgm:constrLst>
                      </dgm:else>
                    </dgm:choose>
                  </dgm:if>
                  <dgm:else name="Name121"/>
                </dgm:choose>
                <dgm:ruleLst/>
                <dgm:layoutNode name="rootComposite3">
                  <dgm:alg type="composite"/>
                  <dgm:shape xmlns:r="http://schemas.openxmlformats.org/officeDocument/2006/relationships" r:blip="">
                    <dgm:adjLst/>
                  </dgm:shape>
                  <dgm:presOf axis="self" ptType="node" cnt="1"/>
                  <dgm:choose name="Name122">
                    <dgm:if name="Name123" func="var" arg="hierBranch" op="equ" val="init">
                      <dgm:constrLst>
                        <dgm:constr type="l" for="ch" forName="rootText3"/>
                        <dgm:constr type="t" for="ch" forName="rootText3"/>
                        <dgm:constr type="w" for="ch" forName="rootText3" refType="w"/>
                        <dgm:constr type="h" for="ch" forName="rootText3" refType="h"/>
                        <dgm:constr type="l" for="ch" forName="rootConnector3"/>
                        <dgm:constr type="t" for="ch" forName="rootConnector3"/>
                        <dgm:constr type="w" for="ch" forName="rootConnector3" refType="w" refFor="ch" refForName="rootText3" fact="0.2"/>
                        <dgm:constr type="h" for="ch" forName="rootConnector3" refType="h" refFor="ch" refForName="rootText3"/>
                      </dgm:constrLst>
                    </dgm:if>
                    <dgm:if name="Name124" func="var" arg="hierBranch" op="equ" val="l">
                      <dgm:constrLst>
                        <dgm:constr type="l" for="ch" forName="rootText3"/>
                        <dgm:constr type="t" for="ch" forName="rootText3"/>
                        <dgm:constr type="w" for="ch" forName="rootText3" refType="w"/>
                        <dgm:constr type="h" for="ch" forName="rootText3" refType="h"/>
                        <dgm:constr type="r" for="ch" forName="rootConnector3" refType="w"/>
                        <dgm:constr type="t" for="ch" forName="rootConnector3"/>
                        <dgm:constr type="w" for="ch" forName="rootConnector3" refType="w" refFor="ch" refForName="rootText3" fact="0.2"/>
                        <dgm:constr type="h" for="ch" forName="rootConnector3" refType="h" refFor="ch" refForName="rootText3"/>
                      </dgm:constrLst>
                    </dgm:if>
                    <dgm:if name="Name125" func="var" arg="hierBranch" op="equ" val="r">
                      <dgm:constrLst>
                        <dgm:constr type="l" for="ch" forName="rootText3"/>
                        <dgm:constr type="t" for="ch" forName="rootText3"/>
                        <dgm:constr type="w" for="ch" forName="rootText3" refType="w"/>
                        <dgm:constr type="h" for="ch" forName="rootText3" refType="h"/>
                        <dgm:constr type="l" for="ch" forName="rootConnector3"/>
                        <dgm:constr type="t" for="ch" forName="rootConnector3"/>
                        <dgm:constr type="w" for="ch" forName="rootConnector3" refType="w" refFor="ch" refForName="rootText3" fact="0.2"/>
                        <dgm:constr type="h" for="ch" forName="rootConnector3" refType="h" refFor="ch" refForName="rootText3"/>
                      </dgm:constrLst>
                    </dgm:if>
                    <dgm:else name="Name126">
                      <dgm:constrLst>
                        <dgm:constr type="l" for="ch" forName="rootText3"/>
                        <dgm:constr type="t" for="ch" forName="rootText3"/>
                        <dgm:constr type="w" for="ch" forName="rootText3" refType="w"/>
                        <dgm:constr type="h" for="ch" forName="rootText3" refType="h"/>
                        <dgm:constr type="r" for="ch" forName="rootConnector3" refType="w"/>
                        <dgm:constr type="t" for="ch" forName="rootConnector3"/>
                        <dgm:constr type="w" for="ch" forName="rootConnector3" refType="w" refFor="ch" refForName="rootText3" fact="0.2"/>
                        <dgm:constr type="h" for="ch" forName="rootConnector3" refType="h" refFor="ch" refForName="rootText3"/>
                      </dgm:constrLst>
                    </dgm:else>
                  </dgm:choose>
                  <dgm:ruleLst/>
                  <dgm:layoutNode name="rootText3">
                    <dgm:varLst>
                      <dgm:chPref val="3"/>
                    </dgm:varLst>
                    <dgm:alg type="tx"/>
                    <dgm:shape xmlns:r="http://schemas.openxmlformats.org/officeDocument/2006/relationships" type="rect" r:blip="">
                      <dgm:adjLst/>
                    </dgm:shape>
                    <dgm:presOf axis="self" ptType="node" cnt="1"/>
                    <dgm:constrLst>
                      <dgm:constr type="primFontSz" val="65"/>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layoutNode name="rootConnector3" moveWith="rootText1">
                    <dgm:alg type="sp"/>
                    <dgm:shape xmlns:r="http://schemas.openxmlformats.org/officeDocument/2006/relationships" type="rect" r:blip="" hideGeom="1">
                      <dgm:adjLst/>
                    </dgm:shape>
                    <dgm:presOf axis="self" ptType="node" cnt="1"/>
                    <dgm:constrLst/>
                    <dgm:ruleLst/>
                  </dgm:layoutNode>
                </dgm:layoutNode>
                <dgm:layoutNode name="hierChild6">
                  <dgm:choose name="Name127">
                    <dgm:if name="Name128" func="var" arg="hierBranch" op="equ" val="l">
                      <dgm:alg type="hierChild">
                        <dgm:param type="chAlign" val="r"/>
                        <dgm:param type="linDir" val="fromT"/>
                      </dgm:alg>
                    </dgm:if>
                    <dgm:if name="Name129" func="var" arg="hierBranch" op="equ" val="r">
                      <dgm:alg type="hierChild">
                        <dgm:param type="chAlign" val="l"/>
                        <dgm:param type="linDir" val="fromT"/>
                      </dgm:alg>
                    </dgm:if>
                    <dgm:if name="Name130" func="var" arg="hierBranch" op="equ" val="hang">
                      <dgm:choose name="Name131">
                        <dgm:if name="Name132" func="var" arg="dir" op="equ" val="norm">
                          <dgm:alg type="hierChild">
                            <dgm:param type="chAlign" val="l"/>
                            <dgm:param type="linDir" val="fromL"/>
                            <dgm:param type="secChAlign" val="t"/>
                            <dgm:param type="secLinDir" val="fromT"/>
                          </dgm:alg>
                        </dgm:if>
                        <dgm:else name="Name133">
                          <dgm:alg type="hierChild">
                            <dgm:param type="chAlign" val="l"/>
                            <dgm:param type="linDir" val="fromR"/>
                            <dgm:param type="secChAlign" val="t"/>
                            <dgm:param type="secLinDir" val="fromT"/>
                          </dgm:alg>
                        </dgm:else>
                      </dgm:choose>
                    </dgm:if>
                    <dgm:if name="Name134" func="var" arg="hierBranch" op="equ" val="std">
                      <dgm:choose name="Name135">
                        <dgm:if name="Name136" func="var" arg="dir" op="equ" val="norm">
                          <dgm:alg type="hierChild"/>
                        </dgm:if>
                        <dgm:else name="Name137">
                          <dgm:alg type="hierChild">
                            <dgm:param type="linDir" val="fromR"/>
                          </dgm:alg>
                        </dgm:else>
                      </dgm:choose>
                    </dgm:if>
                    <dgm:if name="Name138" func="var" arg="hierBranch" op="equ" val="init">
                      <dgm:choose name="Name139">
                        <dgm:if name="Name140" axis="des" func="maxDepth" op="lte" val="1">
                          <dgm:alg type="hierChild">
                            <dgm:param type="chAlign" val="l"/>
                            <dgm:param type="linDir" val="fromT"/>
                          </dgm:alg>
                        </dgm:if>
                        <dgm:else name="Name141">
                          <dgm:alg type="hierChild"/>
                        </dgm:else>
                      </dgm:choose>
                    </dgm:if>
                    <dgm:else name="Name142"/>
                  </dgm:choose>
                  <dgm:shape xmlns:r="http://schemas.openxmlformats.org/officeDocument/2006/relationships" r:blip="">
                    <dgm:adjLst/>
                  </dgm:shape>
                  <dgm:presOf/>
                  <dgm:constrLst/>
                  <dgm:ruleLst/>
                  <dgm:forEach name="Name143" ref="rep2a"/>
                </dgm:layoutNode>
                <dgm:layoutNode name="hierChild7">
                  <dgm:choose name="Name144">
                    <dgm:if name="Name145" func="var" arg="dir" op="equ" val="norm">
                      <dgm:alg type="hierChild">
                        <dgm:param type="chAlign" val="l"/>
                        <dgm:param type="linDir" val="fromL"/>
                        <dgm:param type="secChAlign" val="t"/>
                        <dgm:param type="secLinDir" val="fromT"/>
                      </dgm:alg>
                    </dgm:if>
                    <dgm:else name="Name146">
                      <dgm:alg type="hierChild">
                        <dgm:param type="chAlign" val="l"/>
                        <dgm:param type="linDir" val="fromR"/>
                        <dgm:param type="secChAlign" val="t"/>
                        <dgm:param type="secLinDir" val="fromT"/>
                      </dgm:alg>
                    </dgm:else>
                  </dgm:choose>
                  <dgm:shape xmlns:r="http://schemas.openxmlformats.org/officeDocument/2006/relationships" r:blip="">
                    <dgm:adjLst/>
                  </dgm:shape>
                  <dgm:presOf/>
                  <dgm:constrLst/>
                  <dgm:ruleLst/>
                  <dgm:forEach name="Name147" ref="rep2b"/>
                </dgm:layoutNode>
              </dgm:layoutNode>
            </dgm:forEach>
          </dgm:layoutNod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orgChart1">
  <dgm:title val=""/>
  <dgm:desc val=""/>
  <dgm:catLst>
    <dgm:cat type="hierarchy" pri="1000"/>
    <dgm:cat type="convert" pri="6000"/>
  </dgm:catLst>
  <dgm:sampData>
    <dgm:dataModel>
      <dgm:ptLst>
        <dgm:pt modelId="0" type="doc"/>
        <dgm:pt modelId="1">
          <dgm:prSet phldr="1"/>
        </dgm:pt>
        <dgm:pt modelId="2" type="asst">
          <dgm:prSet phldr="1"/>
        </dgm:pt>
        <dgm:pt modelId="3">
          <dgm:prSet phldr="1"/>
        </dgm:pt>
        <dgm:pt modelId="4">
          <dgm:prSet phldr="1"/>
        </dgm:pt>
        <dgm:pt modelId="5">
          <dgm:prSet phldr="1"/>
        </dgm:pt>
      </dgm:ptLst>
      <dgm:cxnLst>
        <dgm:cxn modelId="5" srcId="0" destId="1" srcOrd="0" destOrd="0"/>
        <dgm:cxn modelId="6" srcId="1" destId="2" srcOrd="0" destOrd="0"/>
        <dgm:cxn modelId="7" srcId="1" destId="3" srcOrd="1" destOrd="0"/>
        <dgm:cxn modelId="8" srcId="1" destId="4" srcOrd="2" destOrd="0"/>
        <dgm:cxn modelId="9" srcId="1" destId="5" srcOrd="3" destOrd="0"/>
      </dgm:cxnLst>
      <dgm:bg/>
      <dgm:whole/>
    </dgm:dataModel>
  </dgm:sampData>
  <dgm:styleData>
    <dgm:dataModel>
      <dgm:ptLst>
        <dgm:pt modelId="0" type="doc"/>
        <dgm:pt modelId="1"/>
        <dgm:pt modelId="12"/>
        <dgm:pt modelId="13"/>
      </dgm:ptLst>
      <dgm:cxnLst>
        <dgm:cxn modelId="2" srcId="0" destId="1" srcOrd="0" destOrd="0"/>
        <dgm:cxn modelId="16" srcId="1" destId="12" srcOrd="1" destOrd="0"/>
        <dgm:cxn modelId="17" srcId="1" destId="13" srcOrd="2" destOrd="0"/>
      </dgm:cxnLst>
      <dgm:bg/>
      <dgm:whole/>
    </dgm:dataModel>
  </dgm:styleData>
  <dgm:clrData>
    <dgm:dataModel>
      <dgm:ptLst>
        <dgm:pt modelId="0" type="doc"/>
        <dgm:pt modelId="1"/>
        <dgm:pt modelId="11" type="asst"/>
        <dgm:pt modelId="12"/>
        <dgm:pt modelId="13"/>
        <dgm:pt modelId="14"/>
      </dgm:ptLst>
      <dgm:cxnLst>
        <dgm:cxn modelId="2" srcId="0" destId="1" srcOrd="0" destOrd="0"/>
        <dgm:cxn modelId="15" srcId="1" destId="11" srcOrd="0" destOrd="0"/>
        <dgm:cxn modelId="16" srcId="1" destId="12" srcOrd="1" destOrd="0"/>
        <dgm:cxn modelId="17" srcId="1" destId="13" srcOrd="2" destOrd="0"/>
        <dgm:cxn modelId="18" srcId="1" destId="14" srcOrd="2" destOrd="0"/>
      </dgm:cxnLst>
      <dgm:bg/>
      <dgm:whole/>
    </dgm:dataModel>
  </dgm:clrData>
  <dgm:layoutNode name="hierChild1">
    <dgm:varLst>
      <dgm:orgChart val="1"/>
      <dgm:chPref val="1"/>
      <dgm:dir/>
      <dgm:animOne val="branch"/>
      <dgm:animLvl val="lvl"/>
      <dgm:resizeHandles/>
    </dgm:varLst>
    <dgm:choose name="Name0">
      <dgm:if name="Name1" func="var" arg="dir" op="equ" val="norm">
        <dgm:alg type="hierChild">
          <dgm:param type="linDir" val="fromL"/>
        </dgm:alg>
      </dgm:if>
      <dgm:else name="Name2">
        <dgm:alg type="hierChild">
          <dgm:param type="linDir" val="fromR"/>
        </dgm:alg>
      </dgm:else>
    </dgm:choose>
    <dgm:shape xmlns:r="http://schemas.openxmlformats.org/officeDocument/2006/relationships" r:blip="">
      <dgm:adjLst/>
    </dgm:shape>
    <dgm:presOf/>
    <dgm:constrLst>
      <dgm:constr type="w" for="des" forName="rootComposite1" refType="w" fact="10"/>
      <dgm:constr type="h" for="des" forName="rootComposite1" refType="w" refFor="des" refForName="rootComposite1" fact="0.5"/>
      <dgm:constr type="w" for="des" forName="rootComposite" refType="w" fact="10"/>
      <dgm:constr type="h" for="des" forName="rootComposite" refType="w" refFor="des" refForName="rootComposite1" fact="0.5"/>
      <dgm:constr type="w" for="des" forName="rootComposite3" refType="w" fact="10"/>
      <dgm:constr type="h" for="des" forName="rootComposite3" refType="w" refFor="des" refForName="rootComposite1" fact="0.5"/>
      <dgm:constr type="primFontSz" for="des" ptType="node" op="equ"/>
      <dgm:constr type="sp" for="des" op="equ"/>
      <dgm:constr type="sp" for="des" forName="hierRoot1" refType="w" refFor="des" refForName="rootComposite1" fact="0.21"/>
      <dgm:constr type="sp" for="des" forName="hierRoot2" refType="sp" refFor="des" refForName="hierRoot1"/>
      <dgm:constr type="sp" for="des" forName="hierRoot3" refType="sp" refFor="des" refForName="hierRoot1"/>
      <dgm:constr type="sibSp" refType="w" refFor="des" refForName="rootComposite1" fact="0.21"/>
      <dgm:constr type="sibSp" for="des" forName="hierChild2" refType="sibSp"/>
      <dgm:constr type="sibSp" for="des" forName="hierChild3" refType="sibSp"/>
      <dgm:constr type="sibSp" for="des" forName="hierChild4" refType="sibSp"/>
      <dgm:constr type="sibSp" for="des" forName="hierChild5" refType="sibSp"/>
      <dgm:constr type="sibSp" for="des" forName="hierChild6" refType="sibSp"/>
      <dgm:constr type="sibSp" for="des" forName="hierChild7" refType="sibSp"/>
      <dgm:constr type="secSibSp" refType="w" refFor="des" refForName="rootComposite1" fact="0.21"/>
      <dgm:constr type="secSibSp" for="des" forName="hierChild2" refType="secSibSp"/>
      <dgm:constr type="secSibSp" for="des" forName="hierChild3" refType="secSibSp"/>
      <dgm:constr type="secSibSp" for="des" forName="hierChild4" refType="secSibSp"/>
      <dgm:constr type="secSibSp" for="des" forName="hierChild5" refType="secSibSp"/>
      <dgm:constr type="secSibSp" for="des" forName="hierChild6" refType="secSibSp"/>
      <dgm:constr type="secSibSp" for="des" forName="hierChild7" refType="secSibSp"/>
    </dgm:constrLst>
    <dgm:ruleLst/>
    <dgm:forEach name="Name3" axis="ch">
      <dgm:forEach name="Name4" axis="self" ptType="node">
        <dgm:layoutNode name="hierRoot1">
          <dgm:varLst>
            <dgm:hierBranch val="init"/>
          </dgm:varLst>
          <dgm:choose name="Name5">
            <dgm:if name="Name6" func="var" arg="hierBranch" op="equ" val="l">
              <dgm:choose name="Name7">
                <dgm:if name="Name8" axis="ch" ptType="asst" func="cnt" op="gte" val="1">
                  <dgm:alg type="hierRoot">
                    <dgm:param type="hierAlign" val="tR"/>
                  </dgm:alg>
                  <dgm:constrLst>
                    <dgm:constr type="alignOff" val="0.65"/>
                  </dgm:constrLst>
                </dgm:if>
                <dgm:else name="Name9">
                  <dgm:alg type="hierRoot">
                    <dgm:param type="hierAlign" val="tR"/>
                  </dgm:alg>
                  <dgm:constrLst>
                    <dgm:constr type="alignOff" val="0.25"/>
                  </dgm:constrLst>
                </dgm:else>
              </dgm:choose>
            </dgm:if>
            <dgm:if name="Name10" func="var" arg="hierBranch" op="equ" val="r">
              <dgm:choose name="Name11">
                <dgm:if name="Name12" axis="ch" ptType="asst" func="cnt" op="gte" val="1">
                  <dgm:alg type="hierRoot">
                    <dgm:param type="hierAlign" val="tL"/>
                  </dgm:alg>
                  <dgm:constrLst>
                    <dgm:constr type="alignOff" val="0.65"/>
                  </dgm:constrLst>
                </dgm:if>
                <dgm:else name="Name13">
                  <dgm:alg type="hierRoot">
                    <dgm:param type="hierAlign" val="tL"/>
                  </dgm:alg>
                  <dgm:constrLst>
                    <dgm:constr type="alignOff" val="0.25"/>
                  </dgm:constrLst>
                </dgm:else>
              </dgm:choose>
            </dgm:if>
            <dgm:if name="Name14" func="var" arg="hierBranch" op="equ" val="hang">
              <dgm:alg type="hierRoot"/>
              <dgm:constrLst>
                <dgm:constr type="alignOff" val="0.65"/>
              </dgm:constrLst>
            </dgm:if>
            <dgm:else name="Name15">
              <dgm:alg type="hierRoot"/>
              <dgm:constrLst>
                <dgm:constr type="alignOff"/>
                <dgm:constr type="bendDist" for="des" ptType="parTrans" refType="sp" fact="0.5"/>
              </dgm:constrLst>
            </dgm:else>
          </dgm:choose>
          <dgm:shape xmlns:r="http://schemas.openxmlformats.org/officeDocument/2006/relationships" r:blip="">
            <dgm:adjLst/>
          </dgm:shape>
          <dgm:presOf/>
          <dgm:ruleLst/>
          <dgm:layoutNode name="rootComposite1">
            <dgm:alg type="composite"/>
            <dgm:shape xmlns:r="http://schemas.openxmlformats.org/officeDocument/2006/relationships" r:blip="">
              <dgm:adjLst/>
            </dgm:shape>
            <dgm:presOf axis="self" ptType="node" cnt="1"/>
            <dgm:choose name="Name16">
              <dgm:if name="Name17" func="var" arg="hierBranch" op="equ" val="init">
                <dgm:constrLst>
                  <dgm:constr type="l" for="ch" forName="rootText1"/>
                  <dgm:constr type="t" for="ch" forName="rootText1"/>
                  <dgm:constr type="w" for="ch" forName="rootText1" refType="w"/>
                  <dgm:constr type="h" for="ch" forName="rootText1" refType="h"/>
                  <dgm:constr type="l" for="ch" forName="rootConnector1"/>
                  <dgm:constr type="t" for="ch" forName="rootConnector1"/>
                  <dgm:constr type="w" for="ch" forName="rootConnector1" refType="w" refFor="ch" refForName="rootText1" fact="0.2"/>
                  <dgm:constr type="h" for="ch" forName="rootConnector1" refType="h" refFor="ch" refForName="rootText1"/>
                </dgm:constrLst>
              </dgm:if>
              <dgm:if name="Name18" func="var" arg="hierBranch" op="equ" val="l">
                <dgm:constrLst>
                  <dgm:constr type="l" for="ch" forName="rootText1"/>
                  <dgm:constr type="t" for="ch" forName="rootText1"/>
                  <dgm:constr type="w" for="ch" forName="rootText1" refType="w"/>
                  <dgm:constr type="h" for="ch" forName="rootText1" refType="h"/>
                  <dgm:constr type="r" for="ch" forName="rootConnector1" refType="w"/>
                  <dgm:constr type="t" for="ch" forName="rootConnector1"/>
                  <dgm:constr type="w" for="ch" forName="rootConnector1" refType="w" refFor="ch" refForName="rootText1" fact="0.2"/>
                  <dgm:constr type="h" for="ch" forName="rootConnector1" refType="h" refFor="ch" refForName="rootText1"/>
                </dgm:constrLst>
              </dgm:if>
              <dgm:if name="Name19" func="var" arg="hierBranch" op="equ" val="r">
                <dgm:constrLst>
                  <dgm:constr type="l" for="ch" forName="rootText1"/>
                  <dgm:constr type="t" for="ch" forName="rootText1"/>
                  <dgm:constr type="w" for="ch" forName="rootText1" refType="w"/>
                  <dgm:constr type="h" for="ch" forName="rootText1" refType="h"/>
                  <dgm:constr type="l" for="ch" forName="rootConnector1"/>
                  <dgm:constr type="t" for="ch" forName="rootConnector1"/>
                  <dgm:constr type="w" for="ch" forName="rootConnector1" refType="w" refFor="ch" refForName="rootText1" fact="0.2"/>
                  <dgm:constr type="h" for="ch" forName="rootConnector1" refType="h" refFor="ch" refForName="rootText1"/>
                </dgm:constrLst>
              </dgm:if>
              <dgm:else name="Name20">
                <dgm:constrLst>
                  <dgm:constr type="l" for="ch" forName="rootText1"/>
                  <dgm:constr type="t" for="ch" forName="rootText1"/>
                  <dgm:constr type="w" for="ch" forName="rootText1" refType="w"/>
                  <dgm:constr type="h" for="ch" forName="rootText1" refType="h"/>
                  <dgm:constr type="r" for="ch" forName="rootConnector1" refType="w"/>
                  <dgm:constr type="t" for="ch" forName="rootConnector1"/>
                  <dgm:constr type="w" for="ch" forName="rootConnector1" refType="w" refFor="ch" refForName="rootText1" fact="0.2"/>
                  <dgm:constr type="h" for="ch" forName="rootConnector1" refType="h" refFor="ch" refForName="rootText1"/>
                </dgm:constrLst>
              </dgm:else>
            </dgm:choose>
            <dgm:ruleLst/>
            <dgm:layoutNode name="rootText1" styleLbl="node0">
              <dgm:varLst>
                <dgm:chPref val="3"/>
              </dgm:varLst>
              <dgm:alg type="tx"/>
              <dgm:shape xmlns:r="http://schemas.openxmlformats.org/officeDocument/2006/relationships" type="rect" r:blip="">
                <dgm:adjLst/>
              </dgm:shape>
              <dgm:presOf axis="self" ptType="node" cnt="1"/>
              <dgm:constrLst>
                <dgm:constr type="primFontSz" val="65"/>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layoutNode name="rootConnector1" moveWith="rootText1">
              <dgm:alg type="sp"/>
              <dgm:shape xmlns:r="http://schemas.openxmlformats.org/officeDocument/2006/relationships" type="rect" r:blip="" hideGeom="1">
                <dgm:adjLst/>
              </dgm:shape>
              <dgm:presOf axis="self" ptType="node" cnt="1"/>
              <dgm:constrLst/>
              <dgm:ruleLst/>
            </dgm:layoutNode>
          </dgm:layoutNode>
          <dgm:layoutNode name="hierChild2">
            <dgm:choose name="Name21">
              <dgm:if name="Name22" func="var" arg="hierBranch" op="equ" val="l">
                <dgm:alg type="hierChild">
                  <dgm:param type="chAlign" val="r"/>
                  <dgm:param type="linDir" val="fromT"/>
                </dgm:alg>
              </dgm:if>
              <dgm:if name="Name23" func="var" arg="hierBranch" op="equ" val="r">
                <dgm:alg type="hierChild">
                  <dgm:param type="chAlign" val="l"/>
                  <dgm:param type="linDir" val="fromT"/>
                </dgm:alg>
              </dgm:if>
              <dgm:if name="Name24" func="var" arg="hierBranch" op="equ" val="hang">
                <dgm:choose name="Name25">
                  <dgm:if name="Name26" func="var" arg="dir" op="equ" val="norm">
                    <dgm:alg type="hierChild">
                      <dgm:param type="chAlign" val="l"/>
                      <dgm:param type="linDir" val="fromL"/>
                      <dgm:param type="secChAlign" val="t"/>
                      <dgm:param type="secLinDir" val="fromT"/>
                    </dgm:alg>
                  </dgm:if>
                  <dgm:else name="Name27">
                    <dgm:alg type="hierChild">
                      <dgm:param type="chAlign" val="l"/>
                      <dgm:param type="linDir" val="fromR"/>
                      <dgm:param type="secChAlign" val="t"/>
                      <dgm:param type="secLinDir" val="fromT"/>
                    </dgm:alg>
                  </dgm:else>
                </dgm:choose>
              </dgm:if>
              <dgm:else name="Name28">
                <dgm:choose name="Name29">
                  <dgm:if name="Name30" func="var" arg="dir" op="equ" val="norm">
                    <dgm:alg type="hierChild"/>
                  </dgm:if>
                  <dgm:else name="Name31">
                    <dgm:alg type="hierChild">
                      <dgm:param type="linDir" val="fromR"/>
                    </dgm:alg>
                  </dgm:else>
                </dgm:choose>
              </dgm:else>
            </dgm:choose>
            <dgm:shape xmlns:r="http://schemas.openxmlformats.org/officeDocument/2006/relationships" r:blip="">
              <dgm:adjLst/>
            </dgm:shape>
            <dgm:presOf/>
            <dgm:constrLst/>
            <dgm:ruleLst/>
            <dgm:forEach name="rep2a" axis="ch" ptType="nonAsst">
              <dgm:forEach name="Name32" axis="precedSib" ptType="parTrans" st="-1" cnt="1">
                <dgm:choose name="Name33">
                  <dgm:if name="Name34" func="var" arg="hierBranch" op="equ" val="std">
                    <dgm:layoutNode name="Name35">
                      <dgm:alg type="conn">
                        <dgm:param type="connRout" val="bend"/>
                        <dgm:param type="dim" val="1D"/>
                        <dgm:param type="endSty" val="noArr"/>
                        <dgm:param type="begPts" val="bCtr"/>
                        <dgm:param type="endPts" val="tCtr"/>
                        <dgm:param type="bendPt" val="end"/>
                      </dgm:alg>
                      <dgm:shape xmlns:r="http://schemas.openxmlformats.org/officeDocument/2006/relationships" type="conn" r:blip="" zOrderOff="-99999">
                        <dgm:adjLst/>
                      </dgm:shape>
                      <dgm:presOf axis="self"/>
                      <dgm:constrLst>
                        <dgm:constr type="begPad"/>
                        <dgm:constr type="endPad"/>
                      </dgm:constrLst>
                      <dgm:ruleLst/>
                    </dgm:layoutNode>
                  </dgm:if>
                  <dgm:if name="Name36" func="var" arg="hierBranch" op="equ" val="init">
                    <dgm:layoutNode name="Name37">
                      <dgm:choose name="Name38">
                        <dgm:if name="Name39" axis="self" func="depth" op="lte" val="2">
                          <dgm:alg type="conn">
                            <dgm:param type="connRout" val="bend"/>
                            <dgm:param type="dim" val="1D"/>
                            <dgm:param type="endSty" val="noArr"/>
                            <dgm:param type="begPts" val="bCtr"/>
                            <dgm:param type="endPts" val="tCtr"/>
                            <dgm:param type="bendPt" val="end"/>
                          </dgm:alg>
                        </dgm:if>
                        <dgm:else name="Name40">
                          <dgm:choose name="Name41">
                            <dgm:if name="Name42" axis="par des" func="maxDepth" op="lte" val="1">
                              <dgm:choose name="Name43">
                                <dgm:if name="Name44" axis="par ch" ptType="node asst" func="cnt" op="gte" val="1">
                                  <dgm:alg type="conn">
                                    <dgm:param type="connRout" val="bend"/>
                                    <dgm:param type="dim" val="1D"/>
                                    <dgm:param type="endSty" val="noArr"/>
                                    <dgm:param type="begPts" val="bCtr"/>
                                    <dgm:param type="endPts" val="midL midR"/>
                                  </dgm:alg>
                                </dgm:if>
                                <dgm:else name="Name45">
                                  <dgm:alg type="conn">
                                    <dgm:param type="connRout" val="bend"/>
                                    <dgm:param type="dim" val="1D"/>
                                    <dgm:param type="endSty" val="noArr"/>
                                    <dgm:param type="begPts" val="bCtr"/>
                                    <dgm:param type="endPts" val="midL midR"/>
                                    <dgm:param type="srcNode" val="rootConnector"/>
                                  </dgm:alg>
                                </dgm:else>
                              </dgm:choose>
                            </dgm:if>
                            <dgm:else name="Name46">
                              <dgm:alg type="conn">
                                <dgm:param type="connRout" val="bend"/>
                                <dgm:param type="dim" val="1D"/>
                                <dgm:param type="endSty" val="noArr"/>
                                <dgm:param type="begPts" val="bCtr"/>
                                <dgm:param type="endPts" val="tCtr"/>
                                <dgm:param type="bendPt" val="end"/>
                              </dgm:alg>
                            </dgm:else>
                          </dgm:choose>
                        </dgm:else>
                      </dgm:choose>
                      <dgm:shape xmlns:r="http://schemas.openxmlformats.org/officeDocument/2006/relationships" type="conn" r:blip="" zOrderOff="-99999">
                        <dgm:adjLst/>
                      </dgm:shape>
                      <dgm:presOf axis="self"/>
                      <dgm:constrLst>
                        <dgm:constr type="begPad"/>
                        <dgm:constr type="endPad"/>
                      </dgm:constrLst>
                      <dgm:ruleLst/>
                    </dgm:layoutNode>
                  </dgm:if>
                  <dgm:if name="Name47" func="var" arg="hierBranch" op="equ" val="hang">
                    <dgm:layoutNode name="Name48">
                      <dgm:alg type="conn">
                        <dgm:param type="connRout" val="bend"/>
                        <dgm:param type="dim" val="1D"/>
                        <dgm:param type="endSty" val="noArr"/>
                        <dgm:param type="begPts" val="bCtr"/>
                        <dgm:param type="endPts" val="midL midR"/>
                      </dgm:alg>
                      <dgm:shape xmlns:r="http://schemas.openxmlformats.org/officeDocument/2006/relationships" type="conn" r:blip="" zOrderOff="-99999">
                        <dgm:adjLst/>
                      </dgm:shape>
                      <dgm:presOf axis="self"/>
                      <dgm:constrLst>
                        <dgm:constr type="begPad"/>
                        <dgm:constr type="endPad"/>
                      </dgm:constrLst>
                      <dgm:ruleLst/>
                    </dgm:layoutNode>
                  </dgm:if>
                  <dgm:else name="Name49">
                    <dgm:layoutNode name="Name50">
                      <dgm:choose name="Name51">
                        <dgm:if name="Name52" axis="self" func="depth" op="lte" val="2">
                          <dgm:choose name="Name53">
                            <dgm:if name="Name54" axis="par ch" ptType="node asst" func="cnt" op="gte" val="1">
                              <dgm:alg type="conn">
                                <dgm:param type="connRout" val="bend"/>
                                <dgm:param type="dim" val="1D"/>
                                <dgm:param type="endSty" val="noArr"/>
                                <dgm:param type="begPts" val="bCtr"/>
                                <dgm:param type="endPts" val="midL midR"/>
                              </dgm:alg>
                            </dgm:if>
                            <dgm:else name="Name55">
                              <dgm:alg type="conn">
                                <dgm:param type="connRout" val="bend"/>
                                <dgm:param type="dim" val="1D"/>
                                <dgm:param type="endSty" val="noArr"/>
                                <dgm:param type="begPts" val="bCtr"/>
                                <dgm:param type="endPts" val="midL midR"/>
                                <dgm:param type="srcNode" val="rootConnector1"/>
                              </dgm:alg>
                            </dgm:else>
                          </dgm:choose>
                        </dgm:if>
                        <dgm:else name="Name56">
                          <dgm:choose name="Name57">
                            <dgm:if name="Name58" axis="par ch" ptType="node asst" func="cnt" op="gte" val="1">
                              <dgm:alg type="conn">
                                <dgm:param type="connRout" val="bend"/>
                                <dgm:param type="dim" val="1D"/>
                                <dgm:param type="endSty" val="noArr"/>
                                <dgm:param type="begPts" val="bCtr"/>
                                <dgm:param type="endPts" val="midL midR"/>
                              </dgm:alg>
                            </dgm:if>
                            <dgm:else name="Name59">
                              <dgm:alg type="conn">
                                <dgm:param type="connRout" val="bend"/>
                                <dgm:param type="dim" val="1D"/>
                                <dgm:param type="endSty" val="noArr"/>
                                <dgm:param type="begPts" val="bCtr"/>
                                <dgm:param type="endPts" val="midL midR"/>
                                <dgm:param type="srcNode" val="rootConnector"/>
                              </dgm:alg>
                            </dgm:else>
                          </dgm:choose>
                        </dgm:else>
                      </dgm:choose>
                      <dgm:shape xmlns:r="http://schemas.openxmlformats.org/officeDocument/2006/relationships" type="conn" r:blip="" zOrderOff="-99999">
                        <dgm:adjLst/>
                      </dgm:shape>
                      <dgm:presOf axis="self"/>
                      <dgm:constrLst>
                        <dgm:constr type="begPad"/>
                        <dgm:constr type="endPad"/>
                      </dgm:constrLst>
                      <dgm:ruleLst/>
                    </dgm:layoutNode>
                  </dgm:else>
                </dgm:choose>
              </dgm:forEach>
              <dgm:layoutNode name="hierRoot2">
                <dgm:varLst>
                  <dgm:hierBranch val="init"/>
                </dgm:varLst>
                <dgm:choose name="Name60">
                  <dgm:if name="Name61" func="var" arg="hierBranch" op="equ" val="l">
                    <dgm:choose name="Name62">
                      <dgm:if name="Name63" axis="ch" ptType="asst" func="cnt" op="gte" val="1">
                        <dgm:alg type="hierRoot">
                          <dgm:param type="hierAlign" val="tR"/>
                        </dgm:alg>
                        <dgm:shape xmlns:r="http://schemas.openxmlformats.org/officeDocument/2006/relationships" r:blip="">
                          <dgm:adjLst/>
                        </dgm:shape>
                        <dgm:presOf/>
                        <dgm:constrLst>
                          <dgm:constr type="alignOff" val="0.65"/>
                        </dgm:constrLst>
                      </dgm:if>
                      <dgm:else name="Name64">
                        <dgm:alg type="hierRoot">
                          <dgm:param type="hierAlign" val="tR"/>
                        </dgm:alg>
                        <dgm:shape xmlns:r="http://schemas.openxmlformats.org/officeDocument/2006/relationships" r:blip="">
                          <dgm:adjLst/>
                        </dgm:shape>
                        <dgm:presOf/>
                        <dgm:constrLst>
                          <dgm:constr type="alignOff" val="0.25"/>
                        </dgm:constrLst>
                      </dgm:else>
                    </dgm:choose>
                  </dgm:if>
                  <dgm:if name="Name65" func="var" arg="hierBranch" op="equ" val="r">
                    <dgm:choose name="Name66">
                      <dgm:if name="Name67" axis="ch" ptType="asst" func="cnt" op="gte" val="1">
                        <dgm:alg type="hierRoot">
                          <dgm:param type="hierAlign" val="tL"/>
                        </dgm:alg>
                        <dgm:shape xmlns:r="http://schemas.openxmlformats.org/officeDocument/2006/relationships" r:blip="">
                          <dgm:adjLst/>
                        </dgm:shape>
                        <dgm:presOf/>
                        <dgm:constrLst>
                          <dgm:constr type="alignOff" val="0.65"/>
                        </dgm:constrLst>
                      </dgm:if>
                      <dgm:else name="Name68">
                        <dgm:alg type="hierRoot">
                          <dgm:param type="hierAlign" val="tL"/>
                        </dgm:alg>
                        <dgm:shape xmlns:r="http://schemas.openxmlformats.org/officeDocument/2006/relationships" r:blip="">
                          <dgm:adjLst/>
                        </dgm:shape>
                        <dgm:presOf/>
                        <dgm:constrLst>
                          <dgm:constr type="alignOff" val="0.25"/>
                        </dgm:constrLst>
                      </dgm:else>
                    </dgm:choose>
                  </dgm:if>
                  <dgm:if name="Name69" func="var" arg="hierBranch" op="equ" val="std">
                    <dgm:alg type="hierRoot"/>
                    <dgm:shape xmlns:r="http://schemas.openxmlformats.org/officeDocument/2006/relationships" r:blip="">
                      <dgm:adjLst/>
                    </dgm:shape>
                    <dgm:presOf/>
                    <dgm:constrLst>
                      <dgm:constr type="alignOff"/>
                      <dgm:constr type="bendDist" for="des" ptType="parTrans" refType="sp" fact="0.5"/>
                    </dgm:constrLst>
                  </dgm:if>
                  <dgm:if name="Name70" func="var" arg="hierBranch" op="equ" val="init">
                    <dgm:choose name="Name71">
                      <dgm:if name="Name72" axis="des" func="maxDepth" op="lte" val="1">
                        <dgm:choose name="Name73">
                          <dgm:if name="Name74" axis="ch" ptType="asst" func="cnt" op="gte" val="1">
                            <dgm:alg type="hierRoot">
                              <dgm:param type="hierAlign" val="tL"/>
                            </dgm:alg>
                            <dgm:shape xmlns:r="http://schemas.openxmlformats.org/officeDocument/2006/relationships" r:blip="">
                              <dgm:adjLst/>
                            </dgm:shape>
                            <dgm:presOf/>
                            <dgm:constrLst>
                              <dgm:constr type="alignOff" val="0.65"/>
                            </dgm:constrLst>
                          </dgm:if>
                          <dgm:else name="Name75">
                            <dgm:alg type="hierRoot">
                              <dgm:param type="hierAlign" val="tL"/>
                            </dgm:alg>
                            <dgm:shape xmlns:r="http://schemas.openxmlformats.org/officeDocument/2006/relationships" r:blip="">
                              <dgm:adjLst/>
                            </dgm:shape>
                            <dgm:presOf/>
                            <dgm:constrLst>
                              <dgm:constr type="alignOff" val="0.25"/>
                            </dgm:constrLst>
                          </dgm:else>
                        </dgm:choose>
                      </dgm:if>
                      <dgm:else name="Name76">
                        <dgm:alg type="hierRoot"/>
                        <dgm:shape xmlns:r="http://schemas.openxmlformats.org/officeDocument/2006/relationships" r:blip="">
                          <dgm:adjLst/>
                        </dgm:shape>
                        <dgm:presOf/>
                        <dgm:constrLst>
                          <dgm:constr type="alignOff"/>
                          <dgm:constr type="bendDist" for="des" ptType="parTrans" refType="sp" fact="0.5"/>
                        </dgm:constrLst>
                      </dgm:else>
                    </dgm:choose>
                  </dgm:if>
                  <dgm:else name="Name77">
                    <dgm:alg type="hierRoot"/>
                    <dgm:shape xmlns:r="http://schemas.openxmlformats.org/officeDocument/2006/relationships" r:blip="">
                      <dgm:adjLst/>
                    </dgm:shape>
                    <dgm:presOf/>
                    <dgm:constrLst>
                      <dgm:constr type="alignOff" val="0.65"/>
                    </dgm:constrLst>
                  </dgm:else>
                </dgm:choose>
                <dgm:ruleLst/>
                <dgm:layoutNode name="rootComposite">
                  <dgm:alg type="composite"/>
                  <dgm:shape xmlns:r="http://schemas.openxmlformats.org/officeDocument/2006/relationships" r:blip="">
                    <dgm:adjLst/>
                  </dgm:shape>
                  <dgm:presOf axis="self" ptType="node" cnt="1"/>
                  <dgm:choose name="Name78">
                    <dgm:if name="Name79" func="var" arg="hierBranch" op="equ" val="init">
                      <dgm:constrLst>
                        <dgm:constr type="l" for="ch" forName="rootText"/>
                        <dgm:constr type="t" for="ch" forName="rootText"/>
                        <dgm:constr type="w" for="ch" forName="rootText" refType="w"/>
                        <dgm:constr type="h" for="ch" forName="rootText" refType="h"/>
                        <dgm:constr type="l" for="ch" forName="rootConnector"/>
                        <dgm:constr type="t" for="ch" forName="rootConnector"/>
                        <dgm:constr type="w" for="ch" forName="rootConnector" refType="w" refFor="ch" refForName="rootText" fact="0.2"/>
                        <dgm:constr type="h" for="ch" forName="rootConnector" refType="h" refFor="ch" refForName="rootText"/>
                      </dgm:constrLst>
                    </dgm:if>
                    <dgm:if name="Name80" func="var" arg="hierBranch" op="equ" val="l">
                      <dgm:constrLst>
                        <dgm:constr type="l" for="ch" forName="rootText"/>
                        <dgm:constr type="t" for="ch" forName="rootText"/>
                        <dgm:constr type="w" for="ch" forName="rootText" refType="w"/>
                        <dgm:constr type="h" for="ch" forName="rootText" refType="h"/>
                        <dgm:constr type="r" for="ch" forName="rootConnector" refType="w"/>
                        <dgm:constr type="t" for="ch" forName="rootConnector"/>
                        <dgm:constr type="w" for="ch" forName="rootConnector" refType="w" refFor="ch" refForName="rootText" fact="0.2"/>
                        <dgm:constr type="h" for="ch" forName="rootConnector" refType="h" refFor="ch" refForName="rootText"/>
                      </dgm:constrLst>
                    </dgm:if>
                    <dgm:if name="Name81" func="var" arg="hierBranch" op="equ" val="r">
                      <dgm:constrLst>
                        <dgm:constr type="l" for="ch" forName="rootText"/>
                        <dgm:constr type="t" for="ch" forName="rootText"/>
                        <dgm:constr type="w" for="ch" forName="rootText" refType="w"/>
                        <dgm:constr type="h" for="ch" forName="rootText" refType="h"/>
                        <dgm:constr type="l" for="ch" forName="rootConnector"/>
                        <dgm:constr type="t" for="ch" forName="rootConnector"/>
                        <dgm:constr type="w" for="ch" forName="rootConnector" refType="w" refFor="ch" refForName="rootText" fact="0.2"/>
                        <dgm:constr type="h" for="ch" forName="rootConnector" refType="h" refFor="ch" refForName="rootText"/>
                      </dgm:constrLst>
                    </dgm:if>
                    <dgm:else name="Name82">
                      <dgm:constrLst>
                        <dgm:constr type="l" for="ch" forName="rootText"/>
                        <dgm:constr type="t" for="ch" forName="rootText"/>
                        <dgm:constr type="w" for="ch" forName="rootText" refType="w"/>
                        <dgm:constr type="h" for="ch" forName="rootText" refType="h"/>
                        <dgm:constr type="r" for="ch" forName="rootConnector" refType="w"/>
                        <dgm:constr type="t" for="ch" forName="rootConnector"/>
                        <dgm:constr type="w" for="ch" forName="rootConnector" refType="w" refFor="ch" refForName="rootText" fact="0.2"/>
                        <dgm:constr type="h" for="ch" forName="rootConnector" refType="h" refFor="ch" refForName="rootText"/>
                      </dgm:constrLst>
                    </dgm:else>
                  </dgm:choose>
                  <dgm:ruleLst/>
                  <dgm:layoutNode name="rootText">
                    <dgm:varLst>
                      <dgm:chPref val="3"/>
                    </dgm:varLst>
                    <dgm:alg type="tx"/>
                    <dgm:shape xmlns:r="http://schemas.openxmlformats.org/officeDocument/2006/relationships" type="rect" r:blip="">
                      <dgm:adjLst/>
                    </dgm:shape>
                    <dgm:presOf axis="self" ptType="node" cnt="1"/>
                    <dgm:constrLst>
                      <dgm:constr type="primFontSz" val="65"/>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layoutNode name="rootConnector" moveWith="rootText">
                    <dgm:alg type="sp"/>
                    <dgm:shape xmlns:r="http://schemas.openxmlformats.org/officeDocument/2006/relationships" type="rect" r:blip="" hideGeom="1">
                      <dgm:adjLst/>
                    </dgm:shape>
                    <dgm:presOf axis="self" ptType="node" cnt="1"/>
                    <dgm:constrLst/>
                    <dgm:ruleLst/>
                  </dgm:layoutNode>
                </dgm:layoutNode>
                <dgm:layoutNode name="hierChild4">
                  <dgm:choose name="Name83">
                    <dgm:if name="Name84" func="var" arg="hierBranch" op="equ" val="l">
                      <dgm:alg type="hierChild">
                        <dgm:param type="chAlign" val="r"/>
                        <dgm:param type="linDir" val="fromT"/>
                      </dgm:alg>
                    </dgm:if>
                    <dgm:if name="Name85" func="var" arg="hierBranch" op="equ" val="r">
                      <dgm:alg type="hierChild">
                        <dgm:param type="chAlign" val="l"/>
                        <dgm:param type="linDir" val="fromT"/>
                      </dgm:alg>
                    </dgm:if>
                    <dgm:if name="Name86" func="var" arg="hierBranch" op="equ" val="hang">
                      <dgm:choose name="Name87">
                        <dgm:if name="Name88" func="var" arg="dir" op="equ" val="norm">
                          <dgm:alg type="hierChild">
                            <dgm:param type="chAlign" val="l"/>
                            <dgm:param type="linDir" val="fromL"/>
                            <dgm:param type="secChAlign" val="t"/>
                            <dgm:param type="secLinDir" val="fromT"/>
                          </dgm:alg>
                        </dgm:if>
                        <dgm:else name="Name89">
                          <dgm:alg type="hierChild">
                            <dgm:param type="chAlign" val="l"/>
                            <dgm:param type="linDir" val="fromR"/>
                            <dgm:param type="secChAlign" val="t"/>
                            <dgm:param type="secLinDir" val="fromT"/>
                          </dgm:alg>
                        </dgm:else>
                      </dgm:choose>
                    </dgm:if>
                    <dgm:if name="Name90" func="var" arg="hierBranch" op="equ" val="std">
                      <dgm:choose name="Name91">
                        <dgm:if name="Name92" func="var" arg="dir" op="equ" val="norm">
                          <dgm:alg type="hierChild"/>
                        </dgm:if>
                        <dgm:else name="Name93">
                          <dgm:alg type="hierChild">
                            <dgm:param type="linDir" val="fromR"/>
                          </dgm:alg>
                        </dgm:else>
                      </dgm:choose>
                    </dgm:if>
                    <dgm:if name="Name94" func="var" arg="hierBranch" op="equ" val="init">
                      <dgm:choose name="Name95">
                        <dgm:if name="Name96" axis="des" func="maxDepth" op="lte" val="1">
                          <dgm:alg type="hierChild">
                            <dgm:param type="chAlign" val="l"/>
                            <dgm:param type="linDir" val="fromT"/>
                          </dgm:alg>
                        </dgm:if>
                        <dgm:else name="Name97">
                          <dgm:choose name="Name98">
                            <dgm:if name="Name99" func="var" arg="dir" op="equ" val="norm">
                              <dgm:alg type="hierChild"/>
                            </dgm:if>
                            <dgm:else name="Name100">
                              <dgm:alg type="hierChild">
                                <dgm:param type="linDir" val="fromR"/>
                              </dgm:alg>
                            </dgm:else>
                          </dgm:choose>
                        </dgm:else>
                      </dgm:choose>
                    </dgm:if>
                    <dgm:else name="Name101"/>
                  </dgm:choose>
                  <dgm:shape xmlns:r="http://schemas.openxmlformats.org/officeDocument/2006/relationships" r:blip="">
                    <dgm:adjLst/>
                  </dgm:shape>
                  <dgm:presOf/>
                  <dgm:constrLst/>
                  <dgm:ruleLst/>
                  <dgm:forEach name="Name102" ref="rep2a"/>
                </dgm:layoutNode>
                <dgm:layoutNode name="hierChild5">
                  <dgm:choose name="Name103">
                    <dgm:if name="Name104" func="var" arg="dir" op="equ" val="norm">
                      <dgm:alg type="hierChild">
                        <dgm:param type="chAlign" val="l"/>
                        <dgm:param type="linDir" val="fromL"/>
                        <dgm:param type="secChAlign" val="t"/>
                        <dgm:param type="secLinDir" val="fromT"/>
                      </dgm:alg>
                    </dgm:if>
                    <dgm:else name="Name105">
                      <dgm:alg type="hierChild">
                        <dgm:param type="chAlign" val="l"/>
                        <dgm:param type="linDir" val="fromR"/>
                        <dgm:param type="secChAlign" val="t"/>
                        <dgm:param type="secLinDir" val="fromT"/>
                      </dgm:alg>
                    </dgm:else>
                  </dgm:choose>
                  <dgm:shape xmlns:r="http://schemas.openxmlformats.org/officeDocument/2006/relationships" r:blip="">
                    <dgm:adjLst/>
                  </dgm:shape>
                  <dgm:presOf/>
                  <dgm:constrLst/>
                  <dgm:ruleLst/>
                  <dgm:forEach name="Name106" ref="rep2b"/>
                </dgm:layoutNode>
              </dgm:layoutNode>
            </dgm:forEach>
          </dgm:layoutNode>
          <dgm:layoutNode name="hierChild3">
            <dgm:choose name="Name107">
              <dgm:if name="Name108" func="var" arg="dir" op="equ" val="norm">
                <dgm:alg type="hierChild">
                  <dgm:param type="chAlign" val="l"/>
                  <dgm:param type="linDir" val="fromL"/>
                  <dgm:param type="secChAlign" val="t"/>
                  <dgm:param type="secLinDir" val="fromT"/>
                </dgm:alg>
              </dgm:if>
              <dgm:else name="Name109">
                <dgm:alg type="hierChild">
                  <dgm:param type="chAlign" val="l"/>
                  <dgm:param type="linDir" val="fromR"/>
                  <dgm:param type="secChAlign" val="t"/>
                  <dgm:param type="secLinDir" val="fromT"/>
                </dgm:alg>
              </dgm:else>
            </dgm:choose>
            <dgm:shape xmlns:r="http://schemas.openxmlformats.org/officeDocument/2006/relationships" r:blip="">
              <dgm:adjLst/>
            </dgm:shape>
            <dgm:presOf/>
            <dgm:constrLst/>
            <dgm:ruleLst/>
            <dgm:forEach name="rep2b" axis="ch" ptType="asst">
              <dgm:forEach name="Name110" axis="precedSib" ptType="parTrans" st="-1" cnt="1">
                <dgm:layoutNode name="Name111">
                  <dgm:alg type="conn">
                    <dgm:param type="connRout" val="bend"/>
                    <dgm:param type="dim" val="1D"/>
                    <dgm:param type="endSty" val="noArr"/>
                    <dgm:param type="begPts" val="bCtr"/>
                    <dgm:param type="endPts" val="midL midR"/>
                  </dgm:alg>
                  <dgm:shape xmlns:r="http://schemas.openxmlformats.org/officeDocument/2006/relationships" type="conn" r:blip="" zOrderOff="-99999">
                    <dgm:adjLst/>
                  </dgm:shape>
                  <dgm:presOf axis="self"/>
                  <dgm:constrLst>
                    <dgm:constr type="begPad"/>
                    <dgm:constr type="endPad"/>
                  </dgm:constrLst>
                  <dgm:ruleLst/>
                </dgm:layoutNode>
              </dgm:forEach>
              <dgm:layoutNode name="hierRoot3">
                <dgm:varLst>
                  <dgm:hierBranch val="init"/>
                </dgm:varLst>
                <dgm:choose name="Name112">
                  <dgm:if name="Name113" func="var" arg="hierBranch" op="equ" val="l">
                    <dgm:alg type="hierRoot">
                      <dgm:param type="hierAlign" val="tR"/>
                    </dgm:alg>
                    <dgm:shape xmlns:r="http://schemas.openxmlformats.org/officeDocument/2006/relationships" r:blip="">
                      <dgm:adjLst/>
                    </dgm:shape>
                    <dgm:presOf/>
                    <dgm:constrLst>
                      <dgm:constr type="alignOff" val="0.65"/>
                    </dgm:constrLst>
                  </dgm:if>
                  <dgm:if name="Name114" func="var" arg="hierBranch" op="equ" val="r">
                    <dgm:alg type="hierRoot">
                      <dgm:param type="hierAlign" val="tL"/>
                    </dgm:alg>
                    <dgm:shape xmlns:r="http://schemas.openxmlformats.org/officeDocument/2006/relationships" r:blip="">
                      <dgm:adjLst/>
                    </dgm:shape>
                    <dgm:presOf/>
                    <dgm:constrLst>
                      <dgm:constr type="alignOff" val="0.65"/>
                    </dgm:constrLst>
                  </dgm:if>
                  <dgm:if name="Name115" func="var" arg="hierBranch" op="equ" val="hang">
                    <dgm:alg type="hierRoot"/>
                    <dgm:shape xmlns:r="http://schemas.openxmlformats.org/officeDocument/2006/relationships" r:blip="">
                      <dgm:adjLst/>
                    </dgm:shape>
                    <dgm:presOf/>
                    <dgm:constrLst>
                      <dgm:constr type="alignOff" val="0.65"/>
                    </dgm:constrLst>
                  </dgm:if>
                  <dgm:if name="Name116" func="var" arg="hierBranch" op="equ" val="std">
                    <dgm:alg type="hierRoot"/>
                    <dgm:shape xmlns:r="http://schemas.openxmlformats.org/officeDocument/2006/relationships" r:blip="">
                      <dgm:adjLst/>
                    </dgm:shape>
                    <dgm:presOf/>
                    <dgm:constrLst>
                      <dgm:constr type="alignOff"/>
                      <dgm:constr type="bendDist" for="des" ptType="parTrans" refType="sp" fact="0.5"/>
                    </dgm:constrLst>
                  </dgm:if>
                  <dgm:if name="Name117" func="var" arg="hierBranch" op="equ" val="init">
                    <dgm:choose name="Name118">
                      <dgm:if name="Name119" axis="des" func="maxDepth" op="lte" val="1">
                        <dgm:alg type="hierRoot">
                          <dgm:param type="hierAlign" val="tL"/>
                        </dgm:alg>
                        <dgm:shape xmlns:r="http://schemas.openxmlformats.org/officeDocument/2006/relationships" r:blip="">
                          <dgm:adjLst/>
                        </dgm:shape>
                        <dgm:presOf/>
                        <dgm:constrLst>
                          <dgm:constr type="alignOff" val="0.65"/>
                        </dgm:constrLst>
                      </dgm:if>
                      <dgm:else name="Name120">
                        <dgm:alg type="hierRoot"/>
                        <dgm:shape xmlns:r="http://schemas.openxmlformats.org/officeDocument/2006/relationships" r:blip="">
                          <dgm:adjLst/>
                        </dgm:shape>
                        <dgm:presOf/>
                        <dgm:constrLst>
                          <dgm:constr type="alignOff"/>
                          <dgm:constr type="bendDist" for="des" ptType="parTrans" refType="sp" fact="0.5"/>
                        </dgm:constrLst>
                      </dgm:else>
                    </dgm:choose>
                  </dgm:if>
                  <dgm:else name="Name121"/>
                </dgm:choose>
                <dgm:ruleLst/>
                <dgm:layoutNode name="rootComposite3">
                  <dgm:alg type="composite"/>
                  <dgm:shape xmlns:r="http://schemas.openxmlformats.org/officeDocument/2006/relationships" r:blip="">
                    <dgm:adjLst/>
                  </dgm:shape>
                  <dgm:presOf axis="self" ptType="node" cnt="1"/>
                  <dgm:choose name="Name122">
                    <dgm:if name="Name123" func="var" arg="hierBranch" op="equ" val="init">
                      <dgm:constrLst>
                        <dgm:constr type="l" for="ch" forName="rootText3"/>
                        <dgm:constr type="t" for="ch" forName="rootText3"/>
                        <dgm:constr type="w" for="ch" forName="rootText3" refType="w"/>
                        <dgm:constr type="h" for="ch" forName="rootText3" refType="h"/>
                        <dgm:constr type="l" for="ch" forName="rootConnector3"/>
                        <dgm:constr type="t" for="ch" forName="rootConnector3"/>
                        <dgm:constr type="w" for="ch" forName="rootConnector3" refType="w" refFor="ch" refForName="rootText3" fact="0.2"/>
                        <dgm:constr type="h" for="ch" forName="rootConnector3" refType="h" refFor="ch" refForName="rootText3"/>
                      </dgm:constrLst>
                    </dgm:if>
                    <dgm:if name="Name124" func="var" arg="hierBranch" op="equ" val="l">
                      <dgm:constrLst>
                        <dgm:constr type="l" for="ch" forName="rootText3"/>
                        <dgm:constr type="t" for="ch" forName="rootText3"/>
                        <dgm:constr type="w" for="ch" forName="rootText3" refType="w"/>
                        <dgm:constr type="h" for="ch" forName="rootText3" refType="h"/>
                        <dgm:constr type="r" for="ch" forName="rootConnector3" refType="w"/>
                        <dgm:constr type="t" for="ch" forName="rootConnector3"/>
                        <dgm:constr type="w" for="ch" forName="rootConnector3" refType="w" refFor="ch" refForName="rootText3" fact="0.2"/>
                        <dgm:constr type="h" for="ch" forName="rootConnector3" refType="h" refFor="ch" refForName="rootText3"/>
                      </dgm:constrLst>
                    </dgm:if>
                    <dgm:if name="Name125" func="var" arg="hierBranch" op="equ" val="r">
                      <dgm:constrLst>
                        <dgm:constr type="l" for="ch" forName="rootText3"/>
                        <dgm:constr type="t" for="ch" forName="rootText3"/>
                        <dgm:constr type="w" for="ch" forName="rootText3" refType="w"/>
                        <dgm:constr type="h" for="ch" forName="rootText3" refType="h"/>
                        <dgm:constr type="l" for="ch" forName="rootConnector3"/>
                        <dgm:constr type="t" for="ch" forName="rootConnector3"/>
                        <dgm:constr type="w" for="ch" forName="rootConnector3" refType="w" refFor="ch" refForName="rootText3" fact="0.2"/>
                        <dgm:constr type="h" for="ch" forName="rootConnector3" refType="h" refFor="ch" refForName="rootText3"/>
                      </dgm:constrLst>
                    </dgm:if>
                    <dgm:else name="Name126">
                      <dgm:constrLst>
                        <dgm:constr type="l" for="ch" forName="rootText3"/>
                        <dgm:constr type="t" for="ch" forName="rootText3"/>
                        <dgm:constr type="w" for="ch" forName="rootText3" refType="w"/>
                        <dgm:constr type="h" for="ch" forName="rootText3" refType="h"/>
                        <dgm:constr type="r" for="ch" forName="rootConnector3" refType="w"/>
                        <dgm:constr type="t" for="ch" forName="rootConnector3"/>
                        <dgm:constr type="w" for="ch" forName="rootConnector3" refType="w" refFor="ch" refForName="rootText3" fact="0.2"/>
                        <dgm:constr type="h" for="ch" forName="rootConnector3" refType="h" refFor="ch" refForName="rootText3"/>
                      </dgm:constrLst>
                    </dgm:else>
                  </dgm:choose>
                  <dgm:ruleLst/>
                  <dgm:layoutNode name="rootText3">
                    <dgm:varLst>
                      <dgm:chPref val="3"/>
                    </dgm:varLst>
                    <dgm:alg type="tx"/>
                    <dgm:shape xmlns:r="http://schemas.openxmlformats.org/officeDocument/2006/relationships" type="rect" r:blip="">
                      <dgm:adjLst/>
                    </dgm:shape>
                    <dgm:presOf axis="self" ptType="node" cnt="1"/>
                    <dgm:constrLst>
                      <dgm:constr type="primFontSz" val="65"/>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layoutNode name="rootConnector3" moveWith="rootText1">
                    <dgm:alg type="sp"/>
                    <dgm:shape xmlns:r="http://schemas.openxmlformats.org/officeDocument/2006/relationships" type="rect" r:blip="" hideGeom="1">
                      <dgm:adjLst/>
                    </dgm:shape>
                    <dgm:presOf axis="self" ptType="node" cnt="1"/>
                    <dgm:constrLst/>
                    <dgm:ruleLst/>
                  </dgm:layoutNode>
                </dgm:layoutNode>
                <dgm:layoutNode name="hierChild6">
                  <dgm:choose name="Name127">
                    <dgm:if name="Name128" func="var" arg="hierBranch" op="equ" val="l">
                      <dgm:alg type="hierChild">
                        <dgm:param type="chAlign" val="r"/>
                        <dgm:param type="linDir" val="fromT"/>
                      </dgm:alg>
                    </dgm:if>
                    <dgm:if name="Name129" func="var" arg="hierBranch" op="equ" val="r">
                      <dgm:alg type="hierChild">
                        <dgm:param type="chAlign" val="l"/>
                        <dgm:param type="linDir" val="fromT"/>
                      </dgm:alg>
                    </dgm:if>
                    <dgm:if name="Name130" func="var" arg="hierBranch" op="equ" val="hang">
                      <dgm:choose name="Name131">
                        <dgm:if name="Name132" func="var" arg="dir" op="equ" val="norm">
                          <dgm:alg type="hierChild">
                            <dgm:param type="chAlign" val="l"/>
                            <dgm:param type="linDir" val="fromL"/>
                            <dgm:param type="secChAlign" val="t"/>
                            <dgm:param type="secLinDir" val="fromT"/>
                          </dgm:alg>
                        </dgm:if>
                        <dgm:else name="Name133">
                          <dgm:alg type="hierChild">
                            <dgm:param type="chAlign" val="l"/>
                            <dgm:param type="linDir" val="fromR"/>
                            <dgm:param type="secChAlign" val="t"/>
                            <dgm:param type="secLinDir" val="fromT"/>
                          </dgm:alg>
                        </dgm:else>
                      </dgm:choose>
                    </dgm:if>
                    <dgm:if name="Name134" func="var" arg="hierBranch" op="equ" val="std">
                      <dgm:choose name="Name135">
                        <dgm:if name="Name136" func="var" arg="dir" op="equ" val="norm">
                          <dgm:alg type="hierChild"/>
                        </dgm:if>
                        <dgm:else name="Name137">
                          <dgm:alg type="hierChild">
                            <dgm:param type="linDir" val="fromR"/>
                          </dgm:alg>
                        </dgm:else>
                      </dgm:choose>
                    </dgm:if>
                    <dgm:if name="Name138" func="var" arg="hierBranch" op="equ" val="init">
                      <dgm:choose name="Name139">
                        <dgm:if name="Name140" axis="des" func="maxDepth" op="lte" val="1">
                          <dgm:alg type="hierChild">
                            <dgm:param type="chAlign" val="l"/>
                            <dgm:param type="linDir" val="fromT"/>
                          </dgm:alg>
                        </dgm:if>
                        <dgm:else name="Name141">
                          <dgm:alg type="hierChild"/>
                        </dgm:else>
                      </dgm:choose>
                    </dgm:if>
                    <dgm:else name="Name142"/>
                  </dgm:choose>
                  <dgm:shape xmlns:r="http://schemas.openxmlformats.org/officeDocument/2006/relationships" r:blip="">
                    <dgm:adjLst/>
                  </dgm:shape>
                  <dgm:presOf/>
                  <dgm:constrLst/>
                  <dgm:ruleLst/>
                  <dgm:forEach name="Name143" ref="rep2a"/>
                </dgm:layoutNode>
                <dgm:layoutNode name="hierChild7">
                  <dgm:choose name="Name144">
                    <dgm:if name="Name145" func="var" arg="dir" op="equ" val="norm">
                      <dgm:alg type="hierChild">
                        <dgm:param type="chAlign" val="l"/>
                        <dgm:param type="linDir" val="fromL"/>
                        <dgm:param type="secChAlign" val="t"/>
                        <dgm:param type="secLinDir" val="fromT"/>
                      </dgm:alg>
                    </dgm:if>
                    <dgm:else name="Name146">
                      <dgm:alg type="hierChild">
                        <dgm:param type="chAlign" val="l"/>
                        <dgm:param type="linDir" val="fromR"/>
                        <dgm:param type="secChAlign" val="t"/>
                        <dgm:param type="secLinDir" val="fromT"/>
                      </dgm:alg>
                    </dgm:else>
                  </dgm:choose>
                  <dgm:shape xmlns:r="http://schemas.openxmlformats.org/officeDocument/2006/relationships" r:blip="">
                    <dgm:adjLst/>
                  </dgm:shape>
                  <dgm:presOf/>
                  <dgm:constrLst/>
                  <dgm:ruleLst/>
                  <dgm:forEach name="Name147" ref="rep2b"/>
                </dgm:layoutNode>
              </dgm:layoutNode>
            </dgm:forEach>
          </dgm:layoutNod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8" Type="http://schemas.openxmlformats.org/officeDocument/2006/relationships/diagramQuickStyle" Target="../diagrams/quickStyle2.xml"/><Relationship Id="rId3" Type="http://schemas.openxmlformats.org/officeDocument/2006/relationships/diagramQuickStyle" Target="../diagrams/quickStyle1.xml"/><Relationship Id="rId7" Type="http://schemas.openxmlformats.org/officeDocument/2006/relationships/diagramLayout" Target="../diagrams/layout2.xml"/><Relationship Id="rId2" Type="http://schemas.openxmlformats.org/officeDocument/2006/relationships/diagramLayout" Target="../diagrams/layout1.xml"/><Relationship Id="rId1" Type="http://schemas.openxmlformats.org/officeDocument/2006/relationships/diagramData" Target="../diagrams/data1.xml"/><Relationship Id="rId6" Type="http://schemas.openxmlformats.org/officeDocument/2006/relationships/diagramData" Target="../diagrams/data2.xml"/><Relationship Id="rId5" Type="http://schemas.microsoft.com/office/2007/relationships/diagramDrawing" Target="../diagrams/drawing1.xml"/><Relationship Id="rId10" Type="http://schemas.microsoft.com/office/2007/relationships/diagramDrawing" Target="../diagrams/drawing2.xml"/><Relationship Id="rId4" Type="http://schemas.openxmlformats.org/officeDocument/2006/relationships/diagramColors" Target="../diagrams/colors1.xml"/><Relationship Id="rId9" Type="http://schemas.openxmlformats.org/officeDocument/2006/relationships/diagramColors" Target="../diagrams/colors2.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24</xdr:col>
      <xdr:colOff>227489</xdr:colOff>
      <xdr:row>4</xdr:row>
      <xdr:rowOff>22747</xdr:rowOff>
    </xdr:from>
    <xdr:to>
      <xdr:col>41</xdr:col>
      <xdr:colOff>488141</xdr:colOff>
      <xdr:row>34</xdr:row>
      <xdr:rowOff>843</xdr:rowOff>
    </xdr:to>
    <xdr:graphicFrame macro="">
      <xdr:nvGraphicFramePr>
        <xdr:cNvPr id="8" name="Diagram 7">
          <a:extLst>
            <a:ext uri="{FF2B5EF4-FFF2-40B4-BE49-F238E27FC236}">
              <a16:creationId xmlns:a16="http://schemas.microsoft.com/office/drawing/2014/main" id="{8FDB9C18-4CE4-46D4-8C64-C8B5B11E6B09}"/>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24</xdr:col>
      <xdr:colOff>268111</xdr:colOff>
      <xdr:row>43</xdr:row>
      <xdr:rowOff>54824</xdr:rowOff>
    </xdr:from>
    <xdr:to>
      <xdr:col>41</xdr:col>
      <xdr:colOff>528763</xdr:colOff>
      <xdr:row>72</xdr:row>
      <xdr:rowOff>172557</xdr:rowOff>
    </xdr:to>
    <xdr:graphicFrame macro="">
      <xdr:nvGraphicFramePr>
        <xdr:cNvPr id="10" name="Diagram 9">
          <a:extLst>
            <a:ext uri="{FF2B5EF4-FFF2-40B4-BE49-F238E27FC236}">
              <a16:creationId xmlns:a16="http://schemas.microsoft.com/office/drawing/2014/main" id="{FFBF9C86-2701-4D63-AD07-51D5623FB2D7}"/>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44</xdr:col>
      <xdr:colOff>158851</xdr:colOff>
      <xdr:row>44</xdr:row>
      <xdr:rowOff>152400</xdr:rowOff>
    </xdr:from>
    <xdr:to>
      <xdr:col>52</xdr:col>
      <xdr:colOff>595746</xdr:colOff>
      <xdr:row>83</xdr:row>
      <xdr:rowOff>13855</xdr:rowOff>
    </xdr:to>
    <xdr:grpSp>
      <xdr:nvGrpSpPr>
        <xdr:cNvPr id="175" name="Group 174">
          <a:extLst>
            <a:ext uri="{FF2B5EF4-FFF2-40B4-BE49-F238E27FC236}">
              <a16:creationId xmlns:a16="http://schemas.microsoft.com/office/drawing/2014/main" id="{D53209B5-A521-DFE1-E21E-78E939FF2A48}"/>
            </a:ext>
          </a:extLst>
        </xdr:cNvPr>
        <xdr:cNvGrpSpPr/>
      </xdr:nvGrpSpPr>
      <xdr:grpSpPr>
        <a:xfrm>
          <a:off x="28920887" y="9822873"/>
          <a:ext cx="5313695" cy="7315200"/>
          <a:chOff x="28886736" y="9809018"/>
          <a:chExt cx="5614049" cy="6262254"/>
        </a:xfrm>
      </xdr:grpSpPr>
      <xdr:grpSp>
        <xdr:nvGrpSpPr>
          <xdr:cNvPr id="156" name="Group 155">
            <a:extLst>
              <a:ext uri="{FF2B5EF4-FFF2-40B4-BE49-F238E27FC236}">
                <a16:creationId xmlns:a16="http://schemas.microsoft.com/office/drawing/2014/main" id="{1B423AAD-3130-424E-94D9-10D48547A0E3}"/>
              </a:ext>
            </a:extLst>
          </xdr:cNvPr>
          <xdr:cNvGrpSpPr/>
        </xdr:nvGrpSpPr>
        <xdr:grpSpPr>
          <a:xfrm>
            <a:off x="28886736" y="9809018"/>
            <a:ext cx="5614049" cy="6262254"/>
            <a:chOff x="33499294" y="1598003"/>
            <a:chExt cx="5420793" cy="7241882"/>
          </a:xfrm>
        </xdr:grpSpPr>
        <xdr:grpSp>
          <xdr:nvGrpSpPr>
            <xdr:cNvPr id="157" name="Group 156">
              <a:extLst>
                <a:ext uri="{FF2B5EF4-FFF2-40B4-BE49-F238E27FC236}">
                  <a16:creationId xmlns:a16="http://schemas.microsoft.com/office/drawing/2014/main" id="{4EDB2996-3601-A6CA-83E0-ACFF228C81D8}"/>
                </a:ext>
              </a:extLst>
            </xdr:cNvPr>
            <xdr:cNvGrpSpPr/>
          </xdr:nvGrpSpPr>
          <xdr:grpSpPr>
            <a:xfrm>
              <a:off x="33499294" y="1598003"/>
              <a:ext cx="3821225" cy="7209064"/>
              <a:chOff x="38065976" y="162638"/>
              <a:chExt cx="3627090" cy="8194438"/>
            </a:xfrm>
          </xdr:grpSpPr>
          <xdr:sp macro="" textlink="">
            <xdr:nvSpPr>
              <xdr:cNvPr id="167" name="Isosceles Triangle 166">
                <a:extLst>
                  <a:ext uri="{FF2B5EF4-FFF2-40B4-BE49-F238E27FC236}">
                    <a16:creationId xmlns:a16="http://schemas.microsoft.com/office/drawing/2014/main" id="{2D03A52B-5E7B-8F5B-B689-AC55F813FCB7}"/>
                  </a:ext>
                </a:extLst>
              </xdr:cNvPr>
              <xdr:cNvSpPr/>
            </xdr:nvSpPr>
            <xdr:spPr>
              <a:xfrm>
                <a:off x="38065976" y="6862100"/>
                <a:ext cx="2058088" cy="1494976"/>
              </a:xfrm>
              <a:prstGeom prst="triangle">
                <a:avLst/>
              </a:prstGeom>
              <a:solidFill>
                <a:schemeClr val="accent6"/>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100"/>
                  <a:t>Magazzino Materie</a:t>
                </a:r>
                <a:r>
                  <a:rPr lang="en-GB" sz="1100" baseline="0"/>
                  <a:t> Prime</a:t>
                </a:r>
                <a:r>
                  <a:rPr lang="en-GB" sz="1100"/>
                  <a:t> </a:t>
                </a:r>
              </a:p>
            </xdr:txBody>
          </xdr:sp>
          <xdr:grpSp>
            <xdr:nvGrpSpPr>
              <xdr:cNvPr id="168" name="Group 167">
                <a:extLst>
                  <a:ext uri="{FF2B5EF4-FFF2-40B4-BE49-F238E27FC236}">
                    <a16:creationId xmlns:a16="http://schemas.microsoft.com/office/drawing/2014/main" id="{074BF17E-5E4C-94BB-9F07-78426FA11F22}"/>
                  </a:ext>
                </a:extLst>
              </xdr:cNvPr>
              <xdr:cNvGrpSpPr/>
            </xdr:nvGrpSpPr>
            <xdr:grpSpPr>
              <a:xfrm>
                <a:off x="38315528" y="162638"/>
                <a:ext cx="3377538" cy="6254618"/>
                <a:chOff x="38315528" y="162638"/>
                <a:chExt cx="3377538" cy="6254618"/>
              </a:xfrm>
            </xdr:grpSpPr>
            <xdr:sp macro="" textlink="">
              <xdr:nvSpPr>
                <xdr:cNvPr id="169" name="Rectangle 168">
                  <a:extLst>
                    <a:ext uri="{FF2B5EF4-FFF2-40B4-BE49-F238E27FC236}">
                      <a16:creationId xmlns:a16="http://schemas.microsoft.com/office/drawing/2014/main" id="{06A7B306-7520-0B4C-903B-CCBC014F8E19}"/>
                    </a:ext>
                  </a:extLst>
                </xdr:cNvPr>
                <xdr:cNvSpPr/>
              </xdr:nvSpPr>
              <xdr:spPr>
                <a:xfrm>
                  <a:off x="39988351" y="2147109"/>
                  <a:ext cx="1543566" cy="64070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t>Assemblaggio 100%</a:t>
                  </a:r>
                  <a:r>
                    <a:rPr lang="en-GB" sz="1100" baseline="0"/>
                    <a:t> (Q)</a:t>
                  </a:r>
                  <a:endParaRPr lang="en-GB" sz="1100"/>
                </a:p>
              </xdr:txBody>
            </xdr:sp>
            <xdr:sp macro="" textlink="">
              <xdr:nvSpPr>
                <xdr:cNvPr id="170" name="Rectangle 169">
                  <a:extLst>
                    <a:ext uri="{FF2B5EF4-FFF2-40B4-BE49-F238E27FC236}">
                      <a16:creationId xmlns:a16="http://schemas.microsoft.com/office/drawing/2014/main" id="{99CC8026-0B3C-19A1-1B2C-7D4225F8BF3B}"/>
                    </a:ext>
                  </a:extLst>
                </xdr:cNvPr>
                <xdr:cNvSpPr/>
              </xdr:nvSpPr>
              <xdr:spPr>
                <a:xfrm>
                  <a:off x="38315528" y="4712357"/>
                  <a:ext cx="1543566" cy="640704"/>
                </a:xfrm>
                <a:prstGeom prst="rect">
                  <a:avLst/>
                </a:prstGeom>
                <a:solidFill>
                  <a:schemeClr val="accent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t>Pressopiegatura 98% (Q) </a:t>
                  </a:r>
                </a:p>
              </xdr:txBody>
            </xdr:sp>
            <xdr:sp macro="" textlink="">
              <xdr:nvSpPr>
                <xdr:cNvPr id="171" name="Rectangle 170">
                  <a:extLst>
                    <a:ext uri="{FF2B5EF4-FFF2-40B4-BE49-F238E27FC236}">
                      <a16:creationId xmlns:a16="http://schemas.microsoft.com/office/drawing/2014/main" id="{2D4A4E3A-6432-B4CF-B550-F214F27112BB}"/>
                    </a:ext>
                  </a:extLst>
                </xdr:cNvPr>
                <xdr:cNvSpPr/>
              </xdr:nvSpPr>
              <xdr:spPr>
                <a:xfrm>
                  <a:off x="38316376" y="5776552"/>
                  <a:ext cx="1543566" cy="640704"/>
                </a:xfrm>
                <a:prstGeom prst="rect">
                  <a:avLst/>
                </a:prstGeom>
                <a:solidFill>
                  <a:schemeClr val="accent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t>Trinciatura 99</a:t>
                  </a:r>
                  <a:r>
                    <a:rPr lang="en-GB" sz="1100" baseline="0"/>
                    <a:t>% (Q)</a:t>
                  </a:r>
                  <a:endParaRPr lang="en-GB" sz="1100"/>
                </a:p>
              </xdr:txBody>
            </xdr:sp>
            <xdr:sp macro="" textlink="">
              <xdr:nvSpPr>
                <xdr:cNvPr id="172" name="Isosceles Triangle 171">
                  <a:extLst>
                    <a:ext uri="{FF2B5EF4-FFF2-40B4-BE49-F238E27FC236}">
                      <a16:creationId xmlns:a16="http://schemas.microsoft.com/office/drawing/2014/main" id="{A266A2E2-ACF2-4AB9-30BA-9FA828D86231}"/>
                    </a:ext>
                  </a:extLst>
                </xdr:cNvPr>
                <xdr:cNvSpPr/>
              </xdr:nvSpPr>
              <xdr:spPr>
                <a:xfrm>
                  <a:off x="39775779" y="162638"/>
                  <a:ext cx="1917287" cy="1286308"/>
                </a:xfrm>
                <a:prstGeom prst="triangle">
                  <a:avLst>
                    <a:gd name="adj" fmla="val 50704"/>
                  </a:avLst>
                </a:prstGeom>
                <a:solidFill>
                  <a:schemeClr val="tx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100"/>
                    <a:t>Magazzino Prodotti Finiti</a:t>
                  </a:r>
                </a:p>
              </xdr:txBody>
            </xdr:sp>
            <xdr:sp macro="" textlink="">
              <xdr:nvSpPr>
                <xdr:cNvPr id="173" name="Rectangle 172">
                  <a:extLst>
                    <a:ext uri="{FF2B5EF4-FFF2-40B4-BE49-F238E27FC236}">
                      <a16:creationId xmlns:a16="http://schemas.microsoft.com/office/drawing/2014/main" id="{7CB5CDC8-C0AF-5C04-480C-73F55A3A9079}"/>
                    </a:ext>
                  </a:extLst>
                </xdr:cNvPr>
                <xdr:cNvSpPr/>
              </xdr:nvSpPr>
              <xdr:spPr>
                <a:xfrm>
                  <a:off x="39988082" y="3392314"/>
                  <a:ext cx="1543566" cy="640704"/>
                </a:xfrm>
                <a:prstGeom prst="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t>Saldatura 97% (Q)</a:t>
                  </a:r>
                </a:p>
              </xdr:txBody>
            </xdr:sp>
          </xdr:grpSp>
        </xdr:grpSp>
        <xdr:sp macro="" textlink="">
          <xdr:nvSpPr>
            <xdr:cNvPr id="158" name="Isosceles Triangle 157">
              <a:extLst>
                <a:ext uri="{FF2B5EF4-FFF2-40B4-BE49-F238E27FC236}">
                  <a16:creationId xmlns:a16="http://schemas.microsoft.com/office/drawing/2014/main" id="{0813E471-1A9F-9698-B1F1-51A1A59129DC}"/>
                </a:ext>
              </a:extLst>
            </xdr:cNvPr>
            <xdr:cNvSpPr/>
          </xdr:nvSpPr>
          <xdr:spPr>
            <a:xfrm>
              <a:off x="36752943" y="7529329"/>
              <a:ext cx="2167144" cy="1310556"/>
            </a:xfrm>
            <a:prstGeom prst="triangle">
              <a:avLst/>
            </a:prstGeom>
            <a:solidFill>
              <a:schemeClr val="accent6"/>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100"/>
                <a:t>Magazzino Semilavorati</a:t>
              </a:r>
            </a:p>
          </xdr:txBody>
        </xdr:sp>
        <xdr:cxnSp macro="">
          <xdr:nvCxnSpPr>
            <xdr:cNvPr id="160" name="Connector: Elbow 159">
              <a:extLst>
                <a:ext uri="{FF2B5EF4-FFF2-40B4-BE49-F238E27FC236}">
                  <a16:creationId xmlns:a16="http://schemas.microsoft.com/office/drawing/2014/main" id="{54487581-1181-5B03-C1B8-042C132FEF46}"/>
                </a:ext>
              </a:extLst>
            </xdr:cNvPr>
            <xdr:cNvCxnSpPr>
              <a:stCxn id="158" idx="0"/>
              <a:endCxn id="169" idx="3"/>
            </xdr:cNvCxnSpPr>
          </xdr:nvCxnSpPr>
          <xdr:spPr>
            <a:xfrm rot="16200000" flipV="1">
              <a:off x="35535115" y="5229118"/>
              <a:ext cx="3916232" cy="684189"/>
            </a:xfrm>
            <a:prstGeom prst="bentConnector2">
              <a:avLst/>
            </a:prstGeom>
            <a:ln w="381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61" name="Straight Arrow Connector 160">
              <a:extLst>
                <a:ext uri="{FF2B5EF4-FFF2-40B4-BE49-F238E27FC236}">
                  <a16:creationId xmlns:a16="http://schemas.microsoft.com/office/drawing/2014/main" id="{93155AFD-911D-22A6-06DD-C8C6778342FD}"/>
                </a:ext>
              </a:extLst>
            </xdr:cNvPr>
            <xdr:cNvCxnSpPr>
              <a:cxnSpLocks/>
              <a:stCxn id="167" idx="0"/>
              <a:endCxn id="171" idx="2"/>
            </xdr:cNvCxnSpPr>
          </xdr:nvCxnSpPr>
          <xdr:spPr>
            <a:xfrm flipH="1" flipV="1">
              <a:off x="34576844" y="7103635"/>
              <a:ext cx="7201" cy="392876"/>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62" name="Straight Arrow Connector 161">
              <a:extLst>
                <a:ext uri="{FF2B5EF4-FFF2-40B4-BE49-F238E27FC236}">
                  <a16:creationId xmlns:a16="http://schemas.microsoft.com/office/drawing/2014/main" id="{58D29BBC-8355-B26A-3667-F83CC03DE2A8}"/>
                </a:ext>
              </a:extLst>
            </xdr:cNvPr>
            <xdr:cNvCxnSpPr>
              <a:cxnSpLocks/>
              <a:stCxn id="171" idx="0"/>
              <a:endCxn id="170" idx="2"/>
            </xdr:cNvCxnSpPr>
          </xdr:nvCxnSpPr>
          <xdr:spPr>
            <a:xfrm flipH="1" flipV="1">
              <a:off x="34575954" y="6161829"/>
              <a:ext cx="890" cy="37488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63" name="Connector: Elbow 162">
              <a:extLst>
                <a:ext uri="{FF2B5EF4-FFF2-40B4-BE49-F238E27FC236}">
                  <a16:creationId xmlns:a16="http://schemas.microsoft.com/office/drawing/2014/main" id="{E696F9E3-F253-8A0A-D24B-FED88959878B}"/>
                </a:ext>
              </a:extLst>
            </xdr:cNvPr>
            <xdr:cNvCxnSpPr>
              <a:stCxn id="170" idx="0"/>
              <a:endCxn id="173" idx="1"/>
            </xdr:cNvCxnSpPr>
          </xdr:nvCxnSpPr>
          <xdr:spPr>
            <a:xfrm rot="5400000" flipH="1" flipV="1">
              <a:off x="34611790" y="4680603"/>
              <a:ext cx="878465" cy="950138"/>
            </a:xfrm>
            <a:prstGeom prst="bentConnector2">
              <a:avLst/>
            </a:prstGeom>
            <a:ln w="381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64" name="Straight Arrow Connector 163">
              <a:extLst>
                <a:ext uri="{FF2B5EF4-FFF2-40B4-BE49-F238E27FC236}">
                  <a16:creationId xmlns:a16="http://schemas.microsoft.com/office/drawing/2014/main" id="{C106B354-0973-99F1-E5FF-65FE41400975}"/>
                </a:ext>
              </a:extLst>
            </xdr:cNvPr>
            <xdr:cNvCxnSpPr>
              <a:stCxn id="173" idx="0"/>
              <a:endCxn id="169" idx="2"/>
            </xdr:cNvCxnSpPr>
          </xdr:nvCxnSpPr>
          <xdr:spPr>
            <a:xfrm flipV="1">
              <a:off x="36338473" y="3892073"/>
              <a:ext cx="282" cy="536414"/>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65" name="Straight Arrow Connector 164">
              <a:extLst>
                <a:ext uri="{FF2B5EF4-FFF2-40B4-BE49-F238E27FC236}">
                  <a16:creationId xmlns:a16="http://schemas.microsoft.com/office/drawing/2014/main" id="{89463137-A65B-84A2-E9A0-46E7AB4D72D9}"/>
                </a:ext>
              </a:extLst>
            </xdr:cNvPr>
            <xdr:cNvCxnSpPr>
              <a:stCxn id="169" idx="0"/>
              <a:endCxn id="172" idx="3"/>
            </xdr:cNvCxnSpPr>
          </xdr:nvCxnSpPr>
          <xdr:spPr>
            <a:xfrm flipH="1" flipV="1">
              <a:off x="36324785" y="2729633"/>
              <a:ext cx="12868" cy="61421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66" name="Connector: Elbow 165">
              <a:extLst>
                <a:ext uri="{FF2B5EF4-FFF2-40B4-BE49-F238E27FC236}">
                  <a16:creationId xmlns:a16="http://schemas.microsoft.com/office/drawing/2014/main" id="{2E819CBA-3C9D-3D7B-FC33-F9549ED9C861}"/>
                </a:ext>
              </a:extLst>
            </xdr:cNvPr>
            <xdr:cNvCxnSpPr>
              <a:stCxn id="158" idx="2"/>
              <a:endCxn id="173" idx="2"/>
            </xdr:cNvCxnSpPr>
          </xdr:nvCxnSpPr>
          <xdr:spPr>
            <a:xfrm rot="5400000" flipH="1">
              <a:off x="34626695" y="6713636"/>
              <a:ext cx="3836912" cy="415586"/>
            </a:xfrm>
            <a:prstGeom prst="bentConnector3">
              <a:avLst>
                <a:gd name="adj1" fmla="val -179"/>
              </a:avLst>
            </a:prstGeom>
            <a:ln w="38100">
              <a:tailEnd type="triangle"/>
            </a:ln>
          </xdr:spPr>
          <xdr:style>
            <a:lnRef idx="1">
              <a:schemeClr val="accent1"/>
            </a:lnRef>
            <a:fillRef idx="0">
              <a:schemeClr val="accent1"/>
            </a:fillRef>
            <a:effectRef idx="0">
              <a:schemeClr val="accent1"/>
            </a:effectRef>
            <a:fontRef idx="minor">
              <a:schemeClr val="tx1"/>
            </a:fontRef>
          </xdr:style>
        </xdr:cxnSp>
      </xdr:grpSp>
      <xdr:sp macro="" textlink="">
        <xdr:nvSpPr>
          <xdr:cNvPr id="174" name="TextBox 173">
            <a:extLst>
              <a:ext uri="{FF2B5EF4-FFF2-40B4-BE49-F238E27FC236}">
                <a16:creationId xmlns:a16="http://schemas.microsoft.com/office/drawing/2014/main" id="{E1328DE6-C332-2E65-B3F0-6C1420352BF5}"/>
              </a:ext>
            </a:extLst>
          </xdr:cNvPr>
          <xdr:cNvSpPr txBox="1"/>
        </xdr:nvSpPr>
        <xdr:spPr>
          <a:xfrm>
            <a:off x="29114123" y="10044546"/>
            <a:ext cx="1704109" cy="4156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1" u="sng"/>
              <a:t>TRINCIATUTTO</a:t>
            </a:r>
          </a:p>
        </xdr:txBody>
      </xdr:sp>
    </xdr:grpSp>
    <xdr:clientData/>
  </xdr:twoCellAnchor>
  <xdr:twoCellAnchor>
    <xdr:from>
      <xdr:col>44</xdr:col>
      <xdr:colOff>221673</xdr:colOff>
      <xdr:row>5</xdr:row>
      <xdr:rowOff>13852</xdr:rowOff>
    </xdr:from>
    <xdr:to>
      <xdr:col>53</xdr:col>
      <xdr:colOff>48968</xdr:colOff>
      <xdr:row>36</xdr:row>
      <xdr:rowOff>27707</xdr:rowOff>
    </xdr:to>
    <xdr:grpSp>
      <xdr:nvGrpSpPr>
        <xdr:cNvPr id="4" name="Group 3">
          <a:extLst>
            <a:ext uri="{FF2B5EF4-FFF2-40B4-BE49-F238E27FC236}">
              <a16:creationId xmlns:a16="http://schemas.microsoft.com/office/drawing/2014/main" id="{3AA457D1-550F-448F-AB90-E670D6F57721}"/>
            </a:ext>
          </a:extLst>
        </xdr:cNvPr>
        <xdr:cNvGrpSpPr/>
      </xdr:nvGrpSpPr>
      <xdr:grpSpPr>
        <a:xfrm>
          <a:off x="28983709" y="2036616"/>
          <a:ext cx="5313695" cy="5818909"/>
          <a:chOff x="28886736" y="9809018"/>
          <a:chExt cx="5614049" cy="6262254"/>
        </a:xfrm>
      </xdr:grpSpPr>
      <xdr:grpSp>
        <xdr:nvGrpSpPr>
          <xdr:cNvPr id="5" name="Group 4">
            <a:extLst>
              <a:ext uri="{FF2B5EF4-FFF2-40B4-BE49-F238E27FC236}">
                <a16:creationId xmlns:a16="http://schemas.microsoft.com/office/drawing/2014/main" id="{2E251C75-1967-1AB7-E9C6-A0A0D8AB99A8}"/>
              </a:ext>
            </a:extLst>
          </xdr:cNvPr>
          <xdr:cNvGrpSpPr/>
        </xdr:nvGrpSpPr>
        <xdr:grpSpPr>
          <a:xfrm>
            <a:off x="28886736" y="9809018"/>
            <a:ext cx="5614049" cy="6262254"/>
            <a:chOff x="33499294" y="1598003"/>
            <a:chExt cx="5420793" cy="7241882"/>
          </a:xfrm>
        </xdr:grpSpPr>
        <xdr:grpSp>
          <xdr:nvGrpSpPr>
            <xdr:cNvPr id="7" name="Group 6">
              <a:extLst>
                <a:ext uri="{FF2B5EF4-FFF2-40B4-BE49-F238E27FC236}">
                  <a16:creationId xmlns:a16="http://schemas.microsoft.com/office/drawing/2014/main" id="{66C21D14-EF80-8B54-689D-1301BF43F147}"/>
                </a:ext>
              </a:extLst>
            </xdr:cNvPr>
            <xdr:cNvGrpSpPr/>
          </xdr:nvGrpSpPr>
          <xdr:grpSpPr>
            <a:xfrm>
              <a:off x="33499294" y="1598003"/>
              <a:ext cx="3821225" cy="7209064"/>
              <a:chOff x="38065976" y="162638"/>
              <a:chExt cx="3627090" cy="8194438"/>
            </a:xfrm>
          </xdr:grpSpPr>
          <xdr:sp macro="" textlink="">
            <xdr:nvSpPr>
              <xdr:cNvPr id="18" name="Isosceles Triangle 17">
                <a:extLst>
                  <a:ext uri="{FF2B5EF4-FFF2-40B4-BE49-F238E27FC236}">
                    <a16:creationId xmlns:a16="http://schemas.microsoft.com/office/drawing/2014/main" id="{88CC99DE-FB54-D3D9-D984-28FB3A767A19}"/>
                  </a:ext>
                </a:extLst>
              </xdr:cNvPr>
              <xdr:cNvSpPr/>
            </xdr:nvSpPr>
            <xdr:spPr>
              <a:xfrm>
                <a:off x="38065976" y="6862100"/>
                <a:ext cx="2058088" cy="1494976"/>
              </a:xfrm>
              <a:prstGeom prst="triangle">
                <a:avLst/>
              </a:prstGeom>
              <a:solidFill>
                <a:schemeClr val="accent6"/>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100"/>
                  <a:t>Magazzino Materie</a:t>
                </a:r>
                <a:r>
                  <a:rPr lang="en-GB" sz="1100" baseline="0"/>
                  <a:t> Prime</a:t>
                </a:r>
                <a:r>
                  <a:rPr lang="en-GB" sz="1100"/>
                  <a:t> </a:t>
                </a:r>
              </a:p>
            </xdr:txBody>
          </xdr:sp>
          <xdr:grpSp>
            <xdr:nvGrpSpPr>
              <xdr:cNvPr id="19" name="Group 18">
                <a:extLst>
                  <a:ext uri="{FF2B5EF4-FFF2-40B4-BE49-F238E27FC236}">
                    <a16:creationId xmlns:a16="http://schemas.microsoft.com/office/drawing/2014/main" id="{B3AA8148-9060-334C-4AFE-49429E23DD64}"/>
                  </a:ext>
                </a:extLst>
              </xdr:cNvPr>
              <xdr:cNvGrpSpPr/>
            </xdr:nvGrpSpPr>
            <xdr:grpSpPr>
              <a:xfrm>
                <a:off x="38315528" y="162638"/>
                <a:ext cx="3377538" cy="6254618"/>
                <a:chOff x="38315528" y="162638"/>
                <a:chExt cx="3377538" cy="6254618"/>
              </a:xfrm>
            </xdr:grpSpPr>
            <xdr:sp macro="" textlink="">
              <xdr:nvSpPr>
                <xdr:cNvPr id="20" name="Rectangle 19">
                  <a:extLst>
                    <a:ext uri="{FF2B5EF4-FFF2-40B4-BE49-F238E27FC236}">
                      <a16:creationId xmlns:a16="http://schemas.microsoft.com/office/drawing/2014/main" id="{A5C53889-ED78-E190-7D69-4AE763EA8FB1}"/>
                    </a:ext>
                  </a:extLst>
                </xdr:cNvPr>
                <xdr:cNvSpPr/>
              </xdr:nvSpPr>
              <xdr:spPr>
                <a:xfrm>
                  <a:off x="39988351" y="2147109"/>
                  <a:ext cx="1543566" cy="64070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t>Assemblaggio 100%</a:t>
                  </a:r>
                  <a:r>
                    <a:rPr lang="en-GB" sz="1100" baseline="0"/>
                    <a:t> (Q)</a:t>
                  </a:r>
                  <a:endParaRPr lang="en-GB" sz="1100"/>
                </a:p>
              </xdr:txBody>
            </xdr:sp>
            <xdr:sp macro="" textlink="">
              <xdr:nvSpPr>
                <xdr:cNvPr id="21" name="Rectangle 20">
                  <a:extLst>
                    <a:ext uri="{FF2B5EF4-FFF2-40B4-BE49-F238E27FC236}">
                      <a16:creationId xmlns:a16="http://schemas.microsoft.com/office/drawing/2014/main" id="{E2FECCFC-A9E5-9846-34B1-BB7A6595290E}"/>
                    </a:ext>
                  </a:extLst>
                </xdr:cNvPr>
                <xdr:cNvSpPr/>
              </xdr:nvSpPr>
              <xdr:spPr>
                <a:xfrm>
                  <a:off x="38315528" y="4712357"/>
                  <a:ext cx="1543566" cy="640704"/>
                </a:xfrm>
                <a:prstGeom prst="rect">
                  <a:avLst/>
                </a:prstGeom>
                <a:solidFill>
                  <a:schemeClr val="accent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t>Pressopiegatura 98% (Q) </a:t>
                  </a:r>
                </a:p>
              </xdr:txBody>
            </xdr:sp>
            <xdr:sp macro="" textlink="">
              <xdr:nvSpPr>
                <xdr:cNvPr id="22" name="Rectangle 21">
                  <a:extLst>
                    <a:ext uri="{FF2B5EF4-FFF2-40B4-BE49-F238E27FC236}">
                      <a16:creationId xmlns:a16="http://schemas.microsoft.com/office/drawing/2014/main" id="{8252826D-EC3E-210B-A7C7-8A98DAC0D1DC}"/>
                    </a:ext>
                  </a:extLst>
                </xdr:cNvPr>
                <xdr:cNvSpPr/>
              </xdr:nvSpPr>
              <xdr:spPr>
                <a:xfrm>
                  <a:off x="38316376" y="5776552"/>
                  <a:ext cx="1543566" cy="640704"/>
                </a:xfrm>
                <a:prstGeom prst="rect">
                  <a:avLst/>
                </a:prstGeom>
                <a:solidFill>
                  <a:schemeClr val="accent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t>Trinciatura 99</a:t>
                  </a:r>
                  <a:r>
                    <a:rPr lang="en-GB" sz="1100" baseline="0"/>
                    <a:t>% (Q)</a:t>
                  </a:r>
                  <a:endParaRPr lang="en-GB" sz="1100"/>
                </a:p>
              </xdr:txBody>
            </xdr:sp>
            <xdr:sp macro="" textlink="">
              <xdr:nvSpPr>
                <xdr:cNvPr id="23" name="Isosceles Triangle 22">
                  <a:extLst>
                    <a:ext uri="{FF2B5EF4-FFF2-40B4-BE49-F238E27FC236}">
                      <a16:creationId xmlns:a16="http://schemas.microsoft.com/office/drawing/2014/main" id="{53720602-0AA7-C914-6159-85E1897FABF1}"/>
                    </a:ext>
                  </a:extLst>
                </xdr:cNvPr>
                <xdr:cNvSpPr/>
              </xdr:nvSpPr>
              <xdr:spPr>
                <a:xfrm>
                  <a:off x="39775779" y="162638"/>
                  <a:ext cx="1917287" cy="1286308"/>
                </a:xfrm>
                <a:prstGeom prst="triangle">
                  <a:avLst>
                    <a:gd name="adj" fmla="val 50704"/>
                  </a:avLst>
                </a:prstGeom>
                <a:solidFill>
                  <a:schemeClr val="tx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100"/>
                    <a:t>Magazzino Prodotti Finiti</a:t>
                  </a:r>
                </a:p>
              </xdr:txBody>
            </xdr:sp>
            <xdr:sp macro="" textlink="">
              <xdr:nvSpPr>
                <xdr:cNvPr id="24" name="Rectangle 23">
                  <a:extLst>
                    <a:ext uri="{FF2B5EF4-FFF2-40B4-BE49-F238E27FC236}">
                      <a16:creationId xmlns:a16="http://schemas.microsoft.com/office/drawing/2014/main" id="{18BC18AD-16B7-044C-E45C-190B2EDA95C8}"/>
                    </a:ext>
                  </a:extLst>
                </xdr:cNvPr>
                <xdr:cNvSpPr/>
              </xdr:nvSpPr>
              <xdr:spPr>
                <a:xfrm>
                  <a:off x="39988082" y="3392314"/>
                  <a:ext cx="1543566" cy="640704"/>
                </a:xfrm>
                <a:prstGeom prst="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t>Saldatura 97% (Q)</a:t>
                  </a:r>
                </a:p>
              </xdr:txBody>
            </xdr:sp>
          </xdr:grpSp>
        </xdr:grpSp>
        <xdr:sp macro="" textlink="">
          <xdr:nvSpPr>
            <xdr:cNvPr id="9" name="Isosceles Triangle 8">
              <a:extLst>
                <a:ext uri="{FF2B5EF4-FFF2-40B4-BE49-F238E27FC236}">
                  <a16:creationId xmlns:a16="http://schemas.microsoft.com/office/drawing/2014/main" id="{CAA80CD2-BB05-2046-110C-4909A64F1E13}"/>
                </a:ext>
              </a:extLst>
            </xdr:cNvPr>
            <xdr:cNvSpPr/>
          </xdr:nvSpPr>
          <xdr:spPr>
            <a:xfrm>
              <a:off x="36752943" y="7529329"/>
              <a:ext cx="2167144" cy="1310556"/>
            </a:xfrm>
            <a:prstGeom prst="triangle">
              <a:avLst/>
            </a:prstGeom>
            <a:solidFill>
              <a:schemeClr val="accent6"/>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100"/>
                <a:t>Magazzino Semilavorati</a:t>
              </a:r>
            </a:p>
          </xdr:txBody>
        </xdr:sp>
        <xdr:cxnSp macro="">
          <xdr:nvCxnSpPr>
            <xdr:cNvPr id="11" name="Connector: Elbow 10">
              <a:extLst>
                <a:ext uri="{FF2B5EF4-FFF2-40B4-BE49-F238E27FC236}">
                  <a16:creationId xmlns:a16="http://schemas.microsoft.com/office/drawing/2014/main" id="{71CBA784-DB28-5AAA-5000-60A20D9B23EE}"/>
                </a:ext>
              </a:extLst>
            </xdr:cNvPr>
            <xdr:cNvCxnSpPr>
              <a:stCxn id="9" idx="0"/>
              <a:endCxn id="20" idx="3"/>
            </xdr:cNvCxnSpPr>
          </xdr:nvCxnSpPr>
          <xdr:spPr>
            <a:xfrm rot="16200000" flipV="1">
              <a:off x="35535115" y="5229118"/>
              <a:ext cx="3916232" cy="684189"/>
            </a:xfrm>
            <a:prstGeom prst="bentConnector2">
              <a:avLst/>
            </a:prstGeom>
            <a:ln w="381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2" name="Straight Arrow Connector 11">
              <a:extLst>
                <a:ext uri="{FF2B5EF4-FFF2-40B4-BE49-F238E27FC236}">
                  <a16:creationId xmlns:a16="http://schemas.microsoft.com/office/drawing/2014/main" id="{45977F62-4A8E-018F-E7FB-DE21FC991127}"/>
                </a:ext>
              </a:extLst>
            </xdr:cNvPr>
            <xdr:cNvCxnSpPr>
              <a:cxnSpLocks/>
              <a:stCxn id="18" idx="0"/>
              <a:endCxn id="22" idx="2"/>
            </xdr:cNvCxnSpPr>
          </xdr:nvCxnSpPr>
          <xdr:spPr>
            <a:xfrm flipH="1" flipV="1">
              <a:off x="34576844" y="7103635"/>
              <a:ext cx="7201" cy="392876"/>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3" name="Straight Arrow Connector 12">
              <a:extLst>
                <a:ext uri="{FF2B5EF4-FFF2-40B4-BE49-F238E27FC236}">
                  <a16:creationId xmlns:a16="http://schemas.microsoft.com/office/drawing/2014/main" id="{D44F7724-239B-5BBD-39F7-147563C93395}"/>
                </a:ext>
              </a:extLst>
            </xdr:cNvPr>
            <xdr:cNvCxnSpPr>
              <a:cxnSpLocks/>
              <a:stCxn id="22" idx="0"/>
              <a:endCxn id="21" idx="2"/>
            </xdr:cNvCxnSpPr>
          </xdr:nvCxnSpPr>
          <xdr:spPr>
            <a:xfrm flipH="1" flipV="1">
              <a:off x="34575954" y="6161829"/>
              <a:ext cx="890" cy="37488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4" name="Connector: Elbow 13">
              <a:extLst>
                <a:ext uri="{FF2B5EF4-FFF2-40B4-BE49-F238E27FC236}">
                  <a16:creationId xmlns:a16="http://schemas.microsoft.com/office/drawing/2014/main" id="{F0BAE887-F9C7-812B-95C5-8CF8FDF5E5D4}"/>
                </a:ext>
              </a:extLst>
            </xdr:cNvPr>
            <xdr:cNvCxnSpPr>
              <a:stCxn id="21" idx="0"/>
              <a:endCxn id="24" idx="1"/>
            </xdr:cNvCxnSpPr>
          </xdr:nvCxnSpPr>
          <xdr:spPr>
            <a:xfrm rot="5400000" flipH="1" flipV="1">
              <a:off x="34611790" y="4680603"/>
              <a:ext cx="878465" cy="950138"/>
            </a:xfrm>
            <a:prstGeom prst="bentConnector2">
              <a:avLst/>
            </a:prstGeom>
            <a:ln w="381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5" name="Straight Arrow Connector 14">
              <a:extLst>
                <a:ext uri="{FF2B5EF4-FFF2-40B4-BE49-F238E27FC236}">
                  <a16:creationId xmlns:a16="http://schemas.microsoft.com/office/drawing/2014/main" id="{61201DAE-2F41-A111-ED4B-C866B081830D}"/>
                </a:ext>
              </a:extLst>
            </xdr:cNvPr>
            <xdr:cNvCxnSpPr>
              <a:stCxn id="24" idx="0"/>
              <a:endCxn id="20" idx="2"/>
            </xdr:cNvCxnSpPr>
          </xdr:nvCxnSpPr>
          <xdr:spPr>
            <a:xfrm flipV="1">
              <a:off x="36338473" y="3892073"/>
              <a:ext cx="282" cy="536414"/>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6" name="Straight Arrow Connector 15">
              <a:extLst>
                <a:ext uri="{FF2B5EF4-FFF2-40B4-BE49-F238E27FC236}">
                  <a16:creationId xmlns:a16="http://schemas.microsoft.com/office/drawing/2014/main" id="{364A433A-390B-C8FE-6737-7FA254E39B20}"/>
                </a:ext>
              </a:extLst>
            </xdr:cNvPr>
            <xdr:cNvCxnSpPr>
              <a:stCxn id="20" idx="0"/>
              <a:endCxn id="23" idx="3"/>
            </xdr:cNvCxnSpPr>
          </xdr:nvCxnSpPr>
          <xdr:spPr>
            <a:xfrm flipH="1" flipV="1">
              <a:off x="36324785" y="2729633"/>
              <a:ext cx="12868" cy="61421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7" name="Connector: Elbow 16">
              <a:extLst>
                <a:ext uri="{FF2B5EF4-FFF2-40B4-BE49-F238E27FC236}">
                  <a16:creationId xmlns:a16="http://schemas.microsoft.com/office/drawing/2014/main" id="{157B3EA3-0D67-413A-9E49-EF7744573944}"/>
                </a:ext>
              </a:extLst>
            </xdr:cNvPr>
            <xdr:cNvCxnSpPr>
              <a:stCxn id="9" idx="2"/>
              <a:endCxn id="24" idx="2"/>
            </xdr:cNvCxnSpPr>
          </xdr:nvCxnSpPr>
          <xdr:spPr>
            <a:xfrm rot="5400000" flipH="1">
              <a:off x="34626695" y="6713636"/>
              <a:ext cx="3836912" cy="415586"/>
            </a:xfrm>
            <a:prstGeom prst="bentConnector3">
              <a:avLst>
                <a:gd name="adj1" fmla="val -179"/>
              </a:avLst>
            </a:prstGeom>
            <a:ln w="38100">
              <a:tailEnd type="triangle"/>
            </a:ln>
          </xdr:spPr>
          <xdr:style>
            <a:lnRef idx="1">
              <a:schemeClr val="accent1"/>
            </a:lnRef>
            <a:fillRef idx="0">
              <a:schemeClr val="accent1"/>
            </a:fillRef>
            <a:effectRef idx="0">
              <a:schemeClr val="accent1"/>
            </a:effectRef>
            <a:fontRef idx="minor">
              <a:schemeClr val="tx1"/>
            </a:fontRef>
          </xdr:style>
        </xdr:cxnSp>
      </xdr:grpSp>
      <xdr:sp macro="" textlink="">
        <xdr:nvSpPr>
          <xdr:cNvPr id="6" name="TextBox 5">
            <a:extLst>
              <a:ext uri="{FF2B5EF4-FFF2-40B4-BE49-F238E27FC236}">
                <a16:creationId xmlns:a16="http://schemas.microsoft.com/office/drawing/2014/main" id="{C82975DA-B70E-819A-BF35-90C16656F33A}"/>
              </a:ext>
            </a:extLst>
          </xdr:cNvPr>
          <xdr:cNvSpPr txBox="1"/>
        </xdr:nvSpPr>
        <xdr:spPr>
          <a:xfrm>
            <a:off x="29114123" y="10044546"/>
            <a:ext cx="1704109" cy="4156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1" u="sng"/>
              <a:t>TRINCIATUTTO</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409575</xdr:colOff>
      <xdr:row>19</xdr:row>
      <xdr:rowOff>110181</xdr:rowOff>
    </xdr:from>
    <xdr:to>
      <xdr:col>15</xdr:col>
      <xdr:colOff>137736</xdr:colOff>
      <xdr:row>39</xdr:row>
      <xdr:rowOff>166582</xdr:rowOff>
    </xdr:to>
    <xdr:grpSp>
      <xdr:nvGrpSpPr>
        <xdr:cNvPr id="133" name="Group 132">
          <a:extLst>
            <a:ext uri="{FF2B5EF4-FFF2-40B4-BE49-F238E27FC236}">
              <a16:creationId xmlns:a16="http://schemas.microsoft.com/office/drawing/2014/main" id="{A50032C4-9B82-1CBF-E7A1-9781B390C6DD}"/>
            </a:ext>
          </a:extLst>
        </xdr:cNvPr>
        <xdr:cNvGrpSpPr/>
      </xdr:nvGrpSpPr>
      <xdr:grpSpPr>
        <a:xfrm>
          <a:off x="2257830" y="4601117"/>
          <a:ext cx="7121183" cy="4287933"/>
          <a:chOff x="2238375" y="4101156"/>
          <a:chExt cx="7043361" cy="4380751"/>
        </a:xfrm>
      </xdr:grpSpPr>
      <xdr:grpSp>
        <xdr:nvGrpSpPr>
          <xdr:cNvPr id="123" name="Group 122">
            <a:extLst>
              <a:ext uri="{FF2B5EF4-FFF2-40B4-BE49-F238E27FC236}">
                <a16:creationId xmlns:a16="http://schemas.microsoft.com/office/drawing/2014/main" id="{B894E30C-25DA-71CC-5DD3-E53577D17AED}"/>
              </a:ext>
            </a:extLst>
          </xdr:cNvPr>
          <xdr:cNvGrpSpPr/>
        </xdr:nvGrpSpPr>
        <xdr:grpSpPr>
          <a:xfrm>
            <a:off x="2238375" y="4101156"/>
            <a:ext cx="7043361" cy="4380751"/>
            <a:chOff x="1857375" y="4139256"/>
            <a:chExt cx="7043361" cy="4380751"/>
          </a:xfrm>
        </xdr:grpSpPr>
        <xdr:grpSp>
          <xdr:nvGrpSpPr>
            <xdr:cNvPr id="2" name="Group 1">
              <a:extLst>
                <a:ext uri="{FF2B5EF4-FFF2-40B4-BE49-F238E27FC236}">
                  <a16:creationId xmlns:a16="http://schemas.microsoft.com/office/drawing/2014/main" id="{80BE090F-50CA-49D9-ABD8-85D914A88881}"/>
                </a:ext>
              </a:extLst>
            </xdr:cNvPr>
            <xdr:cNvGrpSpPr/>
          </xdr:nvGrpSpPr>
          <xdr:grpSpPr>
            <a:xfrm>
              <a:off x="1857375" y="4139256"/>
              <a:ext cx="7043361" cy="4380751"/>
              <a:chOff x="1838326" y="4985956"/>
              <a:chExt cx="6993304" cy="4462329"/>
            </a:xfrm>
          </xdr:grpSpPr>
          <xdr:cxnSp macro="">
            <xdr:nvCxnSpPr>
              <xdr:cNvPr id="3" name="Straight Arrow Connector 2">
                <a:extLst>
                  <a:ext uri="{FF2B5EF4-FFF2-40B4-BE49-F238E27FC236}">
                    <a16:creationId xmlns:a16="http://schemas.microsoft.com/office/drawing/2014/main" id="{5640ACE1-2418-B87A-C86A-B247130EB3B0}"/>
                  </a:ext>
                </a:extLst>
              </xdr:cNvPr>
              <xdr:cNvCxnSpPr>
                <a:stCxn id="11" idx="6"/>
                <a:endCxn id="16" idx="2"/>
              </xdr:cNvCxnSpPr>
            </xdr:nvCxnSpPr>
            <xdr:spPr>
              <a:xfrm>
                <a:off x="3964942" y="7750789"/>
                <a:ext cx="334242"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 name="Straight Arrow Connector 3">
                <a:extLst>
                  <a:ext uri="{FF2B5EF4-FFF2-40B4-BE49-F238E27FC236}">
                    <a16:creationId xmlns:a16="http://schemas.microsoft.com/office/drawing/2014/main" id="{712C8E4E-E442-63DA-1F06-4F02E571ED87}"/>
                  </a:ext>
                </a:extLst>
              </xdr:cNvPr>
              <xdr:cNvCxnSpPr>
                <a:stCxn id="13" idx="6"/>
                <a:endCxn id="14" idx="2"/>
              </xdr:cNvCxnSpPr>
            </xdr:nvCxnSpPr>
            <xdr:spPr>
              <a:xfrm>
                <a:off x="5192786" y="6545891"/>
                <a:ext cx="49128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grpSp>
            <xdr:nvGrpSpPr>
              <xdr:cNvPr id="5" name="Group 4">
                <a:extLst>
                  <a:ext uri="{FF2B5EF4-FFF2-40B4-BE49-F238E27FC236}">
                    <a16:creationId xmlns:a16="http://schemas.microsoft.com/office/drawing/2014/main" id="{31D6749C-72D2-525F-6658-D83B39BC9997}"/>
                  </a:ext>
                </a:extLst>
              </xdr:cNvPr>
              <xdr:cNvGrpSpPr/>
            </xdr:nvGrpSpPr>
            <xdr:grpSpPr>
              <a:xfrm>
                <a:off x="1838326" y="4985956"/>
                <a:ext cx="6993304" cy="4462329"/>
                <a:chOff x="666751" y="5538406"/>
                <a:chExt cx="6993304" cy="4462329"/>
              </a:xfrm>
            </xdr:grpSpPr>
            <xdr:sp macro="" textlink="">
              <xdr:nvSpPr>
                <xdr:cNvPr id="6" name="Oval 5">
                  <a:extLst>
                    <a:ext uri="{FF2B5EF4-FFF2-40B4-BE49-F238E27FC236}">
                      <a16:creationId xmlns:a16="http://schemas.microsoft.com/office/drawing/2014/main" id="{B728B4B6-E588-F58D-1543-BD706F0FAE6E}"/>
                    </a:ext>
                  </a:extLst>
                </xdr:cNvPr>
                <xdr:cNvSpPr/>
              </xdr:nvSpPr>
              <xdr:spPr>
                <a:xfrm>
                  <a:off x="6766452" y="7844859"/>
                  <a:ext cx="893603" cy="916759"/>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a:t>O</a:t>
                  </a:r>
                </a:p>
                <a:p>
                  <a:pPr algn="ctr"/>
                  <a:r>
                    <a:rPr lang="en-GB" sz="1000"/>
                    <a:t>0.40 min</a:t>
                  </a:r>
                </a:p>
              </xdr:txBody>
            </xdr:sp>
            <xdr:grpSp>
              <xdr:nvGrpSpPr>
                <xdr:cNvPr id="7" name="Group 6">
                  <a:extLst>
                    <a:ext uri="{FF2B5EF4-FFF2-40B4-BE49-F238E27FC236}">
                      <a16:creationId xmlns:a16="http://schemas.microsoft.com/office/drawing/2014/main" id="{F87AD8BA-4F13-09E5-A94F-8141CFA290EE}"/>
                    </a:ext>
                  </a:extLst>
                </xdr:cNvPr>
                <xdr:cNvGrpSpPr/>
              </xdr:nvGrpSpPr>
              <xdr:grpSpPr>
                <a:xfrm>
                  <a:off x="666751" y="5538406"/>
                  <a:ext cx="6099701" cy="4462329"/>
                  <a:chOff x="666751" y="5538406"/>
                  <a:chExt cx="6099701" cy="4462329"/>
                </a:xfrm>
              </xdr:grpSpPr>
              <xdr:sp macro="" textlink="">
                <xdr:nvSpPr>
                  <xdr:cNvPr id="8" name="Oval 7">
                    <a:extLst>
                      <a:ext uri="{FF2B5EF4-FFF2-40B4-BE49-F238E27FC236}">
                        <a16:creationId xmlns:a16="http://schemas.microsoft.com/office/drawing/2014/main" id="{6A771B1A-DC87-77F0-47CB-9283A920727D}"/>
                      </a:ext>
                    </a:extLst>
                  </xdr:cNvPr>
                  <xdr:cNvSpPr/>
                </xdr:nvSpPr>
                <xdr:spPr>
                  <a:xfrm>
                    <a:off x="666751" y="7295617"/>
                    <a:ext cx="893603" cy="916759"/>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a:t>A</a:t>
                    </a:r>
                  </a:p>
                  <a:p>
                    <a:pPr algn="ctr"/>
                    <a:r>
                      <a:rPr lang="en-GB" sz="1000"/>
                      <a:t>0.40 min </a:t>
                    </a:r>
                  </a:p>
                </xdr:txBody>
              </xdr:sp>
              <xdr:sp macro="" textlink="">
                <xdr:nvSpPr>
                  <xdr:cNvPr id="9" name="Oval 8">
                    <a:extLst>
                      <a:ext uri="{FF2B5EF4-FFF2-40B4-BE49-F238E27FC236}">
                        <a16:creationId xmlns:a16="http://schemas.microsoft.com/office/drawing/2014/main" id="{36E79834-8602-AF33-5595-29E01813538B}"/>
                      </a:ext>
                    </a:extLst>
                  </xdr:cNvPr>
                  <xdr:cNvSpPr/>
                </xdr:nvSpPr>
                <xdr:spPr>
                  <a:xfrm>
                    <a:off x="1899764" y="5538407"/>
                    <a:ext cx="893603" cy="916759"/>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a:t>B</a:t>
                    </a:r>
                  </a:p>
                  <a:p>
                    <a:pPr algn="ctr"/>
                    <a:r>
                      <a:rPr lang="en-GB" sz="1000"/>
                      <a:t>0.30 min</a:t>
                    </a:r>
                  </a:p>
                </xdr:txBody>
              </xdr:sp>
              <xdr:sp macro="" textlink="">
                <xdr:nvSpPr>
                  <xdr:cNvPr id="10" name="Oval 9">
                    <a:extLst>
                      <a:ext uri="{FF2B5EF4-FFF2-40B4-BE49-F238E27FC236}">
                        <a16:creationId xmlns:a16="http://schemas.microsoft.com/office/drawing/2014/main" id="{4D8E4A98-4013-E37A-F655-F9BE480469C2}"/>
                      </a:ext>
                    </a:extLst>
                  </xdr:cNvPr>
                  <xdr:cNvSpPr/>
                </xdr:nvSpPr>
                <xdr:spPr>
                  <a:xfrm>
                    <a:off x="1899764" y="6639961"/>
                    <a:ext cx="893603" cy="916759"/>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a:t>C</a:t>
                    </a:r>
                    <a:endParaRPr lang="en-GB" sz="1000"/>
                  </a:p>
                  <a:p>
                    <a:pPr algn="ctr"/>
                    <a:r>
                      <a:rPr lang="en-GB" sz="1000"/>
                      <a:t>0.30</a:t>
                    </a:r>
                    <a:r>
                      <a:rPr lang="en-GB" sz="1000" baseline="0"/>
                      <a:t> </a:t>
                    </a:r>
                    <a:r>
                      <a:rPr lang="en-GB" sz="1000"/>
                      <a:t>min</a:t>
                    </a:r>
                    <a:endParaRPr lang="en-GB" sz="2000"/>
                  </a:p>
                </xdr:txBody>
              </xdr:sp>
              <xdr:sp macro="" textlink="">
                <xdr:nvSpPr>
                  <xdr:cNvPr id="11" name="Oval 10">
                    <a:extLst>
                      <a:ext uri="{FF2B5EF4-FFF2-40B4-BE49-F238E27FC236}">
                        <a16:creationId xmlns:a16="http://schemas.microsoft.com/office/drawing/2014/main" id="{3CAA9F70-7B26-B025-0B8D-7347BABF7264}"/>
                      </a:ext>
                    </a:extLst>
                  </xdr:cNvPr>
                  <xdr:cNvSpPr/>
                </xdr:nvSpPr>
                <xdr:spPr>
                  <a:xfrm>
                    <a:off x="1899764" y="7844859"/>
                    <a:ext cx="893603" cy="916759"/>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a:t>G</a:t>
                    </a:r>
                  </a:p>
                  <a:p>
                    <a:pPr algn="ctr"/>
                    <a:r>
                      <a:rPr lang="en-GB" sz="1000"/>
                      <a:t>0.40 min</a:t>
                    </a:r>
                  </a:p>
                </xdr:txBody>
              </xdr:sp>
              <xdr:sp macro="" textlink="">
                <xdr:nvSpPr>
                  <xdr:cNvPr id="12" name="Oval 11">
                    <a:extLst>
                      <a:ext uri="{FF2B5EF4-FFF2-40B4-BE49-F238E27FC236}">
                        <a16:creationId xmlns:a16="http://schemas.microsoft.com/office/drawing/2014/main" id="{D8AEC501-1B35-3587-A589-710E0FDB1F5F}"/>
                      </a:ext>
                    </a:extLst>
                  </xdr:cNvPr>
                  <xdr:cNvSpPr/>
                </xdr:nvSpPr>
                <xdr:spPr>
                  <a:xfrm>
                    <a:off x="1899764" y="9083976"/>
                    <a:ext cx="893603" cy="916759"/>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a:t>I</a:t>
                    </a:r>
                  </a:p>
                  <a:p>
                    <a:pPr algn="ctr"/>
                    <a:r>
                      <a:rPr lang="en-GB" sz="1000"/>
                      <a:t>0.60 min</a:t>
                    </a:r>
                  </a:p>
                </xdr:txBody>
              </xdr:sp>
              <xdr:sp macro="" textlink="">
                <xdr:nvSpPr>
                  <xdr:cNvPr id="13" name="Oval 12">
                    <a:extLst>
                      <a:ext uri="{FF2B5EF4-FFF2-40B4-BE49-F238E27FC236}">
                        <a16:creationId xmlns:a16="http://schemas.microsoft.com/office/drawing/2014/main" id="{454D56CD-F5E6-DF94-0439-274BF6255F04}"/>
                      </a:ext>
                    </a:extLst>
                  </xdr:cNvPr>
                  <xdr:cNvSpPr/>
                </xdr:nvSpPr>
                <xdr:spPr>
                  <a:xfrm>
                    <a:off x="3127608" y="6639961"/>
                    <a:ext cx="893603" cy="916759"/>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a:t>D</a:t>
                    </a:r>
                  </a:p>
                  <a:p>
                    <a:pPr algn="ctr"/>
                    <a:r>
                      <a:rPr lang="en-GB" sz="1000"/>
                      <a:t>0.50 min</a:t>
                    </a:r>
                  </a:p>
                </xdr:txBody>
              </xdr:sp>
              <xdr:sp macro="" textlink="">
                <xdr:nvSpPr>
                  <xdr:cNvPr id="14" name="Oval 13">
                    <a:extLst>
                      <a:ext uri="{FF2B5EF4-FFF2-40B4-BE49-F238E27FC236}">
                        <a16:creationId xmlns:a16="http://schemas.microsoft.com/office/drawing/2014/main" id="{B7A94E8E-606A-6349-2320-96C08F5B3C15}"/>
                      </a:ext>
                    </a:extLst>
                  </xdr:cNvPr>
                  <xdr:cNvSpPr/>
                </xdr:nvSpPr>
                <xdr:spPr>
                  <a:xfrm>
                    <a:off x="4512495" y="6639961"/>
                    <a:ext cx="893604" cy="916759"/>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a:t>E</a:t>
                    </a:r>
                  </a:p>
                  <a:p>
                    <a:pPr algn="ctr"/>
                    <a:r>
                      <a:rPr lang="en-GB" sz="1000"/>
                      <a:t>0.50 min</a:t>
                    </a:r>
                  </a:p>
                </xdr:txBody>
              </xdr:sp>
              <xdr:sp macro="" textlink="">
                <xdr:nvSpPr>
                  <xdr:cNvPr id="15" name="Oval 14">
                    <a:extLst>
                      <a:ext uri="{FF2B5EF4-FFF2-40B4-BE49-F238E27FC236}">
                        <a16:creationId xmlns:a16="http://schemas.microsoft.com/office/drawing/2014/main" id="{72C446ED-67C4-CA9E-F842-578C1F059477}"/>
                      </a:ext>
                    </a:extLst>
                  </xdr:cNvPr>
                  <xdr:cNvSpPr/>
                </xdr:nvSpPr>
                <xdr:spPr>
                  <a:xfrm>
                    <a:off x="5473760" y="5538406"/>
                    <a:ext cx="893604" cy="916759"/>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a:t>F</a:t>
                    </a:r>
                  </a:p>
                  <a:p>
                    <a:pPr algn="ctr"/>
                    <a:r>
                      <a:rPr lang="en-GB" sz="1000"/>
                      <a:t>0.50 min</a:t>
                    </a:r>
                  </a:p>
                </xdr:txBody>
              </xdr:sp>
              <xdr:sp macro="" textlink="">
                <xdr:nvSpPr>
                  <xdr:cNvPr id="16" name="Oval 15">
                    <a:extLst>
                      <a:ext uri="{FF2B5EF4-FFF2-40B4-BE49-F238E27FC236}">
                        <a16:creationId xmlns:a16="http://schemas.microsoft.com/office/drawing/2014/main" id="{4002B5D4-286F-6D28-280B-556E769A76D4}"/>
                      </a:ext>
                    </a:extLst>
                  </xdr:cNvPr>
                  <xdr:cNvSpPr/>
                </xdr:nvSpPr>
                <xdr:spPr>
                  <a:xfrm>
                    <a:off x="3127608" y="7844859"/>
                    <a:ext cx="893603" cy="916759"/>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a:t>H</a:t>
                    </a:r>
                  </a:p>
                  <a:p>
                    <a:pPr algn="ctr"/>
                    <a:r>
                      <a:rPr lang="en-GB" sz="1000"/>
                      <a:t>0.70 min</a:t>
                    </a:r>
                  </a:p>
                </xdr:txBody>
              </xdr:sp>
              <xdr:sp macro="" textlink="">
                <xdr:nvSpPr>
                  <xdr:cNvPr id="17" name="Oval 16">
                    <a:extLst>
                      <a:ext uri="{FF2B5EF4-FFF2-40B4-BE49-F238E27FC236}">
                        <a16:creationId xmlns:a16="http://schemas.microsoft.com/office/drawing/2014/main" id="{0093CF34-4274-D8EE-BA57-ED645084675D}"/>
                      </a:ext>
                    </a:extLst>
                  </xdr:cNvPr>
                  <xdr:cNvSpPr/>
                </xdr:nvSpPr>
                <xdr:spPr>
                  <a:xfrm>
                    <a:off x="3127608" y="9083976"/>
                    <a:ext cx="893603" cy="916759"/>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a:t>L</a:t>
                    </a:r>
                  </a:p>
                  <a:p>
                    <a:pPr algn="ctr"/>
                    <a:r>
                      <a:rPr lang="en-GB" sz="1000"/>
                      <a:t>0.80 min</a:t>
                    </a:r>
                  </a:p>
                </xdr:txBody>
              </xdr:sp>
              <xdr:sp macro="" textlink="">
                <xdr:nvSpPr>
                  <xdr:cNvPr id="19" name="Oval 18">
                    <a:extLst>
                      <a:ext uri="{FF2B5EF4-FFF2-40B4-BE49-F238E27FC236}">
                        <a16:creationId xmlns:a16="http://schemas.microsoft.com/office/drawing/2014/main" id="{0FA52195-D68C-EDFB-C440-D514CCC4CC81}"/>
                      </a:ext>
                    </a:extLst>
                  </xdr:cNvPr>
                  <xdr:cNvSpPr/>
                </xdr:nvSpPr>
                <xdr:spPr>
                  <a:xfrm>
                    <a:off x="4512496" y="9083976"/>
                    <a:ext cx="893603" cy="916759"/>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a:t>M</a:t>
                    </a:r>
                  </a:p>
                  <a:p>
                    <a:pPr algn="ctr"/>
                    <a:r>
                      <a:rPr lang="en-GB" sz="1000"/>
                      <a:t>0.50 min</a:t>
                    </a:r>
                  </a:p>
                </xdr:txBody>
              </xdr:sp>
              <xdr:cxnSp macro="">
                <xdr:nvCxnSpPr>
                  <xdr:cNvPr id="20" name="Straight Arrow Connector 19">
                    <a:extLst>
                      <a:ext uri="{FF2B5EF4-FFF2-40B4-BE49-F238E27FC236}">
                        <a16:creationId xmlns:a16="http://schemas.microsoft.com/office/drawing/2014/main" id="{47B7516B-E53C-B325-9D07-37F1053982B5}"/>
                      </a:ext>
                    </a:extLst>
                  </xdr:cNvPr>
                  <xdr:cNvCxnSpPr>
                    <a:stCxn id="8" idx="6"/>
                    <a:endCxn id="10" idx="2"/>
                  </xdr:cNvCxnSpPr>
                </xdr:nvCxnSpPr>
                <xdr:spPr>
                  <a:xfrm flipV="1">
                    <a:off x="1560354" y="7098341"/>
                    <a:ext cx="339411" cy="6556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1" name="Straight Arrow Connector 20">
                    <a:extLst>
                      <a:ext uri="{FF2B5EF4-FFF2-40B4-BE49-F238E27FC236}">
                        <a16:creationId xmlns:a16="http://schemas.microsoft.com/office/drawing/2014/main" id="{9AC04339-7A06-0A37-3FED-6BE8045EE2F0}"/>
                      </a:ext>
                    </a:extLst>
                  </xdr:cNvPr>
                  <xdr:cNvCxnSpPr>
                    <a:stCxn id="8" idx="6"/>
                    <a:endCxn id="11" idx="2"/>
                  </xdr:cNvCxnSpPr>
                </xdr:nvCxnSpPr>
                <xdr:spPr>
                  <a:xfrm>
                    <a:off x="1560354" y="7753997"/>
                    <a:ext cx="339411" cy="54924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2" name="Straight Arrow Connector 21">
                    <a:extLst>
                      <a:ext uri="{FF2B5EF4-FFF2-40B4-BE49-F238E27FC236}">
                        <a16:creationId xmlns:a16="http://schemas.microsoft.com/office/drawing/2014/main" id="{2F02F641-7255-0A48-EA38-27A7B5D4FECB}"/>
                      </a:ext>
                    </a:extLst>
                  </xdr:cNvPr>
                  <xdr:cNvCxnSpPr>
                    <a:stCxn id="8" idx="6"/>
                    <a:endCxn id="12" idx="2"/>
                  </xdr:cNvCxnSpPr>
                </xdr:nvCxnSpPr>
                <xdr:spPr>
                  <a:xfrm>
                    <a:off x="1560354" y="7753997"/>
                    <a:ext cx="339411" cy="17883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4" name="Straight Arrow Connector 23">
                    <a:extLst>
                      <a:ext uri="{FF2B5EF4-FFF2-40B4-BE49-F238E27FC236}">
                        <a16:creationId xmlns:a16="http://schemas.microsoft.com/office/drawing/2014/main" id="{FE4D7090-C0F2-B504-AD58-A3C8FE028800}"/>
                      </a:ext>
                    </a:extLst>
                  </xdr:cNvPr>
                  <xdr:cNvCxnSpPr>
                    <a:stCxn id="8" idx="6"/>
                    <a:endCxn id="9" idx="2"/>
                  </xdr:cNvCxnSpPr>
                </xdr:nvCxnSpPr>
                <xdr:spPr>
                  <a:xfrm flipV="1">
                    <a:off x="1560353" y="5996787"/>
                    <a:ext cx="339411" cy="175721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5" name="Straight Arrow Connector 24">
                    <a:extLst>
                      <a:ext uri="{FF2B5EF4-FFF2-40B4-BE49-F238E27FC236}">
                        <a16:creationId xmlns:a16="http://schemas.microsoft.com/office/drawing/2014/main" id="{ED823D7D-A9E9-1552-32D6-6881D0758CCD}"/>
                      </a:ext>
                    </a:extLst>
                  </xdr:cNvPr>
                  <xdr:cNvCxnSpPr>
                    <a:stCxn id="10" idx="6"/>
                    <a:endCxn id="13" idx="2"/>
                  </xdr:cNvCxnSpPr>
                </xdr:nvCxnSpPr>
                <xdr:spPr>
                  <a:xfrm>
                    <a:off x="2793367" y="7098341"/>
                    <a:ext cx="334242"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6" name="Straight Arrow Connector 25">
                    <a:extLst>
                      <a:ext uri="{FF2B5EF4-FFF2-40B4-BE49-F238E27FC236}">
                        <a16:creationId xmlns:a16="http://schemas.microsoft.com/office/drawing/2014/main" id="{1FCA475E-1572-E039-055C-641D57482F51}"/>
                      </a:ext>
                    </a:extLst>
                  </xdr:cNvPr>
                  <xdr:cNvCxnSpPr>
                    <a:stCxn id="12" idx="6"/>
                    <a:endCxn id="17" idx="2"/>
                  </xdr:cNvCxnSpPr>
                </xdr:nvCxnSpPr>
                <xdr:spPr>
                  <a:xfrm>
                    <a:off x="2793367" y="9542356"/>
                    <a:ext cx="334242"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7" name="Straight Arrow Connector 26">
                    <a:extLst>
                      <a:ext uri="{FF2B5EF4-FFF2-40B4-BE49-F238E27FC236}">
                        <a16:creationId xmlns:a16="http://schemas.microsoft.com/office/drawing/2014/main" id="{8D51236C-71C7-C2A9-50CF-F80A145134BF}"/>
                      </a:ext>
                    </a:extLst>
                  </xdr:cNvPr>
                  <xdr:cNvCxnSpPr>
                    <a:cxnSpLocks/>
                    <a:stCxn id="17" idx="6"/>
                    <a:endCxn id="19" idx="2"/>
                  </xdr:cNvCxnSpPr>
                </xdr:nvCxnSpPr>
                <xdr:spPr>
                  <a:xfrm>
                    <a:off x="4021211" y="9542356"/>
                    <a:ext cx="491284"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9" name="Straight Arrow Connector 28">
                    <a:extLst>
                      <a:ext uri="{FF2B5EF4-FFF2-40B4-BE49-F238E27FC236}">
                        <a16:creationId xmlns:a16="http://schemas.microsoft.com/office/drawing/2014/main" id="{59C3E0DD-836A-A56B-15BF-E6B8DF79C51C}"/>
                      </a:ext>
                    </a:extLst>
                  </xdr:cNvPr>
                  <xdr:cNvCxnSpPr>
                    <a:cxnSpLocks/>
                    <a:stCxn id="19" idx="6"/>
                    <a:endCxn id="6" idx="2"/>
                  </xdr:cNvCxnSpPr>
                </xdr:nvCxnSpPr>
                <xdr:spPr>
                  <a:xfrm flipV="1">
                    <a:off x="5406098" y="8303239"/>
                    <a:ext cx="1360354" cy="123911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0" name="Straight Arrow Connector 29">
                    <a:extLst>
                      <a:ext uri="{FF2B5EF4-FFF2-40B4-BE49-F238E27FC236}">
                        <a16:creationId xmlns:a16="http://schemas.microsoft.com/office/drawing/2014/main" id="{AB78A71C-BFC4-766E-E24D-AEA5320F5083}"/>
                      </a:ext>
                    </a:extLst>
                  </xdr:cNvPr>
                  <xdr:cNvCxnSpPr>
                    <a:stCxn id="121" idx="6"/>
                    <a:endCxn id="6" idx="2"/>
                  </xdr:cNvCxnSpPr>
                </xdr:nvCxnSpPr>
                <xdr:spPr>
                  <a:xfrm>
                    <a:off x="5406098" y="8303239"/>
                    <a:ext cx="1360354"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1" name="Straight Arrow Connector 30">
                    <a:extLst>
                      <a:ext uri="{FF2B5EF4-FFF2-40B4-BE49-F238E27FC236}">
                        <a16:creationId xmlns:a16="http://schemas.microsoft.com/office/drawing/2014/main" id="{DE2397D8-4674-7910-20F2-0566954C7C9D}"/>
                      </a:ext>
                    </a:extLst>
                  </xdr:cNvPr>
                  <xdr:cNvCxnSpPr>
                    <a:stCxn id="15" idx="6"/>
                    <a:endCxn id="6" idx="2"/>
                  </xdr:cNvCxnSpPr>
                </xdr:nvCxnSpPr>
                <xdr:spPr>
                  <a:xfrm>
                    <a:off x="6367364" y="5996786"/>
                    <a:ext cx="399088" cy="230645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2" name="Straight Arrow Connector 31">
                    <a:extLst>
                      <a:ext uri="{FF2B5EF4-FFF2-40B4-BE49-F238E27FC236}">
                        <a16:creationId xmlns:a16="http://schemas.microsoft.com/office/drawing/2014/main" id="{F4884D5B-6DA9-2FE6-ECCA-3E1D72E74CF3}"/>
                      </a:ext>
                    </a:extLst>
                  </xdr:cNvPr>
                  <xdr:cNvCxnSpPr>
                    <a:stCxn id="9" idx="6"/>
                    <a:endCxn id="15" idx="2"/>
                  </xdr:cNvCxnSpPr>
                </xdr:nvCxnSpPr>
                <xdr:spPr>
                  <a:xfrm flipV="1">
                    <a:off x="2793367" y="5996786"/>
                    <a:ext cx="2680394"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3" name="Straight Arrow Connector 32">
                    <a:extLst>
                      <a:ext uri="{FF2B5EF4-FFF2-40B4-BE49-F238E27FC236}">
                        <a16:creationId xmlns:a16="http://schemas.microsoft.com/office/drawing/2014/main" id="{A6D72E00-2B08-05E6-4D57-84BBE600CB50}"/>
                      </a:ext>
                    </a:extLst>
                  </xdr:cNvPr>
                  <xdr:cNvCxnSpPr>
                    <a:stCxn id="17" idx="0"/>
                    <a:endCxn id="16" idx="4"/>
                  </xdr:cNvCxnSpPr>
                </xdr:nvCxnSpPr>
                <xdr:spPr>
                  <a:xfrm flipV="1">
                    <a:off x="3574410" y="8761618"/>
                    <a:ext cx="0" cy="3223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4" name="Straight Arrow Connector 33">
                    <a:extLst>
                      <a:ext uri="{FF2B5EF4-FFF2-40B4-BE49-F238E27FC236}">
                        <a16:creationId xmlns:a16="http://schemas.microsoft.com/office/drawing/2014/main" id="{A4E473B5-A853-9682-7E69-35B63D412365}"/>
                      </a:ext>
                    </a:extLst>
                  </xdr:cNvPr>
                  <xdr:cNvCxnSpPr>
                    <a:stCxn id="14" idx="6"/>
                    <a:endCxn id="15" idx="4"/>
                  </xdr:cNvCxnSpPr>
                </xdr:nvCxnSpPr>
                <xdr:spPr>
                  <a:xfrm flipV="1">
                    <a:off x="5406098" y="6455165"/>
                    <a:ext cx="514464" cy="64317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grpSp>
          </xdr:grpSp>
        </xdr:grpSp>
        <xdr:sp macro="" textlink="">
          <xdr:nvSpPr>
            <xdr:cNvPr id="121" name="Oval 120">
              <a:extLst>
                <a:ext uri="{FF2B5EF4-FFF2-40B4-BE49-F238E27FC236}">
                  <a16:creationId xmlns:a16="http://schemas.microsoft.com/office/drawing/2014/main" id="{4965CCC8-8309-4DC2-A0CA-67562D7E8FF8}"/>
                </a:ext>
              </a:extLst>
            </xdr:cNvPr>
            <xdr:cNvSpPr/>
          </xdr:nvSpPr>
          <xdr:spPr>
            <a:xfrm>
              <a:off x="5730647" y="6403544"/>
              <a:ext cx="899999" cy="899999"/>
            </a:xfrm>
            <a:prstGeom prst="ellips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a:t>N</a:t>
              </a:r>
            </a:p>
            <a:p>
              <a:pPr algn="ctr"/>
              <a:r>
                <a:rPr lang="en-GB" sz="1000"/>
                <a:t>0.40 min</a:t>
              </a:r>
            </a:p>
          </xdr:txBody>
        </xdr:sp>
      </xdr:grpSp>
      <xdr:cxnSp macro="">
        <xdr:nvCxnSpPr>
          <xdr:cNvPr id="124" name="Straight Arrow Connector 123">
            <a:extLst>
              <a:ext uri="{FF2B5EF4-FFF2-40B4-BE49-F238E27FC236}">
                <a16:creationId xmlns:a16="http://schemas.microsoft.com/office/drawing/2014/main" id="{D98A33C3-3CDF-4DA0-B691-C676CFFA7A04}"/>
              </a:ext>
            </a:extLst>
          </xdr:cNvPr>
          <xdr:cNvCxnSpPr>
            <a:cxnSpLocks/>
            <a:stCxn id="16" idx="6"/>
            <a:endCxn id="121" idx="2"/>
          </xdr:cNvCxnSpPr>
        </xdr:nvCxnSpPr>
        <xdr:spPr>
          <a:xfrm>
            <a:off x="5616846" y="6815444"/>
            <a:ext cx="494801"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17</xdr:col>
      <xdr:colOff>527538</xdr:colOff>
      <xdr:row>27</xdr:row>
      <xdr:rowOff>58616</xdr:rowOff>
    </xdr:from>
    <xdr:to>
      <xdr:col>19</xdr:col>
      <xdr:colOff>559239</xdr:colOff>
      <xdr:row>35</xdr:row>
      <xdr:rowOff>225852</xdr:rowOff>
    </xdr:to>
    <xdr:grpSp>
      <xdr:nvGrpSpPr>
        <xdr:cNvPr id="18" name="Group 17">
          <a:extLst>
            <a:ext uri="{FF2B5EF4-FFF2-40B4-BE49-F238E27FC236}">
              <a16:creationId xmlns:a16="http://schemas.microsoft.com/office/drawing/2014/main" id="{BBCE9E1C-412B-4269-A2BE-5B9357BE897A}"/>
            </a:ext>
          </a:extLst>
        </xdr:cNvPr>
        <xdr:cNvGrpSpPr/>
      </xdr:nvGrpSpPr>
      <xdr:grpSpPr>
        <a:xfrm>
          <a:off x="11000985" y="6105978"/>
          <a:ext cx="1263871" cy="1804725"/>
          <a:chOff x="10218761" y="8029433"/>
          <a:chExt cx="1260000" cy="3900985"/>
        </a:xfrm>
      </xdr:grpSpPr>
      <xdr:cxnSp macro="">
        <xdr:nvCxnSpPr>
          <xdr:cNvPr id="23" name="Straight Arrow Connector 22">
            <a:extLst>
              <a:ext uri="{FF2B5EF4-FFF2-40B4-BE49-F238E27FC236}">
                <a16:creationId xmlns:a16="http://schemas.microsoft.com/office/drawing/2014/main" id="{5B5FE35F-72C0-F812-BD2A-7E825CCE2485}"/>
              </a:ext>
            </a:extLst>
          </xdr:cNvPr>
          <xdr:cNvCxnSpPr/>
        </xdr:nvCxnSpPr>
        <xdr:spPr>
          <a:xfrm flipH="1">
            <a:off x="10218761" y="8029433"/>
            <a:ext cx="1260000" cy="0"/>
          </a:xfrm>
          <a:prstGeom prst="straightConnector1">
            <a:avLst/>
          </a:prstGeom>
          <a:ln w="57150">
            <a:solidFill>
              <a:schemeClr val="tx1"/>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xnSp macro="">
        <xdr:nvCxnSpPr>
          <xdr:cNvPr id="28" name="Straight Arrow Connector 27">
            <a:extLst>
              <a:ext uri="{FF2B5EF4-FFF2-40B4-BE49-F238E27FC236}">
                <a16:creationId xmlns:a16="http://schemas.microsoft.com/office/drawing/2014/main" id="{792A9362-4295-BF10-4CAD-C916CE88654A}"/>
              </a:ext>
            </a:extLst>
          </xdr:cNvPr>
          <xdr:cNvCxnSpPr/>
        </xdr:nvCxnSpPr>
        <xdr:spPr>
          <a:xfrm flipH="1" flipV="1">
            <a:off x="10218761" y="8029433"/>
            <a:ext cx="11373" cy="3900985"/>
          </a:xfrm>
          <a:prstGeom prst="straightConnector1">
            <a:avLst/>
          </a:prstGeom>
          <a:ln w="57150">
            <a:solidFill>
              <a:schemeClr val="tx1"/>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xnSp macro="">
        <xdr:nvCxnSpPr>
          <xdr:cNvPr id="35" name="Straight Arrow Connector 34">
            <a:extLst>
              <a:ext uri="{FF2B5EF4-FFF2-40B4-BE49-F238E27FC236}">
                <a16:creationId xmlns:a16="http://schemas.microsoft.com/office/drawing/2014/main" id="{F3700C9F-5D7A-7DFF-ACA0-A9776B371AED}"/>
              </a:ext>
            </a:extLst>
          </xdr:cNvPr>
          <xdr:cNvCxnSpPr/>
        </xdr:nvCxnSpPr>
        <xdr:spPr>
          <a:xfrm flipH="1">
            <a:off x="10218761" y="11930418"/>
            <a:ext cx="1260000" cy="0"/>
          </a:xfrm>
          <a:prstGeom prst="straightConnector1">
            <a:avLst/>
          </a:prstGeom>
          <a:ln w="57150">
            <a:solidFill>
              <a:schemeClr val="tx1"/>
            </a:solidFill>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17</xdr:col>
      <xdr:colOff>586153</xdr:colOff>
      <xdr:row>41</xdr:row>
      <xdr:rowOff>152400</xdr:rowOff>
    </xdr:from>
    <xdr:to>
      <xdr:col>20</xdr:col>
      <xdr:colOff>8254</xdr:colOff>
      <xdr:row>50</xdr:row>
      <xdr:rowOff>73453</xdr:rowOff>
    </xdr:to>
    <xdr:grpSp>
      <xdr:nvGrpSpPr>
        <xdr:cNvPr id="36" name="Group 35">
          <a:extLst>
            <a:ext uri="{FF2B5EF4-FFF2-40B4-BE49-F238E27FC236}">
              <a16:creationId xmlns:a16="http://schemas.microsoft.com/office/drawing/2014/main" id="{EC70AA3E-73B5-4AD3-8FF8-168689D39537}"/>
            </a:ext>
          </a:extLst>
        </xdr:cNvPr>
        <xdr:cNvGrpSpPr/>
      </xdr:nvGrpSpPr>
      <xdr:grpSpPr>
        <a:xfrm>
          <a:off x="11059600" y="9312613"/>
          <a:ext cx="1270356" cy="1785521"/>
          <a:chOff x="10218761" y="8029433"/>
          <a:chExt cx="1260000" cy="3900985"/>
        </a:xfrm>
      </xdr:grpSpPr>
      <xdr:cxnSp macro="">
        <xdr:nvCxnSpPr>
          <xdr:cNvPr id="37" name="Straight Arrow Connector 36">
            <a:extLst>
              <a:ext uri="{FF2B5EF4-FFF2-40B4-BE49-F238E27FC236}">
                <a16:creationId xmlns:a16="http://schemas.microsoft.com/office/drawing/2014/main" id="{2FA7BB66-4E6A-FAF8-7333-E743D4B9886D}"/>
              </a:ext>
            </a:extLst>
          </xdr:cNvPr>
          <xdr:cNvCxnSpPr/>
        </xdr:nvCxnSpPr>
        <xdr:spPr>
          <a:xfrm flipH="1">
            <a:off x="10218761" y="8029433"/>
            <a:ext cx="1260000" cy="0"/>
          </a:xfrm>
          <a:prstGeom prst="straightConnector1">
            <a:avLst/>
          </a:prstGeom>
          <a:ln w="57150">
            <a:solidFill>
              <a:schemeClr val="tx1"/>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xnSp macro="">
        <xdr:nvCxnSpPr>
          <xdr:cNvPr id="38" name="Straight Arrow Connector 37">
            <a:extLst>
              <a:ext uri="{FF2B5EF4-FFF2-40B4-BE49-F238E27FC236}">
                <a16:creationId xmlns:a16="http://schemas.microsoft.com/office/drawing/2014/main" id="{D07CD5CF-58BC-1BE5-18DE-4FF9A6C0955A}"/>
              </a:ext>
            </a:extLst>
          </xdr:cNvPr>
          <xdr:cNvCxnSpPr/>
        </xdr:nvCxnSpPr>
        <xdr:spPr>
          <a:xfrm flipH="1" flipV="1">
            <a:off x="10218761" y="8029433"/>
            <a:ext cx="11373" cy="3900985"/>
          </a:xfrm>
          <a:prstGeom prst="straightConnector1">
            <a:avLst/>
          </a:prstGeom>
          <a:ln w="57150">
            <a:solidFill>
              <a:schemeClr val="tx1"/>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xnSp macro="">
        <xdr:nvCxnSpPr>
          <xdr:cNvPr id="39" name="Straight Arrow Connector 38">
            <a:extLst>
              <a:ext uri="{FF2B5EF4-FFF2-40B4-BE49-F238E27FC236}">
                <a16:creationId xmlns:a16="http://schemas.microsoft.com/office/drawing/2014/main" id="{0B0E495C-62E3-B41C-CB8D-133DB6E09378}"/>
              </a:ext>
            </a:extLst>
          </xdr:cNvPr>
          <xdr:cNvCxnSpPr/>
        </xdr:nvCxnSpPr>
        <xdr:spPr>
          <a:xfrm flipH="1">
            <a:off x="10218761" y="11930418"/>
            <a:ext cx="1260000" cy="0"/>
          </a:xfrm>
          <a:prstGeom prst="straightConnector1">
            <a:avLst/>
          </a:prstGeom>
          <a:ln w="57150">
            <a:solidFill>
              <a:schemeClr val="tx1"/>
            </a:solidFill>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37</xdr:col>
      <xdr:colOff>535196</xdr:colOff>
      <xdr:row>23</xdr:row>
      <xdr:rowOff>16566</xdr:rowOff>
    </xdr:from>
    <xdr:to>
      <xdr:col>47</xdr:col>
      <xdr:colOff>125456</xdr:colOff>
      <xdr:row>39</xdr:row>
      <xdr:rowOff>179093</xdr:rowOff>
    </xdr:to>
    <xdr:pic>
      <xdr:nvPicPr>
        <xdr:cNvPr id="2" name="Picture 16">
          <a:extLst>
            <a:ext uri="{FF2B5EF4-FFF2-40B4-BE49-F238E27FC236}">
              <a16:creationId xmlns:a16="http://schemas.microsoft.com/office/drawing/2014/main" id="{9FD08F9F-44AC-4AE7-9894-365F67ED1BB1}"/>
            </a:ext>
            <a:ext uri="{147F2762-F138-4A5C-976F-8EAC2B608ADB}">
              <a16:predDERef xmlns:a16="http://schemas.microsoft.com/office/drawing/2014/main" pred="{11A9596C-8A29-4942-9AA7-A0126F36D998}"/>
            </a:ext>
          </a:extLst>
        </xdr:cNvPr>
        <xdr:cNvPicPr>
          <a:picLocks noChangeAspect="1"/>
        </xdr:cNvPicPr>
      </xdr:nvPicPr>
      <xdr:blipFill>
        <a:blip xmlns:r="http://schemas.openxmlformats.org/officeDocument/2006/relationships" r:embed="rId1"/>
        <a:stretch>
          <a:fillRect/>
        </a:stretch>
      </xdr:blipFill>
      <xdr:spPr>
        <a:xfrm>
          <a:off x="35901521" y="4782876"/>
          <a:ext cx="5682450" cy="332101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16</xdr:col>
      <xdr:colOff>337458</xdr:colOff>
      <xdr:row>28</xdr:row>
      <xdr:rowOff>102733</xdr:rowOff>
    </xdr:from>
    <xdr:to>
      <xdr:col>26</xdr:col>
      <xdr:colOff>413658</xdr:colOff>
      <xdr:row>49</xdr:row>
      <xdr:rowOff>38100</xdr:rowOff>
    </xdr:to>
    <xdr:graphicFrame macro="">
      <xdr:nvGraphicFramePr>
        <xdr:cNvPr id="9" name="Chart 8">
          <a:extLst>
            <a:ext uri="{FF2B5EF4-FFF2-40B4-BE49-F238E27FC236}">
              <a16:creationId xmlns:a16="http://schemas.microsoft.com/office/drawing/2014/main" id="{E3FBD056-FBC9-7B02-A9EE-AAFC5743F1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d.docs.live.net/688c36fb52257ebc/Documenti/University/3%20Anno/1%20Sessione/Impianti%20Industriali%20e%20Sicurezza%20sul%20Lavoro/ESERCITAZIONI/SAL/SAL%203/GRUPPO10_RG_SAL3/TRINCIATUTTO_SAL3%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_DATI_BASE"/>
      <sheetName val="$_DB_CICLI"/>
      <sheetName val="$_FABB_PARTI_LOTTI"/>
      <sheetName val="OP_MONTAGGIO"/>
      <sheetName val="$_MAG_BUFFER"/>
      <sheetName val="$_MOV_MATERIALI"/>
      <sheetName val="DIMENSIONI E PESI"/>
      <sheetName val="ALTRI_DATI"/>
    </sheetNames>
    <sheetDataSet>
      <sheetData sheetId="0"/>
      <sheetData sheetId="1">
        <row r="11">
          <cell r="Q11">
            <v>3816</v>
          </cell>
        </row>
        <row r="15">
          <cell r="Q15">
            <v>2862</v>
          </cell>
        </row>
        <row r="19">
          <cell r="Q19">
            <v>9540</v>
          </cell>
        </row>
        <row r="20">
          <cell r="Q20">
            <v>17955</v>
          </cell>
        </row>
        <row r="21">
          <cell r="P21">
            <v>17955</v>
          </cell>
        </row>
        <row r="22">
          <cell r="Q22">
            <v>35910</v>
          </cell>
        </row>
        <row r="23">
          <cell r="P23">
            <v>53865</v>
          </cell>
        </row>
        <row r="24">
          <cell r="P24">
            <v>17955</v>
          </cell>
        </row>
        <row r="33">
          <cell r="Q33">
            <v>1636</v>
          </cell>
        </row>
        <row r="37">
          <cell r="Q37">
            <v>82</v>
          </cell>
        </row>
        <row r="41">
          <cell r="Q41">
            <v>4089</v>
          </cell>
        </row>
        <row r="42">
          <cell r="Q42">
            <v>7695</v>
          </cell>
        </row>
        <row r="43">
          <cell r="Q43">
            <v>7695</v>
          </cell>
        </row>
        <row r="44">
          <cell r="P44">
            <v>15390</v>
          </cell>
        </row>
        <row r="45">
          <cell r="Q45">
            <v>23085</v>
          </cell>
        </row>
        <row r="46">
          <cell r="Q46">
            <v>7695</v>
          </cell>
        </row>
      </sheetData>
      <sheetData sheetId="2">
        <row r="7">
          <cell r="L7">
            <v>17955</v>
          </cell>
        </row>
        <row r="8">
          <cell r="L8">
            <v>7695</v>
          </cell>
        </row>
        <row r="10">
          <cell r="L10">
            <v>17955</v>
          </cell>
        </row>
        <row r="11">
          <cell r="L11">
            <v>7695</v>
          </cell>
        </row>
        <row r="13">
          <cell r="L13">
            <v>18511</v>
          </cell>
        </row>
        <row r="14">
          <cell r="L14">
            <v>18889</v>
          </cell>
        </row>
        <row r="15">
          <cell r="L15">
            <v>7933</v>
          </cell>
        </row>
        <row r="16">
          <cell r="L16">
            <v>8095</v>
          </cell>
        </row>
        <row r="17">
          <cell r="L17">
            <v>57118</v>
          </cell>
        </row>
        <row r="18">
          <cell r="L18">
            <v>58285</v>
          </cell>
        </row>
        <row r="19">
          <cell r="L19">
            <v>52887</v>
          </cell>
        </row>
        <row r="20">
          <cell r="L20">
            <v>53967</v>
          </cell>
        </row>
      </sheetData>
      <sheetData sheetId="3"/>
      <sheetData sheetId="4"/>
      <sheetData sheetId="5"/>
      <sheetData sheetId="6"/>
      <sheetData sheetId="7"/>
    </sheetDataSet>
  </externalBook>
</externalLink>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98"/>
  <sheetViews>
    <sheetView zoomScale="48" zoomScaleNormal="90" workbookViewId="0">
      <pane ySplit="1" topLeftCell="A47" activePane="bottomLeft" state="frozen"/>
      <selection activeCell="L1" sqref="L1"/>
      <selection pane="bottomLeft" activeCell="Y52" sqref="Y52"/>
    </sheetView>
  </sheetViews>
  <sheetFormatPr defaultRowHeight="14.4" x14ac:dyDescent="0.3"/>
  <cols>
    <col min="1" max="1" width="14.6640625" customWidth="1"/>
    <col min="7" max="8" width="11.33203125" customWidth="1"/>
    <col min="9" max="9" width="10" customWidth="1"/>
    <col min="10" max="10" width="10.5546875" customWidth="1"/>
    <col min="11" max="12" width="10.109375" customWidth="1"/>
    <col min="15" max="15" width="13.88671875" customWidth="1"/>
    <col min="16" max="16" width="12.5546875" customWidth="1"/>
    <col min="17" max="17" width="15.5546875" customWidth="1"/>
    <col min="18" max="18" width="14.109375" customWidth="1"/>
    <col min="19" max="21" width="16.44140625" customWidth="1"/>
    <col min="22" max="22" width="11.44140625" customWidth="1"/>
    <col min="23" max="23" width="10.33203125" customWidth="1"/>
  </cols>
  <sheetData>
    <row r="1" spans="2:25" x14ac:dyDescent="0.3">
      <c r="G1" s="1"/>
      <c r="H1" s="1"/>
      <c r="I1" s="1"/>
      <c r="J1" s="1"/>
      <c r="K1" s="1"/>
      <c r="L1" s="1"/>
      <c r="M1" s="1"/>
      <c r="N1" s="1"/>
      <c r="O1" s="1"/>
      <c r="P1" s="1"/>
      <c r="Q1" s="5"/>
      <c r="R1" s="1"/>
      <c r="S1" s="1"/>
      <c r="T1" s="1"/>
      <c r="U1" s="1"/>
      <c r="V1" s="1"/>
      <c r="W1" s="1"/>
      <c r="X1" s="1"/>
      <c r="Y1" s="1"/>
    </row>
    <row r="2" spans="2:25" x14ac:dyDescent="0.3">
      <c r="G2" s="1"/>
      <c r="H2" s="1"/>
      <c r="I2" s="1"/>
      <c r="J2" s="1"/>
      <c r="K2" s="1"/>
      <c r="L2" s="1"/>
      <c r="O2" s="1"/>
      <c r="P2" s="1"/>
      <c r="Q2" s="5"/>
      <c r="R2" s="1"/>
      <c r="S2" s="1"/>
      <c r="T2" s="1"/>
      <c r="U2" s="1"/>
      <c r="V2" s="1"/>
      <c r="W2" s="1"/>
      <c r="X2" s="1"/>
      <c r="Y2" s="1"/>
    </row>
    <row r="3" spans="2:25" x14ac:dyDescent="0.3">
      <c r="I3" s="1"/>
      <c r="L3" s="1"/>
      <c r="O3" s="1"/>
      <c r="P3" s="1"/>
      <c r="Q3" s="5"/>
      <c r="R3" s="1"/>
      <c r="S3" s="1"/>
      <c r="T3" s="1"/>
      <c r="U3" s="1"/>
      <c r="V3" s="1"/>
      <c r="W3" s="1"/>
      <c r="X3" s="1"/>
      <c r="Y3" s="1"/>
    </row>
    <row r="4" spans="2:25" x14ac:dyDescent="0.3">
      <c r="C4" s="309" t="s">
        <v>0</v>
      </c>
      <c r="D4" s="310"/>
      <c r="E4" s="310"/>
      <c r="F4" s="310"/>
      <c r="G4" s="310"/>
      <c r="H4" s="32" t="s">
        <v>1</v>
      </c>
      <c r="I4" s="1"/>
      <c r="J4" s="309" t="s">
        <v>2</v>
      </c>
      <c r="K4" s="310"/>
      <c r="L4" s="311"/>
      <c r="M4" s="1"/>
      <c r="N4" s="312" t="s">
        <v>3</v>
      </c>
      <c r="O4" s="313"/>
      <c r="P4" s="1"/>
      <c r="Q4" s="309" t="s">
        <v>4</v>
      </c>
      <c r="R4" s="311"/>
      <c r="S4" s="1"/>
      <c r="T4" s="324" t="s">
        <v>5</v>
      </c>
      <c r="U4" s="324"/>
      <c r="V4" s="1"/>
      <c r="W4" s="1"/>
      <c r="X4" s="1"/>
      <c r="Y4" s="1"/>
    </row>
    <row r="5" spans="2:25" x14ac:dyDescent="0.3">
      <c r="C5" s="336" t="s">
        <v>6</v>
      </c>
      <c r="D5" s="336"/>
      <c r="E5" s="336"/>
      <c r="F5" s="336"/>
      <c r="G5" s="336"/>
      <c r="H5" s="116">
        <v>190000</v>
      </c>
      <c r="I5" s="1"/>
      <c r="J5" s="12" t="s">
        <v>7</v>
      </c>
      <c r="K5" s="16"/>
      <c r="L5" s="111">
        <v>220</v>
      </c>
      <c r="N5" s="12" t="s">
        <v>8</v>
      </c>
      <c r="O5" s="111">
        <f>SUM(U5:U8)/4</f>
        <v>11.5</v>
      </c>
      <c r="P5" s="1"/>
      <c r="Q5" s="30" t="s">
        <v>9</v>
      </c>
      <c r="R5" s="111">
        <v>1</v>
      </c>
      <c r="T5" s="112" t="s">
        <v>10</v>
      </c>
      <c r="U5" s="111">
        <v>18</v>
      </c>
      <c r="V5" s="1"/>
      <c r="W5" s="1"/>
      <c r="X5" s="1"/>
      <c r="Y5" s="1"/>
    </row>
    <row r="6" spans="2:25" x14ac:dyDescent="0.3">
      <c r="B6" s="1"/>
      <c r="C6" s="110" t="s">
        <v>11</v>
      </c>
      <c r="D6" s="110"/>
      <c r="E6" s="110"/>
      <c r="F6" s="110"/>
      <c r="G6" s="110"/>
      <c r="H6" s="116">
        <f>H5/L5</f>
        <v>863.63636363636363</v>
      </c>
      <c r="I6" s="1"/>
      <c r="J6" s="12" t="s">
        <v>12</v>
      </c>
      <c r="K6" s="11"/>
      <c r="L6" s="111">
        <v>22</v>
      </c>
      <c r="N6" s="12" t="s">
        <v>13</v>
      </c>
      <c r="O6" s="111">
        <f>SUM(R5:R8)/4</f>
        <v>8.75</v>
      </c>
      <c r="P6" s="18"/>
      <c r="Q6" s="30" t="s">
        <v>14</v>
      </c>
      <c r="R6" s="111">
        <v>18</v>
      </c>
      <c r="T6" s="112" t="s">
        <v>15</v>
      </c>
      <c r="U6" s="111">
        <v>13</v>
      </c>
      <c r="V6" s="18"/>
      <c r="W6" s="2"/>
      <c r="X6" s="1"/>
    </row>
    <row r="7" spans="2:25" ht="15" customHeight="1" x14ac:dyDescent="0.3">
      <c r="B7" s="1"/>
      <c r="C7" s="110" t="s">
        <v>16</v>
      </c>
      <c r="D7" s="110"/>
      <c r="E7" s="110"/>
      <c r="F7" s="110"/>
      <c r="G7" s="110"/>
      <c r="H7" s="115">
        <f>H5/10</f>
        <v>19000</v>
      </c>
      <c r="J7" s="12" t="s">
        <v>17</v>
      </c>
      <c r="K7" s="11"/>
      <c r="L7" s="111">
        <v>15</v>
      </c>
      <c r="P7" s="1"/>
      <c r="Q7" s="30" t="s">
        <v>18</v>
      </c>
      <c r="R7" s="111">
        <v>10</v>
      </c>
      <c r="T7" s="113" t="s">
        <v>19</v>
      </c>
      <c r="U7" s="114">
        <v>3</v>
      </c>
      <c r="V7" s="4"/>
      <c r="W7" s="2"/>
      <c r="X7" s="1"/>
    </row>
    <row r="8" spans="2:25" x14ac:dyDescent="0.3">
      <c r="B8" s="1"/>
      <c r="J8" s="12" t="s">
        <v>20</v>
      </c>
      <c r="K8" s="11"/>
      <c r="L8" s="111">
        <f>L6*L7</f>
        <v>330</v>
      </c>
      <c r="P8" s="1"/>
      <c r="Q8" s="30" t="s">
        <v>21</v>
      </c>
      <c r="R8" s="114">
        <v>6</v>
      </c>
      <c r="T8" s="112" t="s">
        <v>22</v>
      </c>
      <c r="U8" s="115">
        <v>12</v>
      </c>
      <c r="W8" s="2"/>
      <c r="X8" s="1"/>
    </row>
    <row r="9" spans="2:25" x14ac:dyDescent="0.3">
      <c r="B9" s="1"/>
      <c r="J9" s="1"/>
      <c r="K9" s="1"/>
      <c r="L9" s="1"/>
      <c r="M9" s="1"/>
      <c r="N9" s="1"/>
      <c r="O9" s="1"/>
      <c r="P9" s="1"/>
      <c r="Q9" s="6"/>
      <c r="W9" s="2"/>
      <c r="X9" s="1"/>
    </row>
    <row r="10" spans="2:25" x14ac:dyDescent="0.3">
      <c r="B10" s="1"/>
      <c r="C10" s="309" t="s">
        <v>23</v>
      </c>
      <c r="D10" s="310"/>
      <c r="E10" s="310"/>
      <c r="F10" s="310"/>
      <c r="G10" s="310"/>
      <c r="H10" s="32" t="s">
        <v>1</v>
      </c>
      <c r="K10" s="1"/>
      <c r="L10" s="1"/>
      <c r="M10" s="1"/>
      <c r="N10" s="1"/>
      <c r="O10" s="1"/>
      <c r="P10" s="1"/>
      <c r="Q10" s="6"/>
      <c r="W10" s="2"/>
      <c r="X10" s="1"/>
    </row>
    <row r="11" spans="2:25" x14ac:dyDescent="0.3">
      <c r="B11" s="1"/>
      <c r="C11" s="110" t="s">
        <v>24</v>
      </c>
      <c r="D11" s="81"/>
      <c r="E11" s="81"/>
      <c r="F11" s="81"/>
      <c r="G11" s="81"/>
      <c r="H11" s="111">
        <f>_xlfn.CEILING.MATH((2*(O5+O6)/30)*H7)</f>
        <v>25650</v>
      </c>
      <c r="J11" s="49" t="s">
        <v>25</v>
      </c>
      <c r="K11" s="1"/>
      <c r="L11" s="1"/>
      <c r="M11" s="1"/>
      <c r="N11" s="1"/>
      <c r="O11" s="1"/>
      <c r="P11" s="1"/>
      <c r="Q11" s="6"/>
      <c r="W11" s="22"/>
      <c r="X11" s="1"/>
    </row>
    <row r="12" spans="2:25" ht="14.4" customHeight="1" x14ac:dyDescent="0.3">
      <c r="B12" s="1"/>
      <c r="C12" s="110" t="s">
        <v>26</v>
      </c>
      <c r="D12" s="81"/>
      <c r="E12" s="81"/>
      <c r="F12" s="81"/>
      <c r="G12" s="81"/>
      <c r="H12" s="111">
        <f>_xlfn.CEILING.MATH((2*(O5+O6)/30)*H6)</f>
        <v>1166</v>
      </c>
      <c r="J12" s="1"/>
      <c r="K12" s="1"/>
      <c r="L12" s="1"/>
      <c r="M12" s="27"/>
      <c r="N12" s="28"/>
      <c r="O12" s="28"/>
      <c r="P12" s="28"/>
      <c r="Q12" s="28"/>
      <c r="R12" s="28"/>
      <c r="S12" s="27"/>
      <c r="T12" s="27"/>
      <c r="U12" s="27"/>
      <c r="V12" s="27"/>
      <c r="W12" s="22"/>
      <c r="X12" s="1"/>
    </row>
    <row r="13" spans="2:25" ht="14.4" customHeight="1" thickBot="1" x14ac:dyDescent="0.35">
      <c r="B13" s="1"/>
      <c r="C13" s="110" t="s">
        <v>27</v>
      </c>
      <c r="D13" s="81"/>
      <c r="E13" s="81"/>
      <c r="F13" s="81"/>
      <c r="G13" s="81"/>
      <c r="H13" s="115">
        <f>_xlfn.CEILING.MATH((2*(O5+O6)/30)*H5)</f>
        <v>256500</v>
      </c>
      <c r="J13" s="1"/>
      <c r="K13" s="1"/>
      <c r="L13" s="1"/>
      <c r="M13" s="27"/>
      <c r="N13" s="28"/>
      <c r="O13" s="28"/>
      <c r="P13" s="28"/>
      <c r="Q13" s="28"/>
      <c r="R13" s="28"/>
      <c r="S13" s="27"/>
      <c r="T13" s="27"/>
      <c r="U13" s="27"/>
      <c r="V13" s="27"/>
      <c r="W13" s="22"/>
      <c r="X13" s="1"/>
    </row>
    <row r="14" spans="2:25" ht="14.4" customHeight="1" x14ac:dyDescent="0.3">
      <c r="B14" s="1"/>
      <c r="J14" s="1"/>
      <c r="K14" s="1"/>
      <c r="L14" s="1"/>
      <c r="M14" s="348" t="s">
        <v>28</v>
      </c>
      <c r="N14" s="350" t="s">
        <v>29</v>
      </c>
      <c r="O14" s="350"/>
      <c r="P14" s="350"/>
      <c r="Q14" s="350"/>
      <c r="R14" s="350"/>
      <c r="S14" s="350" t="s">
        <v>30</v>
      </c>
      <c r="T14" s="350" t="s">
        <v>31</v>
      </c>
      <c r="U14" s="350" t="s">
        <v>32</v>
      </c>
      <c r="V14" s="344" t="s">
        <v>33</v>
      </c>
      <c r="W14" s="22"/>
      <c r="X14" s="1"/>
    </row>
    <row r="15" spans="2:25" ht="14.4" customHeight="1" x14ac:dyDescent="0.3">
      <c r="B15" s="1"/>
      <c r="J15" s="1"/>
      <c r="K15" s="1"/>
      <c r="L15" s="1"/>
      <c r="M15" s="349"/>
      <c r="N15" s="317"/>
      <c r="O15" s="317"/>
      <c r="P15" s="317"/>
      <c r="Q15" s="317"/>
      <c r="R15" s="317"/>
      <c r="S15" s="319"/>
      <c r="T15" s="319"/>
      <c r="U15" s="319"/>
      <c r="V15" s="345"/>
      <c r="W15" s="22"/>
      <c r="X15" s="1"/>
    </row>
    <row r="16" spans="2:25" ht="14.4" customHeight="1" x14ac:dyDescent="0.3">
      <c r="B16" s="1"/>
      <c r="C16" s="314" t="s">
        <v>34</v>
      </c>
      <c r="D16" s="315"/>
      <c r="E16" s="315"/>
      <c r="F16" s="315"/>
      <c r="G16" s="316"/>
      <c r="H16" s="86" t="s">
        <v>35</v>
      </c>
      <c r="I16" s="216" t="s">
        <v>36</v>
      </c>
      <c r="J16" s="219" t="s">
        <v>37</v>
      </c>
      <c r="K16" s="1"/>
      <c r="L16" s="1"/>
      <c r="M16" s="318" t="s">
        <v>38</v>
      </c>
      <c r="N16" s="307" t="s">
        <v>39</v>
      </c>
      <c r="O16" s="307"/>
      <c r="P16" s="307"/>
      <c r="Q16" s="307"/>
      <c r="R16" s="307"/>
      <c r="S16" s="342">
        <v>0.97</v>
      </c>
      <c r="T16" s="342">
        <v>0.99</v>
      </c>
      <c r="U16" s="342">
        <v>1</v>
      </c>
      <c r="V16" s="340">
        <f>S16*T16</f>
        <v>0.96029999999999993</v>
      </c>
      <c r="W16" s="22"/>
      <c r="X16" s="1"/>
    </row>
    <row r="17" spans="2:24" ht="14.4" customHeight="1" x14ac:dyDescent="0.3">
      <c r="B17" s="1"/>
      <c r="C17" s="89"/>
      <c r="D17" s="89"/>
      <c r="E17" s="89"/>
      <c r="F17" s="89"/>
      <c r="G17" s="89"/>
      <c r="H17" s="86"/>
      <c r="I17" s="216"/>
      <c r="J17" s="217"/>
      <c r="K17" s="1"/>
      <c r="L17" s="1"/>
      <c r="M17" s="318"/>
      <c r="N17" s="307"/>
      <c r="O17" s="307"/>
      <c r="P17" s="307"/>
      <c r="Q17" s="307"/>
      <c r="R17" s="307"/>
      <c r="S17" s="342"/>
      <c r="T17" s="342"/>
      <c r="U17" s="342"/>
      <c r="V17" s="340"/>
      <c r="W17" s="22"/>
      <c r="X17" s="1"/>
    </row>
    <row r="18" spans="2:24" ht="14.4" customHeight="1" x14ac:dyDescent="0.3">
      <c r="B18" s="1"/>
      <c r="C18" s="87" t="s">
        <v>40</v>
      </c>
      <c r="D18" s="87"/>
      <c r="E18" s="87"/>
      <c r="F18" s="87"/>
      <c r="G18" s="87"/>
      <c r="H18" s="88">
        <v>0.7</v>
      </c>
      <c r="I18" s="218">
        <f>_xlfn.CEILING.MATH(H11*H18)</f>
        <v>17955</v>
      </c>
      <c r="J18" s="221">
        <f>I18/22</f>
        <v>816.13636363636363</v>
      </c>
      <c r="K18" s="1"/>
      <c r="L18" s="1"/>
      <c r="M18" s="318"/>
      <c r="N18" s="307"/>
      <c r="O18" s="307"/>
      <c r="P18" s="307"/>
      <c r="Q18" s="307"/>
      <c r="R18" s="307"/>
      <c r="S18" s="342"/>
      <c r="T18" s="342"/>
      <c r="U18" s="342"/>
      <c r="V18" s="340"/>
      <c r="W18" s="22"/>
      <c r="X18" s="1"/>
    </row>
    <row r="19" spans="2:24" ht="14.4" customHeight="1" x14ac:dyDescent="0.3">
      <c r="B19" s="1"/>
      <c r="C19" s="87"/>
      <c r="D19" s="87"/>
      <c r="E19" s="87"/>
      <c r="F19" s="87"/>
      <c r="G19" s="87"/>
      <c r="H19" s="88"/>
      <c r="I19" s="218"/>
      <c r="J19" s="220"/>
      <c r="K19" s="1"/>
      <c r="L19" s="1"/>
      <c r="M19" s="318"/>
      <c r="N19" s="307"/>
      <c r="O19" s="307"/>
      <c r="P19" s="307"/>
      <c r="Q19" s="307"/>
      <c r="R19" s="307"/>
      <c r="S19" s="342"/>
      <c r="T19" s="342"/>
      <c r="U19" s="342"/>
      <c r="V19" s="340"/>
      <c r="W19" s="22"/>
      <c r="X19" s="1"/>
    </row>
    <row r="20" spans="2:24" ht="14.4" customHeight="1" x14ac:dyDescent="0.3">
      <c r="B20" s="1"/>
      <c r="C20" s="87" t="s">
        <v>41</v>
      </c>
      <c r="D20" s="87"/>
      <c r="E20" s="87"/>
      <c r="F20" s="87"/>
      <c r="G20" s="87"/>
      <c r="H20" s="88">
        <v>0.3</v>
      </c>
      <c r="I20" s="218">
        <f>_xlfn.CEILING.MATH(H11*H20)</f>
        <v>7695</v>
      </c>
      <c r="J20" s="222">
        <f>I20/22</f>
        <v>349.77272727272725</v>
      </c>
      <c r="K20" s="1"/>
      <c r="L20" s="1"/>
      <c r="M20" s="318" t="s">
        <v>42</v>
      </c>
      <c r="N20" s="307" t="s">
        <v>43</v>
      </c>
      <c r="O20" s="307"/>
      <c r="P20" s="307"/>
      <c r="Q20" s="307"/>
      <c r="R20" s="307"/>
      <c r="S20" s="342">
        <v>0.98</v>
      </c>
      <c r="T20" s="342">
        <v>0.97</v>
      </c>
      <c r="U20" s="342">
        <v>0.97</v>
      </c>
      <c r="V20" s="340">
        <f t="shared" ref="V20" si="0">S20*T20</f>
        <v>0.9506</v>
      </c>
      <c r="W20" s="22"/>
      <c r="X20" s="1"/>
    </row>
    <row r="21" spans="2:24" x14ac:dyDescent="0.3">
      <c r="B21" s="1"/>
      <c r="K21" s="1"/>
      <c r="L21" s="1"/>
      <c r="M21" s="318"/>
      <c r="N21" s="307"/>
      <c r="O21" s="307"/>
      <c r="P21" s="307"/>
      <c r="Q21" s="307"/>
      <c r="R21" s="307"/>
      <c r="S21" s="342"/>
      <c r="T21" s="342"/>
      <c r="U21" s="342"/>
      <c r="V21" s="340"/>
      <c r="W21" s="22"/>
      <c r="X21" s="1"/>
    </row>
    <row r="22" spans="2:24" ht="15.6" x14ac:dyDescent="0.3">
      <c r="B22" s="1"/>
      <c r="C22" s="20"/>
      <c r="D22" s="20"/>
      <c r="E22" s="20"/>
      <c r="F22" s="20"/>
      <c r="G22" s="20"/>
      <c r="H22" s="90"/>
      <c r="I22" s="18"/>
      <c r="K22" s="1"/>
      <c r="L22" s="1"/>
      <c r="M22" s="318"/>
      <c r="N22" s="307"/>
      <c r="O22" s="307"/>
      <c r="P22" s="307"/>
      <c r="Q22" s="307"/>
      <c r="R22" s="307"/>
      <c r="S22" s="342"/>
      <c r="T22" s="342"/>
      <c r="U22" s="342"/>
      <c r="V22" s="340"/>
      <c r="W22" s="22"/>
      <c r="X22" s="1"/>
    </row>
    <row r="23" spans="2:24" ht="15.6" x14ac:dyDescent="0.3">
      <c r="B23" s="1"/>
      <c r="C23" s="23"/>
      <c r="D23" s="23"/>
      <c r="E23" s="23"/>
      <c r="F23" s="23"/>
      <c r="G23" s="23"/>
      <c r="H23" s="47"/>
      <c r="I23" s="18"/>
      <c r="K23" s="1"/>
      <c r="L23" s="1"/>
      <c r="M23" s="318"/>
      <c r="N23" s="307"/>
      <c r="O23" s="307"/>
      <c r="P23" s="307"/>
      <c r="Q23" s="307"/>
      <c r="R23" s="307"/>
      <c r="S23" s="342"/>
      <c r="T23" s="342"/>
      <c r="U23" s="342"/>
      <c r="V23" s="340"/>
      <c r="W23" s="22"/>
      <c r="X23" s="1"/>
    </row>
    <row r="24" spans="2:24" ht="15.6" x14ac:dyDescent="0.3">
      <c r="B24" s="1"/>
      <c r="C24" s="23"/>
      <c r="D24" s="23"/>
      <c r="E24" s="23"/>
      <c r="F24" s="23"/>
      <c r="G24" s="23"/>
      <c r="H24" s="47"/>
      <c r="I24" s="18"/>
      <c r="J24" s="18"/>
      <c r="K24" s="1"/>
      <c r="L24" s="1"/>
      <c r="M24" s="318"/>
      <c r="N24" s="307"/>
      <c r="O24" s="307"/>
      <c r="P24" s="307"/>
      <c r="Q24" s="307"/>
      <c r="R24" s="307"/>
      <c r="S24" s="342"/>
      <c r="T24" s="342"/>
      <c r="U24" s="342"/>
      <c r="V24" s="340"/>
      <c r="W24" s="22"/>
      <c r="X24" s="1"/>
    </row>
    <row r="25" spans="2:24" ht="15.6" x14ac:dyDescent="0.3">
      <c r="B25" s="1"/>
      <c r="C25" s="20"/>
      <c r="D25" s="20"/>
      <c r="E25" s="20"/>
      <c r="F25" s="20"/>
      <c r="G25" s="20"/>
      <c r="H25" s="90"/>
      <c r="I25" s="47"/>
      <c r="J25" s="153"/>
      <c r="K25" s="1"/>
      <c r="L25" s="1"/>
      <c r="M25" s="318"/>
      <c r="N25" s="307"/>
      <c r="O25" s="307"/>
      <c r="P25" s="307"/>
      <c r="Q25" s="307"/>
      <c r="R25" s="307"/>
      <c r="S25" s="342"/>
      <c r="T25" s="342"/>
      <c r="U25" s="342"/>
      <c r="V25" s="340"/>
      <c r="W25" s="22"/>
      <c r="X25" s="1"/>
    </row>
    <row r="26" spans="2:24" ht="15.6" x14ac:dyDescent="0.3">
      <c r="B26" s="1"/>
      <c r="C26" s="20"/>
      <c r="D26" s="20"/>
      <c r="E26" s="20"/>
      <c r="F26" s="20"/>
      <c r="G26" s="20"/>
      <c r="H26" s="90"/>
      <c r="I26" s="47"/>
      <c r="J26" s="1"/>
      <c r="K26" s="1"/>
      <c r="L26" s="1"/>
      <c r="M26" s="318" t="s">
        <v>44</v>
      </c>
      <c r="N26" s="307" t="s">
        <v>45</v>
      </c>
      <c r="O26" s="307"/>
      <c r="P26" s="307"/>
      <c r="Q26" s="307"/>
      <c r="R26" s="307"/>
      <c r="S26" s="342">
        <v>0.98</v>
      </c>
      <c r="T26" s="342">
        <v>0.99</v>
      </c>
      <c r="U26" s="342">
        <v>0.98</v>
      </c>
      <c r="V26" s="340">
        <f t="shared" ref="V26" si="1">S26*T26</f>
        <v>0.97019999999999995</v>
      </c>
      <c r="W26" s="22"/>
      <c r="X26" s="1"/>
    </row>
    <row r="27" spans="2:24" ht="15.6" x14ac:dyDescent="0.3">
      <c r="B27" s="1"/>
      <c r="C27" s="20"/>
      <c r="D27" s="20"/>
      <c r="E27" s="20"/>
      <c r="F27" s="20"/>
      <c r="G27" s="20"/>
      <c r="H27" s="90"/>
      <c r="I27" s="47"/>
      <c r="J27" s="47"/>
      <c r="K27" s="1"/>
      <c r="L27" s="1"/>
      <c r="M27" s="318"/>
      <c r="N27" s="307"/>
      <c r="O27" s="307"/>
      <c r="P27" s="307"/>
      <c r="Q27" s="307"/>
      <c r="R27" s="307"/>
      <c r="S27" s="342"/>
      <c r="T27" s="342"/>
      <c r="U27" s="342"/>
      <c r="V27" s="340"/>
      <c r="W27" s="22"/>
      <c r="X27" s="1"/>
    </row>
    <row r="28" spans="2:24" ht="15.6" x14ac:dyDescent="0.3">
      <c r="B28" s="1"/>
      <c r="C28" s="20"/>
      <c r="D28" s="20"/>
      <c r="E28" s="20"/>
      <c r="F28" s="20"/>
      <c r="G28" s="20"/>
      <c r="H28" s="90"/>
      <c r="I28" s="1"/>
      <c r="J28" s="1"/>
      <c r="K28" s="1"/>
      <c r="L28" s="1"/>
      <c r="M28" s="318" t="s">
        <v>46</v>
      </c>
      <c r="N28" s="307" t="s">
        <v>47</v>
      </c>
      <c r="O28" s="307"/>
      <c r="P28" s="307"/>
      <c r="Q28" s="307"/>
      <c r="R28" s="307"/>
      <c r="S28" s="342">
        <v>0.98</v>
      </c>
      <c r="T28" s="342">
        <v>0.99</v>
      </c>
      <c r="U28" s="342">
        <v>0.99</v>
      </c>
      <c r="V28" s="340">
        <f t="shared" ref="V28" si="2">S28*T28</f>
        <v>0.97019999999999995</v>
      </c>
      <c r="W28" s="22"/>
      <c r="X28" s="1"/>
    </row>
    <row r="29" spans="2:24" ht="16.2" thickBot="1" x14ac:dyDescent="0.35">
      <c r="B29" s="1"/>
      <c r="C29" s="20"/>
      <c r="D29" s="20"/>
      <c r="E29" s="20"/>
      <c r="F29" s="20"/>
      <c r="G29" s="20"/>
      <c r="H29" s="90"/>
      <c r="I29" s="1"/>
      <c r="J29" s="1"/>
      <c r="K29" s="1"/>
      <c r="L29" s="1"/>
      <c r="M29" s="323"/>
      <c r="N29" s="308"/>
      <c r="O29" s="308"/>
      <c r="P29" s="308"/>
      <c r="Q29" s="308"/>
      <c r="R29" s="308"/>
      <c r="S29" s="343"/>
      <c r="T29" s="343"/>
      <c r="U29" s="343"/>
      <c r="V29" s="341"/>
      <c r="W29" s="22"/>
      <c r="X29" s="1"/>
    </row>
    <row r="30" spans="2:24" ht="15" thickBot="1" x14ac:dyDescent="0.35">
      <c r="B30" s="1"/>
      <c r="C30" s="18"/>
      <c r="D30" s="18"/>
      <c r="E30" s="21"/>
      <c r="F30" s="21"/>
      <c r="G30" s="21"/>
      <c r="H30" s="21"/>
      <c r="I30" s="21"/>
      <c r="J30" s="1"/>
      <c r="K30" s="1"/>
      <c r="L30" s="1"/>
      <c r="M30" s="18"/>
      <c r="N30" s="21"/>
      <c r="O30" s="21"/>
      <c r="P30" s="21"/>
      <c r="Q30" s="21"/>
      <c r="R30" s="21"/>
      <c r="S30" s="24"/>
      <c r="T30" s="24"/>
      <c r="U30" s="24"/>
      <c r="V30" s="24"/>
      <c r="W30" s="22"/>
      <c r="X30" s="1"/>
    </row>
    <row r="31" spans="2:24" x14ac:dyDescent="0.3">
      <c r="B31" s="1"/>
      <c r="C31" s="18"/>
      <c r="D31" s="18"/>
      <c r="E31" s="21"/>
      <c r="F31" s="21"/>
      <c r="G31" s="21"/>
      <c r="H31" s="21"/>
      <c r="I31" s="21"/>
      <c r="J31" s="1"/>
      <c r="K31" s="1"/>
      <c r="L31" s="1"/>
      <c r="M31" s="303" t="s">
        <v>48</v>
      </c>
      <c r="N31" s="304"/>
      <c r="O31" s="304"/>
      <c r="P31" s="346" t="s">
        <v>49</v>
      </c>
      <c r="Q31" s="347" t="s">
        <v>50</v>
      </c>
      <c r="R31" s="21"/>
      <c r="S31" s="24"/>
      <c r="T31" s="24"/>
      <c r="U31" s="24"/>
      <c r="V31" s="24"/>
      <c r="W31" s="22"/>
      <c r="X31" s="1"/>
    </row>
    <row r="32" spans="2:24" x14ac:dyDescent="0.3">
      <c r="B32" s="1"/>
      <c r="C32" s="1"/>
      <c r="D32" s="1"/>
      <c r="E32" s="320"/>
      <c r="F32" s="320"/>
      <c r="G32" s="320"/>
      <c r="H32" s="320"/>
      <c r="I32" s="320"/>
      <c r="J32" s="1"/>
      <c r="K32" s="1"/>
      <c r="L32" s="1"/>
      <c r="M32" s="305"/>
      <c r="N32" s="306"/>
      <c r="O32" s="306"/>
      <c r="P32" s="302"/>
      <c r="Q32" s="334"/>
      <c r="R32" s="23"/>
      <c r="S32" s="21"/>
      <c r="T32" s="21"/>
      <c r="U32" s="21"/>
      <c r="V32" s="21"/>
      <c r="W32" s="22"/>
      <c r="X32" s="1"/>
    </row>
    <row r="33" spans="1:24" x14ac:dyDescent="0.3">
      <c r="A33" s="319" t="s">
        <v>51</v>
      </c>
      <c r="B33" s="317" t="s">
        <v>52</v>
      </c>
      <c r="C33" s="317" t="s">
        <v>53</v>
      </c>
      <c r="D33" s="317"/>
      <c r="E33" s="317"/>
      <c r="F33" s="317"/>
      <c r="G33" s="317"/>
      <c r="H33" s="321" t="s">
        <v>54</v>
      </c>
      <c r="I33" s="322"/>
      <c r="J33" s="317" t="s">
        <v>55</v>
      </c>
      <c r="K33" s="319" t="s">
        <v>56</v>
      </c>
      <c r="L33" s="1"/>
      <c r="M33" s="305"/>
      <c r="N33" s="306"/>
      <c r="O33" s="306"/>
      <c r="P33" s="302"/>
      <c r="Q33" s="334"/>
      <c r="R33" s="23"/>
      <c r="S33" s="21"/>
      <c r="T33" s="21"/>
      <c r="U33" s="21"/>
      <c r="V33" s="21"/>
      <c r="W33" s="22"/>
      <c r="X33" s="1"/>
    </row>
    <row r="34" spans="1:24" x14ac:dyDescent="0.3">
      <c r="A34" s="319"/>
      <c r="B34" s="317"/>
      <c r="C34" s="317"/>
      <c r="D34" s="317"/>
      <c r="E34" s="317"/>
      <c r="F34" s="317"/>
      <c r="G34" s="317"/>
      <c r="H34" s="322"/>
      <c r="I34" s="322"/>
      <c r="J34" s="317"/>
      <c r="K34" s="319"/>
      <c r="L34" s="1"/>
      <c r="M34" s="318" t="s">
        <v>57</v>
      </c>
      <c r="N34" s="324"/>
      <c r="O34" s="324"/>
      <c r="P34" s="332">
        <v>10</v>
      </c>
      <c r="Q34" s="334">
        <v>3</v>
      </c>
      <c r="R34" s="10"/>
      <c r="S34" s="21"/>
      <c r="T34" s="21"/>
      <c r="U34" s="21"/>
      <c r="V34" s="21"/>
      <c r="W34" s="22"/>
      <c r="X34" s="1"/>
    </row>
    <row r="35" spans="1:24" x14ac:dyDescent="0.3">
      <c r="A35" s="16" t="s">
        <v>58</v>
      </c>
      <c r="B35" s="12" t="s">
        <v>59</v>
      </c>
      <c r="C35" s="307" t="s">
        <v>60</v>
      </c>
      <c r="D35" s="307"/>
      <c r="E35" s="307"/>
      <c r="F35" s="307"/>
      <c r="G35" s="307"/>
      <c r="H35" s="302" t="s">
        <v>61</v>
      </c>
      <c r="I35" s="302"/>
      <c r="J35" s="25">
        <v>25</v>
      </c>
      <c r="K35" s="12">
        <v>2</v>
      </c>
      <c r="L35" s="1"/>
      <c r="M35" s="318"/>
      <c r="N35" s="324"/>
      <c r="O35" s="324"/>
      <c r="P35" s="332"/>
      <c r="Q35" s="334"/>
      <c r="R35" s="10"/>
      <c r="S35" s="21"/>
      <c r="T35" s="21"/>
      <c r="U35" s="21"/>
      <c r="V35" s="21"/>
      <c r="W35" s="22"/>
      <c r="X35" s="1"/>
    </row>
    <row r="36" spans="1:24" x14ac:dyDescent="0.3">
      <c r="A36" s="16" t="s">
        <v>62</v>
      </c>
      <c r="B36" s="12" t="s">
        <v>59</v>
      </c>
      <c r="C36" s="307" t="s">
        <v>63</v>
      </c>
      <c r="D36" s="307"/>
      <c r="E36" s="307"/>
      <c r="F36" s="307"/>
      <c r="G36" s="307"/>
      <c r="H36" s="302" t="s">
        <v>64</v>
      </c>
      <c r="I36" s="302"/>
      <c r="J36" s="25">
        <v>25</v>
      </c>
      <c r="K36" s="12">
        <v>2</v>
      </c>
      <c r="L36" s="1"/>
      <c r="M36" s="305" t="s">
        <v>65</v>
      </c>
      <c r="N36" s="324"/>
      <c r="O36" s="324"/>
      <c r="P36" s="332">
        <v>3</v>
      </c>
      <c r="Q36" s="334">
        <v>1</v>
      </c>
      <c r="R36" s="10"/>
      <c r="S36" s="21"/>
      <c r="T36" s="21"/>
      <c r="U36" s="21"/>
      <c r="V36" s="21"/>
      <c r="W36" s="22"/>
      <c r="X36" s="1"/>
    </row>
    <row r="37" spans="1:24" x14ac:dyDescent="0.3">
      <c r="A37" s="16" t="s">
        <v>66</v>
      </c>
      <c r="B37" s="12" t="s">
        <v>59</v>
      </c>
      <c r="C37" s="307" t="s">
        <v>67</v>
      </c>
      <c r="D37" s="307"/>
      <c r="E37" s="307"/>
      <c r="F37" s="307"/>
      <c r="G37" s="307"/>
      <c r="H37" s="302" t="s">
        <v>68</v>
      </c>
      <c r="I37" s="302"/>
      <c r="J37" s="25">
        <v>25</v>
      </c>
      <c r="K37" s="12">
        <v>2</v>
      </c>
      <c r="L37" s="1"/>
      <c r="M37" s="318"/>
      <c r="N37" s="324"/>
      <c r="O37" s="324"/>
      <c r="P37" s="332"/>
      <c r="Q37" s="334"/>
      <c r="R37" s="10"/>
      <c r="S37" s="21"/>
      <c r="T37" s="21"/>
      <c r="U37" s="21"/>
      <c r="V37" s="21"/>
      <c r="W37" s="22"/>
      <c r="X37" s="1"/>
    </row>
    <row r="38" spans="1:24" x14ac:dyDescent="0.3">
      <c r="A38" s="16"/>
      <c r="B38" s="12"/>
      <c r="C38" s="307"/>
      <c r="D38" s="307"/>
      <c r="E38" s="307"/>
      <c r="F38" s="307"/>
      <c r="G38" s="307"/>
      <c r="H38" s="302"/>
      <c r="I38" s="302"/>
      <c r="J38" s="25"/>
      <c r="K38" s="12"/>
      <c r="L38" s="1"/>
      <c r="M38" s="318" t="s">
        <v>69</v>
      </c>
      <c r="N38" s="324"/>
      <c r="O38" s="324"/>
      <c r="P38" s="332">
        <v>10</v>
      </c>
      <c r="Q38" s="334">
        <v>3</v>
      </c>
      <c r="R38" s="10"/>
      <c r="S38" s="21"/>
      <c r="T38" s="21"/>
      <c r="U38" s="21"/>
      <c r="V38" s="21"/>
      <c r="W38" s="22"/>
      <c r="X38" s="1"/>
    </row>
    <row r="39" spans="1:24" x14ac:dyDescent="0.3">
      <c r="A39" s="16" t="s">
        <v>70</v>
      </c>
      <c r="B39" s="12" t="s">
        <v>71</v>
      </c>
      <c r="C39" s="307" t="s">
        <v>72</v>
      </c>
      <c r="D39" s="307"/>
      <c r="E39" s="307"/>
      <c r="F39" s="307"/>
      <c r="G39" s="307"/>
      <c r="H39" s="302" t="s">
        <v>73</v>
      </c>
      <c r="I39" s="302"/>
      <c r="J39" s="25">
        <v>200</v>
      </c>
      <c r="K39" s="12">
        <v>4</v>
      </c>
      <c r="L39" s="1"/>
      <c r="M39" s="318"/>
      <c r="N39" s="324"/>
      <c r="O39" s="324"/>
      <c r="P39" s="332"/>
      <c r="Q39" s="334"/>
      <c r="R39" s="10"/>
      <c r="S39" s="21"/>
      <c r="T39" s="21"/>
      <c r="U39" s="21"/>
      <c r="V39" s="21"/>
      <c r="W39" s="22"/>
      <c r="X39" s="1"/>
    </row>
    <row r="40" spans="1:24" ht="14.25" customHeight="1" x14ac:dyDescent="0.3">
      <c r="A40" s="16" t="s">
        <v>74</v>
      </c>
      <c r="B40" s="12" t="s">
        <v>71</v>
      </c>
      <c r="C40" s="307" t="s">
        <v>75</v>
      </c>
      <c r="D40" s="307"/>
      <c r="E40" s="307"/>
      <c r="F40" s="307"/>
      <c r="G40" s="307"/>
      <c r="H40" s="302" t="s">
        <v>73</v>
      </c>
      <c r="I40" s="302"/>
      <c r="J40" s="25">
        <v>200</v>
      </c>
      <c r="K40" s="12">
        <v>4</v>
      </c>
      <c r="L40" s="1"/>
      <c r="M40" s="318" t="s">
        <v>76</v>
      </c>
      <c r="N40" s="324"/>
      <c r="O40" s="324"/>
      <c r="P40" s="332">
        <v>5</v>
      </c>
      <c r="Q40" s="334">
        <v>1</v>
      </c>
      <c r="R40" s="10"/>
      <c r="S40" s="21"/>
      <c r="T40" s="21"/>
      <c r="U40" s="21"/>
      <c r="V40" s="21"/>
      <c r="W40" s="22"/>
      <c r="X40" s="1"/>
    </row>
    <row r="41" spans="1:24" x14ac:dyDescent="0.3">
      <c r="A41" s="16"/>
      <c r="B41" s="12"/>
      <c r="C41" s="307"/>
      <c r="D41" s="307"/>
      <c r="E41" s="307"/>
      <c r="F41" s="307"/>
      <c r="G41" s="307"/>
      <c r="H41" s="302"/>
      <c r="I41" s="302"/>
      <c r="J41" s="25"/>
      <c r="K41" s="12"/>
      <c r="L41" s="1"/>
      <c r="M41" s="318"/>
      <c r="N41" s="324"/>
      <c r="O41" s="324"/>
      <c r="P41" s="332"/>
      <c r="Q41" s="334"/>
      <c r="R41" s="10"/>
      <c r="S41" s="21"/>
      <c r="T41" s="21"/>
      <c r="U41" s="21"/>
      <c r="V41" s="21"/>
      <c r="W41" s="22"/>
      <c r="X41" s="1"/>
    </row>
    <row r="42" spans="1:24" x14ac:dyDescent="0.3">
      <c r="A42" s="16"/>
      <c r="B42" s="12"/>
      <c r="C42" s="307"/>
      <c r="D42" s="307"/>
      <c r="E42" s="307"/>
      <c r="F42" s="307"/>
      <c r="G42" s="307"/>
      <c r="H42" s="302"/>
      <c r="I42" s="302"/>
      <c r="J42" s="25"/>
      <c r="K42" s="12"/>
      <c r="L42" s="1"/>
      <c r="M42" s="318" t="s">
        <v>77</v>
      </c>
      <c r="N42" s="324"/>
      <c r="O42" s="324"/>
      <c r="P42" s="332">
        <v>10</v>
      </c>
      <c r="Q42" s="334">
        <v>3</v>
      </c>
      <c r="R42" s="10"/>
      <c r="S42" s="21"/>
      <c r="T42" s="21"/>
      <c r="U42" s="21"/>
      <c r="V42" s="21"/>
      <c r="W42" s="22"/>
      <c r="X42" s="1"/>
    </row>
    <row r="43" spans="1:24" ht="15" thickBot="1" x14ac:dyDescent="0.35">
      <c r="A43" s="16"/>
      <c r="B43" s="26"/>
      <c r="C43" s="307"/>
      <c r="D43" s="307"/>
      <c r="E43" s="307"/>
      <c r="F43" s="307"/>
      <c r="G43" s="307"/>
      <c r="H43" s="302"/>
      <c r="I43" s="302"/>
      <c r="J43" s="25"/>
      <c r="K43" s="12"/>
      <c r="L43" s="1"/>
      <c r="M43" s="323"/>
      <c r="N43" s="325"/>
      <c r="O43" s="325"/>
      <c r="P43" s="333"/>
      <c r="Q43" s="335"/>
      <c r="R43" s="10"/>
      <c r="S43" s="21"/>
      <c r="T43" s="21"/>
      <c r="U43" s="21"/>
      <c r="V43" s="21"/>
      <c r="W43" s="22"/>
      <c r="X43" s="1"/>
    </row>
    <row r="44" spans="1:24" x14ac:dyDescent="0.3">
      <c r="A44" s="16"/>
      <c r="B44" s="12"/>
      <c r="C44" s="307"/>
      <c r="D44" s="307"/>
      <c r="E44" s="307"/>
      <c r="F44" s="307"/>
      <c r="G44" s="307"/>
      <c r="H44" s="302"/>
      <c r="I44" s="302"/>
      <c r="J44" s="25"/>
      <c r="K44" s="12"/>
      <c r="L44" s="1"/>
      <c r="M44" s="23"/>
      <c r="N44" s="10"/>
      <c r="O44" s="10"/>
      <c r="P44" s="10"/>
      <c r="Q44" s="10"/>
      <c r="R44" s="10"/>
      <c r="S44" s="21"/>
      <c r="T44" s="21"/>
      <c r="U44" s="21"/>
      <c r="V44" s="21"/>
      <c r="W44" s="22"/>
      <c r="X44" s="1"/>
    </row>
    <row r="45" spans="1:24" ht="15" thickBot="1" x14ac:dyDescent="0.35">
      <c r="A45" s="16" t="s">
        <v>78</v>
      </c>
      <c r="B45" s="12" t="s">
        <v>79</v>
      </c>
      <c r="C45" s="301" t="s">
        <v>80</v>
      </c>
      <c r="D45" s="301"/>
      <c r="E45" s="301"/>
      <c r="F45" s="301"/>
      <c r="G45" s="301"/>
      <c r="H45" s="302" t="s">
        <v>81</v>
      </c>
      <c r="I45" s="302"/>
      <c r="J45" s="25">
        <v>1</v>
      </c>
      <c r="K45" s="12">
        <v>2</v>
      </c>
      <c r="L45" s="1"/>
      <c r="M45" s="23"/>
      <c r="N45" s="10"/>
      <c r="O45" s="10"/>
      <c r="P45" s="10"/>
      <c r="Q45" s="10"/>
      <c r="R45" s="10"/>
      <c r="S45" s="21"/>
      <c r="T45" s="21"/>
      <c r="U45" s="21"/>
      <c r="V45" s="21"/>
      <c r="W45" s="22"/>
      <c r="X45" s="1"/>
    </row>
    <row r="46" spans="1:24" x14ac:dyDescent="0.3">
      <c r="A46" s="16" t="s">
        <v>82</v>
      </c>
      <c r="B46" s="12" t="s">
        <v>79</v>
      </c>
      <c r="C46" s="301" t="s">
        <v>83</v>
      </c>
      <c r="D46" s="301"/>
      <c r="E46" s="301"/>
      <c r="F46" s="301"/>
      <c r="G46" s="301"/>
      <c r="H46" s="302" t="s">
        <v>81</v>
      </c>
      <c r="I46" s="302"/>
      <c r="J46" s="25">
        <v>1</v>
      </c>
      <c r="K46" s="12">
        <v>2</v>
      </c>
      <c r="L46" s="1"/>
      <c r="M46" s="327" t="s">
        <v>84</v>
      </c>
      <c r="N46" s="328"/>
      <c r="O46" s="328"/>
      <c r="P46" s="328"/>
      <c r="Q46" s="328"/>
      <c r="R46" s="42" t="s">
        <v>51</v>
      </c>
      <c r="S46" s="33" t="s">
        <v>85</v>
      </c>
      <c r="T46" s="33" t="s">
        <v>86</v>
      </c>
      <c r="U46" s="34" t="s">
        <v>87</v>
      </c>
      <c r="V46" s="21"/>
      <c r="W46" s="22"/>
      <c r="X46" s="1"/>
    </row>
    <row r="47" spans="1:24" x14ac:dyDescent="0.3">
      <c r="A47" s="16" t="s">
        <v>88</v>
      </c>
      <c r="B47" s="12" t="s">
        <v>89</v>
      </c>
      <c r="C47" s="307" t="s">
        <v>90</v>
      </c>
      <c r="D47" s="307"/>
      <c r="E47" s="307"/>
      <c r="F47" s="307"/>
      <c r="G47" s="307"/>
      <c r="H47" s="302" t="s">
        <v>91</v>
      </c>
      <c r="I47" s="302"/>
      <c r="J47" s="25">
        <v>4</v>
      </c>
      <c r="K47" s="12">
        <v>2</v>
      </c>
      <c r="L47" s="1"/>
      <c r="M47" s="305" t="s">
        <v>92</v>
      </c>
      <c r="N47" s="306"/>
      <c r="O47" s="329" t="s">
        <v>93</v>
      </c>
      <c r="P47" s="330"/>
      <c r="Q47" s="331"/>
      <c r="R47" s="44" t="s">
        <v>94</v>
      </c>
      <c r="S47" s="12">
        <v>500</v>
      </c>
      <c r="T47" s="12">
        <v>120</v>
      </c>
      <c r="U47" s="35">
        <v>2</v>
      </c>
      <c r="V47" s="21"/>
      <c r="W47" s="22"/>
      <c r="X47" s="1"/>
    </row>
    <row r="48" spans="1:24" x14ac:dyDescent="0.3">
      <c r="A48" s="16" t="s">
        <v>95</v>
      </c>
      <c r="B48" s="12" t="s">
        <v>89</v>
      </c>
      <c r="C48" s="307" t="s">
        <v>96</v>
      </c>
      <c r="D48" s="307"/>
      <c r="E48" s="307"/>
      <c r="F48" s="307"/>
      <c r="G48" s="307"/>
      <c r="H48" s="302" t="s">
        <v>91</v>
      </c>
      <c r="I48" s="302"/>
      <c r="J48" s="25">
        <v>4</v>
      </c>
      <c r="K48" s="12">
        <v>2</v>
      </c>
      <c r="L48" s="1"/>
      <c r="M48" s="305"/>
      <c r="N48" s="306"/>
      <c r="O48" s="329" t="s">
        <v>97</v>
      </c>
      <c r="P48" s="330">
        <f>'$_DB_CICLI'!X66</f>
        <v>0</v>
      </c>
      <c r="Q48" s="331"/>
      <c r="R48" s="44" t="s">
        <v>98</v>
      </c>
      <c r="S48" s="12">
        <v>215</v>
      </c>
      <c r="T48" s="12">
        <v>120</v>
      </c>
      <c r="U48" s="35">
        <v>2</v>
      </c>
      <c r="V48" s="21"/>
      <c r="W48" s="22"/>
      <c r="X48" s="1"/>
    </row>
    <row r="49" spans="1:29" x14ac:dyDescent="0.3">
      <c r="A49" s="16" t="s">
        <v>99</v>
      </c>
      <c r="B49" s="12" t="s">
        <v>89</v>
      </c>
      <c r="C49" s="307" t="s">
        <v>100</v>
      </c>
      <c r="D49" s="307"/>
      <c r="E49" s="307"/>
      <c r="F49" s="307"/>
      <c r="G49" s="307"/>
      <c r="H49" s="302" t="s">
        <v>101</v>
      </c>
      <c r="I49" s="302"/>
      <c r="J49" s="25">
        <v>12</v>
      </c>
      <c r="K49" s="12">
        <v>4</v>
      </c>
      <c r="L49" s="1"/>
      <c r="M49" s="305" t="s">
        <v>102</v>
      </c>
      <c r="N49" s="306"/>
      <c r="O49" s="329" t="s">
        <v>103</v>
      </c>
      <c r="P49" s="330"/>
      <c r="Q49" s="331"/>
      <c r="R49" s="44" t="s">
        <v>104</v>
      </c>
      <c r="S49" s="12">
        <v>500</v>
      </c>
      <c r="T49" s="12">
        <v>60</v>
      </c>
      <c r="U49" s="35">
        <v>8</v>
      </c>
      <c r="V49" s="21"/>
      <c r="W49" s="22"/>
      <c r="X49" s="1"/>
    </row>
    <row r="50" spans="1:29" x14ac:dyDescent="0.3">
      <c r="A50" s="16" t="s">
        <v>105</v>
      </c>
      <c r="B50" s="12" t="s">
        <v>89</v>
      </c>
      <c r="C50" s="307" t="s">
        <v>106</v>
      </c>
      <c r="D50" s="307"/>
      <c r="E50" s="307"/>
      <c r="F50" s="307"/>
      <c r="G50" s="307"/>
      <c r="H50" s="302" t="s">
        <v>101</v>
      </c>
      <c r="I50" s="302"/>
      <c r="J50" s="25">
        <v>12</v>
      </c>
      <c r="K50" s="12">
        <v>4</v>
      </c>
      <c r="L50" s="1"/>
      <c r="M50" s="305"/>
      <c r="N50" s="306"/>
      <c r="O50" s="329" t="s">
        <v>107</v>
      </c>
      <c r="P50" s="330"/>
      <c r="Q50" s="331"/>
      <c r="R50" s="44" t="s">
        <v>108</v>
      </c>
      <c r="S50" s="12">
        <v>215</v>
      </c>
      <c r="T50" s="12">
        <v>60</v>
      </c>
      <c r="U50" s="35">
        <v>8</v>
      </c>
      <c r="V50" s="21"/>
      <c r="W50" s="22"/>
      <c r="X50" s="1"/>
    </row>
    <row r="51" spans="1:29" x14ac:dyDescent="0.3">
      <c r="A51" s="16" t="s">
        <v>109</v>
      </c>
      <c r="B51" s="12" t="s">
        <v>71</v>
      </c>
      <c r="C51" s="307" t="s">
        <v>110</v>
      </c>
      <c r="D51" s="307"/>
      <c r="E51" s="307"/>
      <c r="F51" s="307"/>
      <c r="G51" s="307"/>
      <c r="H51" s="302" t="s">
        <v>111</v>
      </c>
      <c r="I51" s="302"/>
      <c r="J51" s="25">
        <v>50</v>
      </c>
      <c r="K51" s="12">
        <v>4</v>
      </c>
      <c r="L51" s="1"/>
      <c r="M51" s="305" t="s">
        <v>112</v>
      </c>
      <c r="N51" s="324"/>
      <c r="O51" s="329" t="s">
        <v>113</v>
      </c>
      <c r="P51" s="330"/>
      <c r="Q51" s="331"/>
      <c r="R51" s="44" t="s">
        <v>114</v>
      </c>
      <c r="S51" s="12">
        <v>500</v>
      </c>
      <c r="T51" s="12">
        <v>30</v>
      </c>
      <c r="U51" s="35">
        <v>1</v>
      </c>
      <c r="V51" s="326">
        <v>1</v>
      </c>
      <c r="W51" s="22"/>
      <c r="X51" s="1"/>
    </row>
    <row r="52" spans="1:29" x14ac:dyDescent="0.3">
      <c r="A52" s="16" t="s">
        <v>115</v>
      </c>
      <c r="B52" s="12" t="s">
        <v>71</v>
      </c>
      <c r="C52" s="307" t="s">
        <v>116</v>
      </c>
      <c r="D52" s="307"/>
      <c r="E52" s="307"/>
      <c r="F52" s="307"/>
      <c r="G52" s="307"/>
      <c r="H52" s="302" t="s">
        <v>117</v>
      </c>
      <c r="I52" s="302"/>
      <c r="J52" s="25">
        <v>50</v>
      </c>
      <c r="K52" s="12">
        <v>4</v>
      </c>
      <c r="L52" s="1"/>
      <c r="M52" s="318"/>
      <c r="N52" s="324"/>
      <c r="O52" s="329" t="s">
        <v>118</v>
      </c>
      <c r="P52" s="330"/>
      <c r="Q52" s="331"/>
      <c r="R52" s="44" t="s">
        <v>119</v>
      </c>
      <c r="S52" s="12">
        <v>500</v>
      </c>
      <c r="T52" s="12">
        <v>30</v>
      </c>
      <c r="U52" s="35">
        <v>1</v>
      </c>
      <c r="V52" s="326"/>
      <c r="W52" s="2"/>
    </row>
    <row r="53" spans="1:29" x14ac:dyDescent="0.3">
      <c r="A53" s="16"/>
      <c r="B53" s="12"/>
      <c r="C53" s="307"/>
      <c r="D53" s="307"/>
      <c r="E53" s="307"/>
      <c r="F53" s="307"/>
      <c r="G53" s="307"/>
      <c r="H53" s="302"/>
      <c r="I53" s="302"/>
      <c r="J53" s="25"/>
      <c r="K53" s="12"/>
      <c r="L53" s="1"/>
      <c r="M53" s="318"/>
      <c r="N53" s="324"/>
      <c r="O53" s="329" t="s">
        <v>120</v>
      </c>
      <c r="P53" s="330"/>
      <c r="Q53" s="331"/>
      <c r="R53" s="44" t="s">
        <v>121</v>
      </c>
      <c r="S53" s="12">
        <v>215</v>
      </c>
      <c r="T53" s="12">
        <v>30</v>
      </c>
      <c r="U53" s="35">
        <f>V53</f>
        <v>1.2</v>
      </c>
      <c r="V53" s="326">
        <v>1.2</v>
      </c>
      <c r="W53" s="2"/>
    </row>
    <row r="54" spans="1:29" x14ac:dyDescent="0.3">
      <c r="A54" s="16"/>
      <c r="B54" s="12"/>
      <c r="C54" s="307"/>
      <c r="D54" s="307"/>
      <c r="E54" s="307"/>
      <c r="F54" s="307"/>
      <c r="G54" s="307"/>
      <c r="H54" s="302"/>
      <c r="I54" s="302"/>
      <c r="J54" s="25"/>
      <c r="K54" s="12"/>
      <c r="L54" s="1"/>
      <c r="M54" s="318"/>
      <c r="N54" s="324"/>
      <c r="O54" s="329" t="s">
        <v>122</v>
      </c>
      <c r="P54" s="330"/>
      <c r="Q54" s="331"/>
      <c r="R54" s="44" t="s">
        <v>123</v>
      </c>
      <c r="S54" s="12">
        <v>215</v>
      </c>
      <c r="T54" s="12">
        <v>30</v>
      </c>
      <c r="U54" s="35">
        <f>V53</f>
        <v>1.2</v>
      </c>
      <c r="V54" s="326"/>
      <c r="W54" s="2"/>
    </row>
    <row r="55" spans="1:29" x14ac:dyDescent="0.3">
      <c r="A55" s="16" t="s">
        <v>119</v>
      </c>
      <c r="B55" s="12" t="s">
        <v>59</v>
      </c>
      <c r="C55" s="307" t="s">
        <v>124</v>
      </c>
      <c r="D55" s="307"/>
      <c r="E55" s="307"/>
      <c r="F55" s="307"/>
      <c r="G55" s="307"/>
      <c r="H55" s="302" t="s">
        <v>125</v>
      </c>
      <c r="I55" s="302"/>
      <c r="J55" s="25">
        <v>25</v>
      </c>
      <c r="K55" s="12">
        <v>1</v>
      </c>
      <c r="L55" s="1"/>
      <c r="M55" s="318"/>
      <c r="N55" s="324"/>
      <c r="O55" s="329" t="s">
        <v>126</v>
      </c>
      <c r="P55" s="330"/>
      <c r="Q55" s="331"/>
      <c r="R55" s="44" t="s">
        <v>127</v>
      </c>
      <c r="S55" s="12">
        <v>3000</v>
      </c>
      <c r="T55" s="12">
        <v>30</v>
      </c>
      <c r="U55" s="35">
        <f>V55</f>
        <v>0.3</v>
      </c>
      <c r="V55" s="326">
        <v>0.3</v>
      </c>
      <c r="W55" s="2"/>
    </row>
    <row r="56" spans="1:29" x14ac:dyDescent="0.3">
      <c r="A56" s="16" t="s">
        <v>128</v>
      </c>
      <c r="B56" s="12" t="s">
        <v>59</v>
      </c>
      <c r="C56" s="307" t="s">
        <v>129</v>
      </c>
      <c r="D56" s="307"/>
      <c r="E56" s="307"/>
      <c r="F56" s="307"/>
      <c r="G56" s="307"/>
      <c r="H56" s="302" t="s">
        <v>125</v>
      </c>
      <c r="I56" s="302"/>
      <c r="J56" s="25">
        <v>25</v>
      </c>
      <c r="K56" s="12">
        <v>1</v>
      </c>
      <c r="L56" s="1"/>
      <c r="M56" s="318"/>
      <c r="N56" s="324"/>
      <c r="O56" s="329" t="s">
        <v>130</v>
      </c>
      <c r="P56" s="330"/>
      <c r="Q56" s="331"/>
      <c r="R56" s="44" t="s">
        <v>131</v>
      </c>
      <c r="S56" s="12">
        <v>3000</v>
      </c>
      <c r="T56" s="12">
        <v>30</v>
      </c>
      <c r="U56" s="35">
        <f>V55</f>
        <v>0.3</v>
      </c>
      <c r="V56" s="326"/>
      <c r="W56" s="2"/>
    </row>
    <row r="57" spans="1:29" x14ac:dyDescent="0.3">
      <c r="A57" s="16" t="s">
        <v>123</v>
      </c>
      <c r="B57" s="12" t="s">
        <v>59</v>
      </c>
      <c r="C57" s="307" t="s">
        <v>132</v>
      </c>
      <c r="D57" s="307"/>
      <c r="E57" s="307"/>
      <c r="F57" s="307"/>
      <c r="G57" s="307"/>
      <c r="H57" s="302" t="s">
        <v>125</v>
      </c>
      <c r="I57" s="302"/>
      <c r="J57" s="25">
        <v>25</v>
      </c>
      <c r="K57" s="12">
        <v>1</v>
      </c>
      <c r="L57" s="1"/>
      <c r="M57" s="318"/>
      <c r="N57" s="324"/>
      <c r="O57" s="329" t="s">
        <v>133</v>
      </c>
      <c r="P57" s="330"/>
      <c r="Q57" s="331"/>
      <c r="R57" s="44" t="s">
        <v>134</v>
      </c>
      <c r="S57" s="12">
        <v>2000</v>
      </c>
      <c r="T57" s="12">
        <v>30</v>
      </c>
      <c r="U57" s="35">
        <f>V57</f>
        <v>0.5</v>
      </c>
      <c r="V57" s="326">
        <v>0.5</v>
      </c>
      <c r="W57" s="2"/>
    </row>
    <row r="58" spans="1:29" ht="15" thickBot="1" x14ac:dyDescent="0.35">
      <c r="A58" s="16" t="s">
        <v>135</v>
      </c>
      <c r="B58" s="12" t="s">
        <v>59</v>
      </c>
      <c r="C58" s="307" t="s">
        <v>136</v>
      </c>
      <c r="D58" s="307"/>
      <c r="E58" s="307"/>
      <c r="F58" s="307"/>
      <c r="G58" s="307"/>
      <c r="H58" s="302" t="s">
        <v>125</v>
      </c>
      <c r="I58" s="302"/>
      <c r="J58" s="25">
        <v>25</v>
      </c>
      <c r="K58" s="12">
        <v>1</v>
      </c>
      <c r="L58" s="1"/>
      <c r="M58" s="323"/>
      <c r="N58" s="325"/>
      <c r="O58" s="337" t="s">
        <v>137</v>
      </c>
      <c r="P58" s="338"/>
      <c r="Q58" s="339"/>
      <c r="R58" s="45" t="s">
        <v>138</v>
      </c>
      <c r="S58" s="36">
        <v>2000</v>
      </c>
      <c r="T58" s="36">
        <v>30</v>
      </c>
      <c r="U58" s="37">
        <f>V57</f>
        <v>0.5</v>
      </c>
      <c r="V58" s="326"/>
      <c r="W58" s="2"/>
    </row>
    <row r="59" spans="1:29" x14ac:dyDescent="0.3">
      <c r="A59" s="16" t="s">
        <v>131</v>
      </c>
      <c r="B59" s="12" t="s">
        <v>71</v>
      </c>
      <c r="C59" s="307" t="s">
        <v>139</v>
      </c>
      <c r="D59" s="307"/>
      <c r="E59" s="307"/>
      <c r="F59" s="307"/>
      <c r="G59" s="307"/>
      <c r="H59" s="302" t="s">
        <v>73</v>
      </c>
      <c r="I59" s="302"/>
      <c r="J59" s="25">
        <v>200</v>
      </c>
      <c r="K59" s="12">
        <v>4</v>
      </c>
      <c r="L59" s="1"/>
      <c r="M59" s="23"/>
      <c r="N59" s="23"/>
      <c r="O59" s="1"/>
      <c r="P59" s="1"/>
      <c r="Q59" s="1"/>
      <c r="R59" s="1"/>
      <c r="S59" s="1"/>
      <c r="T59" s="1"/>
      <c r="U59" s="1"/>
      <c r="W59" s="2"/>
    </row>
    <row r="60" spans="1:29" x14ac:dyDescent="0.3">
      <c r="A60" s="16" t="s">
        <v>140</v>
      </c>
      <c r="B60" s="12" t="s">
        <v>71</v>
      </c>
      <c r="C60" s="307" t="s">
        <v>141</v>
      </c>
      <c r="D60" s="307"/>
      <c r="E60" s="307"/>
      <c r="F60" s="307"/>
      <c r="G60" s="307"/>
      <c r="H60" s="302" t="s">
        <v>73</v>
      </c>
      <c r="I60" s="302"/>
      <c r="J60" s="25">
        <v>200</v>
      </c>
      <c r="K60" s="12">
        <v>4</v>
      </c>
      <c r="L60" s="1"/>
      <c r="N60" s="23"/>
      <c r="O60" s="1"/>
      <c r="P60" s="1"/>
      <c r="Q60" s="1"/>
      <c r="R60" s="1"/>
      <c r="S60" s="1"/>
      <c r="T60" s="1"/>
      <c r="U60" s="1"/>
      <c r="W60" s="2"/>
    </row>
    <row r="61" spans="1:29" x14ac:dyDescent="0.3">
      <c r="A61" s="16" t="s">
        <v>138</v>
      </c>
      <c r="B61" s="12" t="s">
        <v>71</v>
      </c>
      <c r="C61" s="307" t="s">
        <v>142</v>
      </c>
      <c r="D61" s="307"/>
      <c r="E61" s="307"/>
      <c r="F61" s="307"/>
      <c r="G61" s="307"/>
      <c r="H61" s="302" t="s">
        <v>73</v>
      </c>
      <c r="I61" s="302"/>
      <c r="J61" s="25">
        <v>200</v>
      </c>
      <c r="K61" s="12">
        <v>4</v>
      </c>
      <c r="L61" s="1"/>
      <c r="M61" s="1"/>
      <c r="N61" s="1"/>
      <c r="O61" s="1"/>
      <c r="P61" s="1"/>
      <c r="Q61" s="1"/>
      <c r="R61" s="1"/>
      <c r="S61" s="1"/>
      <c r="T61" s="1"/>
      <c r="U61" s="1"/>
      <c r="W61" s="2"/>
    </row>
    <row r="62" spans="1:29" x14ac:dyDescent="0.3">
      <c r="A62" s="16" t="s">
        <v>143</v>
      </c>
      <c r="B62" s="12" t="s">
        <v>71</v>
      </c>
      <c r="C62" s="307" t="s">
        <v>144</v>
      </c>
      <c r="D62" s="307"/>
      <c r="E62" s="307"/>
      <c r="F62" s="307"/>
      <c r="G62" s="307"/>
      <c r="H62" s="302" t="s">
        <v>73</v>
      </c>
      <c r="I62" s="302"/>
      <c r="J62" s="25">
        <v>200</v>
      </c>
      <c r="K62" s="12">
        <v>4</v>
      </c>
      <c r="L62" s="1"/>
      <c r="M62" s="1"/>
      <c r="N62" s="1"/>
      <c r="O62" s="324" t="s">
        <v>145</v>
      </c>
      <c r="P62" s="324"/>
      <c r="Q62" s="324"/>
      <c r="R62" s="324"/>
      <c r="S62" s="11" t="s">
        <v>146</v>
      </c>
      <c r="T62" s="11"/>
      <c r="U62" s="11"/>
      <c r="V62" s="354" t="s">
        <v>147</v>
      </c>
      <c r="W62" s="354"/>
      <c r="X62" s="354"/>
      <c r="Y62" s="354"/>
      <c r="Z62" s="354"/>
      <c r="AA62" s="354"/>
      <c r="AB62" s="32" t="s">
        <v>148</v>
      </c>
      <c r="AC62" t="s">
        <v>149</v>
      </c>
    </row>
    <row r="63" spans="1:29" x14ac:dyDescent="0.3">
      <c r="A63" s="16"/>
      <c r="B63" s="12"/>
      <c r="C63" s="307"/>
      <c r="D63" s="307"/>
      <c r="E63" s="307"/>
      <c r="F63" s="307"/>
      <c r="G63" s="307"/>
      <c r="H63" s="302"/>
      <c r="I63" s="302"/>
      <c r="J63" s="25"/>
      <c r="K63" s="12"/>
      <c r="L63" s="1"/>
      <c r="M63" s="1"/>
      <c r="N63" s="1"/>
      <c r="O63" s="38">
        <v>1</v>
      </c>
      <c r="P63" s="38"/>
      <c r="Q63" s="38"/>
      <c r="R63" s="38"/>
      <c r="S63" s="38" t="s">
        <v>78</v>
      </c>
      <c r="T63" s="39"/>
      <c r="U63" s="38" t="s">
        <v>150</v>
      </c>
      <c r="V63" s="353" t="s">
        <v>80</v>
      </c>
      <c r="W63" s="353"/>
      <c r="X63" s="353"/>
      <c r="Y63" s="353"/>
      <c r="Z63" s="353"/>
      <c r="AA63" s="353"/>
      <c r="AB63" s="40"/>
      <c r="AC63" s="2"/>
    </row>
    <row r="64" spans="1:29" x14ac:dyDescent="0.3">
      <c r="A64" s="16"/>
      <c r="B64" s="12"/>
      <c r="C64" s="307"/>
      <c r="D64" s="307"/>
      <c r="E64" s="307"/>
      <c r="F64" s="307"/>
      <c r="G64" s="307"/>
      <c r="H64" s="302"/>
      <c r="I64" s="302"/>
      <c r="J64" s="25"/>
      <c r="K64" s="12"/>
      <c r="L64" s="1"/>
      <c r="M64" s="1"/>
      <c r="N64" s="1"/>
      <c r="O64" s="12"/>
      <c r="P64" s="12">
        <v>2</v>
      </c>
      <c r="Q64" s="12"/>
      <c r="R64" s="12"/>
      <c r="S64" s="12" t="s">
        <v>88</v>
      </c>
      <c r="T64" s="12"/>
      <c r="U64" s="12" t="s">
        <v>150</v>
      </c>
      <c r="V64" s="352" t="s">
        <v>151</v>
      </c>
      <c r="W64" s="352"/>
      <c r="X64" s="352"/>
      <c r="Y64" s="352"/>
      <c r="Z64" s="352"/>
      <c r="AA64" s="352"/>
      <c r="AB64" s="16">
        <v>1</v>
      </c>
      <c r="AC64" s="2"/>
    </row>
    <row r="65" spans="1:29" x14ac:dyDescent="0.3">
      <c r="A65" s="16" t="s">
        <v>152</v>
      </c>
      <c r="B65" s="12" t="s">
        <v>89</v>
      </c>
      <c r="C65" s="307" t="s">
        <v>153</v>
      </c>
      <c r="D65" s="307"/>
      <c r="E65" s="307"/>
      <c r="F65" s="307"/>
      <c r="G65" s="307"/>
      <c r="H65" s="302" t="s">
        <v>101</v>
      </c>
      <c r="I65" s="302"/>
      <c r="J65" s="25">
        <v>12</v>
      </c>
      <c r="K65" s="12">
        <v>2</v>
      </c>
      <c r="L65" s="1"/>
      <c r="M65" s="23"/>
      <c r="N65" s="1"/>
      <c r="O65" s="12"/>
      <c r="P65" s="12"/>
      <c r="Q65" s="12">
        <v>3</v>
      </c>
      <c r="R65" s="12"/>
      <c r="S65" s="12" t="s">
        <v>128</v>
      </c>
      <c r="T65" s="12"/>
      <c r="U65" s="12" t="s">
        <v>150</v>
      </c>
      <c r="V65" s="351" t="s">
        <v>154</v>
      </c>
      <c r="W65" s="351"/>
      <c r="X65" s="351"/>
      <c r="Y65" s="351"/>
      <c r="Z65" s="351"/>
      <c r="AA65" s="351"/>
      <c r="AB65" s="16">
        <v>1</v>
      </c>
      <c r="AC65" s="2"/>
    </row>
    <row r="66" spans="1:29" x14ac:dyDescent="0.3">
      <c r="A66" s="16" t="s">
        <v>155</v>
      </c>
      <c r="B66" s="12" t="s">
        <v>89</v>
      </c>
      <c r="C66" s="307" t="s">
        <v>156</v>
      </c>
      <c r="D66" s="307"/>
      <c r="E66" s="307"/>
      <c r="F66" s="307"/>
      <c r="G66" s="307"/>
      <c r="H66" s="302" t="s">
        <v>101</v>
      </c>
      <c r="I66" s="302"/>
      <c r="J66" s="25">
        <v>12</v>
      </c>
      <c r="K66" s="12">
        <v>2</v>
      </c>
      <c r="L66" s="1"/>
      <c r="M66" s="1"/>
      <c r="N66" s="1"/>
      <c r="O66" s="12"/>
      <c r="P66" s="12"/>
      <c r="Q66" s="12"/>
      <c r="R66" s="12">
        <v>4</v>
      </c>
      <c r="S66" s="12" t="s">
        <v>58</v>
      </c>
      <c r="T66" s="12"/>
      <c r="U66" s="12" t="s">
        <v>150</v>
      </c>
      <c r="V66" s="336" t="s">
        <v>157</v>
      </c>
      <c r="W66" s="336"/>
      <c r="X66" s="336"/>
      <c r="Y66" s="336"/>
      <c r="Z66" s="336"/>
      <c r="AA66" s="336"/>
      <c r="AB66" s="41">
        <v>0.17</v>
      </c>
      <c r="AC66" s="2">
        <f>_xlfn.FLOOR.MATH(1/AB66)</f>
        <v>5</v>
      </c>
    </row>
    <row r="67" spans="1:29" x14ac:dyDescent="0.3">
      <c r="C67" s="320"/>
      <c r="D67" s="320"/>
      <c r="E67" s="320"/>
      <c r="F67" s="320"/>
      <c r="G67" s="320"/>
      <c r="H67" s="355"/>
      <c r="I67" s="355"/>
      <c r="J67" s="13"/>
      <c r="K67" s="1"/>
      <c r="L67" s="1"/>
      <c r="M67" s="1"/>
      <c r="N67" s="1"/>
      <c r="O67" s="12"/>
      <c r="P67" s="12"/>
      <c r="Q67" s="12">
        <v>3</v>
      </c>
      <c r="R67" s="12"/>
      <c r="S67" s="12" t="s">
        <v>140</v>
      </c>
      <c r="T67" s="12"/>
      <c r="U67" s="12" t="s">
        <v>150</v>
      </c>
      <c r="V67" s="351" t="s">
        <v>158</v>
      </c>
      <c r="W67" s="351"/>
      <c r="X67" s="351"/>
      <c r="Y67" s="351"/>
      <c r="Z67" s="351"/>
      <c r="AA67" s="351"/>
      <c r="AB67" s="16">
        <v>3</v>
      </c>
      <c r="AC67" s="2"/>
    </row>
    <row r="68" spans="1:29" x14ac:dyDescent="0.3">
      <c r="D68" s="1"/>
      <c r="E68" s="1"/>
      <c r="F68" s="1"/>
      <c r="G68" s="1"/>
      <c r="H68" s="1"/>
      <c r="I68" s="1"/>
      <c r="J68" s="1"/>
      <c r="K68" s="1"/>
      <c r="L68" s="1"/>
      <c r="M68" s="1"/>
      <c r="N68" s="1"/>
      <c r="O68" s="12"/>
      <c r="P68" s="12"/>
      <c r="Q68" s="12"/>
      <c r="R68" s="12">
        <v>4</v>
      </c>
      <c r="S68" s="12" t="s">
        <v>62</v>
      </c>
      <c r="T68" s="12"/>
      <c r="U68" s="12" t="s">
        <v>150</v>
      </c>
      <c r="V68" s="336" t="s">
        <v>159</v>
      </c>
      <c r="W68" s="336"/>
      <c r="X68" s="336"/>
      <c r="Y68" s="336"/>
      <c r="Z68" s="336"/>
      <c r="AA68" s="336"/>
      <c r="AB68" s="41">
        <v>0.05</v>
      </c>
      <c r="AC68" s="2">
        <f>_xlfn.FLOOR.MATH(1/AB68)</f>
        <v>20</v>
      </c>
    </row>
    <row r="69" spans="1:29" x14ac:dyDescent="0.3">
      <c r="D69" s="1"/>
      <c r="E69" s="1"/>
      <c r="F69" s="1"/>
      <c r="G69" s="1"/>
      <c r="H69" s="1"/>
      <c r="I69" s="1"/>
      <c r="J69" s="1"/>
      <c r="K69" s="1"/>
      <c r="L69" s="1"/>
      <c r="M69" s="1"/>
      <c r="N69" s="1"/>
      <c r="O69" s="12"/>
      <c r="P69" s="12"/>
      <c r="Q69" s="12">
        <v>3</v>
      </c>
      <c r="R69" s="12"/>
      <c r="S69" s="12" t="s">
        <v>143</v>
      </c>
      <c r="T69" s="12"/>
      <c r="U69" s="12" t="s">
        <v>150</v>
      </c>
      <c r="V69" s="351" t="s">
        <v>160</v>
      </c>
      <c r="W69" s="351"/>
      <c r="X69" s="351"/>
      <c r="Y69" s="351"/>
      <c r="Z69" s="351"/>
      <c r="AA69" s="351"/>
      <c r="AB69" s="16">
        <v>2</v>
      </c>
      <c r="AC69" s="2"/>
    </row>
    <row r="70" spans="1:29" x14ac:dyDescent="0.3">
      <c r="D70" s="1"/>
      <c r="E70" s="1"/>
      <c r="F70" s="1"/>
      <c r="G70" s="1"/>
      <c r="H70" s="1"/>
      <c r="I70" s="1"/>
      <c r="J70" s="1"/>
      <c r="O70" s="12"/>
      <c r="P70" s="12"/>
      <c r="Q70" s="12"/>
      <c r="R70" s="12">
        <v>4</v>
      </c>
      <c r="S70" s="12" t="s">
        <v>66</v>
      </c>
      <c r="T70" s="12"/>
      <c r="U70" s="12" t="s">
        <v>150</v>
      </c>
      <c r="V70" s="336" t="s">
        <v>161</v>
      </c>
      <c r="W70" s="336"/>
      <c r="X70" s="336"/>
      <c r="Y70" s="336"/>
      <c r="Z70" s="336"/>
      <c r="AA70" s="336"/>
      <c r="AB70" s="41">
        <v>0.22</v>
      </c>
      <c r="AC70" s="2">
        <f t="shared" ref="AC70:AC83" si="3">_xlfn.FLOOR.MATH(1/AB70)</f>
        <v>4</v>
      </c>
    </row>
    <row r="71" spans="1:29" x14ac:dyDescent="0.3">
      <c r="D71" s="1"/>
      <c r="E71" s="1"/>
      <c r="F71" s="1"/>
      <c r="G71" s="1"/>
      <c r="H71" s="1"/>
      <c r="I71" s="1"/>
      <c r="J71" s="1"/>
      <c r="O71" s="12"/>
      <c r="P71" s="12"/>
      <c r="Q71" s="12">
        <v>3</v>
      </c>
      <c r="R71" s="12"/>
      <c r="S71" s="12" t="s">
        <v>152</v>
      </c>
      <c r="T71" s="12"/>
      <c r="U71" s="12" t="s">
        <v>150</v>
      </c>
      <c r="V71" s="351" t="s">
        <v>162</v>
      </c>
      <c r="W71" s="351"/>
      <c r="X71" s="351"/>
      <c r="Y71" s="351"/>
      <c r="Z71" s="351"/>
      <c r="AA71" s="351"/>
      <c r="AB71" s="16">
        <v>1</v>
      </c>
      <c r="AC71" s="2"/>
    </row>
    <row r="72" spans="1:29" x14ac:dyDescent="0.3">
      <c r="D72" s="1"/>
      <c r="E72" s="1"/>
      <c r="F72" s="1"/>
      <c r="G72" s="1"/>
      <c r="H72" s="1"/>
      <c r="I72" s="1"/>
      <c r="J72" s="1"/>
      <c r="O72" s="12"/>
      <c r="P72" s="12">
        <v>2</v>
      </c>
      <c r="Q72" s="12"/>
      <c r="R72" s="12"/>
      <c r="S72" s="12" t="s">
        <v>109</v>
      </c>
      <c r="T72" s="12"/>
      <c r="U72" s="12" t="s">
        <v>150</v>
      </c>
      <c r="V72" s="352" t="s">
        <v>163</v>
      </c>
      <c r="W72" s="352"/>
      <c r="X72" s="352"/>
      <c r="Y72" s="352"/>
      <c r="Z72" s="352"/>
      <c r="AA72" s="352"/>
      <c r="AB72" s="16">
        <v>1</v>
      </c>
      <c r="AC72" s="2"/>
    </row>
    <row r="73" spans="1:29" x14ac:dyDescent="0.3">
      <c r="D73" s="1"/>
      <c r="E73" s="1"/>
      <c r="F73" s="1"/>
      <c r="G73" s="1"/>
      <c r="H73" s="1"/>
      <c r="I73" s="1"/>
      <c r="J73" s="1"/>
      <c r="O73" s="12"/>
      <c r="P73" s="12">
        <v>2</v>
      </c>
      <c r="Q73" s="12"/>
      <c r="R73" s="12"/>
      <c r="S73" s="12" t="s">
        <v>70</v>
      </c>
      <c r="T73" s="12"/>
      <c r="U73" s="12" t="s">
        <v>150</v>
      </c>
      <c r="V73" s="352" t="s">
        <v>164</v>
      </c>
      <c r="W73" s="352"/>
      <c r="X73" s="352"/>
      <c r="Y73" s="352"/>
      <c r="Z73" s="352"/>
      <c r="AA73" s="352"/>
      <c r="AB73" s="16">
        <v>2</v>
      </c>
      <c r="AC73" s="2"/>
    </row>
    <row r="74" spans="1:29" x14ac:dyDescent="0.3">
      <c r="D74" s="1"/>
      <c r="E74" s="1"/>
      <c r="F74" s="1"/>
      <c r="G74" s="1"/>
      <c r="H74" s="1"/>
      <c r="I74" s="1"/>
      <c r="J74" s="1"/>
      <c r="O74" s="12"/>
      <c r="P74" s="12">
        <v>2</v>
      </c>
      <c r="Q74" s="12"/>
      <c r="R74" s="12"/>
      <c r="S74" s="12" t="s">
        <v>74</v>
      </c>
      <c r="T74" s="12"/>
      <c r="U74" s="12" t="s">
        <v>150</v>
      </c>
      <c r="V74" s="352" t="s">
        <v>165</v>
      </c>
      <c r="W74" s="352"/>
      <c r="X74" s="352"/>
      <c r="Y74" s="352"/>
      <c r="Z74" s="352"/>
      <c r="AA74" s="352"/>
      <c r="AB74" s="16">
        <v>3</v>
      </c>
      <c r="AC74" s="2"/>
    </row>
    <row r="75" spans="1:29" x14ac:dyDescent="0.3">
      <c r="D75" s="1"/>
      <c r="E75" s="1"/>
      <c r="F75" s="1"/>
      <c r="G75" s="1"/>
      <c r="H75" s="1"/>
      <c r="I75" s="1"/>
      <c r="J75" s="1"/>
      <c r="O75" s="12"/>
      <c r="P75" s="12">
        <v>2</v>
      </c>
      <c r="Q75" s="12"/>
      <c r="R75" s="12"/>
      <c r="S75" s="12" t="s">
        <v>99</v>
      </c>
      <c r="T75" s="12"/>
      <c r="U75" s="12" t="s">
        <v>150</v>
      </c>
      <c r="V75" s="352" t="s">
        <v>166</v>
      </c>
      <c r="W75" s="352"/>
      <c r="X75" s="352"/>
      <c r="Y75" s="352"/>
      <c r="Z75" s="352"/>
      <c r="AA75" s="352"/>
      <c r="AB75" s="16">
        <v>1</v>
      </c>
      <c r="AC75" s="2"/>
    </row>
    <row r="76" spans="1:29" x14ac:dyDescent="0.3">
      <c r="D76" s="1"/>
      <c r="E76" s="1"/>
      <c r="F76" s="1"/>
      <c r="G76" s="1"/>
      <c r="H76" s="1"/>
      <c r="I76" s="1"/>
      <c r="J76" s="1"/>
      <c r="O76" s="38">
        <v>1</v>
      </c>
      <c r="P76" s="38"/>
      <c r="Q76" s="38"/>
      <c r="R76" s="38"/>
      <c r="S76" s="38" t="s">
        <v>82</v>
      </c>
      <c r="T76" s="39"/>
      <c r="U76" s="38" t="s">
        <v>150</v>
      </c>
      <c r="V76" s="353" t="s">
        <v>83</v>
      </c>
      <c r="W76" s="353"/>
      <c r="X76" s="353"/>
      <c r="Y76" s="353"/>
      <c r="Z76" s="353"/>
      <c r="AA76" s="353"/>
      <c r="AB76" s="40"/>
      <c r="AC76" s="2"/>
    </row>
    <row r="77" spans="1:29" x14ac:dyDescent="0.3">
      <c r="D77" s="1"/>
      <c r="E77" s="1"/>
      <c r="F77" s="1"/>
      <c r="G77" s="7"/>
      <c r="H77" s="1"/>
      <c r="I77" s="1"/>
      <c r="J77" s="1"/>
      <c r="O77" s="12"/>
      <c r="P77" s="12">
        <v>2</v>
      </c>
      <c r="Q77" s="12"/>
      <c r="R77" s="12"/>
      <c r="S77" s="12" t="s">
        <v>95</v>
      </c>
      <c r="T77" s="12"/>
      <c r="U77" s="12" t="s">
        <v>150</v>
      </c>
      <c r="V77" s="352" t="s">
        <v>167</v>
      </c>
      <c r="W77" s="352"/>
      <c r="X77" s="352"/>
      <c r="Y77" s="352"/>
      <c r="Z77" s="352"/>
      <c r="AA77" s="352"/>
      <c r="AB77" s="16">
        <v>1</v>
      </c>
      <c r="AC77" s="2"/>
    </row>
    <row r="78" spans="1:29" x14ac:dyDescent="0.3">
      <c r="D78" s="1"/>
      <c r="E78" s="1"/>
      <c r="F78" s="1"/>
      <c r="G78" s="1"/>
      <c r="H78" s="1"/>
      <c r="I78" s="1"/>
      <c r="J78" s="1"/>
      <c r="O78" s="12"/>
      <c r="P78" s="12"/>
      <c r="Q78" s="12">
        <v>3</v>
      </c>
      <c r="R78" s="12"/>
      <c r="S78" s="12" t="s">
        <v>135</v>
      </c>
      <c r="T78" s="12"/>
      <c r="U78" s="12" t="s">
        <v>150</v>
      </c>
      <c r="V78" s="351" t="s">
        <v>168</v>
      </c>
      <c r="W78" s="351"/>
      <c r="X78" s="351"/>
      <c r="Y78" s="351"/>
      <c r="Z78" s="351"/>
      <c r="AA78" s="351"/>
      <c r="AB78" s="16">
        <v>1</v>
      </c>
      <c r="AC78" s="2"/>
    </row>
    <row r="79" spans="1:29" x14ac:dyDescent="0.3">
      <c r="D79" s="1"/>
      <c r="E79" s="1"/>
      <c r="F79" s="1"/>
      <c r="G79" s="1"/>
      <c r="H79" s="1"/>
      <c r="I79" s="1"/>
      <c r="J79" s="1"/>
      <c r="O79" s="12"/>
      <c r="P79" s="12"/>
      <c r="Q79" s="12"/>
      <c r="R79" s="12">
        <v>4</v>
      </c>
      <c r="S79" s="12" t="s">
        <v>58</v>
      </c>
      <c r="T79" s="12"/>
      <c r="U79" s="12" t="s">
        <v>150</v>
      </c>
      <c r="V79" s="336" t="s">
        <v>157</v>
      </c>
      <c r="W79" s="336"/>
      <c r="X79" s="336"/>
      <c r="Y79" s="336"/>
      <c r="Z79" s="336"/>
      <c r="AA79" s="336"/>
      <c r="AB79" s="41">
        <v>0.2</v>
      </c>
      <c r="AC79" s="2">
        <f t="shared" si="3"/>
        <v>5</v>
      </c>
    </row>
    <row r="80" spans="1:29" x14ac:dyDescent="0.3">
      <c r="D80" s="1"/>
      <c r="E80" s="1"/>
      <c r="F80" s="1"/>
      <c r="G80" s="1"/>
      <c r="H80" s="1"/>
      <c r="I80" s="1"/>
      <c r="J80" s="1"/>
      <c r="O80" s="12"/>
      <c r="P80" s="12"/>
      <c r="Q80" s="12">
        <v>3</v>
      </c>
      <c r="R80" s="12"/>
      <c r="S80" s="12" t="s">
        <v>140</v>
      </c>
      <c r="T80" s="12"/>
      <c r="U80" s="12" t="s">
        <v>150</v>
      </c>
      <c r="V80" s="351" t="s">
        <v>158</v>
      </c>
      <c r="W80" s="351"/>
      <c r="X80" s="351"/>
      <c r="Y80" s="351"/>
      <c r="Z80" s="351"/>
      <c r="AA80" s="351"/>
      <c r="AB80" s="16">
        <v>5</v>
      </c>
      <c r="AC80" s="2"/>
    </row>
    <row r="81" spans="4:29" x14ac:dyDescent="0.3">
      <c r="D81" s="1"/>
      <c r="E81" s="1"/>
      <c r="F81" s="1"/>
      <c r="G81" s="1"/>
      <c r="H81" s="1"/>
      <c r="I81" s="1"/>
      <c r="J81" s="1"/>
      <c r="O81" s="12"/>
      <c r="P81" s="12"/>
      <c r="Q81" s="12"/>
      <c r="R81" s="12">
        <v>4</v>
      </c>
      <c r="S81" s="12" t="s">
        <v>62</v>
      </c>
      <c r="T81" s="12"/>
      <c r="U81" s="12" t="s">
        <v>150</v>
      </c>
      <c r="V81" s="336" t="s">
        <v>159</v>
      </c>
      <c r="W81" s="336"/>
      <c r="X81" s="336"/>
      <c r="Y81" s="336"/>
      <c r="Z81" s="336"/>
      <c r="AA81" s="336"/>
      <c r="AB81" s="41">
        <v>0.05</v>
      </c>
      <c r="AC81" s="2">
        <f t="shared" si="3"/>
        <v>20</v>
      </c>
    </row>
    <row r="82" spans="4:29" x14ac:dyDescent="0.3">
      <c r="D82" s="1"/>
      <c r="E82" s="1"/>
      <c r="F82" s="1"/>
      <c r="G82" s="1"/>
      <c r="H82" s="1"/>
      <c r="I82" s="1"/>
      <c r="J82" s="1"/>
      <c r="O82" s="12"/>
      <c r="P82" s="12"/>
      <c r="Q82" s="12">
        <v>3</v>
      </c>
      <c r="R82" s="12"/>
      <c r="S82" s="12" t="s">
        <v>143</v>
      </c>
      <c r="T82" s="79"/>
      <c r="U82" s="12" t="s">
        <v>150</v>
      </c>
      <c r="V82" s="351" t="s">
        <v>160</v>
      </c>
      <c r="W82" s="351"/>
      <c r="X82" s="351"/>
      <c r="Y82" s="351"/>
      <c r="Z82" s="351"/>
      <c r="AA82" s="351"/>
      <c r="AB82" s="16">
        <v>2</v>
      </c>
      <c r="AC82" s="2"/>
    </row>
    <row r="83" spans="4:29" x14ac:dyDescent="0.3">
      <c r="D83" s="1"/>
      <c r="E83" s="1"/>
      <c r="F83" s="1"/>
      <c r="G83" s="1"/>
      <c r="H83" s="1"/>
      <c r="I83" s="1"/>
      <c r="J83" s="1"/>
      <c r="O83" s="12"/>
      <c r="P83" s="12"/>
      <c r="Q83" s="12"/>
      <c r="R83" s="12">
        <v>4</v>
      </c>
      <c r="S83" s="12" t="s">
        <v>66</v>
      </c>
      <c r="T83" s="79"/>
      <c r="U83" s="12" t="s">
        <v>150</v>
      </c>
      <c r="V83" s="336" t="s">
        <v>161</v>
      </c>
      <c r="W83" s="336"/>
      <c r="X83" s="336"/>
      <c r="Y83" s="336"/>
      <c r="Z83" s="336"/>
      <c r="AA83" s="336"/>
      <c r="AB83" s="41">
        <v>0.22</v>
      </c>
      <c r="AC83" s="2">
        <f t="shared" si="3"/>
        <v>4</v>
      </c>
    </row>
    <row r="84" spans="4:29" x14ac:dyDescent="0.3">
      <c r="D84" s="1"/>
      <c r="E84" s="1"/>
      <c r="F84" s="1"/>
      <c r="G84" s="1"/>
      <c r="H84" s="1"/>
      <c r="I84" s="1"/>
      <c r="J84" s="1"/>
      <c r="O84" s="12"/>
      <c r="P84" s="12"/>
      <c r="Q84" s="12">
        <v>3</v>
      </c>
      <c r="R84" s="12"/>
      <c r="S84" s="12" t="s">
        <v>155</v>
      </c>
      <c r="T84" s="79"/>
      <c r="U84" s="12" t="s">
        <v>150</v>
      </c>
      <c r="V84" s="351" t="s">
        <v>169</v>
      </c>
      <c r="W84" s="351"/>
      <c r="X84" s="351"/>
      <c r="Y84" s="351"/>
      <c r="Z84" s="351"/>
      <c r="AA84" s="351"/>
      <c r="AB84" s="16">
        <v>1</v>
      </c>
      <c r="AC84" s="2"/>
    </row>
    <row r="85" spans="4:29" x14ac:dyDescent="0.3">
      <c r="D85" s="1"/>
      <c r="E85" s="1"/>
      <c r="F85" s="1"/>
      <c r="G85" s="1"/>
      <c r="H85" s="1"/>
      <c r="I85" s="1"/>
      <c r="J85" s="1"/>
      <c r="O85" s="12"/>
      <c r="P85" s="12">
        <v>2</v>
      </c>
      <c r="Q85" s="12"/>
      <c r="R85" s="12"/>
      <c r="S85" s="12" t="s">
        <v>115</v>
      </c>
      <c r="T85" s="79"/>
      <c r="U85" s="12" t="s">
        <v>150</v>
      </c>
      <c r="V85" s="352" t="s">
        <v>170</v>
      </c>
      <c r="W85" s="352"/>
      <c r="X85" s="352"/>
      <c r="Y85" s="352"/>
      <c r="Z85" s="352"/>
      <c r="AA85" s="352"/>
      <c r="AB85" s="16">
        <v>1</v>
      </c>
      <c r="AC85" s="2"/>
    </row>
    <row r="86" spans="4:29" x14ac:dyDescent="0.3">
      <c r="D86" s="1"/>
      <c r="E86" s="1"/>
      <c r="F86" s="1"/>
      <c r="G86" s="1"/>
      <c r="H86" s="1"/>
      <c r="I86" s="1"/>
      <c r="J86" s="1"/>
      <c r="O86" s="12"/>
      <c r="P86" s="12">
        <v>2</v>
      </c>
      <c r="Q86" s="12"/>
      <c r="R86" s="12"/>
      <c r="S86" s="12" t="s">
        <v>70</v>
      </c>
      <c r="T86" s="79"/>
      <c r="U86" s="12" t="s">
        <v>150</v>
      </c>
      <c r="V86" s="352" t="s">
        <v>164</v>
      </c>
      <c r="W86" s="352"/>
      <c r="X86" s="352"/>
      <c r="Y86" s="352"/>
      <c r="Z86" s="352"/>
      <c r="AA86" s="352"/>
      <c r="AB86" s="16">
        <v>2</v>
      </c>
      <c r="AC86" s="2"/>
    </row>
    <row r="87" spans="4:29" x14ac:dyDescent="0.3">
      <c r="D87" s="1"/>
      <c r="E87" s="1"/>
      <c r="F87" s="1"/>
      <c r="G87" s="1"/>
      <c r="H87" s="1"/>
      <c r="I87" s="1"/>
      <c r="J87" s="1"/>
      <c r="O87" s="12"/>
      <c r="P87" s="12">
        <v>2</v>
      </c>
      <c r="Q87" s="12"/>
      <c r="R87" s="12"/>
      <c r="S87" s="12" t="s">
        <v>74</v>
      </c>
      <c r="T87" s="79"/>
      <c r="U87" s="12" t="s">
        <v>150</v>
      </c>
      <c r="V87" s="352" t="s">
        <v>165</v>
      </c>
      <c r="W87" s="352"/>
      <c r="X87" s="352"/>
      <c r="Y87" s="352"/>
      <c r="Z87" s="352"/>
      <c r="AA87" s="352"/>
      <c r="AB87" s="16">
        <v>3</v>
      </c>
      <c r="AC87" s="2"/>
    </row>
    <row r="88" spans="4:29" x14ac:dyDescent="0.3">
      <c r="D88" s="1"/>
      <c r="E88" s="1"/>
      <c r="F88" s="1"/>
      <c r="G88" s="1"/>
      <c r="H88" s="1"/>
      <c r="I88" s="1"/>
      <c r="J88" s="1"/>
      <c r="O88" s="12"/>
      <c r="P88" s="12">
        <v>2</v>
      </c>
      <c r="Q88" s="12"/>
      <c r="R88" s="12"/>
      <c r="S88" s="12" t="s">
        <v>105</v>
      </c>
      <c r="T88" s="79"/>
      <c r="U88" s="12" t="s">
        <v>150</v>
      </c>
      <c r="V88" s="352" t="s">
        <v>171</v>
      </c>
      <c r="W88" s="352"/>
      <c r="X88" s="352"/>
      <c r="Y88" s="352"/>
      <c r="Z88" s="352"/>
      <c r="AA88" s="352"/>
      <c r="AB88" s="16">
        <v>1</v>
      </c>
      <c r="AC88" s="2"/>
    </row>
    <row r="89" spans="4:29" x14ac:dyDescent="0.3">
      <c r="D89" s="1"/>
      <c r="E89" s="1"/>
      <c r="F89" s="1"/>
      <c r="G89" s="1"/>
      <c r="H89" s="1"/>
      <c r="I89" s="1"/>
      <c r="J89" s="1"/>
    </row>
    <row r="90" spans="4:29" x14ac:dyDescent="0.3">
      <c r="D90" s="1"/>
      <c r="E90" s="1"/>
      <c r="F90" s="1"/>
      <c r="G90" s="1"/>
      <c r="H90" s="1"/>
      <c r="I90" s="1"/>
      <c r="J90" s="1"/>
    </row>
    <row r="91" spans="4:29" x14ac:dyDescent="0.3">
      <c r="D91" s="1"/>
      <c r="E91" s="1"/>
      <c r="F91" s="1"/>
      <c r="G91" s="1"/>
      <c r="H91" s="1"/>
      <c r="I91" s="1"/>
      <c r="J91" s="1"/>
    </row>
    <row r="92" spans="4:29" x14ac:dyDescent="0.3">
      <c r="D92" s="1"/>
      <c r="E92" s="1"/>
      <c r="F92" s="1"/>
      <c r="G92" s="1"/>
      <c r="H92" s="1"/>
      <c r="I92" s="1"/>
      <c r="J92" s="1"/>
    </row>
    <row r="93" spans="4:29" x14ac:dyDescent="0.3">
      <c r="D93" s="1"/>
      <c r="E93" s="1"/>
      <c r="F93" s="1"/>
      <c r="G93" s="1"/>
      <c r="H93" s="1"/>
      <c r="I93" s="1"/>
      <c r="J93" s="1"/>
    </row>
    <row r="94" spans="4:29" x14ac:dyDescent="0.3">
      <c r="D94" s="1"/>
      <c r="E94" s="1"/>
      <c r="F94" s="1"/>
      <c r="G94" s="1"/>
      <c r="H94" s="1"/>
      <c r="I94" s="1"/>
      <c r="J94" s="1"/>
    </row>
    <row r="95" spans="4:29" x14ac:dyDescent="0.3">
      <c r="D95" s="1"/>
      <c r="E95" s="1"/>
      <c r="F95" s="1"/>
      <c r="G95" s="1"/>
      <c r="H95" s="1"/>
      <c r="I95" s="1"/>
      <c r="J95" s="1"/>
    </row>
    <row r="96" spans="4:29" x14ac:dyDescent="0.3">
      <c r="D96" s="1"/>
      <c r="E96" s="1"/>
      <c r="F96" s="1"/>
      <c r="G96" s="1"/>
      <c r="H96" s="1"/>
      <c r="I96" s="1"/>
      <c r="J96" s="1"/>
    </row>
    <row r="97" spans="4:10" x14ac:dyDescent="0.3">
      <c r="D97" s="1"/>
      <c r="E97" s="1"/>
      <c r="F97" s="1"/>
      <c r="G97" s="1"/>
      <c r="H97" s="1"/>
      <c r="I97" s="1"/>
      <c r="J97" s="1"/>
    </row>
    <row r="98" spans="4:10" x14ac:dyDescent="0.3">
      <c r="D98" s="1"/>
      <c r="E98" s="1"/>
      <c r="F98" s="1"/>
      <c r="G98" s="1"/>
      <c r="H98" s="1"/>
      <c r="I98" s="1"/>
      <c r="J98" s="1"/>
    </row>
  </sheetData>
  <mergeCells count="195">
    <mergeCell ref="C67:G67"/>
    <mergeCell ref="H67:I67"/>
    <mergeCell ref="V51:V52"/>
    <mergeCell ref="V53:V54"/>
    <mergeCell ref="V55:V56"/>
    <mergeCell ref="C58:G58"/>
    <mergeCell ref="H58:I58"/>
    <mergeCell ref="C66:G66"/>
    <mergeCell ref="H66:I66"/>
    <mergeCell ref="O54:Q54"/>
    <mergeCell ref="H51:I51"/>
    <mergeCell ref="C52:G52"/>
    <mergeCell ref="H52:I52"/>
    <mergeCell ref="H57:I57"/>
    <mergeCell ref="C63:G63"/>
    <mergeCell ref="H63:I63"/>
    <mergeCell ref="C64:G64"/>
    <mergeCell ref="H64:I64"/>
    <mergeCell ref="C65:G65"/>
    <mergeCell ref="H65:I65"/>
    <mergeCell ref="C60:G60"/>
    <mergeCell ref="H60:I60"/>
    <mergeCell ref="C61:G61"/>
    <mergeCell ref="H61:I61"/>
    <mergeCell ref="H56:I56"/>
    <mergeCell ref="C51:G51"/>
    <mergeCell ref="C57:G57"/>
    <mergeCell ref="M47:N48"/>
    <mergeCell ref="C55:G55"/>
    <mergeCell ref="M49:N50"/>
    <mergeCell ref="C48:G48"/>
    <mergeCell ref="H48:I48"/>
    <mergeCell ref="C49:G49"/>
    <mergeCell ref="H49:I49"/>
    <mergeCell ref="C50:G50"/>
    <mergeCell ref="H50:I50"/>
    <mergeCell ref="H55:I55"/>
    <mergeCell ref="C53:G53"/>
    <mergeCell ref="H53:I53"/>
    <mergeCell ref="V70:AA70"/>
    <mergeCell ref="V71:AA71"/>
    <mergeCell ref="V81:AA81"/>
    <mergeCell ref="V82:AA82"/>
    <mergeCell ref="V83:AA83"/>
    <mergeCell ref="O55:Q55"/>
    <mergeCell ref="O56:Q56"/>
    <mergeCell ref="V67:AA67"/>
    <mergeCell ref="V68:AA68"/>
    <mergeCell ref="V69:AA69"/>
    <mergeCell ref="V63:AA63"/>
    <mergeCell ref="V64:AA64"/>
    <mergeCell ref="V65:AA65"/>
    <mergeCell ref="V66:AA66"/>
    <mergeCell ref="O62:R62"/>
    <mergeCell ref="V62:AA62"/>
    <mergeCell ref="V84:AA84"/>
    <mergeCell ref="V85:AA85"/>
    <mergeCell ref="V86:AA86"/>
    <mergeCell ref="V87:AA87"/>
    <mergeCell ref="V88:AA88"/>
    <mergeCell ref="V72:AA72"/>
    <mergeCell ref="V73:AA73"/>
    <mergeCell ref="V74:AA74"/>
    <mergeCell ref="V75:AA75"/>
    <mergeCell ref="V76:AA76"/>
    <mergeCell ref="V77:AA77"/>
    <mergeCell ref="V78:AA78"/>
    <mergeCell ref="V79:AA79"/>
    <mergeCell ref="V80:AA80"/>
    <mergeCell ref="S16:S17"/>
    <mergeCell ref="S18:S19"/>
    <mergeCell ref="T14:T15"/>
    <mergeCell ref="U14:U15"/>
    <mergeCell ref="S20:S21"/>
    <mergeCell ref="S22:S23"/>
    <mergeCell ref="S24:S25"/>
    <mergeCell ref="S26:S27"/>
    <mergeCell ref="N14:R15"/>
    <mergeCell ref="S14:S15"/>
    <mergeCell ref="N16:R17"/>
    <mergeCell ref="N20:R21"/>
    <mergeCell ref="N22:R23"/>
    <mergeCell ref="N24:R25"/>
    <mergeCell ref="N26:R27"/>
    <mergeCell ref="N18:R19"/>
    <mergeCell ref="S28:S29"/>
    <mergeCell ref="M34:O35"/>
    <mergeCell ref="M36:O37"/>
    <mergeCell ref="V14:V15"/>
    <mergeCell ref="M38:O39"/>
    <mergeCell ref="M40:O41"/>
    <mergeCell ref="P31:P33"/>
    <mergeCell ref="Q31:Q33"/>
    <mergeCell ref="P34:P35"/>
    <mergeCell ref="Q34:Q35"/>
    <mergeCell ref="P36:P37"/>
    <mergeCell ref="Q36:Q37"/>
    <mergeCell ref="P38:P39"/>
    <mergeCell ref="Q38:Q39"/>
    <mergeCell ref="P40:P41"/>
    <mergeCell ref="Q40:Q41"/>
    <mergeCell ref="M14:M15"/>
    <mergeCell ref="M26:M27"/>
    <mergeCell ref="U18:U19"/>
    <mergeCell ref="U20:U21"/>
    <mergeCell ref="U28:U29"/>
    <mergeCell ref="T20:T21"/>
    <mergeCell ref="T28:T29"/>
    <mergeCell ref="M20:M21"/>
    <mergeCell ref="V16:V17"/>
    <mergeCell ref="V18:V19"/>
    <mergeCell ref="V20:V21"/>
    <mergeCell ref="V22:V23"/>
    <mergeCell ref="V24:V25"/>
    <mergeCell ref="V26:V27"/>
    <mergeCell ref="V28:V29"/>
    <mergeCell ref="T22:T23"/>
    <mergeCell ref="U22:U23"/>
    <mergeCell ref="T24:T25"/>
    <mergeCell ref="U24:U25"/>
    <mergeCell ref="T26:T27"/>
    <mergeCell ref="U26:U27"/>
    <mergeCell ref="T16:T17"/>
    <mergeCell ref="U16:U17"/>
    <mergeCell ref="T18:T19"/>
    <mergeCell ref="T4:U4"/>
    <mergeCell ref="V57:V58"/>
    <mergeCell ref="A33:A34"/>
    <mergeCell ref="M46:Q46"/>
    <mergeCell ref="O47:Q47"/>
    <mergeCell ref="O48:Q48"/>
    <mergeCell ref="O49:Q49"/>
    <mergeCell ref="O50:Q50"/>
    <mergeCell ref="O51:Q51"/>
    <mergeCell ref="O52:Q52"/>
    <mergeCell ref="O53:Q53"/>
    <mergeCell ref="H41:I41"/>
    <mergeCell ref="M42:O43"/>
    <mergeCell ref="P42:P43"/>
    <mergeCell ref="Q42:Q43"/>
    <mergeCell ref="C38:G38"/>
    <mergeCell ref="C39:G39"/>
    <mergeCell ref="C54:G54"/>
    <mergeCell ref="H54:I54"/>
    <mergeCell ref="C5:G5"/>
    <mergeCell ref="C45:G45"/>
    <mergeCell ref="H45:I45"/>
    <mergeCell ref="O57:Q57"/>
    <mergeCell ref="O58:Q58"/>
    <mergeCell ref="C62:G62"/>
    <mergeCell ref="H62:I62"/>
    <mergeCell ref="C59:G59"/>
    <mergeCell ref="H59:I59"/>
    <mergeCell ref="C56:G56"/>
    <mergeCell ref="C35:G35"/>
    <mergeCell ref="H35:I35"/>
    <mergeCell ref="Q4:R4"/>
    <mergeCell ref="C47:G47"/>
    <mergeCell ref="H47:I47"/>
    <mergeCell ref="C42:G42"/>
    <mergeCell ref="H42:I42"/>
    <mergeCell ref="C43:G43"/>
    <mergeCell ref="H43:I43"/>
    <mergeCell ref="C41:G41"/>
    <mergeCell ref="H36:I36"/>
    <mergeCell ref="C37:G37"/>
    <mergeCell ref="C33:G34"/>
    <mergeCell ref="H33:I34"/>
    <mergeCell ref="H39:I39"/>
    <mergeCell ref="C40:G40"/>
    <mergeCell ref="H40:I40"/>
    <mergeCell ref="M28:M29"/>
    <mergeCell ref="M51:N58"/>
    <mergeCell ref="C46:G46"/>
    <mergeCell ref="H46:I46"/>
    <mergeCell ref="M31:O33"/>
    <mergeCell ref="N28:R29"/>
    <mergeCell ref="J4:L4"/>
    <mergeCell ref="N4:O4"/>
    <mergeCell ref="C16:G16"/>
    <mergeCell ref="C10:G10"/>
    <mergeCell ref="B33:B34"/>
    <mergeCell ref="C4:G4"/>
    <mergeCell ref="M16:M17"/>
    <mergeCell ref="M18:M19"/>
    <mergeCell ref="H37:I37"/>
    <mergeCell ref="C44:G44"/>
    <mergeCell ref="H44:I44"/>
    <mergeCell ref="M22:M23"/>
    <mergeCell ref="M24:M25"/>
    <mergeCell ref="J33:J34"/>
    <mergeCell ref="C36:G36"/>
    <mergeCell ref="H38:I38"/>
    <mergeCell ref="K33:K34"/>
    <mergeCell ref="E32:I32"/>
  </mergeCells>
  <phoneticPr fontId="14" alignment="center"/>
  <pageMargins left="0.7" right="0.7" top="0.75" bottom="0.75" header="0.3" footer="0.3"/>
  <pageSetup paperSize="9" orientation="portrait" r:id="rId1"/>
  <ignoredErrors>
    <ignoredError sqref="U54:U58" 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B60"/>
  <sheetViews>
    <sheetView tabSelected="1" topLeftCell="U1" zoomScale="55" zoomScaleNormal="55" workbookViewId="0">
      <pane ySplit="1" topLeftCell="A5" activePane="bottomLeft" state="frozen"/>
      <selection activeCell="K1" sqref="K1"/>
      <selection pane="bottomLeft" activeCell="AS32" sqref="AS32"/>
    </sheetView>
  </sheetViews>
  <sheetFormatPr defaultRowHeight="14.4" x14ac:dyDescent="0.3"/>
  <cols>
    <col min="1" max="1" width="4.5546875" style="102" customWidth="1"/>
    <col min="2" max="4" width="4.5546875" customWidth="1"/>
    <col min="5" max="5" width="4.5546875" style="106" customWidth="1"/>
    <col min="6" max="6" width="16.109375" customWidth="1"/>
    <col min="7" max="7" width="15.88671875" customWidth="1"/>
    <col min="15" max="15" width="10.5546875" bestFit="1" customWidth="1"/>
    <col min="16" max="17" width="16.109375" customWidth="1"/>
    <col min="18" max="19" width="18.33203125" customWidth="1"/>
    <col min="41" max="41" width="8.88671875" customWidth="1"/>
  </cols>
  <sheetData>
    <row r="1" spans="1:54" x14ac:dyDescent="0.3">
      <c r="A1" s="96"/>
      <c r="B1" s="97"/>
      <c r="C1" s="97"/>
      <c r="D1" s="97"/>
      <c r="E1" s="103"/>
      <c r="F1" s="18" t="s">
        <v>146</v>
      </c>
      <c r="G1" s="18" t="s">
        <v>172</v>
      </c>
      <c r="H1" s="18" t="s">
        <v>173</v>
      </c>
      <c r="I1" s="368" t="s">
        <v>147</v>
      </c>
      <c r="J1" s="368"/>
      <c r="K1" s="368"/>
      <c r="L1" s="368"/>
      <c r="M1" s="368"/>
      <c r="N1" s="368"/>
      <c r="O1" s="18" t="s">
        <v>174</v>
      </c>
      <c r="P1" s="18" t="s">
        <v>175</v>
      </c>
      <c r="Q1" s="18" t="s">
        <v>176</v>
      </c>
      <c r="R1" s="18"/>
      <c r="S1" s="18"/>
    </row>
    <row r="2" spans="1:54" x14ac:dyDescent="0.3">
      <c r="A2" s="98"/>
      <c r="B2" s="1"/>
      <c r="C2" s="1"/>
      <c r="D2" s="1"/>
      <c r="E2" s="104"/>
      <c r="F2" s="3"/>
      <c r="H2" s="1"/>
      <c r="I2" s="356"/>
      <c r="J2" s="356"/>
      <c r="K2" s="356"/>
      <c r="L2" s="356"/>
      <c r="M2" s="356"/>
      <c r="N2" s="356"/>
      <c r="O2" s="2"/>
      <c r="P2" s="43" t="s">
        <v>177</v>
      </c>
      <c r="Q2" s="43" t="s">
        <v>177</v>
      </c>
      <c r="R2" s="43"/>
      <c r="S2" s="43"/>
    </row>
    <row r="3" spans="1:54" ht="41.4" customHeight="1" x14ac:dyDescent="1.1000000000000001">
      <c r="A3" s="99" t="s">
        <v>178</v>
      </c>
      <c r="B3" s="1"/>
      <c r="C3" s="1"/>
      <c r="D3" s="1"/>
      <c r="E3" s="104"/>
      <c r="F3" s="48" t="s">
        <v>146</v>
      </c>
      <c r="G3" s="49" t="s">
        <v>172</v>
      </c>
      <c r="H3" s="18" t="s">
        <v>173</v>
      </c>
      <c r="I3" s="358" t="s">
        <v>147</v>
      </c>
      <c r="J3" s="358"/>
      <c r="K3" s="358"/>
      <c r="L3" s="358"/>
      <c r="M3" s="358"/>
      <c r="N3" s="358"/>
      <c r="O3" s="50"/>
      <c r="P3" s="50" t="s">
        <v>175</v>
      </c>
      <c r="Q3" s="50" t="s">
        <v>176</v>
      </c>
      <c r="R3" s="50"/>
      <c r="S3" s="50"/>
      <c r="X3" s="82"/>
    </row>
    <row r="4" spans="1:54" ht="47.4" customHeight="1" x14ac:dyDescent="0.85">
      <c r="A4" s="107">
        <v>1</v>
      </c>
      <c r="B4" s="108"/>
      <c r="C4" s="108"/>
      <c r="D4" s="108"/>
      <c r="E4" s="109"/>
      <c r="F4" s="8" t="str">
        <f>'$_DATI_BASE'!S63</f>
        <v>INTASS001</v>
      </c>
      <c r="G4" s="9"/>
      <c r="H4" s="8" t="s">
        <v>150</v>
      </c>
      <c r="I4" s="366" t="s">
        <v>80</v>
      </c>
      <c r="J4" s="366"/>
      <c r="K4" s="366"/>
      <c r="L4" s="366"/>
      <c r="M4" s="366"/>
      <c r="N4" s="366"/>
      <c r="O4" s="84">
        <f>_xlfn.CEILING.MATH('$_DATI_BASE'!I18)</f>
        <v>17955</v>
      </c>
      <c r="P4" s="85">
        <f>O4</f>
        <v>17955</v>
      </c>
      <c r="Q4" s="85">
        <f>O4</f>
        <v>17955</v>
      </c>
      <c r="Y4" s="94"/>
      <c r="Z4" s="94"/>
      <c r="AA4" s="94"/>
      <c r="AB4" s="94"/>
      <c r="AC4" s="94"/>
      <c r="AD4" s="94"/>
      <c r="AE4" s="94"/>
      <c r="AF4" s="94" t="s">
        <v>179</v>
      </c>
      <c r="AG4" s="94"/>
      <c r="AH4" s="94"/>
      <c r="AI4" s="94"/>
      <c r="AJ4" s="94"/>
      <c r="AK4" s="94"/>
      <c r="AL4" s="94"/>
      <c r="AM4" s="94"/>
      <c r="AN4" s="94"/>
      <c r="AO4" s="94"/>
      <c r="AP4" s="94"/>
      <c r="AS4" s="94"/>
      <c r="AT4" s="94"/>
      <c r="AU4" s="94"/>
      <c r="AV4" s="94"/>
      <c r="AW4" s="94" t="s">
        <v>180</v>
      </c>
      <c r="AX4" s="94"/>
      <c r="AY4" s="94"/>
      <c r="AZ4" s="94"/>
      <c r="BA4" s="94"/>
      <c r="BB4" s="94"/>
    </row>
    <row r="5" spans="1:54" ht="42" customHeight="1" x14ac:dyDescent="0.3">
      <c r="A5" s="100"/>
      <c r="B5" s="95" t="s">
        <v>181</v>
      </c>
      <c r="C5" s="95"/>
      <c r="D5" s="95"/>
      <c r="E5" s="105"/>
      <c r="F5" s="1" t="s">
        <v>94</v>
      </c>
      <c r="G5" s="1" t="str">
        <f>F4</f>
        <v>INTASS001</v>
      </c>
      <c r="H5" s="1" t="s">
        <v>181</v>
      </c>
      <c r="I5" s="356" t="s">
        <v>182</v>
      </c>
      <c r="J5" s="356"/>
      <c r="K5" s="356"/>
      <c r="L5" s="356"/>
      <c r="M5" s="356"/>
      <c r="N5" s="356"/>
      <c r="O5" s="80">
        <f>'$_DATI_BASE'!U16</f>
        <v>1</v>
      </c>
      <c r="P5" s="51"/>
      <c r="Q5" s="51"/>
      <c r="R5" s="22"/>
    </row>
    <row r="6" spans="1:54" ht="23.4" x14ac:dyDescent="0.45">
      <c r="A6" s="100"/>
      <c r="B6" s="95">
        <v>2</v>
      </c>
      <c r="C6" s="95"/>
      <c r="D6" s="95"/>
      <c r="E6" s="105"/>
      <c r="F6" s="1" t="str">
        <f>'$_DATI_BASE'!S64</f>
        <v>INTSAL001</v>
      </c>
      <c r="G6" s="1" t="str">
        <f>F4</f>
        <v>INTASS001</v>
      </c>
      <c r="H6" s="1" t="s">
        <v>150</v>
      </c>
      <c r="I6" s="358" t="s">
        <v>151</v>
      </c>
      <c r="J6" s="358"/>
      <c r="K6" s="358"/>
      <c r="L6" s="358"/>
      <c r="M6" s="358"/>
      <c r="N6" s="358"/>
      <c r="O6" s="52">
        <f>'$_DATI_BASE'!AB64</f>
        <v>1</v>
      </c>
      <c r="P6" s="51">
        <f>_xlfn.CEILING.MATH(P4*O6)</f>
        <v>17955</v>
      </c>
      <c r="Q6" s="51">
        <f>_xlfn.CEILING.MATH(P4*O6/O5)</f>
        <v>17955</v>
      </c>
      <c r="W6" s="91"/>
      <c r="X6" s="92" t="s">
        <v>183</v>
      </c>
    </row>
    <row r="7" spans="1:54" ht="23.4" x14ac:dyDescent="0.45">
      <c r="A7" s="100"/>
      <c r="B7" s="95" t="s">
        <v>181</v>
      </c>
      <c r="C7" s="95"/>
      <c r="D7" s="95"/>
      <c r="E7" s="105"/>
      <c r="F7" s="1" t="s">
        <v>104</v>
      </c>
      <c r="G7" s="1" t="str">
        <f>F6</f>
        <v>INTSAL001</v>
      </c>
      <c r="H7" s="1" t="s">
        <v>181</v>
      </c>
      <c r="I7" s="356" t="s">
        <v>184</v>
      </c>
      <c r="J7" s="356"/>
      <c r="K7" s="356"/>
      <c r="L7" s="356"/>
      <c r="M7" s="356"/>
      <c r="N7" s="356"/>
      <c r="O7" s="80">
        <f>'$_DATI_BASE'!U20</f>
        <v>0.97</v>
      </c>
      <c r="P7" s="51"/>
      <c r="Q7" s="51"/>
      <c r="R7" s="22"/>
      <c r="W7" s="93"/>
      <c r="X7" s="92" t="s">
        <v>185</v>
      </c>
    </row>
    <row r="8" spans="1:54" x14ac:dyDescent="0.3">
      <c r="A8" s="138"/>
      <c r="B8" s="139"/>
      <c r="C8" s="139">
        <v>3</v>
      </c>
      <c r="D8" s="139"/>
      <c r="E8" s="140"/>
      <c r="F8" s="141" t="str">
        <f>'$_DATI_BASE'!S65</f>
        <v>INTPSP001</v>
      </c>
      <c r="G8" s="141" t="str">
        <f>F7</f>
        <v>INTSAL001-10</v>
      </c>
      <c r="H8" s="141" t="s">
        <v>150</v>
      </c>
      <c r="I8" s="360" t="s">
        <v>154</v>
      </c>
      <c r="J8" s="360"/>
      <c r="K8" s="360"/>
      <c r="L8" s="360"/>
      <c r="M8" s="360"/>
      <c r="N8" s="360"/>
      <c r="O8" s="142">
        <f>'$_DATI_BASE'!AB65</f>
        <v>1</v>
      </c>
      <c r="P8" s="143">
        <f>_xlfn.CEILING.MATH(P6*O8)</f>
        <v>17955</v>
      </c>
      <c r="Q8" s="143">
        <f>_xlfn.CEILING.MATH(Q6*O8/O7)</f>
        <v>18511</v>
      </c>
      <c r="R8" s="2"/>
    </row>
    <row r="9" spans="1:54" x14ac:dyDescent="0.3">
      <c r="A9" s="100"/>
      <c r="B9" s="95"/>
      <c r="C9" s="95" t="s">
        <v>181</v>
      </c>
      <c r="D9" s="95"/>
      <c r="E9" s="105"/>
      <c r="F9" s="1" t="s">
        <v>114</v>
      </c>
      <c r="G9" s="1" t="str">
        <f>F8</f>
        <v>INTPSP001</v>
      </c>
      <c r="H9" s="1" t="s">
        <v>181</v>
      </c>
      <c r="I9" s="356" t="s">
        <v>186</v>
      </c>
      <c r="J9" s="356"/>
      <c r="K9" s="356"/>
      <c r="L9" s="356"/>
      <c r="M9" s="356"/>
      <c r="N9" s="356"/>
      <c r="O9" s="80">
        <f>'$_DATI_BASE'!U26</f>
        <v>0.98</v>
      </c>
      <c r="P9" s="51"/>
      <c r="Q9" s="295">
        <f>Q8</f>
        <v>18511</v>
      </c>
      <c r="R9" s="297"/>
      <c r="S9" s="298"/>
    </row>
    <row r="10" spans="1:54" x14ac:dyDescent="0.3">
      <c r="A10" s="100"/>
      <c r="B10" s="95"/>
      <c r="C10" s="95" t="s">
        <v>181</v>
      </c>
      <c r="D10" s="95"/>
      <c r="E10" s="105"/>
      <c r="F10" s="1" t="s">
        <v>119</v>
      </c>
      <c r="G10" s="1" t="str">
        <f>F9</f>
        <v>INTPSP001-20</v>
      </c>
      <c r="H10" s="1" t="s">
        <v>181</v>
      </c>
      <c r="I10" s="356" t="s">
        <v>118</v>
      </c>
      <c r="J10" s="356"/>
      <c r="K10" s="356"/>
      <c r="L10" s="356"/>
      <c r="M10" s="356"/>
      <c r="N10" s="356"/>
      <c r="O10" s="80">
        <f>'$_DATI_BASE'!U28</f>
        <v>0.99</v>
      </c>
      <c r="P10" s="51"/>
      <c r="Q10" s="296">
        <f>_xlfn.CEILING.MATH(Q8/O9)</f>
        <v>18889</v>
      </c>
      <c r="R10" s="297"/>
      <c r="S10" s="297"/>
    </row>
    <row r="11" spans="1:54" x14ac:dyDescent="0.3">
      <c r="A11" s="100"/>
      <c r="B11" s="95"/>
      <c r="C11" s="95"/>
      <c r="D11" s="95">
        <v>4</v>
      </c>
      <c r="E11" s="105"/>
      <c r="F11" s="1" t="str">
        <f>'$_DATI_BASE'!S66</f>
        <v>ESTLAM001</v>
      </c>
      <c r="G11" s="1" t="str">
        <f>F10</f>
        <v>INTPSP001-10</v>
      </c>
      <c r="H11" s="1" t="s">
        <v>150</v>
      </c>
      <c r="I11" s="357" t="s">
        <v>157</v>
      </c>
      <c r="J11" s="357"/>
      <c r="K11" s="357"/>
      <c r="L11" s="357"/>
      <c r="M11" s="357"/>
      <c r="N11" s="357"/>
      <c r="O11" s="144">
        <f>'$_DATI_BASE'!AC66</f>
        <v>5</v>
      </c>
      <c r="P11" s="51">
        <f>_xlfn.CEILING.MATH(P8/O11)</f>
        <v>3591</v>
      </c>
      <c r="Q11" s="51">
        <f>_xlfn.CEILING.MATH((Q8/O11)/(O10*O9))</f>
        <v>3816</v>
      </c>
    </row>
    <row r="12" spans="1:54" x14ac:dyDescent="0.3">
      <c r="A12" s="100"/>
      <c r="B12" s="95"/>
      <c r="C12" s="95">
        <v>3</v>
      </c>
      <c r="D12" s="95"/>
      <c r="E12" s="105"/>
      <c r="F12" s="1" t="str">
        <f>'$_DATI_BASE'!S67</f>
        <v>INTPSP003</v>
      </c>
      <c r="G12" s="1" t="str">
        <f>F7</f>
        <v>INTSAL001-10</v>
      </c>
      <c r="H12" s="1" t="s">
        <v>150</v>
      </c>
      <c r="I12" s="362" t="s">
        <v>158</v>
      </c>
      <c r="J12" s="362"/>
      <c r="K12" s="362"/>
      <c r="L12" s="362"/>
      <c r="M12" s="362"/>
      <c r="N12" s="362"/>
      <c r="O12" s="52">
        <f>'$_DATI_BASE'!AB67</f>
        <v>3</v>
      </c>
      <c r="P12" s="51">
        <f>_xlfn.CEILING.MATH(P6*O12)</f>
        <v>53865</v>
      </c>
      <c r="Q12" s="51">
        <f>_xlfn.CEILING.MATH(Q6*O12/O7)</f>
        <v>55531</v>
      </c>
    </row>
    <row r="13" spans="1:54" x14ac:dyDescent="0.3">
      <c r="A13" s="100"/>
      <c r="B13" s="95"/>
      <c r="C13" s="95" t="s">
        <v>181</v>
      </c>
      <c r="D13" s="95"/>
      <c r="E13" s="105"/>
      <c r="F13" s="1" t="s">
        <v>127</v>
      </c>
      <c r="G13" s="1" t="str">
        <f>F12</f>
        <v>INTPSP003</v>
      </c>
      <c r="H13" s="1" t="s">
        <v>181</v>
      </c>
      <c r="I13" s="356" t="s">
        <v>187</v>
      </c>
      <c r="J13" s="356"/>
      <c r="K13" s="356"/>
      <c r="L13" s="356"/>
      <c r="M13" s="356"/>
      <c r="N13" s="356"/>
      <c r="O13" s="80">
        <f>'$_DATI_BASE'!U26</f>
        <v>0.98</v>
      </c>
      <c r="P13" s="51"/>
      <c r="Q13" s="295">
        <f>Q12</f>
        <v>55531</v>
      </c>
      <c r="R13" s="297"/>
      <c r="S13" s="298"/>
    </row>
    <row r="14" spans="1:54" x14ac:dyDescent="0.3">
      <c r="A14" s="100"/>
      <c r="B14" s="95"/>
      <c r="C14" s="95" t="s">
        <v>181</v>
      </c>
      <c r="D14" s="95"/>
      <c r="E14" s="105"/>
      <c r="F14" s="1" t="s">
        <v>131</v>
      </c>
      <c r="G14" s="1" t="str">
        <f>F13</f>
        <v>INTPSP003-20</v>
      </c>
      <c r="H14" s="1" t="s">
        <v>181</v>
      </c>
      <c r="I14" s="356" t="s">
        <v>130</v>
      </c>
      <c r="J14" s="356"/>
      <c r="K14" s="356"/>
      <c r="L14" s="356"/>
      <c r="M14" s="356"/>
      <c r="N14" s="356"/>
      <c r="O14" s="80">
        <f>'$_DATI_BASE'!U28</f>
        <v>0.99</v>
      </c>
      <c r="P14" s="51"/>
      <c r="Q14" s="296">
        <f>_xlfn.CEILING.MATH(Q12/O13)</f>
        <v>56665</v>
      </c>
      <c r="R14" s="297"/>
      <c r="S14" s="297"/>
    </row>
    <row r="15" spans="1:54" x14ac:dyDescent="0.3">
      <c r="A15" s="100"/>
      <c r="B15" s="95"/>
      <c r="C15" s="95"/>
      <c r="D15" s="95">
        <v>4</v>
      </c>
      <c r="E15" s="105"/>
      <c r="F15" s="1" t="str">
        <f>'$_DATI_BASE'!S68</f>
        <v>ESTLAM002</v>
      </c>
      <c r="G15" s="1" t="str">
        <f>F14</f>
        <v>INTPSP003-10</v>
      </c>
      <c r="H15" s="1" t="s">
        <v>150</v>
      </c>
      <c r="I15" s="365" t="s">
        <v>159</v>
      </c>
      <c r="J15" s="365"/>
      <c r="K15" s="365"/>
      <c r="L15" s="365"/>
      <c r="M15" s="365"/>
      <c r="N15" s="365"/>
      <c r="O15" s="144">
        <f>'$_DATI_BASE'!AC68</f>
        <v>20</v>
      </c>
      <c r="P15" s="51">
        <f>_xlfn.CEILING.MATH(P12/O15)</f>
        <v>2694</v>
      </c>
      <c r="Q15" s="51">
        <f>_xlfn.CEILING.MATH((Q12/O15)/(O14*O13))</f>
        <v>2862</v>
      </c>
    </row>
    <row r="16" spans="1:54" x14ac:dyDescent="0.3">
      <c r="A16" s="100"/>
      <c r="B16" s="95"/>
      <c r="C16" s="95">
        <v>3</v>
      </c>
      <c r="D16" s="95"/>
      <c r="E16" s="105"/>
      <c r="F16" s="1" t="str">
        <f>'$_DATI_BASE'!S69</f>
        <v>INTPSP004</v>
      </c>
      <c r="G16" s="1" t="str">
        <f>F7</f>
        <v>INTSAL001-10</v>
      </c>
      <c r="H16" s="1" t="s">
        <v>150</v>
      </c>
      <c r="I16" s="362" t="s">
        <v>160</v>
      </c>
      <c r="J16" s="362"/>
      <c r="K16" s="362"/>
      <c r="L16" s="362"/>
      <c r="M16" s="362"/>
      <c r="N16" s="362"/>
      <c r="O16" s="52">
        <f>'$_DATI_BASE'!AB69</f>
        <v>2</v>
      </c>
      <c r="P16" s="51">
        <f>_xlfn.CEILING.MATH(P6*O16)</f>
        <v>35910</v>
      </c>
      <c r="Q16" s="51">
        <f>_xlfn.CEILING.MATH(Q6*O16/O7)</f>
        <v>37021</v>
      </c>
    </row>
    <row r="17" spans="1:19" x14ac:dyDescent="0.3">
      <c r="A17" s="100"/>
      <c r="B17" s="95"/>
      <c r="C17" s="95" t="s">
        <v>181</v>
      </c>
      <c r="D17" s="95"/>
      <c r="E17" s="105"/>
      <c r="F17" s="1" t="s">
        <v>134</v>
      </c>
      <c r="G17" s="1" t="str">
        <f>F16</f>
        <v>INTPSP004</v>
      </c>
      <c r="H17" s="1" t="s">
        <v>181</v>
      </c>
      <c r="I17" s="356" t="s">
        <v>188</v>
      </c>
      <c r="J17" s="356"/>
      <c r="K17" s="356"/>
      <c r="L17" s="356"/>
      <c r="M17" s="356"/>
      <c r="N17" s="356"/>
      <c r="O17" s="80">
        <f>'$_DATI_BASE'!U26</f>
        <v>0.98</v>
      </c>
      <c r="P17" s="51"/>
      <c r="Q17" s="295">
        <f>Q16</f>
        <v>37021</v>
      </c>
      <c r="R17" s="297"/>
      <c r="S17" s="298"/>
    </row>
    <row r="18" spans="1:19" x14ac:dyDescent="0.3">
      <c r="A18" s="100"/>
      <c r="B18" s="95"/>
      <c r="C18" s="95" t="s">
        <v>181</v>
      </c>
      <c r="D18" s="95"/>
      <c r="E18" s="105"/>
      <c r="F18" s="1" t="s">
        <v>138</v>
      </c>
      <c r="G18" s="1" t="str">
        <f>F17</f>
        <v>INTPSP004-20</v>
      </c>
      <c r="H18" s="1" t="s">
        <v>181</v>
      </c>
      <c r="I18" s="356" t="s">
        <v>189</v>
      </c>
      <c r="J18" s="356"/>
      <c r="K18" s="356"/>
      <c r="L18" s="356"/>
      <c r="M18" s="356"/>
      <c r="N18" s="356"/>
      <c r="O18" s="80">
        <f>'$_DATI_BASE'!U28</f>
        <v>0.99</v>
      </c>
      <c r="P18" s="51"/>
      <c r="Q18" s="296">
        <f>_xlfn.CEILING.MATH(Q16/O17)</f>
        <v>37777</v>
      </c>
      <c r="R18" s="297"/>
      <c r="S18" s="297"/>
    </row>
    <row r="19" spans="1:19" x14ac:dyDescent="0.3">
      <c r="A19" s="100"/>
      <c r="B19" s="95"/>
      <c r="C19" s="95"/>
      <c r="D19" s="95">
        <v>4</v>
      </c>
      <c r="E19" s="105"/>
      <c r="F19" s="1" t="str">
        <f>'$_DATI_BASE'!S70</f>
        <v>ESTLAM003</v>
      </c>
      <c r="G19" s="1" t="str">
        <f>F18</f>
        <v>INTPSP004-10</v>
      </c>
      <c r="H19" s="1" t="s">
        <v>150</v>
      </c>
      <c r="I19" s="363" t="s">
        <v>161</v>
      </c>
      <c r="J19" s="363"/>
      <c r="K19" s="363"/>
      <c r="L19" s="363"/>
      <c r="M19" s="363"/>
      <c r="N19" s="363"/>
      <c r="O19" s="144">
        <f>'$_DATI_BASE'!AC70</f>
        <v>4</v>
      </c>
      <c r="P19" s="51">
        <f>_xlfn.CEILING.MATH(P16/O19)</f>
        <v>8978</v>
      </c>
      <c r="Q19" s="51">
        <f>_xlfn.CEILING.MATH((Q16/O19)/(O18*O17))</f>
        <v>9540</v>
      </c>
    </row>
    <row r="20" spans="1:19" x14ac:dyDescent="0.3">
      <c r="A20" s="145"/>
      <c r="B20" s="146"/>
      <c r="C20" s="146">
        <v>3</v>
      </c>
      <c r="D20" s="146"/>
      <c r="E20" s="147"/>
      <c r="F20" s="148" t="str">
        <f>'$_DATI_BASE'!S71</f>
        <v>ESTSAL001</v>
      </c>
      <c r="G20" s="148" t="str">
        <f>F7</f>
        <v>INTSAL001-10</v>
      </c>
      <c r="H20" s="148" t="s">
        <v>150</v>
      </c>
      <c r="I20" s="364" t="s">
        <v>162</v>
      </c>
      <c r="J20" s="364"/>
      <c r="K20" s="364"/>
      <c r="L20" s="364"/>
      <c r="M20" s="364"/>
      <c r="N20" s="364"/>
      <c r="O20" s="149">
        <f>'$_DATI_BASE'!AB71</f>
        <v>1</v>
      </c>
      <c r="P20" s="150">
        <f>_xlfn.CEILING.MATH($P$6*O20)</f>
        <v>17955</v>
      </c>
      <c r="Q20" s="150">
        <f>_xlfn.CEILING.MATH($Q$6*O20/$O$5)</f>
        <v>17955</v>
      </c>
    </row>
    <row r="21" spans="1:19" x14ac:dyDescent="0.3">
      <c r="A21" s="100"/>
      <c r="B21" s="95">
        <v>2</v>
      </c>
      <c r="C21" s="95"/>
      <c r="D21" s="95"/>
      <c r="E21" s="105"/>
      <c r="F21" s="1" t="str">
        <f>'$_DATI_BASE'!S72</f>
        <v>ESTALB001</v>
      </c>
      <c r="G21" s="1" t="str">
        <f>F5</f>
        <v>INTASS001-10</v>
      </c>
      <c r="H21" s="1" t="s">
        <v>150</v>
      </c>
      <c r="I21" s="358" t="s">
        <v>163</v>
      </c>
      <c r="J21" s="358"/>
      <c r="K21" s="358"/>
      <c r="L21" s="358"/>
      <c r="M21" s="358"/>
      <c r="N21" s="358"/>
      <c r="O21" s="52" cm="1">
        <f t="array" ref="O21:O24">'$_DATI_BASE'!AB72:AB75</f>
        <v>1</v>
      </c>
      <c r="P21" s="51">
        <f>_xlfn.CEILING.MATH($P$6*O21)</f>
        <v>17955</v>
      </c>
      <c r="Q21" s="51">
        <f>_xlfn.CEILING.MATH($Q$6*O21/$O$5)</f>
        <v>17955</v>
      </c>
    </row>
    <row r="22" spans="1:19" x14ac:dyDescent="0.3">
      <c r="A22" s="100"/>
      <c r="B22" s="95">
        <v>2</v>
      </c>
      <c r="C22" s="95"/>
      <c r="D22" s="95"/>
      <c r="E22" s="105"/>
      <c r="F22" s="1" t="str">
        <f>'$_DATI_BASE'!S73</f>
        <v>ESTING001</v>
      </c>
      <c r="G22" s="1" t="str">
        <f>F5</f>
        <v>INTASS001-10</v>
      </c>
      <c r="H22" s="1" t="s">
        <v>150</v>
      </c>
      <c r="I22" s="359" t="s">
        <v>164</v>
      </c>
      <c r="J22" s="359"/>
      <c r="K22" s="359"/>
      <c r="L22" s="359"/>
      <c r="M22" s="359"/>
      <c r="N22" s="359"/>
      <c r="O22" s="52">
        <v>2</v>
      </c>
      <c r="P22" s="51">
        <f>_xlfn.CEILING.MATH($P$6*O22)</f>
        <v>35910</v>
      </c>
      <c r="Q22" s="51">
        <f>_xlfn.CEILING.MATH($Q$6*O22/$O$5)</f>
        <v>35910</v>
      </c>
    </row>
    <row r="23" spans="1:19" x14ac:dyDescent="0.3">
      <c r="A23" s="100"/>
      <c r="B23" s="95">
        <v>2</v>
      </c>
      <c r="C23" s="95"/>
      <c r="D23" s="95"/>
      <c r="E23" s="105"/>
      <c r="F23" s="1" t="str">
        <f>'$_DATI_BASE'!S74</f>
        <v>ESTING002</v>
      </c>
      <c r="G23" s="1" t="str">
        <f>F5</f>
        <v>INTASS001-10</v>
      </c>
      <c r="H23" s="1" t="s">
        <v>150</v>
      </c>
      <c r="I23" s="359" t="s">
        <v>165</v>
      </c>
      <c r="J23" s="359"/>
      <c r="K23" s="359"/>
      <c r="L23" s="359"/>
      <c r="M23" s="359"/>
      <c r="N23" s="359"/>
      <c r="O23" s="52">
        <v>3</v>
      </c>
      <c r="P23" s="51">
        <f>_xlfn.CEILING.MATH($P$6*O23)</f>
        <v>53865</v>
      </c>
      <c r="Q23" s="51">
        <f>_xlfn.CEILING.MATH($Q$6*O23/$O$5)</f>
        <v>53865</v>
      </c>
    </row>
    <row r="24" spans="1:19" x14ac:dyDescent="0.3">
      <c r="A24" s="100"/>
      <c r="B24" s="95">
        <v>2</v>
      </c>
      <c r="C24" s="95"/>
      <c r="D24" s="95"/>
      <c r="E24" s="105"/>
      <c r="F24" s="1" t="str">
        <f>'$_DATI_BASE'!S75</f>
        <v>ESTASS003</v>
      </c>
      <c r="G24" s="1" t="str">
        <f>F5</f>
        <v>INTASS001-10</v>
      </c>
      <c r="H24" s="1" t="s">
        <v>150</v>
      </c>
      <c r="I24" s="358" t="s">
        <v>166</v>
      </c>
      <c r="J24" s="358"/>
      <c r="K24" s="358"/>
      <c r="L24" s="358"/>
      <c r="M24" s="358"/>
      <c r="N24" s="358"/>
      <c r="O24" s="52">
        <v>1</v>
      </c>
      <c r="P24" s="51">
        <f>_xlfn.CEILING.MATH($P$6*O24)</f>
        <v>17955</v>
      </c>
      <c r="Q24" s="51">
        <f>_xlfn.CEILING.MATH($Q$6*O24/$O$5)</f>
        <v>17955</v>
      </c>
    </row>
    <row r="25" spans="1:19" x14ac:dyDescent="0.3">
      <c r="A25" s="101"/>
      <c r="B25" s="95"/>
      <c r="C25" s="95"/>
      <c r="D25" s="95"/>
      <c r="E25" s="105"/>
      <c r="F25" s="1"/>
      <c r="G25" s="1"/>
      <c r="H25" s="1"/>
      <c r="I25" s="356"/>
      <c r="J25" s="356"/>
      <c r="K25" s="356"/>
      <c r="L25" s="356"/>
      <c r="M25" s="356"/>
      <c r="N25" s="356"/>
      <c r="O25" s="52"/>
      <c r="P25" s="51"/>
      <c r="Q25" s="51"/>
    </row>
    <row r="26" spans="1:19" x14ac:dyDescent="0.3">
      <c r="A26" s="100">
        <v>1</v>
      </c>
      <c r="B26" s="95"/>
      <c r="C26" s="95"/>
      <c r="D26" s="95"/>
      <c r="E26" s="105"/>
      <c r="F26" s="8" t="str">
        <f>'$_DATI_BASE'!S76</f>
        <v>INTASS002</v>
      </c>
      <c r="G26" s="9" t="s">
        <v>190</v>
      </c>
      <c r="H26" s="8" t="s">
        <v>150</v>
      </c>
      <c r="I26" s="366" t="s">
        <v>83</v>
      </c>
      <c r="J26" s="366"/>
      <c r="K26" s="366"/>
      <c r="L26" s="366"/>
      <c r="M26" s="366"/>
      <c r="N26" s="366"/>
      <c r="O26" s="84">
        <f>_xlfn.CEILING.MATH('$_DATI_BASE'!I20)</f>
        <v>7695</v>
      </c>
      <c r="P26" s="85">
        <f>O26</f>
        <v>7695</v>
      </c>
      <c r="Q26" s="85">
        <f>O26</f>
        <v>7695</v>
      </c>
    </row>
    <row r="27" spans="1:19" x14ac:dyDescent="0.3">
      <c r="A27" s="100"/>
      <c r="B27" s="95" t="s">
        <v>181</v>
      </c>
      <c r="C27" s="95"/>
      <c r="D27" s="95"/>
      <c r="E27" s="105"/>
      <c r="F27" s="1" t="s">
        <v>98</v>
      </c>
      <c r="G27" s="1" t="str">
        <f>F26</f>
        <v>INTASS002</v>
      </c>
      <c r="H27" s="1" t="s">
        <v>181</v>
      </c>
      <c r="I27" s="356" t="s">
        <v>191</v>
      </c>
      <c r="J27" s="356"/>
      <c r="K27" s="356"/>
      <c r="L27" s="356"/>
      <c r="M27" s="356"/>
      <c r="N27" s="356"/>
      <c r="O27" s="117">
        <f>'$_DATI_BASE'!U16</f>
        <v>1</v>
      </c>
      <c r="P27" s="51"/>
      <c r="Q27" s="51"/>
      <c r="R27" s="22"/>
    </row>
    <row r="28" spans="1:19" x14ac:dyDescent="0.3">
      <c r="A28" s="100"/>
      <c r="B28" s="95">
        <v>2</v>
      </c>
      <c r="C28" s="95"/>
      <c r="D28" s="95"/>
      <c r="E28" s="105"/>
      <c r="F28" s="1" t="str">
        <f>'$_DATI_BASE'!S77</f>
        <v>INTSAL002</v>
      </c>
      <c r="G28" s="1" t="str">
        <f>F26</f>
        <v>INTASS002</v>
      </c>
      <c r="H28" s="1" t="s">
        <v>150</v>
      </c>
      <c r="I28" s="358" t="s">
        <v>167</v>
      </c>
      <c r="J28" s="358"/>
      <c r="K28" s="358"/>
      <c r="L28" s="358"/>
      <c r="M28" s="358"/>
      <c r="N28" s="358"/>
      <c r="O28" s="52">
        <f>'$_DATI_BASE'!AB77</f>
        <v>1</v>
      </c>
      <c r="P28" s="51">
        <f>_xlfn.CEILING.MATH(P26*O28)</f>
        <v>7695</v>
      </c>
      <c r="Q28" s="51">
        <f>_xlfn.CEILING.MATH(Q26*O28/O27)</f>
        <v>7695</v>
      </c>
    </row>
    <row r="29" spans="1:19" x14ac:dyDescent="0.3">
      <c r="A29" s="100"/>
      <c r="B29" s="95" t="s">
        <v>181</v>
      </c>
      <c r="C29" s="95"/>
      <c r="D29" s="95"/>
      <c r="E29" s="105"/>
      <c r="F29" s="1" t="s">
        <v>108</v>
      </c>
      <c r="G29" s="1" t="str">
        <f>F28</f>
        <v>INTSAL002</v>
      </c>
      <c r="H29" s="1" t="s">
        <v>181</v>
      </c>
      <c r="I29" s="356" t="s">
        <v>192</v>
      </c>
      <c r="J29" s="356"/>
      <c r="K29" s="356"/>
      <c r="L29" s="356"/>
      <c r="M29" s="356"/>
      <c r="N29" s="356"/>
      <c r="O29" s="80">
        <f>'$_DATI_BASE'!U20</f>
        <v>0.97</v>
      </c>
      <c r="P29" s="51"/>
      <c r="Q29" s="51"/>
      <c r="R29" s="22"/>
    </row>
    <row r="30" spans="1:19" x14ac:dyDescent="0.3">
      <c r="A30" s="138"/>
      <c r="B30" s="139"/>
      <c r="C30" s="139">
        <v>3</v>
      </c>
      <c r="D30" s="139"/>
      <c r="E30" s="140"/>
      <c r="F30" s="141" t="str">
        <f>'$_DATI_BASE'!S78</f>
        <v>INTPSP002</v>
      </c>
      <c r="G30" s="141" t="str">
        <f>F29</f>
        <v>INTSAL002-10</v>
      </c>
      <c r="H30" s="141" t="s">
        <v>150</v>
      </c>
      <c r="I30" s="360" t="s">
        <v>168</v>
      </c>
      <c r="J30" s="360"/>
      <c r="K30" s="360"/>
      <c r="L30" s="360"/>
      <c r="M30" s="360"/>
      <c r="N30" s="360"/>
      <c r="O30" s="142">
        <f>'$_DATI_BASE'!AB78</f>
        <v>1</v>
      </c>
      <c r="P30" s="143">
        <f>_xlfn.CEILING.MATH(P28*O30)</f>
        <v>7695</v>
      </c>
      <c r="Q30" s="143">
        <f>_xlfn.CEILING.MATH(Q28*O30/O29)</f>
        <v>7933</v>
      </c>
      <c r="R30" s="2"/>
    </row>
    <row r="31" spans="1:19" x14ac:dyDescent="0.3">
      <c r="A31" s="100"/>
      <c r="B31" s="95"/>
      <c r="C31" s="95" t="s">
        <v>181</v>
      </c>
      <c r="D31" s="95"/>
      <c r="E31" s="105"/>
      <c r="F31" s="1" t="s">
        <v>121</v>
      </c>
      <c r="G31" s="1" t="str">
        <f>F30</f>
        <v>INTPSP002</v>
      </c>
      <c r="H31" s="1" t="s">
        <v>181</v>
      </c>
      <c r="I31" s="356" t="s">
        <v>193</v>
      </c>
      <c r="J31" s="356"/>
      <c r="K31" s="356"/>
      <c r="L31" s="356"/>
      <c r="M31" s="356"/>
      <c r="N31" s="356"/>
      <c r="O31" s="80">
        <f>'$_DATI_BASE'!U26</f>
        <v>0.98</v>
      </c>
      <c r="P31" s="51"/>
      <c r="Q31" s="295">
        <f>Q30</f>
        <v>7933</v>
      </c>
      <c r="R31" s="297"/>
      <c r="S31" s="298"/>
    </row>
    <row r="32" spans="1:19" x14ac:dyDescent="0.3">
      <c r="A32" s="100"/>
      <c r="B32" s="95"/>
      <c r="C32" s="95" t="s">
        <v>181</v>
      </c>
      <c r="D32" s="95"/>
      <c r="E32" s="105"/>
      <c r="F32" s="1" t="s">
        <v>123</v>
      </c>
      <c r="G32" s="1" t="str">
        <f>F31</f>
        <v>INTPSP002-20</v>
      </c>
      <c r="H32" s="1" t="s">
        <v>181</v>
      </c>
      <c r="I32" s="356" t="s">
        <v>122</v>
      </c>
      <c r="J32" s="356"/>
      <c r="K32" s="356"/>
      <c r="L32" s="356"/>
      <c r="M32" s="356"/>
      <c r="N32" s="356"/>
      <c r="O32" s="80">
        <f>'$_DATI_BASE'!U28</f>
        <v>0.99</v>
      </c>
      <c r="P32" s="51"/>
      <c r="Q32" s="296">
        <f>_xlfn.CEILING.MATH(Q30/O31)</f>
        <v>8095</v>
      </c>
      <c r="R32" s="297"/>
      <c r="S32" s="297"/>
    </row>
    <row r="33" spans="1:52" x14ac:dyDescent="0.3">
      <c r="A33" s="100"/>
      <c r="B33" s="95"/>
      <c r="C33" s="95"/>
      <c r="D33" s="95">
        <v>4</v>
      </c>
      <c r="E33" s="105"/>
      <c r="F33" s="1" t="str">
        <f>'$_DATI_BASE'!S79</f>
        <v>ESTLAM001</v>
      </c>
      <c r="G33" s="1" t="str">
        <f>F32</f>
        <v>INTPSP002-10</v>
      </c>
      <c r="H33" s="1" t="s">
        <v>150</v>
      </c>
      <c r="I33" s="367" t="s">
        <v>157</v>
      </c>
      <c r="J33" s="367"/>
      <c r="K33" s="367"/>
      <c r="L33" s="367"/>
      <c r="M33" s="367"/>
      <c r="N33" s="367"/>
      <c r="O33" s="144">
        <f>'$_DATI_BASE'!AC79</f>
        <v>5</v>
      </c>
      <c r="P33" s="51">
        <f>_xlfn.CEILING.MATH(P30/O33)</f>
        <v>1539</v>
      </c>
      <c r="Q33" s="51">
        <f>_xlfn.CEILING.MATH((Q30/O33)/(O32*O31))</f>
        <v>1636</v>
      </c>
    </row>
    <row r="34" spans="1:52" x14ac:dyDescent="0.3">
      <c r="A34" s="100"/>
      <c r="B34" s="95"/>
      <c r="C34" s="95">
        <v>3</v>
      </c>
      <c r="D34" s="95"/>
      <c r="E34" s="105"/>
      <c r="F34" s="1" t="str">
        <f>'$_DATI_BASE'!S80</f>
        <v>INTPSP003</v>
      </c>
      <c r="G34" s="1" t="str">
        <f>F29</f>
        <v>INTSAL002-10</v>
      </c>
      <c r="H34" s="1" t="s">
        <v>150</v>
      </c>
      <c r="I34" s="362" t="s">
        <v>158</v>
      </c>
      <c r="J34" s="362"/>
      <c r="K34" s="362"/>
      <c r="L34" s="362"/>
      <c r="M34" s="362"/>
      <c r="N34" s="362"/>
      <c r="O34" s="151">
        <f>'$_DATI_BASE'!AB80</f>
        <v>5</v>
      </c>
      <c r="P34" s="51">
        <f>_xlfn.CEILING.MATH(P28/O34)</f>
        <v>1539</v>
      </c>
      <c r="Q34" s="51">
        <f>_xlfn.CEILING.MATH(Q28/O34/O29)</f>
        <v>1587</v>
      </c>
    </row>
    <row r="35" spans="1:52" x14ac:dyDescent="0.3">
      <c r="A35" s="100"/>
      <c r="B35" s="95"/>
      <c r="C35" s="95" t="s">
        <v>181</v>
      </c>
      <c r="D35" s="95"/>
      <c r="E35" s="105"/>
      <c r="F35" s="1" t="s">
        <v>127</v>
      </c>
      <c r="G35" s="1" t="str">
        <f>F34</f>
        <v>INTPSP003</v>
      </c>
      <c r="H35" s="1" t="s">
        <v>181</v>
      </c>
      <c r="I35" s="356" t="s">
        <v>187</v>
      </c>
      <c r="J35" s="356"/>
      <c r="K35" s="356"/>
      <c r="L35" s="356"/>
      <c r="M35" s="356"/>
      <c r="N35" s="356"/>
      <c r="O35" s="80">
        <f>'$_DATI_BASE'!U26</f>
        <v>0.98</v>
      </c>
      <c r="P35" s="51"/>
      <c r="Q35" s="295">
        <f>Q34</f>
        <v>1587</v>
      </c>
      <c r="R35" s="297"/>
      <c r="S35" s="298"/>
    </row>
    <row r="36" spans="1:52" x14ac:dyDescent="0.3">
      <c r="A36" s="100"/>
      <c r="B36" s="95"/>
      <c r="C36" s="95" t="s">
        <v>181</v>
      </c>
      <c r="D36" s="95"/>
      <c r="E36" s="105"/>
      <c r="F36" s="1" t="s">
        <v>131</v>
      </c>
      <c r="G36" s="1" t="str">
        <f>F35</f>
        <v>INTPSP003-20</v>
      </c>
      <c r="H36" s="1" t="s">
        <v>181</v>
      </c>
      <c r="I36" s="356" t="s">
        <v>130</v>
      </c>
      <c r="J36" s="356"/>
      <c r="K36" s="356"/>
      <c r="L36" s="356"/>
      <c r="M36" s="356"/>
      <c r="N36" s="356"/>
      <c r="O36" s="80">
        <f>'$_DATI_BASE'!U28</f>
        <v>0.99</v>
      </c>
      <c r="P36" s="51"/>
      <c r="Q36" s="296">
        <f>_xlfn.CEILING.MATH(Q34/O35)</f>
        <v>1620</v>
      </c>
      <c r="R36" s="297"/>
      <c r="S36" s="297"/>
    </row>
    <row r="37" spans="1:52" x14ac:dyDescent="0.3">
      <c r="A37" s="100"/>
      <c r="B37" s="95"/>
      <c r="C37" s="95"/>
      <c r="D37" s="95">
        <v>4</v>
      </c>
      <c r="E37" s="105"/>
      <c r="F37" s="1" t="str">
        <f>'$_DATI_BASE'!S81</f>
        <v>ESTLAM002</v>
      </c>
      <c r="G37" s="1" t="str">
        <f>F36</f>
        <v>INTPSP003-10</v>
      </c>
      <c r="H37" s="1" t="s">
        <v>150</v>
      </c>
      <c r="I37" s="365" t="s">
        <v>159</v>
      </c>
      <c r="J37" s="365"/>
      <c r="K37" s="365"/>
      <c r="L37" s="365"/>
      <c r="M37" s="365"/>
      <c r="N37" s="365"/>
      <c r="O37" s="144">
        <f>'$_DATI_BASE'!AC81</f>
        <v>20</v>
      </c>
      <c r="P37" s="51">
        <f>_xlfn.CEILING.MATH(P34/O37)</f>
        <v>77</v>
      </c>
      <c r="Q37" s="51">
        <f>_xlfn.CEILING.MATH((Q34/O37)/(O36*O35))</f>
        <v>82</v>
      </c>
    </row>
    <row r="38" spans="1:52" x14ac:dyDescent="0.3">
      <c r="A38" s="100"/>
      <c r="B38" s="95"/>
      <c r="C38" s="95">
        <v>3</v>
      </c>
      <c r="D38" s="95"/>
      <c r="E38" s="105"/>
      <c r="F38" s="1" t="str">
        <f>'$_DATI_BASE'!S82</f>
        <v>INTPSP004</v>
      </c>
      <c r="G38" s="1" t="str">
        <f>F29</f>
        <v>INTSAL002-10</v>
      </c>
      <c r="H38" s="1" t="s">
        <v>150</v>
      </c>
      <c r="I38" s="362" t="s">
        <v>160</v>
      </c>
      <c r="J38" s="362"/>
      <c r="K38" s="362"/>
      <c r="L38" s="362"/>
      <c r="M38" s="362"/>
      <c r="N38" s="362"/>
      <c r="O38" s="52">
        <f>'$_DATI_BASE'!AB82</f>
        <v>2</v>
      </c>
      <c r="P38" s="51">
        <f>_xlfn.CEILING.MATH(P28*O38)</f>
        <v>15390</v>
      </c>
      <c r="Q38" s="51">
        <f>_xlfn.CEILING.MATH(Q28*O38/O29)</f>
        <v>15866</v>
      </c>
    </row>
    <row r="39" spans="1:52" x14ac:dyDescent="0.3">
      <c r="A39" s="100"/>
      <c r="B39" s="95"/>
      <c r="C39" s="95" t="s">
        <v>181</v>
      </c>
      <c r="D39" s="95"/>
      <c r="E39" s="105"/>
      <c r="F39" s="1" t="s">
        <v>134</v>
      </c>
      <c r="G39" s="1" t="str">
        <f>F38</f>
        <v>INTPSP004</v>
      </c>
      <c r="H39" s="1" t="s">
        <v>181</v>
      </c>
      <c r="I39" s="356" t="s">
        <v>194</v>
      </c>
      <c r="J39" s="356"/>
      <c r="K39" s="356"/>
      <c r="L39" s="356"/>
      <c r="M39" s="356"/>
      <c r="N39" s="356"/>
      <c r="O39" s="80">
        <f>'$_DATI_BASE'!U26</f>
        <v>0.98</v>
      </c>
      <c r="P39" s="51"/>
      <c r="Q39" s="295">
        <f>Q38</f>
        <v>15866</v>
      </c>
      <c r="R39" s="297"/>
      <c r="S39" s="298"/>
      <c r="V39" s="83"/>
      <c r="W39" s="83"/>
      <c r="X39" s="83"/>
      <c r="Y39" s="83"/>
      <c r="Z39" s="83"/>
      <c r="AA39" s="83"/>
      <c r="AB39" s="83"/>
      <c r="AC39" s="83"/>
      <c r="AD39" s="83"/>
      <c r="AE39" s="83"/>
      <c r="AF39" s="83"/>
      <c r="AG39" s="83"/>
      <c r="AH39" s="83"/>
      <c r="AI39" s="83"/>
      <c r="AJ39" s="83"/>
      <c r="AK39" s="83"/>
      <c r="AL39" s="83"/>
      <c r="AM39" s="83"/>
      <c r="AN39" s="83"/>
      <c r="AO39" s="83"/>
      <c r="AP39" s="83"/>
      <c r="AQ39" s="83"/>
      <c r="AR39" s="83"/>
      <c r="AS39" s="83"/>
      <c r="AT39" s="83"/>
      <c r="AU39" s="83"/>
      <c r="AV39" s="83"/>
      <c r="AW39" s="83"/>
      <c r="AX39" s="83"/>
      <c r="AY39" s="83"/>
      <c r="AZ39" s="83"/>
    </row>
    <row r="40" spans="1:52" x14ac:dyDescent="0.3">
      <c r="A40" s="100"/>
      <c r="B40" s="95"/>
      <c r="C40" s="95" t="s">
        <v>181</v>
      </c>
      <c r="D40" s="95"/>
      <c r="E40" s="105"/>
      <c r="F40" s="1" t="s">
        <v>138</v>
      </c>
      <c r="G40" s="1" t="str">
        <f>F39</f>
        <v>INTPSP004-20</v>
      </c>
      <c r="H40" s="1" t="s">
        <v>181</v>
      </c>
      <c r="I40" s="356" t="s">
        <v>189</v>
      </c>
      <c r="J40" s="356"/>
      <c r="K40" s="356"/>
      <c r="L40" s="356"/>
      <c r="M40" s="356"/>
      <c r="N40" s="356"/>
      <c r="O40" s="80">
        <f>'$_DATI_BASE'!U28</f>
        <v>0.99</v>
      </c>
      <c r="P40" s="51"/>
      <c r="Q40" s="296">
        <f>_xlfn.CEILING.MATH(Q38/O39)</f>
        <v>16190</v>
      </c>
      <c r="R40" s="297"/>
      <c r="S40" s="297"/>
    </row>
    <row r="41" spans="1:52" x14ac:dyDescent="0.3">
      <c r="A41" s="100"/>
      <c r="B41" s="95"/>
      <c r="C41" s="95"/>
      <c r="D41" s="95">
        <v>4</v>
      </c>
      <c r="E41" s="105"/>
      <c r="F41" s="1" t="str">
        <f>'$_DATI_BASE'!S83</f>
        <v>ESTLAM003</v>
      </c>
      <c r="G41" s="1" t="str">
        <f>F40</f>
        <v>INTPSP004-10</v>
      </c>
      <c r="H41" s="1" t="s">
        <v>150</v>
      </c>
      <c r="I41" s="363" t="s">
        <v>161</v>
      </c>
      <c r="J41" s="363"/>
      <c r="K41" s="363"/>
      <c r="L41" s="363"/>
      <c r="M41" s="363"/>
      <c r="N41" s="363"/>
      <c r="O41" s="144">
        <f>'$_DATI_BASE'!AC83</f>
        <v>4</v>
      </c>
      <c r="P41" s="51">
        <f>_xlfn.CEILING.MATH(P38/O41)</f>
        <v>3848</v>
      </c>
      <c r="Q41" s="51">
        <f>_xlfn.CEILING.MATH((Q38/O41)/(O40*O39))</f>
        <v>4089</v>
      </c>
    </row>
    <row r="42" spans="1:52" x14ac:dyDescent="0.3">
      <c r="A42" s="145"/>
      <c r="B42" s="146"/>
      <c r="C42" s="146">
        <v>3</v>
      </c>
      <c r="D42" s="146"/>
      <c r="E42" s="147"/>
      <c r="F42" s="148" t="str">
        <f>'$_DATI_BASE'!S84</f>
        <v>ESTSAL002</v>
      </c>
      <c r="G42" s="148" t="str">
        <f>F29</f>
        <v>INTSAL002-10</v>
      </c>
      <c r="H42" s="148" t="s">
        <v>150</v>
      </c>
      <c r="I42" s="364" t="s">
        <v>169</v>
      </c>
      <c r="J42" s="364"/>
      <c r="K42" s="364"/>
      <c r="L42" s="364"/>
      <c r="M42" s="364"/>
      <c r="N42" s="364"/>
      <c r="O42" s="149">
        <f>'$_DATI_BASE'!AB84</f>
        <v>1</v>
      </c>
      <c r="P42" s="150">
        <f>_xlfn.CEILING.MATH($P$28*O42)</f>
        <v>7695</v>
      </c>
      <c r="Q42" s="150">
        <f>_xlfn.CEILING.MATH(P42/'$_DATI_BASE'!AB84)</f>
        <v>7695</v>
      </c>
    </row>
    <row r="43" spans="1:52" ht="46.2" x14ac:dyDescent="0.85">
      <c r="A43" s="100"/>
      <c r="B43" s="95">
        <v>2</v>
      </c>
      <c r="C43" s="95"/>
      <c r="D43" s="95"/>
      <c r="E43" s="105"/>
      <c r="F43" s="1" t="str">
        <f>'$_DATI_BASE'!S85</f>
        <v>ESTALB002</v>
      </c>
      <c r="G43" s="1" t="str">
        <f>F27</f>
        <v>INTASS002-10</v>
      </c>
      <c r="H43" s="1" t="s">
        <v>150</v>
      </c>
      <c r="I43" s="358" t="s">
        <v>170</v>
      </c>
      <c r="J43" s="358"/>
      <c r="K43" s="358"/>
      <c r="L43" s="358"/>
      <c r="M43" s="358"/>
      <c r="N43" s="358"/>
      <c r="O43" s="52">
        <f>'$_DATI_BASE'!AB85</f>
        <v>1</v>
      </c>
      <c r="P43" s="51">
        <f>_xlfn.CEILING.MATH($P$28*O43)</f>
        <v>7695</v>
      </c>
      <c r="Q43" s="51">
        <f>_xlfn.CEILING.MATH($Q$26*O43/$O$27)</f>
        <v>7695</v>
      </c>
      <c r="Z43" s="94"/>
      <c r="AA43" s="94"/>
      <c r="AB43" s="94"/>
      <c r="AC43" s="94"/>
      <c r="AD43" s="94"/>
      <c r="AE43" s="94"/>
      <c r="AF43" s="94"/>
      <c r="AG43" s="94"/>
      <c r="AH43" s="94"/>
      <c r="AI43" s="94" t="s">
        <v>195</v>
      </c>
      <c r="AJ43" s="94"/>
      <c r="AK43" s="94"/>
      <c r="AL43" s="94"/>
      <c r="AM43" s="94"/>
      <c r="AN43" s="94"/>
      <c r="AO43" s="94"/>
      <c r="AP43" s="94"/>
    </row>
    <row r="44" spans="1:52" x14ac:dyDescent="0.3">
      <c r="A44" s="100"/>
      <c r="B44" s="95">
        <v>2</v>
      </c>
      <c r="C44" s="95"/>
      <c r="D44" s="95"/>
      <c r="E44" s="105"/>
      <c r="F44" s="1" t="str">
        <f>'$_DATI_BASE'!S86</f>
        <v>ESTING001</v>
      </c>
      <c r="G44" s="1" t="str">
        <f>F27</f>
        <v>INTASS002-10</v>
      </c>
      <c r="H44" s="1" t="s">
        <v>150</v>
      </c>
      <c r="I44" s="359" t="s">
        <v>164</v>
      </c>
      <c r="J44" s="359"/>
      <c r="K44" s="359"/>
      <c r="L44" s="359"/>
      <c r="M44" s="359"/>
      <c r="N44" s="359"/>
      <c r="O44" s="52">
        <f>'$_DATI_BASE'!AB86</f>
        <v>2</v>
      </c>
      <c r="P44" s="51">
        <f>_xlfn.CEILING.MATH($P$28*O44)</f>
        <v>15390</v>
      </c>
      <c r="Q44" s="51">
        <f>_xlfn.CEILING.MATH($Q$26*O44/$O$27)</f>
        <v>15390</v>
      </c>
    </row>
    <row r="45" spans="1:52" ht="23.4" x14ac:dyDescent="0.45">
      <c r="A45" s="100"/>
      <c r="B45" s="95">
        <v>2</v>
      </c>
      <c r="C45" s="95"/>
      <c r="D45" s="95"/>
      <c r="E45" s="105"/>
      <c r="F45" s="1" t="str">
        <f>'$_DATI_BASE'!S87</f>
        <v>ESTING002</v>
      </c>
      <c r="G45" s="1" t="str">
        <f>F27</f>
        <v>INTASS002-10</v>
      </c>
      <c r="H45" s="1" t="s">
        <v>150</v>
      </c>
      <c r="I45" s="359" t="s">
        <v>165</v>
      </c>
      <c r="J45" s="359"/>
      <c r="K45" s="359"/>
      <c r="L45" s="359"/>
      <c r="M45" s="359"/>
      <c r="N45" s="359"/>
      <c r="O45" s="52">
        <f>'$_DATI_BASE'!AB87</f>
        <v>3</v>
      </c>
      <c r="P45" s="51">
        <f>_xlfn.CEILING.MATH($P$28*O45)</f>
        <v>23085</v>
      </c>
      <c r="Q45" s="51">
        <f>_xlfn.CEILING.MATH($Q$26*O45/$O$27)</f>
        <v>23085</v>
      </c>
      <c r="W45" s="91"/>
      <c r="X45" s="92" t="s">
        <v>183</v>
      </c>
    </row>
    <row r="46" spans="1:52" ht="23.4" x14ac:dyDescent="0.45">
      <c r="A46" s="107"/>
      <c r="B46" s="108">
        <v>2</v>
      </c>
      <c r="C46" s="108"/>
      <c r="D46" s="108"/>
      <c r="E46" s="109"/>
      <c r="F46" s="1" t="str">
        <f>'$_DATI_BASE'!S88</f>
        <v>ESTASS004</v>
      </c>
      <c r="G46" s="1" t="str">
        <f>F27</f>
        <v>INTASS002-10</v>
      </c>
      <c r="H46" s="1" t="s">
        <v>150</v>
      </c>
      <c r="I46" s="358" t="s">
        <v>171</v>
      </c>
      <c r="J46" s="358"/>
      <c r="K46" s="358"/>
      <c r="L46" s="358"/>
      <c r="M46" s="358"/>
      <c r="N46" s="358"/>
      <c r="O46" s="52">
        <f>'$_DATI_BASE'!AB88</f>
        <v>1</v>
      </c>
      <c r="P46" s="51">
        <f>_xlfn.CEILING.MATH($P$28*O46)</f>
        <v>7695</v>
      </c>
      <c r="Q46" s="51">
        <f>_xlfn.CEILING.MATH($Q$26*O46/$O$27)</f>
        <v>7695</v>
      </c>
      <c r="W46" s="93"/>
      <c r="X46" s="92" t="s">
        <v>185</v>
      </c>
    </row>
    <row r="47" spans="1:52" x14ac:dyDescent="0.3">
      <c r="I47" s="356"/>
      <c r="J47" s="356"/>
      <c r="K47" s="356"/>
      <c r="L47" s="356"/>
      <c r="M47" s="356"/>
      <c r="N47" s="356"/>
    </row>
    <row r="48" spans="1:52" ht="15" customHeight="1" x14ac:dyDescent="0.3">
      <c r="A48" s="361" t="s">
        <v>196</v>
      </c>
      <c r="B48" s="361"/>
      <c r="C48" s="361"/>
      <c r="D48" s="361"/>
      <c r="E48" s="361"/>
      <c r="F48" s="361"/>
      <c r="G48" s="361"/>
      <c r="H48" s="361"/>
      <c r="I48" s="361"/>
      <c r="J48" s="361"/>
      <c r="K48" s="361"/>
      <c r="L48" s="361"/>
      <c r="M48" s="361"/>
      <c r="N48" s="361"/>
      <c r="O48" s="361"/>
      <c r="P48" s="361"/>
      <c r="Q48" s="361"/>
    </row>
    <row r="49" spans="1:17" ht="15" customHeight="1" x14ac:dyDescent="0.3">
      <c r="A49" s="361"/>
      <c r="B49" s="361"/>
      <c r="C49" s="361"/>
      <c r="D49" s="361"/>
      <c r="E49" s="361"/>
      <c r="F49" s="361"/>
      <c r="G49" s="361"/>
      <c r="H49" s="361"/>
      <c r="I49" s="361"/>
      <c r="J49" s="361"/>
      <c r="K49" s="361"/>
      <c r="L49" s="361"/>
      <c r="M49" s="361"/>
      <c r="N49" s="361"/>
      <c r="O49" s="361"/>
      <c r="P49" s="361"/>
      <c r="Q49" s="361"/>
    </row>
    <row r="50" spans="1:17" ht="15" customHeight="1" x14ac:dyDescent="0.3">
      <c r="A50" s="361"/>
      <c r="B50" s="361"/>
      <c r="C50" s="361"/>
      <c r="D50" s="361"/>
      <c r="E50" s="361"/>
      <c r="F50" s="361"/>
      <c r="G50" s="361"/>
      <c r="H50" s="361"/>
      <c r="I50" s="361"/>
      <c r="J50" s="361"/>
      <c r="K50" s="361"/>
      <c r="L50" s="361"/>
      <c r="M50" s="361"/>
      <c r="N50" s="361"/>
      <c r="O50" s="361"/>
      <c r="P50" s="361"/>
      <c r="Q50" s="361"/>
    </row>
    <row r="53" spans="1:17" x14ac:dyDescent="0.3">
      <c r="F53" t="s">
        <v>197</v>
      </c>
      <c r="G53" t="s">
        <v>198</v>
      </c>
    </row>
    <row r="54" spans="1:17" x14ac:dyDescent="0.3">
      <c r="G54" t="s">
        <v>199</v>
      </c>
    </row>
    <row r="55" spans="1:17" x14ac:dyDescent="0.3">
      <c r="G55" t="s">
        <v>200</v>
      </c>
    </row>
    <row r="56" spans="1:17" x14ac:dyDescent="0.3">
      <c r="G56" t="s">
        <v>201</v>
      </c>
    </row>
    <row r="58" spans="1:17" ht="18" x14ac:dyDescent="0.35">
      <c r="G58" s="133"/>
      <c r="H58" s="134" t="s">
        <v>202</v>
      </c>
      <c r="I58" s="135"/>
      <c r="J58" s="135"/>
      <c r="K58" s="135"/>
      <c r="L58" s="135"/>
      <c r="M58" s="135"/>
    </row>
    <row r="59" spans="1:17" ht="18" x14ac:dyDescent="0.35">
      <c r="G59" s="136"/>
      <c r="H59" s="134" t="s">
        <v>203</v>
      </c>
      <c r="I59" s="134"/>
      <c r="J59" s="134"/>
      <c r="K59" s="134"/>
      <c r="L59" s="134"/>
      <c r="M59" s="134"/>
    </row>
    <row r="60" spans="1:17" ht="18" x14ac:dyDescent="0.35">
      <c r="G60" s="136"/>
      <c r="H60" s="137" t="s">
        <v>204</v>
      </c>
    </row>
  </sheetData>
  <autoFilter ref="A1:Q47" xr:uid="{00000000-0009-0000-0000-000001000000}">
    <filterColumn colId="8" showButton="0"/>
    <filterColumn colId="9" showButton="0"/>
    <filterColumn colId="10" showButton="0"/>
    <filterColumn colId="11" showButton="0"/>
    <filterColumn colId="12" showButton="0"/>
  </autoFilter>
  <mergeCells count="48">
    <mergeCell ref="I39:N39"/>
    <mergeCell ref="I33:N33"/>
    <mergeCell ref="I34:N34"/>
    <mergeCell ref="I1:N1"/>
    <mergeCell ref="I10:N10"/>
    <mergeCell ref="I14:N14"/>
    <mergeCell ref="I15:N15"/>
    <mergeCell ref="I12:N12"/>
    <mergeCell ref="I4:N4"/>
    <mergeCell ref="I2:N2"/>
    <mergeCell ref="I5:N5"/>
    <mergeCell ref="I6:N6"/>
    <mergeCell ref="I7:N7"/>
    <mergeCell ref="I8:N8"/>
    <mergeCell ref="I13:N13"/>
    <mergeCell ref="I3:N3"/>
    <mergeCell ref="A48:Q50"/>
    <mergeCell ref="I16:N16"/>
    <mergeCell ref="I17:N17"/>
    <mergeCell ref="I18:N18"/>
    <mergeCell ref="I19:N19"/>
    <mergeCell ref="I20:N20"/>
    <mergeCell ref="I21:N21"/>
    <mergeCell ref="I22:N22"/>
    <mergeCell ref="I41:N41"/>
    <mergeCell ref="I42:N42"/>
    <mergeCell ref="I38:N38"/>
    <mergeCell ref="I23:N23"/>
    <mergeCell ref="I25:N25"/>
    <mergeCell ref="I36:N36"/>
    <mergeCell ref="I37:N37"/>
    <mergeCell ref="I26:N26"/>
    <mergeCell ref="I9:N9"/>
    <mergeCell ref="I11:N11"/>
    <mergeCell ref="I28:N28"/>
    <mergeCell ref="I24:N24"/>
    <mergeCell ref="I47:N47"/>
    <mergeCell ref="I45:N45"/>
    <mergeCell ref="I46:N46"/>
    <mergeCell ref="I31:N31"/>
    <mergeCell ref="I32:N32"/>
    <mergeCell ref="I44:N44"/>
    <mergeCell ref="I43:N43"/>
    <mergeCell ref="I40:N40"/>
    <mergeCell ref="I27:N27"/>
    <mergeCell ref="I35:N35"/>
    <mergeCell ref="I29:N29"/>
    <mergeCell ref="I30:N30"/>
  </mergeCells>
  <pageMargins left="0.7" right="0.7" top="0.75" bottom="0.75" header="0.3" footer="0.3"/>
  <pageSetup orientation="portrait" r:id="rId1"/>
  <ignoredErrors>
    <ignoredError sqref="G5:G7 G12 G16 G28:G29 G34 G38" formula="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114"/>
  <sheetViews>
    <sheetView zoomScale="57" zoomScaleNormal="57" workbookViewId="0">
      <pane xSplit="12" ySplit="6" topLeftCell="M7" activePane="bottomRight" state="frozen"/>
      <selection pane="topRight" activeCell="M1" sqref="M1"/>
      <selection pane="bottomLeft" activeCell="A7" sqref="A7"/>
      <selection pane="bottomRight" activeCell="O35" sqref="O35"/>
    </sheetView>
  </sheetViews>
  <sheetFormatPr defaultRowHeight="14.4" x14ac:dyDescent="0.3"/>
  <cols>
    <col min="1" max="1" width="13.88671875" customWidth="1"/>
    <col min="2" max="2" width="24.5546875" bestFit="1" customWidth="1"/>
    <col min="3" max="3" width="14.109375" customWidth="1"/>
    <col min="5" max="5" width="10.33203125" bestFit="1" customWidth="1"/>
    <col min="9" max="9" width="11.44140625" customWidth="1"/>
    <col min="10" max="10" width="8.88671875" customWidth="1"/>
    <col min="13" max="14" width="8.88671875" customWidth="1"/>
    <col min="17" max="17" width="9.6640625" bestFit="1" customWidth="1"/>
    <col min="20" max="20" width="12.5546875" customWidth="1"/>
  </cols>
  <sheetData>
    <row r="1" spans="1:24" ht="14.4" customHeight="1" x14ac:dyDescent="0.3">
      <c r="A1" s="374" t="s">
        <v>205</v>
      </c>
      <c r="B1" s="374"/>
      <c r="C1" s="374"/>
      <c r="D1" s="53">
        <f>'$_DATI_BASE'!H11</f>
        <v>25650</v>
      </c>
      <c r="E1" s="119" t="s">
        <v>36</v>
      </c>
      <c r="F1" s="54">
        <f>'$_DATI_BASE'!H12</f>
        <v>1166</v>
      </c>
      <c r="G1" s="1" t="s">
        <v>206</v>
      </c>
      <c r="H1" s="18">
        <f>'$_DATI_BASE'!L8</f>
        <v>330</v>
      </c>
      <c r="I1" s="1" t="s">
        <v>207</v>
      </c>
      <c r="J1" s="1"/>
      <c r="M1" s="306" t="s">
        <v>208</v>
      </c>
      <c r="N1" s="306" t="s">
        <v>209</v>
      </c>
      <c r="O1" s="306" t="s">
        <v>210</v>
      </c>
      <c r="P1" s="306" t="s">
        <v>211</v>
      </c>
      <c r="Q1" s="306" t="s">
        <v>212</v>
      </c>
      <c r="R1" s="306" t="s">
        <v>213</v>
      </c>
      <c r="S1" s="306" t="s">
        <v>214</v>
      </c>
      <c r="T1" s="306" t="s">
        <v>215</v>
      </c>
      <c r="U1" s="306" t="s">
        <v>216</v>
      </c>
      <c r="V1" s="306" t="s">
        <v>217</v>
      </c>
      <c r="W1" s="306" t="s">
        <v>218</v>
      </c>
      <c r="X1" s="389" t="s">
        <v>219</v>
      </c>
    </row>
    <row r="2" spans="1:24" ht="14.4" customHeight="1" x14ac:dyDescent="0.3">
      <c r="A2" s="387" t="s">
        <v>220</v>
      </c>
      <c r="B2" s="387"/>
      <c r="C2" s="387"/>
      <c r="D2" s="53">
        <f>'$_DATI_BASE'!I18</f>
        <v>17955</v>
      </c>
      <c r="E2" s="388" t="s">
        <v>221</v>
      </c>
      <c r="F2" s="388"/>
      <c r="G2" s="18">
        <f>'$_DATI_BASE'!L6</f>
        <v>22</v>
      </c>
      <c r="I2" s="1"/>
      <c r="J2" s="1"/>
      <c r="M2" s="306"/>
      <c r="N2" s="306"/>
      <c r="O2" s="306"/>
      <c r="P2" s="324"/>
      <c r="Q2" s="324"/>
      <c r="R2" s="324"/>
      <c r="S2" s="324"/>
      <c r="T2" s="324"/>
      <c r="U2" s="324"/>
      <c r="V2" s="324"/>
      <c r="W2" s="324"/>
      <c r="X2" s="389"/>
    </row>
    <row r="3" spans="1:24" ht="14.4" customHeight="1" x14ac:dyDescent="0.3">
      <c r="A3" s="387" t="s">
        <v>222</v>
      </c>
      <c r="B3" s="387"/>
      <c r="C3" s="387"/>
      <c r="D3" s="53">
        <f>'$_DATI_BASE'!I20</f>
        <v>7695</v>
      </c>
      <c r="E3" s="388" t="s">
        <v>223</v>
      </c>
      <c r="F3" s="388"/>
      <c r="G3" s="18">
        <f>'$_DATI_BASE'!L7</f>
        <v>15</v>
      </c>
      <c r="I3" s="1"/>
      <c r="J3" s="1"/>
      <c r="M3" s="306"/>
      <c r="N3" s="306"/>
      <c r="O3" s="306"/>
      <c r="P3" s="324"/>
      <c r="Q3" s="324"/>
      <c r="R3" s="324"/>
      <c r="S3" s="324"/>
      <c r="T3" s="324"/>
      <c r="U3" s="324"/>
      <c r="V3" s="324"/>
      <c r="W3" s="324"/>
      <c r="X3" s="389"/>
    </row>
    <row r="4" spans="1:24" ht="14.4" customHeight="1" x14ac:dyDescent="0.3">
      <c r="A4" s="324" t="s">
        <v>84</v>
      </c>
      <c r="B4" s="324"/>
      <c r="C4" s="319" t="s">
        <v>146</v>
      </c>
      <c r="D4" s="319" t="s">
        <v>147</v>
      </c>
      <c r="E4" s="319"/>
      <c r="F4" s="319"/>
      <c r="G4" s="319"/>
      <c r="H4" s="319"/>
      <c r="I4" s="319"/>
      <c r="J4" s="354" t="s">
        <v>224</v>
      </c>
      <c r="K4" s="354"/>
      <c r="L4" s="324" t="s">
        <v>225</v>
      </c>
      <c r="M4" s="306"/>
      <c r="N4" s="306"/>
      <c r="O4" s="324"/>
      <c r="P4" s="324"/>
      <c r="Q4" s="324"/>
      <c r="R4" s="324"/>
      <c r="S4" s="324"/>
      <c r="T4" s="324"/>
      <c r="U4" s="324"/>
      <c r="V4" s="324"/>
      <c r="W4" s="324"/>
      <c r="X4" s="389"/>
    </row>
    <row r="5" spans="1:24" ht="14.4" customHeight="1" x14ac:dyDescent="0.3">
      <c r="A5" s="324"/>
      <c r="B5" s="324"/>
      <c r="C5" s="319"/>
      <c r="D5" s="319"/>
      <c r="E5" s="319"/>
      <c r="F5" s="319"/>
      <c r="G5" s="319"/>
      <c r="H5" s="319"/>
      <c r="I5" s="319"/>
      <c r="J5" s="32" t="s">
        <v>226</v>
      </c>
      <c r="K5" s="32" t="s">
        <v>227</v>
      </c>
      <c r="L5" s="324"/>
      <c r="M5" s="306"/>
      <c r="N5" s="306"/>
      <c r="O5" s="324"/>
      <c r="P5" s="324"/>
      <c r="Q5" s="324"/>
      <c r="R5" s="324"/>
      <c r="S5" s="324"/>
      <c r="T5" s="324"/>
      <c r="U5" s="324"/>
      <c r="V5" s="324"/>
      <c r="W5" s="324"/>
      <c r="X5" s="389"/>
    </row>
    <row r="6" spans="1:24" x14ac:dyDescent="0.3">
      <c r="A6" s="374"/>
      <c r="B6" s="374"/>
      <c r="C6" s="374"/>
      <c r="D6" s="374"/>
      <c r="E6" s="374"/>
      <c r="F6" s="374"/>
      <c r="G6" s="374"/>
      <c r="H6" s="374"/>
      <c r="I6" s="374"/>
      <c r="J6" s="374"/>
      <c r="K6" s="374"/>
      <c r="L6" s="374"/>
      <c r="X6" s="5"/>
    </row>
    <row r="7" spans="1:24" x14ac:dyDescent="0.3">
      <c r="A7" s="306" t="s">
        <v>92</v>
      </c>
      <c r="B7" s="306"/>
      <c r="C7" s="16" t="str">
        <f>'$_DB_CICLI'!F5</f>
        <v>INTASS001-10</v>
      </c>
      <c r="D7" s="336" t="str">
        <f>'$_DB_CICLI'!I5</f>
        <v>ASSEMBLAGGIO TRINCIATUTTO COMPLETO L=1500</v>
      </c>
      <c r="E7" s="336"/>
      <c r="F7" s="336"/>
      <c r="G7" s="336"/>
      <c r="H7" s="336"/>
      <c r="I7" s="336"/>
      <c r="J7" s="124">
        <f>'$_DB_CICLI'!Q4</f>
        <v>17955</v>
      </c>
      <c r="K7" s="124"/>
      <c r="L7" s="124">
        <f>J7</f>
        <v>17955</v>
      </c>
      <c r="M7" s="125">
        <f>'$_DATI_BASE'!S47</f>
        <v>500</v>
      </c>
      <c r="N7" s="125">
        <f>'$_DATI_BASE'!T47</f>
        <v>120</v>
      </c>
      <c r="O7" s="126">
        <v>1.8</v>
      </c>
      <c r="P7" s="127">
        <f>$G$2*$G$3*60</f>
        <v>19800</v>
      </c>
      <c r="Q7" s="127">
        <f>P7*'$_DATI_BASE'!S16</f>
        <v>19206</v>
      </c>
      <c r="R7" s="127">
        <f>L7/M7*N7</f>
        <v>4309.2</v>
      </c>
      <c r="S7" s="127">
        <f>Q7-R7</f>
        <v>14896.8</v>
      </c>
      <c r="T7" s="127">
        <f>S7*'$_DATI_BASE'!T16</f>
        <v>14747.831999999999</v>
      </c>
      <c r="U7" s="126">
        <f>T7/L7</f>
        <v>0.82137744360902243</v>
      </c>
      <c r="V7" s="126">
        <f>O7/U7</f>
        <v>2.1914407487147947</v>
      </c>
      <c r="W7" s="381">
        <f>SUM(V7:V8)</f>
        <v>3.1297279184384768</v>
      </c>
      <c r="X7" s="152">
        <f>_xlfn.CEILING.MATH(V7)</f>
        <v>3</v>
      </c>
    </row>
    <row r="8" spans="1:24" x14ac:dyDescent="0.3">
      <c r="A8" s="306"/>
      <c r="B8" s="306"/>
      <c r="C8" s="16" t="str">
        <f>'$_DB_CICLI'!F27</f>
        <v>INTASS002-10</v>
      </c>
      <c r="D8" s="336" t="str">
        <f>'$_DB_CICLI'!I27</f>
        <v>ASSEMBLAGGIO TRINCIATUTTO COMPLETO L=1750</v>
      </c>
      <c r="E8" s="336"/>
      <c r="F8" s="336"/>
      <c r="G8" s="336"/>
      <c r="H8" s="336"/>
      <c r="I8" s="336"/>
      <c r="J8" s="124"/>
      <c r="K8" s="124">
        <f>'$_DB_CICLI'!Q26</f>
        <v>7695</v>
      </c>
      <c r="L8" s="124">
        <f>K8</f>
        <v>7695</v>
      </c>
      <c r="M8" s="125">
        <f>'$_DATI_BASE'!S48</f>
        <v>215</v>
      </c>
      <c r="N8" s="125">
        <f>'$_DATI_BASE'!T48</f>
        <v>120</v>
      </c>
      <c r="O8" s="126">
        <v>1.8</v>
      </c>
      <c r="P8" s="127">
        <f t="shared" ref="P8:P20" si="0">$G$2*$G$3*60</f>
        <v>19800</v>
      </c>
      <c r="Q8" s="127">
        <f>P8*'$_DATI_BASE'!S16</f>
        <v>19206</v>
      </c>
      <c r="R8" s="127">
        <f>L8/M8*N8</f>
        <v>4294.8837209302319</v>
      </c>
      <c r="S8" s="127">
        <f>Q8-R8</f>
        <v>14911.116279069767</v>
      </c>
      <c r="T8" s="127">
        <f>S8*'$_DATI_BASE'!T16</f>
        <v>14762.00511627907</v>
      </c>
      <c r="U8" s="126">
        <f>T8/L8</f>
        <v>1.9183892288861688</v>
      </c>
      <c r="V8" s="126">
        <f>O8/U8</f>
        <v>0.93828716972368198</v>
      </c>
      <c r="W8" s="382"/>
      <c r="X8" s="152">
        <f>_xlfn.CEILING.MATH(V8)</f>
        <v>1</v>
      </c>
    </row>
    <row r="9" spans="1:24" x14ac:dyDescent="0.3">
      <c r="A9" s="374"/>
      <c r="B9" s="374"/>
      <c r="C9" s="374"/>
      <c r="D9" s="374"/>
      <c r="E9" s="374"/>
      <c r="F9" s="374"/>
      <c r="G9" s="374"/>
      <c r="H9" s="374"/>
      <c r="I9" s="374"/>
      <c r="J9" s="374"/>
      <c r="K9" s="374"/>
      <c r="L9" s="374"/>
      <c r="M9" s="1"/>
      <c r="N9" s="1"/>
      <c r="O9" s="7"/>
      <c r="P9" s="118"/>
      <c r="Q9" s="46"/>
      <c r="R9" s="46"/>
      <c r="T9" s="46"/>
      <c r="U9" s="132"/>
      <c r="V9" s="7"/>
      <c r="X9" s="5"/>
    </row>
    <row r="10" spans="1:24" ht="15" customHeight="1" x14ac:dyDescent="0.3">
      <c r="A10" s="306" t="s">
        <v>102</v>
      </c>
      <c r="B10" s="306"/>
      <c r="C10" s="16" t="str">
        <f>'$_DB_CICLI'!F7</f>
        <v>INTSAL001-10</v>
      </c>
      <c r="D10" s="336" t="str">
        <f>'$_DB_CICLI'!I7</f>
        <v xml:space="preserve"> SALD. TELAIO COMPL CON ATTACCHI TRATTORE L=1500</v>
      </c>
      <c r="E10" s="336"/>
      <c r="F10" s="336"/>
      <c r="G10" s="336"/>
      <c r="H10" s="336"/>
      <c r="I10" s="336"/>
      <c r="J10" s="120">
        <f>J7</f>
        <v>17955</v>
      </c>
      <c r="K10" s="120"/>
      <c r="L10" s="120">
        <f>J10</f>
        <v>17955</v>
      </c>
      <c r="M10" s="121">
        <f>'$_DATI_BASE'!S49</f>
        <v>500</v>
      </c>
      <c r="N10" s="121">
        <f>'$_DATI_BASE'!T49</f>
        <v>60</v>
      </c>
      <c r="O10" s="122">
        <f>'$_DATI_BASE'!U49</f>
        <v>8</v>
      </c>
      <c r="P10" s="123">
        <f t="shared" si="0"/>
        <v>19800</v>
      </c>
      <c r="Q10" s="123">
        <f>P10*'$_DATI_BASE'!S20</f>
        <v>19404</v>
      </c>
      <c r="R10" s="123">
        <f>L10/M10*N10</f>
        <v>2154.6</v>
      </c>
      <c r="S10" s="123">
        <f>Q10-R10</f>
        <v>17249.400000000001</v>
      </c>
      <c r="T10" s="123">
        <f>S10*'$_DATI_BASE'!T20</f>
        <v>16731.918000000001</v>
      </c>
      <c r="U10" s="122">
        <f>T10/L10</f>
        <v>0.93188070175438609</v>
      </c>
      <c r="V10" s="122">
        <f>O10/U10</f>
        <v>8.5847898609113429</v>
      </c>
      <c r="W10" s="383">
        <f>SUM(V10:V11)</f>
        <v>12.262459359811993</v>
      </c>
      <c r="X10" s="152">
        <f t="shared" ref="X10:X20" si="1">_xlfn.CEILING.MATH(V10)</f>
        <v>9</v>
      </c>
    </row>
    <row r="11" spans="1:24" ht="15" customHeight="1" x14ac:dyDescent="0.3">
      <c r="A11" s="306"/>
      <c r="B11" s="306"/>
      <c r="C11" s="16" t="str">
        <f>'$_DB_CICLI'!F29</f>
        <v>INTSAL002-10</v>
      </c>
      <c r="D11" s="336" t="str">
        <f>'$_DB_CICLI'!I29</f>
        <v xml:space="preserve"> SALD. TELAIO COMPL. CON ATTACCHI TRATTORE L=1750</v>
      </c>
      <c r="E11" s="336"/>
      <c r="F11" s="336"/>
      <c r="G11" s="336"/>
      <c r="H11" s="336"/>
      <c r="I11" s="336"/>
      <c r="J11" s="120"/>
      <c r="K11" s="120">
        <f>K8</f>
        <v>7695</v>
      </c>
      <c r="L11" s="120">
        <f>K11</f>
        <v>7695</v>
      </c>
      <c r="M11" s="121">
        <f>'$_DATI_BASE'!S50</f>
        <v>215</v>
      </c>
      <c r="N11" s="121">
        <f>'$_DATI_BASE'!T50</f>
        <v>60</v>
      </c>
      <c r="O11" s="122">
        <f>'$_DATI_BASE'!U50</f>
        <v>8</v>
      </c>
      <c r="P11" s="123">
        <f t="shared" si="0"/>
        <v>19800</v>
      </c>
      <c r="Q11" s="123">
        <f>P11*'$_DATI_BASE'!S20</f>
        <v>19404</v>
      </c>
      <c r="R11" s="123">
        <f>L11/M11*N11</f>
        <v>2147.441860465116</v>
      </c>
      <c r="S11" s="123">
        <f>Q11-R11</f>
        <v>17256.558139534885</v>
      </c>
      <c r="T11" s="123">
        <f>S11*'$_DATI_BASE'!T20</f>
        <v>16738.861395348838</v>
      </c>
      <c r="U11" s="122">
        <f>T11/L11</f>
        <v>2.1752906296749628</v>
      </c>
      <c r="V11" s="122">
        <f>O11/U11</f>
        <v>3.67766949890065</v>
      </c>
      <c r="W11" s="384"/>
      <c r="X11" s="152">
        <f t="shared" si="1"/>
        <v>4</v>
      </c>
    </row>
    <row r="12" spans="1:24" x14ac:dyDescent="0.3">
      <c r="A12" s="379"/>
      <c r="B12" s="379"/>
      <c r="C12" s="379"/>
      <c r="D12" s="379"/>
      <c r="E12" s="379"/>
      <c r="F12" s="379"/>
      <c r="G12" s="379"/>
      <c r="H12" s="379"/>
      <c r="I12" s="379"/>
      <c r="J12" s="379"/>
      <c r="K12" s="379"/>
      <c r="L12" s="379"/>
      <c r="M12" s="379"/>
      <c r="N12" s="379"/>
      <c r="O12" s="379"/>
      <c r="P12" s="118"/>
      <c r="Q12" s="46"/>
      <c r="R12" s="46"/>
      <c r="T12" s="46"/>
      <c r="U12" s="132"/>
      <c r="V12" s="7"/>
      <c r="X12" s="5"/>
    </row>
    <row r="13" spans="1:24" ht="15" customHeight="1" x14ac:dyDescent="0.3">
      <c r="A13" s="375" t="s">
        <v>112</v>
      </c>
      <c r="B13" s="376"/>
      <c r="C13" s="16" t="str">
        <f>'$_DB_CICLI'!F9</f>
        <v>INTPSP001-20</v>
      </c>
      <c r="D13" s="336" t="str">
        <f>'$_DB_CICLI'!I9</f>
        <v>PRESSOPIEGATURA CARTER L=1500</v>
      </c>
      <c r="E13" s="336"/>
      <c r="F13" s="336"/>
      <c r="G13" s="336"/>
      <c r="H13" s="336"/>
      <c r="I13" s="336"/>
      <c r="J13" s="128">
        <f>'$_DB_CICLI'!Q9</f>
        <v>18511</v>
      </c>
      <c r="K13" s="128"/>
      <c r="L13" s="128">
        <f t="shared" ref="L13:L20" si="2">SUM(J13:K13)</f>
        <v>18511</v>
      </c>
      <c r="M13" s="129">
        <f>'$_DATI_BASE'!S51</f>
        <v>500</v>
      </c>
      <c r="N13" s="129">
        <f>'$_DATI_BASE'!T51</f>
        <v>30</v>
      </c>
      <c r="O13" s="130">
        <f>'$_DATI_BASE'!U51</f>
        <v>1</v>
      </c>
      <c r="P13" s="131">
        <f t="shared" si="0"/>
        <v>19800</v>
      </c>
      <c r="Q13" s="131">
        <f>P13*'$_DATI_BASE'!$S$26</f>
        <v>19404</v>
      </c>
      <c r="R13" s="131">
        <f t="shared" ref="R13:R20" si="3">L13/M13*N13</f>
        <v>1110.6599999999999</v>
      </c>
      <c r="S13" s="131">
        <f t="shared" ref="S13:S20" si="4">Q13-R13</f>
        <v>18293.34</v>
      </c>
      <c r="T13" s="131">
        <f>S13*'$_DATI_BASE'!$T$26</f>
        <v>18110.406599999998</v>
      </c>
      <c r="U13" s="130">
        <f t="shared" ref="U13:U20" si="5">T13/L13</f>
        <v>0.97835917022311047</v>
      </c>
      <c r="V13" s="130">
        <f t="shared" ref="V13:V20" si="6">O13/U13</f>
        <v>1.0221195144232711</v>
      </c>
      <c r="W13" s="385">
        <f>SUM(V13,V15,V17,V19)</f>
        <v>3.9019433747478987</v>
      </c>
      <c r="X13" s="152">
        <f t="shared" si="1"/>
        <v>2</v>
      </c>
    </row>
    <row r="14" spans="1:24" ht="15" customHeight="1" x14ac:dyDescent="0.3">
      <c r="A14" s="375"/>
      <c r="B14" s="376"/>
      <c r="C14" s="16" t="str">
        <f>'$_DB_CICLI'!F10</f>
        <v>INTPSP001-10</v>
      </c>
      <c r="D14" s="336" t="str">
        <f>'$_DB_CICLI'!I10</f>
        <v>TRANCIATURA CARTER L=1500</v>
      </c>
      <c r="E14" s="336"/>
      <c r="F14" s="336"/>
      <c r="G14" s="336"/>
      <c r="H14" s="336"/>
      <c r="I14" s="336"/>
      <c r="J14" s="55">
        <f>'$_DB_CICLI'!Q10</f>
        <v>18889</v>
      </c>
      <c r="K14" s="55"/>
      <c r="L14" s="55">
        <f t="shared" si="2"/>
        <v>18889</v>
      </c>
      <c r="M14" s="56">
        <f>'$_DATI_BASE'!S52</f>
        <v>500</v>
      </c>
      <c r="N14" s="56">
        <f>'$_DATI_BASE'!T52</f>
        <v>30</v>
      </c>
      <c r="O14" s="57">
        <f>'$_DATI_BASE'!U52</f>
        <v>1</v>
      </c>
      <c r="P14" s="58">
        <f t="shared" si="0"/>
        <v>19800</v>
      </c>
      <c r="Q14" s="58">
        <f>P14*'$_DATI_BASE'!$S$28</f>
        <v>19404</v>
      </c>
      <c r="R14" s="58">
        <f t="shared" si="3"/>
        <v>1133.3399999999999</v>
      </c>
      <c r="S14" s="58">
        <f t="shared" si="4"/>
        <v>18270.66</v>
      </c>
      <c r="T14" s="58">
        <f>S14*'$_DATI_BASE'!$T$28</f>
        <v>18087.953399999999</v>
      </c>
      <c r="U14" s="57">
        <f t="shared" si="5"/>
        <v>0.95759190004764672</v>
      </c>
      <c r="V14" s="57">
        <f t="shared" si="6"/>
        <v>1.0442861932627492</v>
      </c>
      <c r="W14" s="386"/>
      <c r="X14" s="152">
        <f t="shared" si="1"/>
        <v>2</v>
      </c>
    </row>
    <row r="15" spans="1:24" ht="15" customHeight="1" x14ac:dyDescent="0.3">
      <c r="A15" s="375"/>
      <c r="B15" s="376"/>
      <c r="C15" s="16" t="str">
        <f>'$_DB_CICLI'!F31</f>
        <v>INTPSP002-20</v>
      </c>
      <c r="D15" s="336" t="str">
        <f>'$_DB_CICLI'!I31</f>
        <v>PRESSOPIEGATURA CARTER L=1750</v>
      </c>
      <c r="E15" s="336"/>
      <c r="F15" s="336"/>
      <c r="G15" s="336"/>
      <c r="H15" s="336"/>
      <c r="I15" s="336"/>
      <c r="J15" s="128"/>
      <c r="K15" s="128">
        <f>'$_DB_CICLI'!Q31</f>
        <v>7933</v>
      </c>
      <c r="L15" s="128">
        <f t="shared" si="2"/>
        <v>7933</v>
      </c>
      <c r="M15" s="129">
        <f>'$_DATI_BASE'!S53</f>
        <v>215</v>
      </c>
      <c r="N15" s="129">
        <f>'$_DATI_BASE'!T53</f>
        <v>30</v>
      </c>
      <c r="O15" s="130">
        <f>'$_DATI_BASE'!U53</f>
        <v>1.2</v>
      </c>
      <c r="P15" s="131">
        <f t="shared" si="0"/>
        <v>19800</v>
      </c>
      <c r="Q15" s="131">
        <f>P15*'$_DATI_BASE'!$S$26</f>
        <v>19404</v>
      </c>
      <c r="R15" s="131">
        <f t="shared" si="3"/>
        <v>1106.9302325581396</v>
      </c>
      <c r="S15" s="131">
        <f t="shared" si="4"/>
        <v>18297.069767441859</v>
      </c>
      <c r="T15" s="131">
        <f>S15*'$_DATI_BASE'!$T$26</f>
        <v>18114.099069767439</v>
      </c>
      <c r="U15" s="130">
        <f t="shared" si="5"/>
        <v>2.2833857392874624</v>
      </c>
      <c r="V15" s="130">
        <f t="shared" si="6"/>
        <v>0.52553538342341743</v>
      </c>
      <c r="W15" s="386"/>
      <c r="X15" s="152">
        <f t="shared" si="1"/>
        <v>1</v>
      </c>
    </row>
    <row r="16" spans="1:24" ht="15" customHeight="1" x14ac:dyDescent="0.3">
      <c r="A16" s="375"/>
      <c r="B16" s="376"/>
      <c r="C16" s="16" t="str">
        <f>'$_DB_CICLI'!F32</f>
        <v>INTPSP002-10</v>
      </c>
      <c r="D16" s="336" t="str">
        <f>'$_DB_CICLI'!I32</f>
        <v>TRANCIATURA CARTER L=1750</v>
      </c>
      <c r="E16" s="336"/>
      <c r="F16" s="336"/>
      <c r="G16" s="336"/>
      <c r="H16" s="336"/>
      <c r="I16" s="336"/>
      <c r="J16" s="55"/>
      <c r="K16" s="55">
        <f>'$_DB_CICLI'!Q32</f>
        <v>8095</v>
      </c>
      <c r="L16" s="55">
        <f t="shared" si="2"/>
        <v>8095</v>
      </c>
      <c r="M16" s="56">
        <f>'$_DATI_BASE'!S54</f>
        <v>215</v>
      </c>
      <c r="N16" s="56">
        <f>'$_DATI_BASE'!T54</f>
        <v>30</v>
      </c>
      <c r="O16" s="57">
        <f>'$_DATI_BASE'!U54</f>
        <v>1.2</v>
      </c>
      <c r="P16" s="58">
        <f t="shared" si="0"/>
        <v>19800</v>
      </c>
      <c r="Q16" s="58">
        <f>P16*'$_DATI_BASE'!$S$28</f>
        <v>19404</v>
      </c>
      <c r="R16" s="58">
        <f t="shared" si="3"/>
        <v>1129.5348837209303</v>
      </c>
      <c r="S16" s="58">
        <f t="shared" si="4"/>
        <v>18274.465116279069</v>
      </c>
      <c r="T16" s="58">
        <f>S16*'$_DATI_BASE'!$T$28</f>
        <v>18091.720465116279</v>
      </c>
      <c r="U16" s="57">
        <f t="shared" si="5"/>
        <v>2.234925319964951</v>
      </c>
      <c r="V16" s="57">
        <f t="shared" si="6"/>
        <v>0.53693069261876669</v>
      </c>
      <c r="W16" s="386"/>
      <c r="X16" s="152">
        <f t="shared" si="1"/>
        <v>1</v>
      </c>
    </row>
    <row r="17" spans="1:24" ht="15" customHeight="1" x14ac:dyDescent="0.3">
      <c r="A17" s="375"/>
      <c r="B17" s="376"/>
      <c r="C17" s="16" t="str">
        <f>'$_DB_CICLI'!F13</f>
        <v>INTPSP003-20</v>
      </c>
      <c r="D17" s="336" t="str">
        <f>'$_DB_CICLI'!I13</f>
        <v>PRESSOPIEGATURA STAFFE RINFORZO</v>
      </c>
      <c r="E17" s="336"/>
      <c r="F17" s="336"/>
      <c r="G17" s="336"/>
      <c r="H17" s="336"/>
      <c r="I17" s="336"/>
      <c r="J17" s="128">
        <f>'$_DB_CICLI'!Q13</f>
        <v>55531</v>
      </c>
      <c r="K17" s="128">
        <f>'$_DB_CICLI'!Q35</f>
        <v>1587</v>
      </c>
      <c r="L17" s="128">
        <f t="shared" si="2"/>
        <v>57118</v>
      </c>
      <c r="M17" s="129">
        <f>'$_DATI_BASE'!S55</f>
        <v>3000</v>
      </c>
      <c r="N17" s="129">
        <f>'$_DATI_BASE'!T55</f>
        <v>30</v>
      </c>
      <c r="O17" s="130">
        <f>'$_DATI_BASE'!U55</f>
        <v>0.3</v>
      </c>
      <c r="P17" s="131">
        <f t="shared" si="0"/>
        <v>19800</v>
      </c>
      <c r="Q17" s="131">
        <f>P17*'$_DATI_BASE'!$S$26</f>
        <v>19404</v>
      </c>
      <c r="R17" s="131">
        <f t="shared" si="3"/>
        <v>571.17999999999995</v>
      </c>
      <c r="S17" s="131">
        <f t="shared" si="4"/>
        <v>18832.82</v>
      </c>
      <c r="T17" s="131">
        <f>S17*'$_DATI_BASE'!$T$26</f>
        <v>18644.4918</v>
      </c>
      <c r="U17" s="130">
        <f t="shared" si="5"/>
        <v>0.3264205994607654</v>
      </c>
      <c r="V17" s="130">
        <f t="shared" si="6"/>
        <v>0.9190596442001171</v>
      </c>
      <c r="W17" s="372">
        <f>SUM(V14,V16,V18,V20)</f>
        <v>3.9854491332474526</v>
      </c>
      <c r="X17" s="152">
        <f t="shared" si="1"/>
        <v>1</v>
      </c>
    </row>
    <row r="18" spans="1:24" ht="15" customHeight="1" x14ac:dyDescent="0.3">
      <c r="A18" s="375"/>
      <c r="B18" s="376"/>
      <c r="C18" s="16" t="s">
        <v>131</v>
      </c>
      <c r="D18" s="336" t="str">
        <f>'$_DB_CICLI'!I14</f>
        <v>TRANCIATURA STAFFE RINFORZO</v>
      </c>
      <c r="E18" s="336"/>
      <c r="F18" s="336"/>
      <c r="G18" s="336"/>
      <c r="H18" s="336"/>
      <c r="I18" s="336"/>
      <c r="J18" s="55">
        <f>'$_DB_CICLI'!Q14</f>
        <v>56665</v>
      </c>
      <c r="K18" s="55">
        <f>'$_DB_CICLI'!Q36</f>
        <v>1620</v>
      </c>
      <c r="L18" s="55">
        <f t="shared" si="2"/>
        <v>58285</v>
      </c>
      <c r="M18" s="56">
        <f>'$_DATI_BASE'!S56</f>
        <v>3000</v>
      </c>
      <c r="N18" s="56">
        <f>'$_DATI_BASE'!T56</f>
        <v>30</v>
      </c>
      <c r="O18" s="57">
        <f>'$_DATI_BASE'!U56</f>
        <v>0.3</v>
      </c>
      <c r="P18" s="58">
        <f t="shared" si="0"/>
        <v>19800</v>
      </c>
      <c r="Q18" s="58">
        <f>P18*'$_DATI_BASE'!$S$28</f>
        <v>19404</v>
      </c>
      <c r="R18" s="58">
        <f t="shared" si="3"/>
        <v>582.85</v>
      </c>
      <c r="S18" s="58">
        <f t="shared" si="4"/>
        <v>18821.150000000001</v>
      </c>
      <c r="T18" s="58">
        <f>S18*'$_DATI_BASE'!$T$28</f>
        <v>18632.9385</v>
      </c>
      <c r="U18" s="57">
        <f t="shared" si="5"/>
        <v>0.31968668611134943</v>
      </c>
      <c r="V18" s="57">
        <f t="shared" si="6"/>
        <v>0.93841881139681738</v>
      </c>
      <c r="W18" s="373"/>
      <c r="X18" s="152">
        <f t="shared" si="1"/>
        <v>1</v>
      </c>
    </row>
    <row r="19" spans="1:24" ht="15" customHeight="1" x14ac:dyDescent="0.3">
      <c r="A19" s="375"/>
      <c r="B19" s="376"/>
      <c r="C19" s="16" t="str">
        <f>'$_DB_CICLI'!F39</f>
        <v>INTPSP004-20</v>
      </c>
      <c r="D19" s="336" t="str">
        <f>'$_DB_CICLI'!I17</f>
        <v>PRESSOPIEGATURA PIASTRE ATTACCO TRATTORE</v>
      </c>
      <c r="E19" s="336"/>
      <c r="F19" s="336"/>
      <c r="G19" s="336"/>
      <c r="H19" s="336"/>
      <c r="I19" s="336"/>
      <c r="J19" s="128">
        <f>'$_DB_CICLI'!Q17</f>
        <v>37021</v>
      </c>
      <c r="K19" s="128">
        <f>'$_DB_CICLI'!Q39</f>
        <v>15866</v>
      </c>
      <c r="L19" s="128">
        <f t="shared" si="2"/>
        <v>52887</v>
      </c>
      <c r="M19" s="129">
        <f>'$_DATI_BASE'!S57</f>
        <v>2000</v>
      </c>
      <c r="N19" s="129">
        <f>'$_DATI_BASE'!T57</f>
        <v>30</v>
      </c>
      <c r="O19" s="130">
        <f>'$_DATI_BASE'!U57</f>
        <v>0.5</v>
      </c>
      <c r="P19" s="131">
        <f t="shared" si="0"/>
        <v>19800</v>
      </c>
      <c r="Q19" s="131">
        <f>P19*'$_DATI_BASE'!$S$26</f>
        <v>19404</v>
      </c>
      <c r="R19" s="131">
        <f t="shared" si="3"/>
        <v>793.30500000000006</v>
      </c>
      <c r="S19" s="131">
        <f t="shared" si="4"/>
        <v>18610.695</v>
      </c>
      <c r="T19" s="131">
        <f>S19*'$_DATI_BASE'!$T$26</f>
        <v>18424.588049999998</v>
      </c>
      <c r="U19" s="130">
        <f t="shared" si="5"/>
        <v>0.3483765017868285</v>
      </c>
      <c r="V19" s="130">
        <f t="shared" si="6"/>
        <v>1.4352288327010927</v>
      </c>
      <c r="W19" s="373"/>
      <c r="X19" s="152">
        <f t="shared" si="1"/>
        <v>2</v>
      </c>
    </row>
    <row r="20" spans="1:24" ht="15" customHeight="1" x14ac:dyDescent="0.3">
      <c r="A20" s="377"/>
      <c r="B20" s="378"/>
      <c r="C20" s="16" t="str">
        <f>'$_DB_CICLI'!F18</f>
        <v>INTPSP004-10</v>
      </c>
      <c r="D20" s="336" t="str">
        <f>'$_DB_CICLI'!I18</f>
        <v>TRANCIATURA STAFFE ATTACCO TRATTORE</v>
      </c>
      <c r="E20" s="336"/>
      <c r="F20" s="336"/>
      <c r="G20" s="336"/>
      <c r="H20" s="336"/>
      <c r="I20" s="336"/>
      <c r="J20" s="55">
        <f>'$_DB_CICLI'!Q18</f>
        <v>37777</v>
      </c>
      <c r="K20" s="55">
        <f>'$_DB_CICLI'!Q40</f>
        <v>16190</v>
      </c>
      <c r="L20" s="55">
        <f t="shared" si="2"/>
        <v>53967</v>
      </c>
      <c r="M20" s="56">
        <f>'$_DATI_BASE'!S58</f>
        <v>2000</v>
      </c>
      <c r="N20" s="56">
        <f>'$_DATI_BASE'!T58</f>
        <v>30</v>
      </c>
      <c r="O20" s="57">
        <f>'$_DATI_BASE'!U58</f>
        <v>0.5</v>
      </c>
      <c r="P20" s="58">
        <f t="shared" si="0"/>
        <v>19800</v>
      </c>
      <c r="Q20" s="58">
        <f>P20*'$_DATI_BASE'!$S$28</f>
        <v>19404</v>
      </c>
      <c r="R20" s="58">
        <f t="shared" si="3"/>
        <v>809.505</v>
      </c>
      <c r="S20" s="58">
        <f t="shared" si="4"/>
        <v>18594.494999999999</v>
      </c>
      <c r="T20" s="58">
        <f>S20*'$_DATI_BASE'!$T$28</f>
        <v>18408.550049999998</v>
      </c>
      <c r="U20" s="57">
        <f t="shared" si="5"/>
        <v>0.34110752960142304</v>
      </c>
      <c r="V20" s="57">
        <f t="shared" si="6"/>
        <v>1.4658134359691193</v>
      </c>
      <c r="W20" s="373"/>
      <c r="X20" s="152">
        <f t="shared" si="1"/>
        <v>2</v>
      </c>
    </row>
    <row r="21" spans="1:24" x14ac:dyDescent="0.3">
      <c r="A21" s="5"/>
      <c r="B21" s="5"/>
      <c r="D21" s="356"/>
      <c r="E21" s="356"/>
      <c r="F21" s="356"/>
      <c r="G21" s="356"/>
      <c r="H21" s="356"/>
      <c r="I21" s="356"/>
      <c r="J21" s="2"/>
      <c r="K21" s="2"/>
      <c r="L21" s="2"/>
      <c r="M21" s="380"/>
      <c r="N21" s="380"/>
      <c r="O21" s="380"/>
    </row>
    <row r="22" spans="1:24" x14ac:dyDescent="0.3">
      <c r="A22" s="5"/>
      <c r="B22" s="5"/>
      <c r="D22" s="356"/>
      <c r="E22" s="356"/>
      <c r="F22" s="356"/>
      <c r="G22" s="356"/>
      <c r="H22" s="356"/>
      <c r="I22" s="356"/>
      <c r="J22" s="2"/>
      <c r="K22" s="2"/>
      <c r="L22" s="2"/>
      <c r="M22" s="380"/>
      <c r="N22" s="380"/>
      <c r="O22" s="380"/>
    </row>
    <row r="23" spans="1:24" ht="15" thickBot="1" x14ac:dyDescent="0.35">
      <c r="A23" s="5"/>
      <c r="B23" s="5"/>
      <c r="D23" s="356"/>
      <c r="E23" s="356"/>
      <c r="F23" s="356"/>
      <c r="G23" s="356"/>
      <c r="H23" s="356"/>
      <c r="I23" s="356"/>
      <c r="J23" s="2"/>
      <c r="K23" s="2"/>
      <c r="L23" s="2"/>
      <c r="O23" s="1"/>
    </row>
    <row r="24" spans="1:24" ht="15" thickBot="1" x14ac:dyDescent="0.35">
      <c r="C24" s="369" t="s">
        <v>228</v>
      </c>
      <c r="D24" s="370"/>
      <c r="E24" s="370"/>
      <c r="F24" s="370"/>
      <c r="G24" s="371"/>
    </row>
    <row r="26" spans="1:24" x14ac:dyDescent="0.3">
      <c r="B26" s="279" t="s">
        <v>229</v>
      </c>
      <c r="U26" s="4"/>
    </row>
    <row r="28" spans="1:24" x14ac:dyDescent="0.3">
      <c r="B28" s="16" t="s">
        <v>230</v>
      </c>
      <c r="C28" s="16" t="s">
        <v>231</v>
      </c>
      <c r="D28" s="16" t="s">
        <v>232</v>
      </c>
      <c r="E28" s="16" t="s">
        <v>233</v>
      </c>
      <c r="F28" s="16" t="s">
        <v>234</v>
      </c>
      <c r="G28" s="16" t="s">
        <v>13</v>
      </c>
      <c r="H28" s="16" t="s">
        <v>235</v>
      </c>
    </row>
    <row r="29" spans="1:24" x14ac:dyDescent="0.3">
      <c r="B29" s="270" t="s">
        <v>236</v>
      </c>
      <c r="C29" s="120">
        <f>J10</f>
        <v>17955</v>
      </c>
      <c r="D29" s="271">
        <f>U10</f>
        <v>0.93188070175438609</v>
      </c>
      <c r="E29" s="271">
        <f>U10</f>
        <v>0.93188070175438609</v>
      </c>
      <c r="F29" s="271">
        <f>O10</f>
        <v>8</v>
      </c>
      <c r="G29" s="271">
        <f>V10</f>
        <v>8.5847898609113429</v>
      </c>
      <c r="H29" s="272">
        <f>((F29*C29*'$_DATI_BASE'!$U$20)/(G29*$P$10))</f>
        <v>0.81969497272727276</v>
      </c>
    </row>
    <row r="30" spans="1:24" x14ac:dyDescent="0.3">
      <c r="B30" s="270" t="s">
        <v>237</v>
      </c>
      <c r="C30" s="120">
        <f>K11</f>
        <v>7695</v>
      </c>
      <c r="D30" s="271">
        <f>U11</f>
        <v>2.1752906296749628</v>
      </c>
      <c r="E30" s="271">
        <f>U11</f>
        <v>2.1752906296749628</v>
      </c>
      <c r="F30" s="271">
        <f>O11</f>
        <v>8</v>
      </c>
      <c r="G30" s="271">
        <f>V11</f>
        <v>3.67766949890065</v>
      </c>
      <c r="H30" s="272">
        <f>((F30*C30*'$_DATI_BASE'!$U$20)/(G30*$P$10))</f>
        <v>0.82003512896405928</v>
      </c>
    </row>
    <row r="31" spans="1:24" x14ac:dyDescent="0.3">
      <c r="C31" s="2"/>
      <c r="D31" s="16"/>
      <c r="E31" s="32" t="s">
        <v>238</v>
      </c>
      <c r="F31" s="32"/>
      <c r="G31" s="208">
        <f>_xlfn.CEILING.MATH(SUM(G29:G30))</f>
        <v>13</v>
      </c>
      <c r="H31" s="273">
        <f>SUM((F29*C29),(F30*C30))*'$_DATI_BASE'!U20/(G31*P10)</f>
        <v>0.77328671328671328</v>
      </c>
    </row>
    <row r="32" spans="1:24" x14ac:dyDescent="0.3">
      <c r="C32" s="2"/>
      <c r="D32" s="4"/>
      <c r="E32" s="4"/>
      <c r="H32" s="276"/>
    </row>
    <row r="33" spans="2:14" ht="13.5" customHeight="1" x14ac:dyDescent="0.3">
      <c r="C33" s="2"/>
      <c r="D33" s="4"/>
      <c r="E33" s="4"/>
      <c r="H33" s="276"/>
    </row>
    <row r="34" spans="2:14" x14ac:dyDescent="0.3">
      <c r="C34" s="2"/>
      <c r="D34" s="49"/>
      <c r="E34" s="49"/>
      <c r="F34" s="49"/>
      <c r="H34" s="276"/>
    </row>
    <row r="35" spans="2:14" x14ac:dyDescent="0.3">
      <c r="C35" s="23"/>
      <c r="D35" s="23"/>
      <c r="E35" s="23"/>
      <c r="F35" s="23"/>
      <c r="H35" s="278"/>
      <c r="N35" s="49"/>
    </row>
    <row r="37" spans="2:14" ht="18" customHeight="1" thickBot="1" x14ac:dyDescent="0.35">
      <c r="I37" s="253"/>
      <c r="J37" s="253"/>
      <c r="K37" s="253"/>
      <c r="L37" s="253"/>
    </row>
    <row r="38" spans="2:14" ht="15" thickBot="1" x14ac:dyDescent="0.35">
      <c r="C38" s="369" t="s">
        <v>239</v>
      </c>
      <c r="D38" s="370"/>
      <c r="E38" s="370"/>
      <c r="F38" s="370"/>
      <c r="G38" s="371"/>
      <c r="H38" s="249"/>
    </row>
    <row r="39" spans="2:14" x14ac:dyDescent="0.3">
      <c r="I39" s="1"/>
      <c r="J39" s="1"/>
      <c r="K39" s="1"/>
      <c r="L39" s="1"/>
    </row>
    <row r="40" spans="2:14" x14ac:dyDescent="0.3">
      <c r="B40" s="275" t="s">
        <v>240</v>
      </c>
      <c r="F40" s="4"/>
      <c r="N40" s="2"/>
    </row>
    <row r="41" spans="2:14" x14ac:dyDescent="0.3">
      <c r="N41" s="2"/>
    </row>
    <row r="42" spans="2:14" x14ac:dyDescent="0.3">
      <c r="B42" s="16" t="s">
        <v>51</v>
      </c>
      <c r="C42" s="16" t="s">
        <v>230</v>
      </c>
      <c r="D42" s="16" t="s">
        <v>231</v>
      </c>
      <c r="E42" s="16" t="s">
        <v>241</v>
      </c>
      <c r="F42" s="16" t="s">
        <v>234</v>
      </c>
      <c r="G42" s="16" t="s">
        <v>13</v>
      </c>
      <c r="H42" s="16" t="s">
        <v>235</v>
      </c>
      <c r="N42" s="2"/>
    </row>
    <row r="43" spans="2:14" x14ac:dyDescent="0.3">
      <c r="B43" s="155" t="str">
        <f>C13</f>
        <v>INTPSP001-20</v>
      </c>
      <c r="C43" s="155" t="s">
        <v>242</v>
      </c>
      <c r="D43" s="128">
        <f>J13</f>
        <v>18511</v>
      </c>
      <c r="E43" s="156">
        <f>U13</f>
        <v>0.97835917022311047</v>
      </c>
      <c r="F43" s="156">
        <f>O13</f>
        <v>1</v>
      </c>
      <c r="G43" s="156">
        <f>V13</f>
        <v>1.0221195144232711</v>
      </c>
      <c r="H43" s="274">
        <f>((F43*D43)*0.98)/(G43*$P$13)</f>
        <v>0.89637365999999974</v>
      </c>
    </row>
    <row r="44" spans="2:14" x14ac:dyDescent="0.3">
      <c r="B44" s="155" t="str">
        <f>C15</f>
        <v>INTPSP002-20</v>
      </c>
      <c r="C44" s="155" t="s">
        <v>243</v>
      </c>
      <c r="D44" s="128">
        <f>K15</f>
        <v>7933</v>
      </c>
      <c r="E44" s="156">
        <f>U15</f>
        <v>2.2833857392874624</v>
      </c>
      <c r="F44" s="156">
        <f>O15</f>
        <v>1.2</v>
      </c>
      <c r="G44" s="156">
        <f>V15</f>
        <v>0.52553538342341743</v>
      </c>
      <c r="H44" s="274">
        <f>((F44*D44)*0.98)/(G44*$P$13)</f>
        <v>0.89655641860465107</v>
      </c>
    </row>
    <row r="45" spans="2:14" x14ac:dyDescent="0.3">
      <c r="B45" s="155" t="str">
        <f>C17</f>
        <v>INTPSP003-20</v>
      </c>
      <c r="C45" s="155" t="s">
        <v>244</v>
      </c>
      <c r="D45" s="128">
        <f>J17+K17</f>
        <v>57118</v>
      </c>
      <c r="E45" s="156">
        <f>U17</f>
        <v>0.3264205994607654</v>
      </c>
      <c r="F45" s="156">
        <f>O17</f>
        <v>0.3</v>
      </c>
      <c r="G45" s="156">
        <f>V17</f>
        <v>0.9190596442001171</v>
      </c>
      <c r="H45" s="274">
        <f>((F45*D45)*0.98)/(G45*$P$13)</f>
        <v>0.92280817999999987</v>
      </c>
    </row>
    <row r="46" spans="2:14" x14ac:dyDescent="0.3">
      <c r="B46" s="155" t="str">
        <f>C19</f>
        <v>INTPSP004-20</v>
      </c>
      <c r="C46" s="155" t="s">
        <v>245</v>
      </c>
      <c r="D46" s="128">
        <f>J19+K19</f>
        <v>52887</v>
      </c>
      <c r="E46" s="156">
        <f>U19</f>
        <v>0.3483765017868285</v>
      </c>
      <c r="F46" s="156">
        <f>O19</f>
        <v>0.5</v>
      </c>
      <c r="G46" s="156">
        <f>V19</f>
        <v>1.4352288327010927</v>
      </c>
      <c r="H46" s="274">
        <f>((F46*D46)*0.98)/(G46*$P$13)</f>
        <v>0.91192405499999996</v>
      </c>
    </row>
    <row r="47" spans="2:14" x14ac:dyDescent="0.3">
      <c r="D47" s="16"/>
      <c r="E47" s="32" t="s">
        <v>238</v>
      </c>
      <c r="F47" s="32"/>
      <c r="G47" s="212">
        <f>_xlfn.CEILING.MATH(SUM(G43:G46))</f>
        <v>4</v>
      </c>
      <c r="H47" s="273">
        <f>(SUM((F43*D43),(F44*D44),(F45*D45),(F46*D46))*0.98)/(G47*P13)</f>
        <v>0.88607714646464641</v>
      </c>
    </row>
    <row r="49" spans="2:12" x14ac:dyDescent="0.3">
      <c r="B49" s="64" t="s">
        <v>246</v>
      </c>
    </row>
    <row r="51" spans="2:12" x14ac:dyDescent="0.3">
      <c r="B51" s="16" t="s">
        <v>51</v>
      </c>
      <c r="C51" s="16" t="s">
        <v>230</v>
      </c>
      <c r="D51" s="16" t="s">
        <v>231</v>
      </c>
      <c r="E51" s="16" t="s">
        <v>241</v>
      </c>
      <c r="F51" s="16" t="s">
        <v>234</v>
      </c>
      <c r="G51" s="16" t="s">
        <v>13</v>
      </c>
      <c r="H51" s="16" t="s">
        <v>235</v>
      </c>
    </row>
    <row r="52" spans="2:12" x14ac:dyDescent="0.3">
      <c r="B52" s="64" t="str">
        <f>C14</f>
        <v>INTPSP001-10</v>
      </c>
      <c r="C52" s="64" t="s">
        <v>242</v>
      </c>
      <c r="D52" s="55">
        <f>J14</f>
        <v>18889</v>
      </c>
      <c r="E52" s="157">
        <f>U14</f>
        <v>0.95759190004764672</v>
      </c>
      <c r="F52" s="157">
        <f>F43</f>
        <v>1</v>
      </c>
      <c r="G52" s="157">
        <f>V14</f>
        <v>1.0442861932627492</v>
      </c>
      <c r="H52" s="277">
        <f>((F52*D52)*0.99)/(G52*$P$14)</f>
        <v>0.90439766999999993</v>
      </c>
    </row>
    <row r="53" spans="2:12" x14ac:dyDescent="0.3">
      <c r="B53" s="64" t="str">
        <f>C11</f>
        <v>INTSAL002-10</v>
      </c>
      <c r="C53" s="64" t="s">
        <v>243</v>
      </c>
      <c r="D53" s="55">
        <f>K16</f>
        <v>8095</v>
      </c>
      <c r="E53" s="157">
        <f>U16</f>
        <v>2.234925319964951</v>
      </c>
      <c r="F53" s="157">
        <f>F44</f>
        <v>1.2</v>
      </c>
      <c r="G53" s="157">
        <f>V16</f>
        <v>0.53693069261876669</v>
      </c>
      <c r="H53" s="277">
        <f>((F53*D53)*0.99)/(G53*$P$14)</f>
        <v>0.90458602325581405</v>
      </c>
    </row>
    <row r="54" spans="2:12" x14ac:dyDescent="0.3">
      <c r="B54" s="64" t="str">
        <f>C18</f>
        <v>INTPSP003-10</v>
      </c>
      <c r="C54" s="64" t="s">
        <v>244</v>
      </c>
      <c r="D54" s="55">
        <f>J18+K18</f>
        <v>58285</v>
      </c>
      <c r="E54" s="157">
        <f>U18</f>
        <v>0.31968668611134943</v>
      </c>
      <c r="F54" s="157">
        <f>F45</f>
        <v>0.3</v>
      </c>
      <c r="G54" s="157">
        <f>V18</f>
        <v>0.93841881139681738</v>
      </c>
      <c r="H54" s="277">
        <f>((F54*D54)*0.99)/(G54*$P$14)</f>
        <v>0.93164692500000024</v>
      </c>
    </row>
    <row r="55" spans="2:12" x14ac:dyDescent="0.3">
      <c r="B55" s="64" t="str">
        <f>C20</f>
        <v>INTPSP004-10</v>
      </c>
      <c r="C55" s="64" t="s">
        <v>245</v>
      </c>
      <c r="D55" s="55">
        <f>J20+K20</f>
        <v>53967</v>
      </c>
      <c r="E55" s="157">
        <f>U20</f>
        <v>0.34110752960142304</v>
      </c>
      <c r="F55" s="157">
        <f>F46</f>
        <v>0.5</v>
      </c>
      <c r="G55" s="157">
        <f>V20</f>
        <v>1.4658134359691193</v>
      </c>
      <c r="H55" s="277">
        <f>((F55*D55)*0.99)/(G55*$P$14)</f>
        <v>0.92042750249999994</v>
      </c>
    </row>
    <row r="56" spans="2:12" x14ac:dyDescent="0.3">
      <c r="D56" s="16"/>
      <c r="E56" s="32" t="s">
        <v>238</v>
      </c>
      <c r="F56" s="32"/>
      <c r="G56" s="212">
        <f>_xlfn.CEILING.MATH(SUM(G52:G55))</f>
        <v>4</v>
      </c>
      <c r="H56" s="273">
        <f>(SUM((F52*D52),(F53*D53),(F54*D54),(F55*D55))*0.99)/(G56*P14)</f>
        <v>0.91339999999999999</v>
      </c>
    </row>
    <row r="64" spans="2:12" x14ac:dyDescent="0.3">
      <c r="I64" s="214"/>
      <c r="J64" s="253"/>
      <c r="K64" s="253"/>
      <c r="L64" s="214"/>
    </row>
    <row r="65" spans="1:12" x14ac:dyDescent="0.3">
      <c r="I65" s="1"/>
      <c r="J65" s="1"/>
      <c r="K65" s="1"/>
      <c r="L65" s="1"/>
    </row>
    <row r="79" spans="1:12" x14ac:dyDescent="0.3">
      <c r="A79" s="154"/>
    </row>
    <row r="82" spans="1:12" x14ac:dyDescent="0.3">
      <c r="I82" s="214"/>
      <c r="J82" s="253"/>
      <c r="K82" s="253"/>
      <c r="L82" s="214"/>
    </row>
    <row r="83" spans="1:12" x14ac:dyDescent="0.3">
      <c r="I83" s="1"/>
      <c r="J83" s="1"/>
      <c r="K83" s="1"/>
      <c r="L83" s="1"/>
    </row>
    <row r="87" spans="1:12" x14ac:dyDescent="0.3">
      <c r="A87" s="154"/>
    </row>
    <row r="88" spans="1:12" x14ac:dyDescent="0.3">
      <c r="A88" s="154"/>
    </row>
    <row r="89" spans="1:12" x14ac:dyDescent="0.3">
      <c r="A89" s="154"/>
      <c r="D89" s="2"/>
      <c r="E89" s="4"/>
      <c r="F89" s="4"/>
      <c r="G89" s="4"/>
      <c r="H89" s="276"/>
    </row>
    <row r="90" spans="1:12" x14ac:dyDescent="0.3">
      <c r="A90" s="154"/>
      <c r="D90" s="2"/>
      <c r="E90" s="4"/>
      <c r="F90" s="4"/>
      <c r="G90" s="4"/>
      <c r="H90" s="276"/>
    </row>
    <row r="91" spans="1:12" x14ac:dyDescent="0.3">
      <c r="A91" s="154"/>
      <c r="D91" s="2"/>
      <c r="E91" s="4"/>
      <c r="F91" s="4"/>
      <c r="G91" s="4"/>
      <c r="H91" s="276"/>
    </row>
    <row r="92" spans="1:12" x14ac:dyDescent="0.3">
      <c r="A92" s="154"/>
      <c r="D92" s="2"/>
      <c r="E92" s="4"/>
      <c r="F92" s="4"/>
      <c r="G92" s="4"/>
      <c r="H92" s="276"/>
    </row>
    <row r="93" spans="1:12" x14ac:dyDescent="0.3">
      <c r="A93" s="154"/>
      <c r="D93" s="2"/>
      <c r="E93" s="4"/>
      <c r="F93" s="4"/>
      <c r="G93" s="4"/>
      <c r="H93" s="276"/>
    </row>
    <row r="94" spans="1:12" x14ac:dyDescent="0.3">
      <c r="A94" s="154"/>
      <c r="E94" s="249"/>
      <c r="F94" s="249"/>
      <c r="G94" s="4"/>
      <c r="H94" s="276"/>
    </row>
    <row r="95" spans="1:12" x14ac:dyDescent="0.3">
      <c r="D95" s="49"/>
      <c r="H95" s="276"/>
    </row>
    <row r="107" spans="2:12" x14ac:dyDescent="0.3">
      <c r="B107" s="10"/>
      <c r="C107" s="10"/>
      <c r="D107" s="10"/>
      <c r="E107" s="10"/>
      <c r="F107" s="214"/>
      <c r="G107" s="214"/>
      <c r="H107" s="10"/>
      <c r="I107" s="10"/>
      <c r="J107" s="214"/>
      <c r="K107" s="214"/>
      <c r="L107" s="214"/>
    </row>
    <row r="108" spans="2:12" x14ac:dyDescent="0.3">
      <c r="B108" s="10"/>
      <c r="C108" s="10"/>
      <c r="D108" s="10"/>
      <c r="E108" s="10"/>
      <c r="F108" s="214"/>
      <c r="G108" s="214"/>
      <c r="H108" s="10"/>
      <c r="I108" s="10"/>
      <c r="J108" s="214"/>
      <c r="K108" s="214"/>
      <c r="L108" s="214"/>
    </row>
    <row r="109" spans="2:12" x14ac:dyDescent="0.3">
      <c r="B109" s="10"/>
      <c r="C109" s="10"/>
      <c r="D109" s="10"/>
      <c r="E109" s="10"/>
      <c r="F109" s="214"/>
      <c r="G109" s="214"/>
      <c r="H109" s="10"/>
      <c r="I109" s="10"/>
      <c r="J109" s="214"/>
      <c r="K109" s="214"/>
      <c r="L109" s="214"/>
    </row>
    <row r="110" spans="2:12" x14ac:dyDescent="0.3">
      <c r="C110" s="10"/>
      <c r="D110" s="10"/>
      <c r="E110" s="10"/>
      <c r="F110" s="10"/>
      <c r="G110" s="10"/>
      <c r="H110" s="10"/>
      <c r="I110" s="10"/>
    </row>
    <row r="111" spans="2:12" x14ac:dyDescent="0.3">
      <c r="C111" s="10"/>
      <c r="D111" s="10"/>
      <c r="E111" s="10"/>
      <c r="F111" s="10"/>
      <c r="G111" s="10"/>
      <c r="H111" s="10"/>
      <c r="I111" s="10"/>
    </row>
    <row r="114" spans="4:5" x14ac:dyDescent="0.3">
      <c r="D114" s="244"/>
      <c r="E114" s="244"/>
    </row>
  </sheetData>
  <mergeCells count="51">
    <mergeCell ref="X1:X5"/>
    <mergeCell ref="D16:I16"/>
    <mergeCell ref="D13:I13"/>
    <mergeCell ref="D14:I14"/>
    <mergeCell ref="A6:L6"/>
    <mergeCell ref="L4:L5"/>
    <mergeCell ref="J4:K4"/>
    <mergeCell ref="D7:I7"/>
    <mergeCell ref="D8:I8"/>
    <mergeCell ref="P1:P5"/>
    <mergeCell ref="Q1:Q5"/>
    <mergeCell ref="R1:R5"/>
    <mergeCell ref="A4:B5"/>
    <mergeCell ref="A7:B8"/>
    <mergeCell ref="V1:V5"/>
    <mergeCell ref="T1:T5"/>
    <mergeCell ref="D17:I17"/>
    <mergeCell ref="D18:I18"/>
    <mergeCell ref="D15:I15"/>
    <mergeCell ref="A2:C2"/>
    <mergeCell ref="N1:N5"/>
    <mergeCell ref="A1:C1"/>
    <mergeCell ref="C4:C5"/>
    <mergeCell ref="D4:I5"/>
    <mergeCell ref="A3:C3"/>
    <mergeCell ref="E2:F2"/>
    <mergeCell ref="E3:F3"/>
    <mergeCell ref="M1:M5"/>
    <mergeCell ref="W7:W8"/>
    <mergeCell ref="W10:W11"/>
    <mergeCell ref="W13:W16"/>
    <mergeCell ref="W1:W5"/>
    <mergeCell ref="O1:O5"/>
    <mergeCell ref="S1:S5"/>
    <mergeCell ref="U1:U5"/>
    <mergeCell ref="C24:G24"/>
    <mergeCell ref="C38:G38"/>
    <mergeCell ref="W17:W20"/>
    <mergeCell ref="D23:I23"/>
    <mergeCell ref="A9:L9"/>
    <mergeCell ref="D21:I21"/>
    <mergeCell ref="D19:I19"/>
    <mergeCell ref="D20:I20"/>
    <mergeCell ref="A13:B20"/>
    <mergeCell ref="D11:I11"/>
    <mergeCell ref="D10:I10"/>
    <mergeCell ref="A12:O12"/>
    <mergeCell ref="M21:O21"/>
    <mergeCell ref="M22:O22"/>
    <mergeCell ref="A10:B11"/>
    <mergeCell ref="D22:I2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2:AN60"/>
  <sheetViews>
    <sheetView topLeftCell="A27" zoomScale="47" zoomScaleNormal="90" workbookViewId="0">
      <selection activeCell="AG62" sqref="AG62"/>
    </sheetView>
  </sheetViews>
  <sheetFormatPr defaultRowHeight="14.4" x14ac:dyDescent="0.3"/>
  <cols>
    <col min="21" max="21" width="16.33203125" customWidth="1"/>
    <col min="23" max="23" width="17.88671875" customWidth="1"/>
    <col min="25" max="25" width="13.6640625" customWidth="1"/>
    <col min="26" max="26" width="17" customWidth="1"/>
    <col min="31" max="31" width="16.109375" customWidth="1"/>
    <col min="36" max="36" width="17" customWidth="1"/>
    <col min="37" max="37" width="12.5546875" customWidth="1"/>
  </cols>
  <sheetData>
    <row r="2" spans="3:38" ht="15.75" customHeight="1" x14ac:dyDescent="0.3">
      <c r="D2" s="1"/>
      <c r="E2" s="1"/>
      <c r="F2" s="1"/>
      <c r="G2" s="1"/>
      <c r="H2" s="1"/>
      <c r="I2" s="1"/>
      <c r="J2" s="1"/>
      <c r="K2" s="1"/>
      <c r="L2" s="1"/>
      <c r="M2" s="1"/>
      <c r="N2" s="1"/>
    </row>
    <row r="3" spans="3:38" ht="15.75" customHeight="1" thickBot="1" x14ac:dyDescent="0.35">
      <c r="D3" s="11" t="s">
        <v>51</v>
      </c>
      <c r="E3" s="324" t="s">
        <v>147</v>
      </c>
      <c r="F3" s="324"/>
      <c r="G3" s="324"/>
      <c r="H3" s="324"/>
      <c r="I3" s="324"/>
      <c r="J3" s="324"/>
      <c r="K3" s="324"/>
      <c r="L3" s="324"/>
      <c r="M3" s="324"/>
      <c r="N3" s="11" t="s">
        <v>247</v>
      </c>
      <c r="O3" s="11" t="s">
        <v>248</v>
      </c>
      <c r="R3" s="67" t="s">
        <v>51</v>
      </c>
      <c r="S3" s="67" t="s">
        <v>249</v>
      </c>
      <c r="T3" s="11" t="s">
        <v>250</v>
      </c>
      <c r="U3" s="67" t="s">
        <v>251</v>
      </c>
      <c r="W3" s="67" t="s">
        <v>51</v>
      </c>
      <c r="X3" s="67" t="s">
        <v>249</v>
      </c>
      <c r="Y3" s="11" t="s">
        <v>250</v>
      </c>
      <c r="Z3" s="67" t="s">
        <v>251</v>
      </c>
      <c r="AB3" s="167" t="s">
        <v>51</v>
      </c>
      <c r="AC3" s="167" t="s">
        <v>249</v>
      </c>
      <c r="AD3" s="167" t="s">
        <v>252</v>
      </c>
      <c r="AE3" s="167" t="s">
        <v>253</v>
      </c>
      <c r="AF3" s="167" t="s">
        <v>254</v>
      </c>
      <c r="AG3" s="49"/>
      <c r="AH3" s="167" t="s">
        <v>51</v>
      </c>
      <c r="AI3" s="167" t="s">
        <v>249</v>
      </c>
      <c r="AJ3" s="167" t="s">
        <v>252</v>
      </c>
      <c r="AK3" s="167" t="s">
        <v>253</v>
      </c>
      <c r="AL3" s="167" t="s">
        <v>254</v>
      </c>
    </row>
    <row r="4" spans="3:38" ht="39" customHeight="1" x14ac:dyDescent="0.3">
      <c r="C4">
        <v>1</v>
      </c>
      <c r="D4" s="12" t="s">
        <v>255</v>
      </c>
      <c r="E4" s="307" t="s">
        <v>256</v>
      </c>
      <c r="F4" s="307"/>
      <c r="G4" s="307"/>
      <c r="H4" s="307"/>
      <c r="I4" s="307"/>
      <c r="J4" s="307"/>
      <c r="K4" s="307"/>
      <c r="L4" s="307"/>
      <c r="M4" s="307"/>
      <c r="N4" s="12" t="s">
        <v>257</v>
      </c>
      <c r="O4" s="17">
        <v>0.4</v>
      </c>
      <c r="R4" s="56" t="s">
        <v>255</v>
      </c>
      <c r="S4" s="57">
        <v>0.4</v>
      </c>
      <c r="T4" s="57">
        <f>O17</f>
        <v>6.3</v>
      </c>
      <c r="U4" s="158" t="s">
        <v>258</v>
      </c>
      <c r="W4" s="56" t="str">
        <f>R4</f>
        <v>A</v>
      </c>
      <c r="X4" s="57">
        <f>S4</f>
        <v>0.4</v>
      </c>
      <c r="Y4" s="57">
        <f>T4</f>
        <v>6.3</v>
      </c>
      <c r="Z4" s="158" t="s">
        <v>258</v>
      </c>
      <c r="AB4" s="181" t="s">
        <v>255</v>
      </c>
      <c r="AC4" s="182">
        <f t="shared" ref="AC4" si="0">X4</f>
        <v>0.4</v>
      </c>
      <c r="AD4" s="183">
        <v>1.6</v>
      </c>
      <c r="AE4" s="184" t="s">
        <v>259</v>
      </c>
      <c r="AF4" s="185">
        <v>1</v>
      </c>
      <c r="AG4" s="1"/>
      <c r="AH4" s="181" t="str">
        <f>W4</f>
        <v>A</v>
      </c>
      <c r="AI4" s="182">
        <f>S4</f>
        <v>0.4</v>
      </c>
      <c r="AJ4" s="183">
        <f t="shared" ref="AJ4:AL5" si="1">AD4</f>
        <v>1.6</v>
      </c>
      <c r="AK4" s="203" t="s">
        <v>259</v>
      </c>
      <c r="AL4" s="185">
        <f t="shared" si="1"/>
        <v>1</v>
      </c>
    </row>
    <row r="5" spans="3:38" ht="27" customHeight="1" x14ac:dyDescent="0.3">
      <c r="C5">
        <v>2</v>
      </c>
      <c r="D5" s="12" t="s">
        <v>260</v>
      </c>
      <c r="E5" s="307" t="s">
        <v>261</v>
      </c>
      <c r="F5" s="307"/>
      <c r="G5" s="307"/>
      <c r="H5" s="307"/>
      <c r="I5" s="307"/>
      <c r="J5" s="307"/>
      <c r="K5" s="307"/>
      <c r="L5" s="307"/>
      <c r="M5" s="307"/>
      <c r="N5" s="12" t="s">
        <v>255</v>
      </c>
      <c r="O5" s="17">
        <v>0.3</v>
      </c>
      <c r="R5" s="56" t="s">
        <v>260</v>
      </c>
      <c r="S5" s="57">
        <f t="shared" ref="S5:S16" si="2">O5</f>
        <v>0.3</v>
      </c>
      <c r="T5" s="57">
        <f>O5+O9+O16</f>
        <v>1.2000000000000002</v>
      </c>
      <c r="U5" s="64" t="s">
        <v>262</v>
      </c>
      <c r="W5" s="56" t="str">
        <f>R12</f>
        <v>I</v>
      </c>
      <c r="X5" s="57">
        <f>S12</f>
        <v>0.6</v>
      </c>
      <c r="Y5" s="57">
        <f>T12</f>
        <v>2.2999999999999998</v>
      </c>
      <c r="Z5" s="64" t="s">
        <v>263</v>
      </c>
      <c r="AB5" s="190" t="str">
        <f t="shared" ref="AB5:AC7" si="3">W5</f>
        <v>I</v>
      </c>
      <c r="AC5" s="56">
        <f t="shared" si="3"/>
        <v>0.6</v>
      </c>
      <c r="AD5" s="56">
        <v>1</v>
      </c>
      <c r="AE5" s="158" t="s">
        <v>264</v>
      </c>
      <c r="AF5" s="187">
        <v>1</v>
      </c>
      <c r="AG5" s="1"/>
      <c r="AH5" s="186" t="str">
        <f>W6</f>
        <v xml:space="preserve">C </v>
      </c>
      <c r="AI5" s="56">
        <f>X6</f>
        <v>0.3</v>
      </c>
      <c r="AJ5" s="56">
        <v>1.3</v>
      </c>
      <c r="AK5" s="166" t="s">
        <v>265</v>
      </c>
      <c r="AL5" s="187">
        <f t="shared" si="1"/>
        <v>1</v>
      </c>
    </row>
    <row r="6" spans="3:38" ht="28.2" customHeight="1" x14ac:dyDescent="0.3">
      <c r="C6">
        <v>1</v>
      </c>
      <c r="D6" s="12" t="s">
        <v>266</v>
      </c>
      <c r="E6" s="307" t="s">
        <v>267</v>
      </c>
      <c r="F6" s="307"/>
      <c r="G6" s="307"/>
      <c r="H6" s="307"/>
      <c r="I6" s="307"/>
      <c r="J6" s="307"/>
      <c r="K6" s="307"/>
      <c r="L6" s="307"/>
      <c r="M6" s="307"/>
      <c r="N6" s="12" t="s">
        <v>255</v>
      </c>
      <c r="O6" s="17">
        <v>0.3</v>
      </c>
      <c r="R6" s="56" t="s">
        <v>268</v>
      </c>
      <c r="S6" s="57">
        <f t="shared" si="2"/>
        <v>0.3</v>
      </c>
      <c r="T6" s="68">
        <f>O6+O7+O8+O9+O16</f>
        <v>2.2000000000000002</v>
      </c>
      <c r="U6" s="64" t="s">
        <v>269</v>
      </c>
      <c r="W6" s="56" t="str">
        <f>R6</f>
        <v xml:space="preserve">C </v>
      </c>
      <c r="X6" s="57">
        <f>S6</f>
        <v>0.3</v>
      </c>
      <c r="Y6" s="68">
        <f>T6</f>
        <v>2.2000000000000002</v>
      </c>
      <c r="Z6" s="64" t="str">
        <f>U6</f>
        <v>C,D,E,F,O</v>
      </c>
      <c r="AB6" s="190" t="str">
        <f t="shared" si="3"/>
        <v xml:space="preserve">C </v>
      </c>
      <c r="AC6" s="56">
        <f t="shared" si="3"/>
        <v>0.3</v>
      </c>
      <c r="AD6" s="56">
        <v>0.7</v>
      </c>
      <c r="AE6" s="158" t="s">
        <v>270</v>
      </c>
      <c r="AF6" s="187">
        <v>1</v>
      </c>
      <c r="AG6" s="1"/>
      <c r="AH6" s="186" t="str">
        <f>W5</f>
        <v>I</v>
      </c>
      <c r="AI6" s="56">
        <f>X5</f>
        <v>0.6</v>
      </c>
      <c r="AJ6" s="56">
        <v>0.7</v>
      </c>
      <c r="AK6" s="166" t="s">
        <v>270</v>
      </c>
      <c r="AL6" s="187">
        <v>1</v>
      </c>
    </row>
    <row r="7" spans="3:38" ht="30.6" customHeight="1" thickBot="1" x14ac:dyDescent="0.35">
      <c r="C7">
        <v>2</v>
      </c>
      <c r="D7" s="12" t="s">
        <v>271</v>
      </c>
      <c r="E7" s="307" t="s">
        <v>272</v>
      </c>
      <c r="F7" s="307"/>
      <c r="G7" s="307"/>
      <c r="H7" s="307"/>
      <c r="I7" s="307"/>
      <c r="J7" s="307"/>
      <c r="K7" s="307"/>
      <c r="L7" s="307"/>
      <c r="M7" s="307"/>
      <c r="N7" s="12" t="s">
        <v>266</v>
      </c>
      <c r="O7" s="17">
        <v>0.5</v>
      </c>
      <c r="R7" s="56" t="s">
        <v>271</v>
      </c>
      <c r="S7" s="57">
        <f t="shared" si="2"/>
        <v>0.5</v>
      </c>
      <c r="T7" s="57">
        <f>O7+O8+O9+O16</f>
        <v>1.9</v>
      </c>
      <c r="U7" s="64" t="s">
        <v>273</v>
      </c>
      <c r="W7" s="56" t="str">
        <f>R10</f>
        <v>G</v>
      </c>
      <c r="X7" s="57">
        <f>S10</f>
        <v>0.4</v>
      </c>
      <c r="Y7" s="57">
        <f>T10</f>
        <v>1.9</v>
      </c>
      <c r="Z7" s="64" t="str">
        <f>U10</f>
        <v>G,H,N,O</v>
      </c>
      <c r="AB7" s="191" t="str">
        <f t="shared" si="3"/>
        <v>G</v>
      </c>
      <c r="AC7" s="169">
        <f t="shared" si="3"/>
        <v>0.4</v>
      </c>
      <c r="AD7" s="169">
        <v>0.3</v>
      </c>
      <c r="AE7" s="170" t="s">
        <v>274</v>
      </c>
      <c r="AF7" s="189">
        <v>1</v>
      </c>
      <c r="AG7" s="1"/>
      <c r="AH7" s="188" t="str">
        <f t="shared" ref="AH7:AI9" si="4">W7</f>
        <v>G</v>
      </c>
      <c r="AI7" s="169">
        <f t="shared" si="4"/>
        <v>0.4</v>
      </c>
      <c r="AJ7" s="169">
        <v>0.3</v>
      </c>
      <c r="AK7" s="206" t="s">
        <v>275</v>
      </c>
      <c r="AL7" s="189">
        <f>AF6</f>
        <v>1</v>
      </c>
    </row>
    <row r="8" spans="3:38" ht="15.75" customHeight="1" thickBot="1" x14ac:dyDescent="0.35">
      <c r="C8">
        <v>3</v>
      </c>
      <c r="D8" s="12" t="s">
        <v>276</v>
      </c>
      <c r="E8" s="307" t="s">
        <v>277</v>
      </c>
      <c r="F8" s="307"/>
      <c r="G8" s="307"/>
      <c r="H8" s="307"/>
      <c r="I8" s="307"/>
      <c r="J8" s="307"/>
      <c r="K8" s="307"/>
      <c r="L8" s="307"/>
      <c r="M8" s="307"/>
      <c r="N8" s="12" t="s">
        <v>271</v>
      </c>
      <c r="O8" s="17">
        <v>0.5</v>
      </c>
      <c r="R8" s="56" t="s">
        <v>276</v>
      </c>
      <c r="S8" s="57">
        <f t="shared" si="2"/>
        <v>0.5</v>
      </c>
      <c r="T8" s="57">
        <f>O8+O9+O16</f>
        <v>1.4</v>
      </c>
      <c r="U8" s="64" t="s">
        <v>278</v>
      </c>
      <c r="W8" s="56" t="str">
        <f>R7</f>
        <v>D</v>
      </c>
      <c r="X8" s="57">
        <f>S7</f>
        <v>0.5</v>
      </c>
      <c r="Y8" s="57">
        <f>T7</f>
        <v>1.9</v>
      </c>
      <c r="Z8" s="64" t="s">
        <v>273</v>
      </c>
      <c r="AB8" s="175" t="str">
        <f>W12</f>
        <v>B</v>
      </c>
      <c r="AC8" s="177">
        <f>X12</f>
        <v>0.3</v>
      </c>
      <c r="AD8" s="177" t="s">
        <v>279</v>
      </c>
      <c r="AE8" s="192" t="s">
        <v>280</v>
      </c>
      <c r="AF8" s="179">
        <v>1</v>
      </c>
      <c r="AG8" s="1"/>
      <c r="AH8" s="181" t="str">
        <f t="shared" si="4"/>
        <v>D</v>
      </c>
      <c r="AI8" s="183">
        <f t="shared" si="4"/>
        <v>0.5</v>
      </c>
      <c r="AJ8" s="183">
        <v>1.5</v>
      </c>
      <c r="AK8" s="203" t="s">
        <v>281</v>
      </c>
      <c r="AL8" s="185">
        <v>2</v>
      </c>
    </row>
    <row r="9" spans="3:38" ht="15.75" customHeight="1" x14ac:dyDescent="0.3">
      <c r="C9">
        <v>4</v>
      </c>
      <c r="D9" s="12" t="s">
        <v>282</v>
      </c>
      <c r="E9" s="307" t="s">
        <v>283</v>
      </c>
      <c r="F9" s="307"/>
      <c r="G9" s="307"/>
      <c r="H9" s="307"/>
      <c r="I9" s="307"/>
      <c r="J9" s="307"/>
      <c r="K9" s="307"/>
      <c r="L9" s="307"/>
      <c r="M9" s="307"/>
      <c r="N9" s="12" t="s">
        <v>284</v>
      </c>
      <c r="O9" s="17">
        <v>0.5</v>
      </c>
      <c r="R9" s="56" t="s">
        <v>282</v>
      </c>
      <c r="S9" s="57">
        <f t="shared" si="2"/>
        <v>0.5</v>
      </c>
      <c r="T9" s="57">
        <f>O9+O16</f>
        <v>0.9</v>
      </c>
      <c r="U9" s="64" t="s">
        <v>285</v>
      </c>
      <c r="W9" s="56" t="s">
        <v>286</v>
      </c>
      <c r="X9" s="57">
        <f>S13</f>
        <v>0.8</v>
      </c>
      <c r="Y9" s="57">
        <f>T13</f>
        <v>1.7000000000000002</v>
      </c>
      <c r="Z9" s="64" t="s">
        <v>287</v>
      </c>
      <c r="AB9" s="181" t="str">
        <f>W8</f>
        <v>D</v>
      </c>
      <c r="AC9" s="182">
        <f>X8</f>
        <v>0.5</v>
      </c>
      <c r="AD9" s="183">
        <v>1.5</v>
      </c>
      <c r="AE9" s="184" t="s">
        <v>288</v>
      </c>
      <c r="AF9" s="185">
        <v>2</v>
      </c>
      <c r="AG9" s="1"/>
      <c r="AH9" s="186" t="str">
        <f t="shared" si="4"/>
        <v>L</v>
      </c>
      <c r="AI9" s="56">
        <f t="shared" si="4"/>
        <v>0.8</v>
      </c>
      <c r="AJ9" s="56">
        <v>0.7</v>
      </c>
      <c r="AK9" s="166" t="s">
        <v>289</v>
      </c>
      <c r="AL9" s="187">
        <v>2</v>
      </c>
    </row>
    <row r="10" spans="3:38" ht="15.75" customHeight="1" thickBot="1" x14ac:dyDescent="0.35">
      <c r="C10">
        <v>1</v>
      </c>
      <c r="D10" s="12" t="s">
        <v>290</v>
      </c>
      <c r="E10" s="307" t="s">
        <v>291</v>
      </c>
      <c r="F10" s="307"/>
      <c r="G10" s="307"/>
      <c r="H10" s="307"/>
      <c r="I10" s="307"/>
      <c r="J10" s="307"/>
      <c r="K10" s="307"/>
      <c r="L10" s="307"/>
      <c r="M10" s="307"/>
      <c r="N10" s="12" t="s">
        <v>255</v>
      </c>
      <c r="O10" s="17">
        <v>0.4</v>
      </c>
      <c r="R10" s="56" t="s">
        <v>290</v>
      </c>
      <c r="S10" s="57">
        <f t="shared" si="2"/>
        <v>0.4</v>
      </c>
      <c r="T10" s="57">
        <f>O10+O11+O15+O16</f>
        <v>1.9</v>
      </c>
      <c r="U10" s="64" t="s">
        <v>292</v>
      </c>
      <c r="W10" s="56" t="s">
        <v>293</v>
      </c>
      <c r="X10" s="57">
        <f>S11</f>
        <v>0.7</v>
      </c>
      <c r="Y10" s="57">
        <f>T11</f>
        <v>1.5</v>
      </c>
      <c r="Z10" s="64" t="s">
        <v>294</v>
      </c>
      <c r="AB10" s="188" t="str">
        <f>W9</f>
        <v>L</v>
      </c>
      <c r="AC10" s="168">
        <f>X9</f>
        <v>0.8</v>
      </c>
      <c r="AD10" s="169">
        <v>0.8</v>
      </c>
      <c r="AE10" s="170" t="s">
        <v>295</v>
      </c>
      <c r="AF10" s="189">
        <v>2</v>
      </c>
      <c r="AG10" s="1"/>
      <c r="AH10" s="175" t="str">
        <f>W12</f>
        <v>B</v>
      </c>
      <c r="AI10" s="177">
        <f>X12</f>
        <v>0.3</v>
      </c>
      <c r="AJ10" s="177">
        <v>0.4</v>
      </c>
      <c r="AK10" s="178" t="s">
        <v>295</v>
      </c>
      <c r="AL10" s="179">
        <v>2</v>
      </c>
    </row>
    <row r="11" spans="3:38" ht="15.75" customHeight="1" thickBot="1" x14ac:dyDescent="0.35">
      <c r="C11">
        <v>3</v>
      </c>
      <c r="D11" s="12" t="s">
        <v>293</v>
      </c>
      <c r="E11" s="307" t="s">
        <v>296</v>
      </c>
      <c r="F11" s="307"/>
      <c r="G11" s="307"/>
      <c r="H11" s="307"/>
      <c r="I11" s="307"/>
      <c r="J11" s="307"/>
      <c r="K11" s="307"/>
      <c r="L11" s="307"/>
      <c r="M11" s="307"/>
      <c r="N11" s="12" t="s">
        <v>290</v>
      </c>
      <c r="O11" s="17">
        <v>0.7</v>
      </c>
      <c r="R11" s="56" t="s">
        <v>293</v>
      </c>
      <c r="S11" s="57">
        <f t="shared" si="2"/>
        <v>0.7</v>
      </c>
      <c r="T11" s="57">
        <f>O11+O15+O16</f>
        <v>1.5</v>
      </c>
      <c r="U11" s="64" t="s">
        <v>294</v>
      </c>
      <c r="W11" s="56" t="str">
        <f>R8</f>
        <v>E</v>
      </c>
      <c r="X11" s="57">
        <f>S8</f>
        <v>0.5</v>
      </c>
      <c r="Y11" s="57">
        <f>T8</f>
        <v>1.4</v>
      </c>
      <c r="Z11" s="64" t="s">
        <v>278</v>
      </c>
      <c r="AB11" s="175" t="str">
        <f>W10</f>
        <v>H</v>
      </c>
      <c r="AC11" s="176">
        <v>0.7</v>
      </c>
      <c r="AD11" s="177">
        <v>0.1</v>
      </c>
      <c r="AE11" s="178" t="s">
        <v>297</v>
      </c>
      <c r="AF11" s="179">
        <v>2</v>
      </c>
      <c r="AG11" s="1"/>
      <c r="AH11" s="173" t="str">
        <f>W10</f>
        <v>H</v>
      </c>
      <c r="AI11" s="171">
        <f>X10</f>
        <v>0.7</v>
      </c>
      <c r="AJ11" s="171">
        <v>1.3</v>
      </c>
      <c r="AK11" s="172" t="s">
        <v>297</v>
      </c>
      <c r="AL11" s="174">
        <v>3</v>
      </c>
    </row>
    <row r="12" spans="3:38" ht="15.75" customHeight="1" x14ac:dyDescent="0.3">
      <c r="C12">
        <v>1</v>
      </c>
      <c r="D12" s="12" t="s">
        <v>298</v>
      </c>
      <c r="E12" s="307" t="s">
        <v>299</v>
      </c>
      <c r="F12" s="307"/>
      <c r="G12" s="307"/>
      <c r="H12" s="307"/>
      <c r="I12" s="307"/>
      <c r="J12" s="307"/>
      <c r="K12" s="307"/>
      <c r="L12" s="307"/>
      <c r="M12" s="307"/>
      <c r="N12" s="12" t="s">
        <v>255</v>
      </c>
      <c r="O12" s="17">
        <v>0.6</v>
      </c>
      <c r="R12" s="56" t="s">
        <v>298</v>
      </c>
      <c r="S12" s="57">
        <f t="shared" si="2"/>
        <v>0.6</v>
      </c>
      <c r="T12" s="57">
        <f>O12+O13+O14+O16</f>
        <v>2.2999999999999998</v>
      </c>
      <c r="U12" s="64" t="s">
        <v>263</v>
      </c>
      <c r="W12" s="61" t="s">
        <v>260</v>
      </c>
      <c r="X12" s="164">
        <f>S5</f>
        <v>0.3</v>
      </c>
      <c r="Y12" s="164">
        <f>T5</f>
        <v>1.2000000000000002</v>
      </c>
      <c r="Z12" s="165" t="str">
        <f>U5</f>
        <v>B,F,O</v>
      </c>
      <c r="AB12" s="181" t="str">
        <f>W11</f>
        <v>E</v>
      </c>
      <c r="AC12" s="182">
        <f>X11</f>
        <v>0.5</v>
      </c>
      <c r="AD12" s="183">
        <v>1.5</v>
      </c>
      <c r="AE12" s="199" t="s">
        <v>300</v>
      </c>
      <c r="AF12" s="185">
        <v>3</v>
      </c>
      <c r="AG12" s="1"/>
      <c r="AH12" s="186" t="str">
        <f>W11</f>
        <v>E</v>
      </c>
      <c r="AI12" s="56">
        <f>X11</f>
        <v>0.5</v>
      </c>
      <c r="AJ12" s="56">
        <v>0.8</v>
      </c>
      <c r="AK12" s="64" t="s">
        <v>300</v>
      </c>
      <c r="AL12" s="187">
        <v>3</v>
      </c>
    </row>
    <row r="13" spans="3:38" ht="15.75" customHeight="1" thickBot="1" x14ac:dyDescent="0.35">
      <c r="C13">
        <v>2</v>
      </c>
      <c r="D13" s="12" t="s">
        <v>286</v>
      </c>
      <c r="E13" s="307" t="s">
        <v>301</v>
      </c>
      <c r="F13" s="307"/>
      <c r="G13" s="307"/>
      <c r="H13" s="307"/>
      <c r="I13" s="307"/>
      <c r="J13" s="307"/>
      <c r="K13" s="307"/>
      <c r="L13" s="307"/>
      <c r="M13" s="307"/>
      <c r="N13" s="12" t="s">
        <v>298</v>
      </c>
      <c r="O13" s="29">
        <v>0.8</v>
      </c>
      <c r="R13" s="56" t="s">
        <v>286</v>
      </c>
      <c r="S13" s="57">
        <f t="shared" si="2"/>
        <v>0.8</v>
      </c>
      <c r="T13" s="57">
        <f>O13+O14+O16</f>
        <v>1.7000000000000002</v>
      </c>
      <c r="U13" s="64" t="s">
        <v>287</v>
      </c>
      <c r="W13" s="56" t="str">
        <f>R9</f>
        <v>F</v>
      </c>
      <c r="X13" s="57">
        <f>S9</f>
        <v>0.5</v>
      </c>
      <c r="Y13" s="57">
        <f>T9</f>
        <v>0.9</v>
      </c>
      <c r="Z13" s="64" t="s">
        <v>285</v>
      </c>
      <c r="AB13" s="186" t="str">
        <f>W13</f>
        <v>F</v>
      </c>
      <c r="AC13" s="57">
        <f>X13</f>
        <v>0.5</v>
      </c>
      <c r="AD13" s="56">
        <v>1</v>
      </c>
      <c r="AE13" s="64" t="s">
        <v>302</v>
      </c>
      <c r="AF13" s="187">
        <v>3</v>
      </c>
      <c r="AG13" s="1"/>
      <c r="AH13" s="204" t="str">
        <f>W15</f>
        <v>N</v>
      </c>
      <c r="AI13" s="205">
        <f>X15</f>
        <v>0.4</v>
      </c>
      <c r="AJ13" s="169">
        <v>0.4</v>
      </c>
      <c r="AK13" s="193" t="s">
        <v>303</v>
      </c>
      <c r="AL13" s="189">
        <v>4</v>
      </c>
    </row>
    <row r="14" spans="3:38" ht="15.75" customHeight="1" x14ac:dyDescent="0.3">
      <c r="C14">
        <v>4</v>
      </c>
      <c r="D14" s="12" t="s">
        <v>304</v>
      </c>
      <c r="E14" s="307" t="s">
        <v>305</v>
      </c>
      <c r="F14" s="307"/>
      <c r="G14" s="307"/>
      <c r="H14" s="307"/>
      <c r="I14" s="307"/>
      <c r="J14" s="307"/>
      <c r="K14" s="307"/>
      <c r="L14" s="307"/>
      <c r="M14" s="307"/>
      <c r="N14" s="12" t="s">
        <v>286</v>
      </c>
      <c r="O14" s="17">
        <v>0.5</v>
      </c>
      <c r="R14" s="56" t="s">
        <v>304</v>
      </c>
      <c r="S14" s="57">
        <f t="shared" si="2"/>
        <v>0.5</v>
      </c>
      <c r="T14" s="57">
        <f>O14+O16</f>
        <v>0.9</v>
      </c>
      <c r="U14" s="64" t="s">
        <v>306</v>
      </c>
      <c r="W14" s="56" t="str">
        <f>R14</f>
        <v>M</v>
      </c>
      <c r="X14" s="57">
        <f>S14</f>
        <v>0.5</v>
      </c>
      <c r="Y14" s="57">
        <f>T14</f>
        <v>0.9</v>
      </c>
      <c r="Z14" s="64" t="s">
        <v>306</v>
      </c>
      <c r="AB14" s="188" t="str">
        <f>W14</f>
        <v>M</v>
      </c>
      <c r="AC14" s="168">
        <v>0.5</v>
      </c>
      <c r="AD14" s="169">
        <v>0.5</v>
      </c>
      <c r="AE14" s="193" t="s">
        <v>303</v>
      </c>
      <c r="AF14" s="189">
        <v>3</v>
      </c>
      <c r="AG14" s="1"/>
      <c r="AH14" s="181" t="str">
        <f>W14</f>
        <v>M</v>
      </c>
      <c r="AI14" s="183">
        <f>X14</f>
        <v>0.5</v>
      </c>
      <c r="AJ14" s="183">
        <v>1.5</v>
      </c>
      <c r="AK14" s="199" t="s">
        <v>302</v>
      </c>
      <c r="AL14" s="185">
        <v>4</v>
      </c>
    </row>
    <row r="15" spans="3:38" ht="15.75" customHeight="1" thickBot="1" x14ac:dyDescent="0.35">
      <c r="C15">
        <v>3</v>
      </c>
      <c r="D15" s="12" t="s">
        <v>307</v>
      </c>
      <c r="E15" s="307" t="s">
        <v>308</v>
      </c>
      <c r="F15" s="307"/>
      <c r="G15" s="307"/>
      <c r="H15" s="307"/>
      <c r="I15" s="307"/>
      <c r="J15" s="307"/>
      <c r="K15" s="307"/>
      <c r="L15" s="307"/>
      <c r="M15" s="307"/>
      <c r="N15" s="12" t="s">
        <v>293</v>
      </c>
      <c r="O15" s="17">
        <v>0.4</v>
      </c>
      <c r="R15" s="56" t="s">
        <v>307</v>
      </c>
      <c r="S15" s="57">
        <f t="shared" si="2"/>
        <v>0.4</v>
      </c>
      <c r="T15" s="57">
        <f>O15+O16</f>
        <v>0.8</v>
      </c>
      <c r="U15" s="64" t="s">
        <v>309</v>
      </c>
      <c r="W15" s="56" t="s">
        <v>307</v>
      </c>
      <c r="X15" s="57">
        <f>S15</f>
        <v>0.4</v>
      </c>
      <c r="Y15" s="57">
        <f>T15</f>
        <v>0.8</v>
      </c>
      <c r="Z15" s="64" t="s">
        <v>309</v>
      </c>
      <c r="AB15" s="175" t="s">
        <v>307</v>
      </c>
      <c r="AC15" s="176">
        <v>0.4</v>
      </c>
      <c r="AD15" s="177">
        <v>0.1</v>
      </c>
      <c r="AE15" s="178" t="s">
        <v>310</v>
      </c>
      <c r="AF15" s="179">
        <v>3</v>
      </c>
      <c r="AG15" s="1"/>
      <c r="AH15" s="186" t="str">
        <f>W13</f>
        <v>F</v>
      </c>
      <c r="AI15" s="56">
        <f>X13</f>
        <v>0.5</v>
      </c>
      <c r="AJ15" s="56">
        <v>1</v>
      </c>
      <c r="AK15" s="64" t="s">
        <v>302</v>
      </c>
      <c r="AL15" s="187">
        <v>3</v>
      </c>
    </row>
    <row r="16" spans="3:38" ht="15.75" customHeight="1" thickBot="1" x14ac:dyDescent="0.35">
      <c r="C16">
        <v>4</v>
      </c>
      <c r="D16" s="12" t="s">
        <v>310</v>
      </c>
      <c r="E16" s="307" t="s">
        <v>311</v>
      </c>
      <c r="F16" s="307"/>
      <c r="G16" s="307"/>
      <c r="H16" s="307"/>
      <c r="I16" s="307"/>
      <c r="J16" s="307"/>
      <c r="K16" s="307"/>
      <c r="L16" s="307"/>
      <c r="M16" s="307"/>
      <c r="N16" s="12" t="s">
        <v>312</v>
      </c>
      <c r="O16" s="17">
        <v>0.4</v>
      </c>
      <c r="R16" s="56" t="s">
        <v>310</v>
      </c>
      <c r="S16" s="57">
        <f t="shared" si="2"/>
        <v>0.4</v>
      </c>
      <c r="T16" s="57">
        <f>O16</f>
        <v>0.4</v>
      </c>
      <c r="U16" s="64" t="s">
        <v>310</v>
      </c>
      <c r="W16" s="56" t="s">
        <v>310</v>
      </c>
      <c r="X16" s="57">
        <f>S16</f>
        <v>0.4</v>
      </c>
      <c r="Y16" s="57">
        <f>T16</f>
        <v>0.4</v>
      </c>
      <c r="Z16" s="64" t="s">
        <v>310</v>
      </c>
      <c r="AB16" s="194" t="str">
        <f>W16</f>
        <v>O</v>
      </c>
      <c r="AC16" s="195">
        <f>X16</f>
        <v>0.4</v>
      </c>
      <c r="AD16" s="196">
        <v>1.6</v>
      </c>
      <c r="AE16" s="197" t="s">
        <v>279</v>
      </c>
      <c r="AF16" s="198">
        <v>4</v>
      </c>
      <c r="AG16" s="1"/>
      <c r="AH16" s="175" t="str">
        <f t="shared" ref="AH16" si="5">W16</f>
        <v>O</v>
      </c>
      <c r="AI16" s="177">
        <f t="shared" ref="AI16" si="6">X16</f>
        <v>0.4</v>
      </c>
      <c r="AJ16" s="177">
        <v>0.6</v>
      </c>
      <c r="AK16" s="178" t="s">
        <v>310</v>
      </c>
      <c r="AL16" s="179">
        <v>4</v>
      </c>
    </row>
    <row r="17" spans="4:40" ht="15.75" customHeight="1" x14ac:dyDescent="0.3">
      <c r="D17" s="12"/>
      <c r="E17" s="307"/>
      <c r="F17" s="307"/>
      <c r="G17" s="307"/>
      <c r="H17" s="307"/>
      <c r="I17" s="307"/>
      <c r="J17" s="307"/>
      <c r="K17" s="307"/>
      <c r="L17" s="307"/>
      <c r="M17" s="307"/>
      <c r="N17" s="12"/>
      <c r="O17" s="17">
        <f>SUM(O4:O16)</f>
        <v>6.3</v>
      </c>
      <c r="U17" s="7"/>
      <c r="V17" s="4"/>
      <c r="AH17" s="1"/>
      <c r="AI17" s="7"/>
      <c r="AJ17" s="1"/>
      <c r="AL17" s="1"/>
    </row>
    <row r="18" spans="4:40" ht="15.75" customHeight="1" x14ac:dyDescent="0.3">
      <c r="D18" s="1"/>
      <c r="AB18" s="1"/>
      <c r="AC18" s="7"/>
      <c r="AD18" s="7"/>
    </row>
    <row r="19" spans="4:40" ht="15.75" customHeight="1" x14ac:dyDescent="0.3">
      <c r="D19" s="1"/>
      <c r="W19" s="390" t="s">
        <v>313</v>
      </c>
      <c r="X19" s="390"/>
      <c r="Y19" s="390"/>
    </row>
    <row r="20" spans="4:40" ht="15.75" customHeight="1" x14ac:dyDescent="0.3">
      <c r="D20" s="1"/>
    </row>
    <row r="21" spans="4:40" ht="15.75" customHeight="1" x14ac:dyDescent="0.3">
      <c r="D21" s="1"/>
      <c r="G21" s="18"/>
      <c r="O21" s="18"/>
      <c r="U21" s="409" t="s">
        <v>314</v>
      </c>
      <c r="V21" s="410"/>
      <c r="W21" s="403" t="s">
        <v>315</v>
      </c>
      <c r="X21" s="404"/>
      <c r="Y21" s="405" t="s">
        <v>316</v>
      </c>
      <c r="Z21" s="406"/>
      <c r="AA21" s="407" t="s">
        <v>317</v>
      </c>
      <c r="AB21" s="408"/>
    </row>
    <row r="22" spans="4:40" ht="15.75" customHeight="1" x14ac:dyDescent="0.3">
      <c r="D22" s="1"/>
      <c r="U22" s="200" t="str">
        <f>AB4</f>
        <v>A</v>
      </c>
      <c r="V22" s="57">
        <f>AC4</f>
        <v>0.4</v>
      </c>
      <c r="W22" s="200" t="str">
        <f>AB9</f>
        <v>D</v>
      </c>
      <c r="X22" s="57">
        <f>AC9</f>
        <v>0.5</v>
      </c>
      <c r="Y22" s="200" t="str">
        <f>AB12</f>
        <v>E</v>
      </c>
      <c r="Z22" s="57">
        <f>AC12</f>
        <v>0.5</v>
      </c>
      <c r="AA22" s="200" t="str">
        <f>AB16</f>
        <v>O</v>
      </c>
      <c r="AB22" s="57">
        <f>AC16</f>
        <v>0.4</v>
      </c>
    </row>
    <row r="23" spans="4:40" ht="15.75" customHeight="1" x14ac:dyDescent="0.3">
      <c r="D23" s="1"/>
      <c r="U23" s="200" t="str">
        <f t="shared" ref="U23:U26" si="7">AB5</f>
        <v>I</v>
      </c>
      <c r="V23" s="57">
        <f t="shared" ref="V23:V26" si="8">AC5</f>
        <v>0.6</v>
      </c>
      <c r="W23" s="200" t="str">
        <f t="shared" ref="W23:W24" si="9">AB10</f>
        <v>L</v>
      </c>
      <c r="X23" s="57">
        <f t="shared" ref="X23:X24" si="10">AC10</f>
        <v>0.8</v>
      </c>
      <c r="Y23" s="200" t="str">
        <f t="shared" ref="Y23:Y25" si="11">AB13</f>
        <v>F</v>
      </c>
      <c r="Z23" s="57">
        <f t="shared" ref="Z23:Z25" si="12">AC13</f>
        <v>0.5</v>
      </c>
      <c r="AA23" s="200"/>
      <c r="AB23" s="57"/>
      <c r="AM23" s="180"/>
      <c r="AN23" s="1"/>
    </row>
    <row r="24" spans="4:40" ht="15.75" customHeight="1" x14ac:dyDescent="0.3">
      <c r="D24" s="1"/>
      <c r="U24" s="200" t="str">
        <f t="shared" si="7"/>
        <v xml:space="preserve">C </v>
      </c>
      <c r="V24" s="57">
        <f t="shared" si="8"/>
        <v>0.3</v>
      </c>
      <c r="W24" s="200" t="str">
        <f t="shared" si="9"/>
        <v>H</v>
      </c>
      <c r="X24" s="57">
        <f t="shared" si="10"/>
        <v>0.7</v>
      </c>
      <c r="Y24" s="200" t="str">
        <f t="shared" si="11"/>
        <v>M</v>
      </c>
      <c r="Z24" s="57">
        <f t="shared" si="12"/>
        <v>0.5</v>
      </c>
      <c r="AA24" s="200"/>
      <c r="AB24" s="64"/>
    </row>
    <row r="25" spans="4:40" ht="15.75" customHeight="1" x14ac:dyDescent="0.3">
      <c r="D25" s="1"/>
      <c r="U25" s="200" t="str">
        <f t="shared" si="7"/>
        <v>G</v>
      </c>
      <c r="V25" s="57">
        <f t="shared" si="8"/>
        <v>0.4</v>
      </c>
      <c r="W25" s="200"/>
      <c r="X25" s="57"/>
      <c r="Y25" s="200" t="str">
        <f t="shared" si="11"/>
        <v>N</v>
      </c>
      <c r="Z25" s="57">
        <f t="shared" si="12"/>
        <v>0.4</v>
      </c>
      <c r="AA25" s="200"/>
      <c r="AB25" s="64"/>
    </row>
    <row r="26" spans="4:40" ht="15.75" customHeight="1" x14ac:dyDescent="0.3">
      <c r="D26" s="1"/>
      <c r="G26" s="18"/>
      <c r="J26" s="18"/>
      <c r="M26" s="18"/>
      <c r="U26" s="200" t="str">
        <f t="shared" si="7"/>
        <v>B</v>
      </c>
      <c r="V26" s="57">
        <f t="shared" si="8"/>
        <v>0.3</v>
      </c>
      <c r="W26" s="56"/>
      <c r="X26" s="56"/>
      <c r="Y26" s="56"/>
      <c r="Z26" s="56"/>
      <c r="AA26" s="56"/>
      <c r="AB26" s="56"/>
    </row>
    <row r="27" spans="4:40" ht="15.75" customHeight="1" x14ac:dyDescent="0.3">
      <c r="D27" s="159" t="s">
        <v>318</v>
      </c>
      <c r="U27" s="201">
        <v>2</v>
      </c>
      <c r="V27" s="201">
        <v>2</v>
      </c>
      <c r="W27" s="201">
        <v>2</v>
      </c>
      <c r="X27" s="201">
        <v>2</v>
      </c>
      <c r="Y27" s="201">
        <v>2</v>
      </c>
      <c r="Z27" s="201" t="s">
        <v>319</v>
      </c>
      <c r="AA27" s="201">
        <v>2</v>
      </c>
      <c r="AB27" s="202">
        <v>0.4</v>
      </c>
      <c r="AC27" s="66" t="s">
        <v>320</v>
      </c>
      <c r="AD27" s="66" t="s">
        <v>321</v>
      </c>
    </row>
    <row r="28" spans="4:40" ht="15.75" customHeight="1" x14ac:dyDescent="0.3">
      <c r="D28" s="1"/>
      <c r="U28" s="12" t="s">
        <v>234</v>
      </c>
      <c r="V28" s="12" t="s">
        <v>322</v>
      </c>
      <c r="W28" s="12" t="s">
        <v>234</v>
      </c>
      <c r="X28" s="12" t="s">
        <v>322</v>
      </c>
      <c r="Y28" s="12" t="s">
        <v>234</v>
      </c>
      <c r="Z28" s="12" t="s">
        <v>322</v>
      </c>
      <c r="AA28" s="12" t="s">
        <v>234</v>
      </c>
      <c r="AB28" s="31" t="s">
        <v>322</v>
      </c>
      <c r="AC28" s="65">
        <f>U27+W27+Y27+AA27</f>
        <v>8</v>
      </c>
      <c r="AD28" s="65">
        <v>6.4</v>
      </c>
    </row>
    <row r="29" spans="4:40" ht="15.75" customHeight="1" x14ac:dyDescent="0.3">
      <c r="D29" s="1"/>
      <c r="Y29" s="411" t="s">
        <v>323</v>
      </c>
      <c r="Z29" s="412"/>
      <c r="AA29" s="412"/>
      <c r="AB29" s="413"/>
      <c r="AC29" s="398">
        <f>AD28/AC28</f>
        <v>0.8</v>
      </c>
      <c r="AD29" s="399"/>
    </row>
    <row r="30" spans="4:40" ht="21" x14ac:dyDescent="0.3">
      <c r="Y30" s="400" t="s">
        <v>324</v>
      </c>
      <c r="Z30" s="401"/>
      <c r="AA30" s="401"/>
      <c r="AB30" s="402"/>
      <c r="AC30" s="398">
        <f>'$_DATI_BASE'!S16*'$_DATI_BASE'!T16*'$_DATI_BASE'!U16*AC29</f>
        <v>0.76824000000000003</v>
      </c>
      <c r="AD30" s="399"/>
    </row>
    <row r="31" spans="4:40" x14ac:dyDescent="0.3">
      <c r="G31" s="18"/>
      <c r="J31" s="18"/>
      <c r="M31" s="18"/>
    </row>
    <row r="32" spans="4:40" x14ac:dyDescent="0.3">
      <c r="Q32" s="18"/>
    </row>
    <row r="33" spans="4:30" ht="15.6" x14ac:dyDescent="0.3">
      <c r="W33" s="390" t="s">
        <v>325</v>
      </c>
      <c r="X33" s="390"/>
      <c r="Y33" s="390"/>
    </row>
    <row r="34" spans="4:30" x14ac:dyDescent="0.3">
      <c r="D34" s="18"/>
    </row>
    <row r="35" spans="4:30" ht="21" x14ac:dyDescent="0.3">
      <c r="U35" s="394" t="s">
        <v>314</v>
      </c>
      <c r="V35" s="394"/>
      <c r="W35" s="395" t="s">
        <v>315</v>
      </c>
      <c r="X35" s="395"/>
      <c r="Y35" s="396" t="s">
        <v>316</v>
      </c>
      <c r="Z35" s="396"/>
      <c r="AA35" s="397" t="s">
        <v>317</v>
      </c>
      <c r="AB35" s="397"/>
    </row>
    <row r="36" spans="4:30" ht="21" x14ac:dyDescent="0.3">
      <c r="U36" s="200" t="str">
        <f>AH4</f>
        <v>A</v>
      </c>
      <c r="V36" s="201">
        <f>AI4</f>
        <v>0.4</v>
      </c>
      <c r="W36" s="200" t="str">
        <f>AH8</f>
        <v>D</v>
      </c>
      <c r="X36" s="200">
        <f>AI8</f>
        <v>0.5</v>
      </c>
      <c r="Y36" s="200" t="str">
        <f>AH11</f>
        <v>H</v>
      </c>
      <c r="Z36" s="200">
        <f>AI11</f>
        <v>0.7</v>
      </c>
      <c r="AA36" s="200" t="str">
        <f>AH14</f>
        <v>M</v>
      </c>
      <c r="AB36" s="200">
        <f>AI14</f>
        <v>0.5</v>
      </c>
    </row>
    <row r="37" spans="4:30" ht="21" x14ac:dyDescent="0.3">
      <c r="G37" s="18"/>
      <c r="J37" s="18"/>
      <c r="M37" s="18"/>
      <c r="U37" s="200" t="str">
        <f t="shared" ref="U37:V39" si="13">AH5</f>
        <v xml:space="preserve">C </v>
      </c>
      <c r="V37" s="201">
        <f t="shared" si="13"/>
        <v>0.3</v>
      </c>
      <c r="W37" s="200" t="str">
        <f t="shared" ref="W37:X38" si="14">AH9</f>
        <v>L</v>
      </c>
      <c r="X37" s="200">
        <f t="shared" si="14"/>
        <v>0.8</v>
      </c>
      <c r="Y37" s="200" t="str">
        <f t="shared" ref="Y37:Z38" si="15">AH12</f>
        <v>E</v>
      </c>
      <c r="Z37" s="200">
        <f t="shared" si="15"/>
        <v>0.5</v>
      </c>
      <c r="AA37" s="200" t="str">
        <f t="shared" ref="AA37:AB38" si="16">AH15</f>
        <v>F</v>
      </c>
      <c r="AB37" s="200">
        <f t="shared" si="16"/>
        <v>0.5</v>
      </c>
    </row>
    <row r="38" spans="4:30" ht="21" x14ac:dyDescent="0.3">
      <c r="U38" s="200" t="str">
        <f t="shared" si="13"/>
        <v>I</v>
      </c>
      <c r="V38" s="201">
        <f t="shared" si="13"/>
        <v>0.6</v>
      </c>
      <c r="W38" s="200" t="str">
        <f t="shared" si="14"/>
        <v>B</v>
      </c>
      <c r="X38" s="200">
        <f t="shared" si="14"/>
        <v>0.3</v>
      </c>
      <c r="Y38" s="200" t="str">
        <f t="shared" si="15"/>
        <v>N</v>
      </c>
      <c r="Z38" s="200">
        <f t="shared" si="15"/>
        <v>0.4</v>
      </c>
      <c r="AA38" s="200" t="str">
        <f t="shared" si="16"/>
        <v>O</v>
      </c>
      <c r="AB38" s="200">
        <f t="shared" si="16"/>
        <v>0.4</v>
      </c>
    </row>
    <row r="39" spans="4:30" ht="21" x14ac:dyDescent="0.3">
      <c r="U39" s="200" t="str">
        <f t="shared" si="13"/>
        <v>G</v>
      </c>
      <c r="V39" s="201">
        <f t="shared" si="13"/>
        <v>0.4</v>
      </c>
      <c r="W39" s="200"/>
      <c r="X39" s="57"/>
      <c r="Y39" s="200"/>
      <c r="Z39" s="57"/>
      <c r="AA39" s="200"/>
      <c r="AB39" s="64"/>
    </row>
    <row r="40" spans="4:30" x14ac:dyDescent="0.3">
      <c r="U40" s="56"/>
      <c r="V40" s="57"/>
      <c r="W40" s="56"/>
      <c r="X40" s="56"/>
      <c r="Y40" s="56"/>
      <c r="Z40" s="56"/>
      <c r="AA40" s="56"/>
      <c r="AB40" s="56"/>
    </row>
    <row r="41" spans="4:30" ht="21" x14ac:dyDescent="0.3">
      <c r="U41" s="201">
        <v>2</v>
      </c>
      <c r="V41" s="201">
        <f>SUM(V36:V40)</f>
        <v>1.6999999999999997</v>
      </c>
      <c r="W41" s="201">
        <v>2</v>
      </c>
      <c r="X41" s="201">
        <f>SUM(X36:X38)</f>
        <v>1.6</v>
      </c>
      <c r="Y41" s="201">
        <v>2</v>
      </c>
      <c r="Z41" s="201">
        <f>SUM(Z36:Z38)</f>
        <v>1.6</v>
      </c>
      <c r="AA41" s="201">
        <v>2</v>
      </c>
      <c r="AB41" s="202">
        <f>SUM(AB36:AB38)</f>
        <v>1.4</v>
      </c>
      <c r="AC41" s="66" t="s">
        <v>320</v>
      </c>
      <c r="AD41" s="66" t="s">
        <v>321</v>
      </c>
    </row>
    <row r="42" spans="4:30" ht="21" x14ac:dyDescent="0.3">
      <c r="U42" s="12" t="s">
        <v>234</v>
      </c>
      <c r="V42" s="12" t="s">
        <v>322</v>
      </c>
      <c r="W42" s="12" t="s">
        <v>234</v>
      </c>
      <c r="X42" s="12" t="s">
        <v>322</v>
      </c>
      <c r="Y42" s="12" t="s">
        <v>234</v>
      </c>
      <c r="Z42" s="12" t="s">
        <v>322</v>
      </c>
      <c r="AA42" s="12" t="s">
        <v>234</v>
      </c>
      <c r="AB42" s="31" t="s">
        <v>322</v>
      </c>
      <c r="AC42" s="65">
        <f>U41+W41+Y41+AA41</f>
        <v>8</v>
      </c>
      <c r="AD42" s="65">
        <v>6.4</v>
      </c>
    </row>
    <row r="43" spans="4:30" ht="21" x14ac:dyDescent="0.3">
      <c r="Y43" s="391" t="s">
        <v>323</v>
      </c>
      <c r="Z43" s="391"/>
      <c r="AA43" s="391"/>
      <c r="AB43" s="391"/>
      <c r="AC43" s="392">
        <f>AD42/AC42</f>
        <v>0.8</v>
      </c>
      <c r="AD43" s="392"/>
    </row>
    <row r="44" spans="4:30" ht="21" x14ac:dyDescent="0.3">
      <c r="Y44" s="393" t="s">
        <v>324</v>
      </c>
      <c r="Z44" s="393"/>
      <c r="AA44" s="393"/>
      <c r="AB44" s="393"/>
      <c r="AC44" s="392">
        <f>'$_DATI_BASE'!S16*'$_DATI_BASE'!T16*'$_DATI_BASE'!U16*AC43</f>
        <v>0.76824000000000003</v>
      </c>
      <c r="AD44" s="392"/>
    </row>
    <row r="49" spans="21:30" ht="15.6" x14ac:dyDescent="0.3">
      <c r="W49" s="390" t="s">
        <v>326</v>
      </c>
      <c r="X49" s="390"/>
      <c r="Y49" s="390"/>
    </row>
    <row r="51" spans="21:30" ht="21" x14ac:dyDescent="0.3">
      <c r="U51" s="160" t="s">
        <v>314</v>
      </c>
      <c r="V51" s="160"/>
      <c r="W51" s="161" t="s">
        <v>315</v>
      </c>
      <c r="X51" s="161"/>
      <c r="Y51" s="162" t="s">
        <v>316</v>
      </c>
      <c r="Z51" s="162"/>
      <c r="AA51" s="163" t="s">
        <v>317</v>
      </c>
      <c r="AB51" s="163"/>
    </row>
    <row r="52" spans="21:30" ht="21" x14ac:dyDescent="0.3">
      <c r="U52" s="200" t="str">
        <f t="shared" ref="U52:V55" si="17">AH4</f>
        <v>A</v>
      </c>
      <c r="V52" s="200">
        <f t="shared" si="17"/>
        <v>0.4</v>
      </c>
      <c r="W52" s="200" t="str">
        <f t="shared" ref="W52:X54" si="18">AH8</f>
        <v>D</v>
      </c>
      <c r="X52" s="200">
        <f t="shared" si="18"/>
        <v>0.5</v>
      </c>
      <c r="Y52" s="200" t="str">
        <f t="shared" ref="Y52:Z54" si="19">AH11</f>
        <v>H</v>
      </c>
      <c r="Z52" s="200">
        <f t="shared" si="19"/>
        <v>0.7</v>
      </c>
      <c r="AA52" s="200" t="str">
        <f t="shared" ref="AA52:AB54" si="20">AH14</f>
        <v>M</v>
      </c>
      <c r="AB52" s="200">
        <f t="shared" si="20"/>
        <v>0.5</v>
      </c>
    </row>
    <row r="53" spans="21:30" ht="21" x14ac:dyDescent="0.3">
      <c r="U53" s="200" t="str">
        <f t="shared" si="17"/>
        <v xml:space="preserve">C </v>
      </c>
      <c r="V53" s="200">
        <f t="shared" si="17"/>
        <v>0.3</v>
      </c>
      <c r="W53" s="200" t="str">
        <f t="shared" si="18"/>
        <v>L</v>
      </c>
      <c r="X53" s="200">
        <f t="shared" si="18"/>
        <v>0.8</v>
      </c>
      <c r="Y53" s="200" t="str">
        <f t="shared" si="19"/>
        <v>E</v>
      </c>
      <c r="Z53" s="200">
        <f t="shared" si="19"/>
        <v>0.5</v>
      </c>
      <c r="AA53" s="200" t="str">
        <f t="shared" si="20"/>
        <v>F</v>
      </c>
      <c r="AB53" s="200">
        <f t="shared" si="20"/>
        <v>0.5</v>
      </c>
    </row>
    <row r="54" spans="21:30" ht="21" x14ac:dyDescent="0.3">
      <c r="U54" s="200" t="str">
        <f t="shared" si="17"/>
        <v>I</v>
      </c>
      <c r="V54" s="200">
        <f t="shared" si="17"/>
        <v>0.6</v>
      </c>
      <c r="W54" s="200" t="str">
        <f t="shared" si="18"/>
        <v>B</v>
      </c>
      <c r="X54" s="200">
        <f t="shared" si="18"/>
        <v>0.3</v>
      </c>
      <c r="Y54" s="200" t="str">
        <f t="shared" si="19"/>
        <v>N</v>
      </c>
      <c r="Z54" s="200">
        <f t="shared" si="19"/>
        <v>0.4</v>
      </c>
      <c r="AA54" s="200" t="str">
        <f t="shared" si="20"/>
        <v>O</v>
      </c>
      <c r="AB54" s="200">
        <f t="shared" si="20"/>
        <v>0.4</v>
      </c>
    </row>
    <row r="55" spans="21:30" ht="21" x14ac:dyDescent="0.3">
      <c r="U55" s="200" t="str">
        <f t="shared" si="17"/>
        <v>G</v>
      </c>
      <c r="V55" s="200">
        <f t="shared" si="17"/>
        <v>0.4</v>
      </c>
      <c r="W55" s="200"/>
      <c r="X55" s="57"/>
      <c r="Y55" s="200"/>
      <c r="Z55" s="57"/>
      <c r="AA55" s="200"/>
      <c r="AB55" s="64"/>
    </row>
    <row r="56" spans="21:30" x14ac:dyDescent="0.3">
      <c r="U56" s="56"/>
      <c r="V56" s="57"/>
      <c r="W56" s="56"/>
      <c r="X56" s="56"/>
      <c r="Y56" s="56"/>
      <c r="Z56" s="56"/>
      <c r="AA56" s="56"/>
      <c r="AB56" s="56"/>
    </row>
    <row r="57" spans="21:30" ht="21" x14ac:dyDescent="0.3">
      <c r="U57" s="201">
        <v>1.7</v>
      </c>
      <c r="V57" s="201">
        <f>SUM(V52:V56)</f>
        <v>1.6999999999999997</v>
      </c>
      <c r="W57" s="201">
        <v>1.7</v>
      </c>
      <c r="X57" s="201">
        <f>SUM(X52:X56)</f>
        <v>1.6</v>
      </c>
      <c r="Y57" s="201">
        <v>1.7</v>
      </c>
      <c r="Z57" s="201">
        <f>SUM(Z52:Z56)</f>
        <v>1.6</v>
      </c>
      <c r="AA57" s="201">
        <v>1.7</v>
      </c>
      <c r="AB57" s="201">
        <f>SUM(AB52:AB56)</f>
        <v>1.4</v>
      </c>
      <c r="AC57" s="66" t="s">
        <v>320</v>
      </c>
      <c r="AD57" s="66" t="s">
        <v>321</v>
      </c>
    </row>
    <row r="58" spans="21:30" ht="21" x14ac:dyDescent="0.3">
      <c r="U58" s="12" t="s">
        <v>234</v>
      </c>
      <c r="V58" s="12" t="s">
        <v>322</v>
      </c>
      <c r="W58" s="12" t="s">
        <v>234</v>
      </c>
      <c r="X58" s="12" t="s">
        <v>322</v>
      </c>
      <c r="Y58" s="12" t="s">
        <v>234</v>
      </c>
      <c r="Z58" s="12" t="s">
        <v>322</v>
      </c>
      <c r="AA58" s="12" t="s">
        <v>234</v>
      </c>
      <c r="AB58" s="31" t="s">
        <v>322</v>
      </c>
      <c r="AC58" s="65">
        <f>U57+W57+Y57+AA57</f>
        <v>6.8</v>
      </c>
      <c r="AD58" s="65">
        <v>6.4</v>
      </c>
    </row>
    <row r="59" spans="21:30" ht="21" x14ac:dyDescent="0.3">
      <c r="Y59" s="391" t="s">
        <v>323</v>
      </c>
      <c r="Z59" s="391"/>
      <c r="AA59" s="391"/>
      <c r="AB59" s="391"/>
      <c r="AC59" s="392">
        <f>AD58/AC58</f>
        <v>0.94117647058823539</v>
      </c>
      <c r="AD59" s="392"/>
    </row>
    <row r="60" spans="21:30" ht="21" x14ac:dyDescent="0.3">
      <c r="Y60" s="393" t="s">
        <v>324</v>
      </c>
      <c r="Z60" s="393"/>
      <c r="AA60" s="393"/>
      <c r="AB60" s="393"/>
      <c r="AC60" s="392">
        <f>'$_DATI_BASE'!S16*'$_DATI_BASE'!T16*'$_DATI_BASE'!U16*AC59</f>
        <v>0.90381176470588243</v>
      </c>
      <c r="AD60" s="392"/>
    </row>
  </sheetData>
  <mergeCells count="38">
    <mergeCell ref="E13:M13"/>
    <mergeCell ref="E7:M7"/>
    <mergeCell ref="E8:M8"/>
    <mergeCell ref="E9:M9"/>
    <mergeCell ref="E11:M11"/>
    <mergeCell ref="E12:M12"/>
    <mergeCell ref="E3:M3"/>
    <mergeCell ref="E4:M4"/>
    <mergeCell ref="E5:M5"/>
    <mergeCell ref="E6:M6"/>
    <mergeCell ref="E10:M10"/>
    <mergeCell ref="AC29:AD29"/>
    <mergeCell ref="Y30:AB30"/>
    <mergeCell ref="AC30:AD30"/>
    <mergeCell ref="E14:M14"/>
    <mergeCell ref="E15:M15"/>
    <mergeCell ref="E16:M16"/>
    <mergeCell ref="E17:M17"/>
    <mergeCell ref="W21:X21"/>
    <mergeCell ref="Y21:Z21"/>
    <mergeCell ref="AA21:AB21"/>
    <mergeCell ref="U21:V21"/>
    <mergeCell ref="Y29:AB29"/>
    <mergeCell ref="W19:Y19"/>
    <mergeCell ref="U35:V35"/>
    <mergeCell ref="W35:X35"/>
    <mergeCell ref="Y35:Z35"/>
    <mergeCell ref="AA35:AB35"/>
    <mergeCell ref="Y43:AB43"/>
    <mergeCell ref="W33:Y33"/>
    <mergeCell ref="W49:Y49"/>
    <mergeCell ref="Y59:AB59"/>
    <mergeCell ref="AC59:AD59"/>
    <mergeCell ref="Y60:AB60"/>
    <mergeCell ref="AC60:AD60"/>
    <mergeCell ref="AC43:AD43"/>
    <mergeCell ref="Y44:AB44"/>
    <mergeCell ref="AC44:AD44"/>
  </mergeCell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52"/>
  <sheetViews>
    <sheetView zoomScale="78" zoomScaleNormal="90" workbookViewId="0">
      <pane xSplit="9" ySplit="5" topLeftCell="J6" activePane="bottomRight" state="frozen"/>
      <selection pane="topRight" activeCell="J1" sqref="J1"/>
      <selection pane="bottomLeft" activeCell="A6" sqref="A6"/>
      <selection pane="bottomRight" activeCell="D29" sqref="D29:I29"/>
    </sheetView>
  </sheetViews>
  <sheetFormatPr defaultRowHeight="14.4" outlineLevelCol="1" x14ac:dyDescent="0.3"/>
  <cols>
    <col min="3" max="3" width="14.109375" customWidth="1"/>
    <col min="13" max="15" width="8.88671875" customWidth="1" outlineLevel="1"/>
    <col min="16" max="16" width="9.6640625" bestFit="1" customWidth="1"/>
    <col min="27" max="27" width="11.88671875" customWidth="1"/>
    <col min="28" max="28" width="15.33203125" customWidth="1"/>
    <col min="29" max="29" width="15.88671875" customWidth="1"/>
  </cols>
  <sheetData>
    <row r="1" spans="1:21" ht="18.75" customHeight="1" x14ac:dyDescent="0.3">
      <c r="A1" s="415" t="s">
        <v>205</v>
      </c>
      <c r="B1" s="415"/>
      <c r="C1" s="415"/>
      <c r="D1" s="59">
        <f>'$_FABB_PARTI_LOTTI'!D1</f>
        <v>25650</v>
      </c>
      <c r="E1" s="25" t="s">
        <v>36</v>
      </c>
      <c r="F1" s="59">
        <f>'$_FABB_PARTI_LOTTI'!F1</f>
        <v>1166</v>
      </c>
      <c r="G1" s="12" t="s">
        <v>206</v>
      </c>
      <c r="H1" s="11">
        <f>'$_DATI_BASE'!L8</f>
        <v>330</v>
      </c>
      <c r="I1" s="12" t="s">
        <v>207</v>
      </c>
      <c r="J1" s="1"/>
      <c r="P1" s="426"/>
      <c r="Q1" s="426"/>
      <c r="R1" s="19"/>
      <c r="S1" s="14"/>
      <c r="T1" s="14"/>
      <c r="U1" s="14"/>
    </row>
    <row r="2" spans="1:21" ht="18.75" customHeight="1" x14ac:dyDescent="0.3">
      <c r="A2" s="416" t="s">
        <v>220</v>
      </c>
      <c r="B2" s="416"/>
      <c r="C2" s="416"/>
      <c r="D2" s="59">
        <f>'$_FABB_PARTI_LOTTI'!D2</f>
        <v>17955</v>
      </c>
      <c r="E2" s="414" t="s">
        <v>221</v>
      </c>
      <c r="F2" s="414"/>
      <c r="G2" s="11">
        <v>22</v>
      </c>
      <c r="H2" s="12" t="s">
        <v>327</v>
      </c>
      <c r="I2" s="60">
        <v>0.2</v>
      </c>
      <c r="J2" s="317" t="s">
        <v>328</v>
      </c>
      <c r="K2" s="319"/>
      <c r="L2" s="319"/>
      <c r="M2" s="319"/>
      <c r="N2" s="319"/>
      <c r="O2" s="319"/>
      <c r="P2" s="428" t="s">
        <v>329</v>
      </c>
      <c r="Q2" s="429"/>
      <c r="R2" s="429"/>
      <c r="S2" s="429"/>
      <c r="T2" s="429"/>
      <c r="U2" s="430"/>
    </row>
    <row r="3" spans="1:21" ht="18.75" customHeight="1" x14ac:dyDescent="0.3">
      <c r="A3" s="416" t="s">
        <v>222</v>
      </c>
      <c r="B3" s="416"/>
      <c r="C3" s="416"/>
      <c r="D3" s="59">
        <f>'$_FABB_PARTI_LOTTI'!D3</f>
        <v>7695</v>
      </c>
      <c r="E3" s="414" t="s">
        <v>330</v>
      </c>
      <c r="F3" s="414"/>
      <c r="G3" s="11">
        <v>15</v>
      </c>
      <c r="H3" s="16"/>
      <c r="I3" s="31"/>
      <c r="J3" s="319"/>
      <c r="K3" s="319"/>
      <c r="L3" s="319"/>
      <c r="M3" s="319"/>
      <c r="N3" s="319"/>
      <c r="O3" s="319"/>
      <c r="P3" s="431"/>
      <c r="Q3" s="432"/>
      <c r="R3" s="432"/>
      <c r="S3" s="432"/>
      <c r="T3" s="432"/>
      <c r="U3" s="433"/>
    </row>
    <row r="4" spans="1:21" x14ac:dyDescent="0.3">
      <c r="A4" s="374"/>
      <c r="B4" s="374"/>
      <c r="C4" s="319" t="s">
        <v>146</v>
      </c>
      <c r="D4" s="319" t="s">
        <v>147</v>
      </c>
      <c r="E4" s="319"/>
      <c r="F4" s="319"/>
      <c r="G4" s="319"/>
      <c r="H4" s="319"/>
      <c r="I4" s="319"/>
      <c r="J4" s="354" t="s">
        <v>331</v>
      </c>
      <c r="K4" s="354"/>
      <c r="L4" s="324" t="s">
        <v>225</v>
      </c>
      <c r="M4" s="306" t="s">
        <v>332</v>
      </c>
      <c r="N4" s="324" t="s">
        <v>333</v>
      </c>
      <c r="O4" s="427" t="s">
        <v>334</v>
      </c>
      <c r="P4" s="306" t="s">
        <v>335</v>
      </c>
      <c r="Q4" s="306" t="s">
        <v>327</v>
      </c>
      <c r="R4" s="306" t="s">
        <v>225</v>
      </c>
      <c r="S4" s="427" t="s">
        <v>334</v>
      </c>
      <c r="T4" s="434" t="s">
        <v>336</v>
      </c>
      <c r="U4" s="434" t="s">
        <v>337</v>
      </c>
    </row>
    <row r="5" spans="1:21" ht="14.4" customHeight="1" x14ac:dyDescent="0.3">
      <c r="A5" s="374"/>
      <c r="B5" s="374"/>
      <c r="C5" s="319"/>
      <c r="D5" s="319"/>
      <c r="E5" s="319"/>
      <c r="F5" s="319"/>
      <c r="G5" s="319"/>
      <c r="H5" s="319"/>
      <c r="I5" s="319"/>
      <c r="J5" s="32" t="s">
        <v>226</v>
      </c>
      <c r="K5" s="32" t="s">
        <v>227</v>
      </c>
      <c r="L5" s="324"/>
      <c r="M5" s="324"/>
      <c r="N5" s="324"/>
      <c r="O5" s="354"/>
      <c r="P5" s="306"/>
      <c r="Q5" s="306"/>
      <c r="R5" s="306"/>
      <c r="S5" s="354"/>
      <c r="T5" s="434"/>
      <c r="U5" s="434"/>
    </row>
    <row r="6" spans="1:21" ht="14.4" customHeight="1" x14ac:dyDescent="0.3">
      <c r="A6" s="306" t="s">
        <v>338</v>
      </c>
      <c r="B6" s="306"/>
      <c r="C6" s="16" t="str">
        <f>'$_DB_CICLI'!F11</f>
        <v>ESTLAM001</v>
      </c>
      <c r="D6" s="336" t="str">
        <f>'$_DB_CICLI'!I11</f>
        <v>FOGLIO LAMIERA 1500x2000x3</v>
      </c>
      <c r="E6" s="336"/>
      <c r="F6" s="336"/>
      <c r="G6" s="336"/>
      <c r="H6" s="336"/>
      <c r="I6" s="336"/>
      <c r="J6" s="55">
        <f>'$_DB_CICLI'!Q11</f>
        <v>3816</v>
      </c>
      <c r="K6" s="55">
        <f>'$_DB_CICLI'!Q33</f>
        <v>1636</v>
      </c>
      <c r="L6" s="55">
        <f>J6+K6</f>
        <v>5452</v>
      </c>
      <c r="M6" s="56" t="str">
        <f>'$_DATI_BASE'!B35</f>
        <v>PEDANA</v>
      </c>
      <c r="N6" s="58">
        <f>'$_DATI_BASE'!J35</f>
        <v>25</v>
      </c>
      <c r="O6" s="61">
        <f>_xlfn.CEILING.MATH(L6/N6)</f>
        <v>219</v>
      </c>
      <c r="P6" s="62">
        <f>L6/$G$2*R40</f>
        <v>2478.181818181818</v>
      </c>
      <c r="Q6" s="62">
        <f>L6/$G$2*S40</f>
        <v>743.4545454545455</v>
      </c>
      <c r="R6" s="62">
        <f>P6+Q6</f>
        <v>3221.6363636363635</v>
      </c>
      <c r="S6" s="56">
        <f>_xlfn.CEILING.MATH(R6/N6)</f>
        <v>129</v>
      </c>
      <c r="T6" s="57">
        <f>(R6/2)/(L6/$G$2)</f>
        <v>6.5</v>
      </c>
      <c r="U6" s="247">
        <f>$G$2/T6</f>
        <v>3.3846153846153846</v>
      </c>
    </row>
    <row r="7" spans="1:21" x14ac:dyDescent="0.3">
      <c r="A7" s="306"/>
      <c r="B7" s="306"/>
      <c r="C7" s="16" t="str">
        <f>'$_DB_CICLI'!F15</f>
        <v>ESTLAM002</v>
      </c>
      <c r="D7" s="336" t="str">
        <f>'$_DB_CICLI'!I15</f>
        <v>FOGLIO LAMIERA 1000x1500x3</v>
      </c>
      <c r="E7" s="336"/>
      <c r="F7" s="336"/>
      <c r="G7" s="336"/>
      <c r="H7" s="336"/>
      <c r="I7" s="336"/>
      <c r="J7" s="55">
        <f>'$_DB_CICLI'!Q15</f>
        <v>2862</v>
      </c>
      <c r="K7" s="55">
        <f>'$_DB_CICLI'!Q37</f>
        <v>82</v>
      </c>
      <c r="L7" s="55">
        <f t="shared" ref="L7:L16" si="0">J7+K7</f>
        <v>2944</v>
      </c>
      <c r="M7" s="56" t="str">
        <f>'$_DATI_BASE'!B36</f>
        <v>PEDANA</v>
      </c>
      <c r="N7" s="58">
        <f>'$_DATI_BASE'!J36</f>
        <v>25</v>
      </c>
      <c r="O7" s="61">
        <f t="shared" ref="O7:O30" si="1">_xlfn.CEILING.MATH(L7/N7)</f>
        <v>118</v>
      </c>
      <c r="P7" s="62">
        <f>L7/$G$2*R40</f>
        <v>1338.181818181818</v>
      </c>
      <c r="Q7" s="62">
        <f>L7/$G$2*S40</f>
        <v>401.45454545454544</v>
      </c>
      <c r="R7" s="62">
        <f t="shared" ref="R7:R30" si="2">P7+Q7</f>
        <v>1739.6363636363635</v>
      </c>
      <c r="S7" s="56">
        <f t="shared" ref="S7:S30" si="3">_xlfn.CEILING.MATH(R7/N7)</f>
        <v>70</v>
      </c>
      <c r="T7" s="57">
        <f t="shared" ref="T7:T30" si="4">(R7/2)/(L7/$G$2)</f>
        <v>6.5</v>
      </c>
      <c r="U7" s="247">
        <f t="shared" ref="U7:U30" si="5">$G$2/T7</f>
        <v>3.3846153846153846</v>
      </c>
    </row>
    <row r="8" spans="1:21" x14ac:dyDescent="0.3">
      <c r="A8" s="306"/>
      <c r="B8" s="306"/>
      <c r="C8" s="16" t="str">
        <f>'$_DB_CICLI'!F19</f>
        <v>ESTLAM003</v>
      </c>
      <c r="D8" s="336" t="str">
        <f>'$_DB_CICLI'!I19</f>
        <v>FOGLIO LAMIERA 1000x2000x3</v>
      </c>
      <c r="E8" s="336"/>
      <c r="F8" s="336"/>
      <c r="G8" s="336"/>
      <c r="H8" s="336"/>
      <c r="I8" s="336"/>
      <c r="J8" s="55">
        <f>'$_DB_CICLI'!Q19</f>
        <v>9540</v>
      </c>
      <c r="K8" s="55">
        <f>'$_DB_CICLI'!Q41</f>
        <v>4089</v>
      </c>
      <c r="L8" s="55">
        <f t="shared" si="0"/>
        <v>13629</v>
      </c>
      <c r="M8" s="56" t="str">
        <f>'$_DATI_BASE'!B37</f>
        <v>PEDANA</v>
      </c>
      <c r="N8" s="58">
        <f>'$_DATI_BASE'!J37</f>
        <v>25</v>
      </c>
      <c r="O8" s="61">
        <f t="shared" si="1"/>
        <v>546</v>
      </c>
      <c r="P8" s="62">
        <f>L8/$G$2*R40</f>
        <v>6195</v>
      </c>
      <c r="Q8" s="62">
        <f>L8/$G$2*S40</f>
        <v>1858.5</v>
      </c>
      <c r="R8" s="62">
        <f t="shared" si="2"/>
        <v>8053.5</v>
      </c>
      <c r="S8" s="56">
        <f t="shared" si="3"/>
        <v>323</v>
      </c>
      <c r="T8" s="57">
        <f t="shared" si="4"/>
        <v>6.5</v>
      </c>
      <c r="U8" s="247">
        <f t="shared" si="5"/>
        <v>3.3846153846153846</v>
      </c>
    </row>
    <row r="9" spans="1:21" x14ac:dyDescent="0.3">
      <c r="A9" s="306"/>
      <c r="B9" s="306"/>
      <c r="C9" s="16" t="str">
        <f>'$_DB_CICLI'!F22</f>
        <v>ESTING001</v>
      </c>
      <c r="D9" s="336" t="s">
        <v>72</v>
      </c>
      <c r="E9" s="336"/>
      <c r="F9" s="336"/>
      <c r="G9" s="336"/>
      <c r="H9" s="336"/>
      <c r="I9" s="336"/>
      <c r="J9" s="55">
        <f>'$_DB_CICLI'!Q22</f>
        <v>35910</v>
      </c>
      <c r="K9" s="55">
        <f>'$_DB_CICLI'!Q44</f>
        <v>15390</v>
      </c>
      <c r="L9" s="55">
        <f t="shared" si="0"/>
        <v>51300</v>
      </c>
      <c r="M9" s="56" t="str">
        <f>'$_DATI_BASE'!B39</f>
        <v>NORM.</v>
      </c>
      <c r="N9" s="58">
        <f>'$_DATI_BASE'!J39</f>
        <v>200</v>
      </c>
      <c r="O9" s="61">
        <f t="shared" si="1"/>
        <v>257</v>
      </c>
      <c r="P9" s="62">
        <f>L9/$G$2*R42</f>
        <v>6995.454545454546</v>
      </c>
      <c r="Q9" s="62">
        <f>L9/$G$2*S42</f>
        <v>2331.818181818182</v>
      </c>
      <c r="R9" s="62">
        <f t="shared" si="2"/>
        <v>9327.2727272727279</v>
      </c>
      <c r="S9" s="56">
        <f t="shared" si="3"/>
        <v>47</v>
      </c>
      <c r="T9" s="57">
        <f t="shared" si="4"/>
        <v>2</v>
      </c>
      <c r="U9" s="126">
        <f t="shared" si="5"/>
        <v>11</v>
      </c>
    </row>
    <row r="10" spans="1:21" x14ac:dyDescent="0.3">
      <c r="A10" s="306"/>
      <c r="B10" s="306"/>
      <c r="C10" s="16" t="str">
        <f>'$_DB_CICLI'!F23</f>
        <v>ESTING002</v>
      </c>
      <c r="D10" s="336" t="s">
        <v>75</v>
      </c>
      <c r="E10" s="336"/>
      <c r="F10" s="336"/>
      <c r="G10" s="336"/>
      <c r="H10" s="336"/>
      <c r="I10" s="336"/>
      <c r="J10" s="55">
        <f>'$_DB_CICLI'!Q23</f>
        <v>53865</v>
      </c>
      <c r="K10" s="55">
        <f>'$_DB_CICLI'!Q45</f>
        <v>23085</v>
      </c>
      <c r="L10" s="55">
        <f t="shared" si="0"/>
        <v>76950</v>
      </c>
      <c r="M10" s="56" t="str">
        <f>'$_DATI_BASE'!B40</f>
        <v>NORM.</v>
      </c>
      <c r="N10" s="58">
        <f>'$_DATI_BASE'!J40</f>
        <v>200</v>
      </c>
      <c r="O10" s="61">
        <f t="shared" si="1"/>
        <v>385</v>
      </c>
      <c r="P10" s="62">
        <f>L10/$G$2*R42</f>
        <v>10493.181818181818</v>
      </c>
      <c r="Q10" s="62">
        <f>L10/$G$2*S42</f>
        <v>3497.7272727272725</v>
      </c>
      <c r="R10" s="62">
        <f t="shared" si="2"/>
        <v>13990.90909090909</v>
      </c>
      <c r="S10" s="56">
        <f t="shared" si="3"/>
        <v>70</v>
      </c>
      <c r="T10" s="57">
        <f t="shared" si="4"/>
        <v>2</v>
      </c>
      <c r="U10" s="126">
        <f t="shared" si="5"/>
        <v>11</v>
      </c>
    </row>
    <row r="11" spans="1:21" x14ac:dyDescent="0.3">
      <c r="A11" s="306"/>
      <c r="B11" s="306"/>
      <c r="C11" s="16" t="str">
        <f>'$_DB_CICLI'!F21</f>
        <v>ESTALB001</v>
      </c>
      <c r="D11" s="336" t="s">
        <v>339</v>
      </c>
      <c r="E11" s="336"/>
      <c r="F11" s="336"/>
      <c r="G11" s="336"/>
      <c r="H11" s="336"/>
      <c r="I11" s="336"/>
      <c r="J11" s="55">
        <f>'$_DB_CICLI'!Q21</f>
        <v>17955</v>
      </c>
      <c r="K11" s="55"/>
      <c r="L11" s="55">
        <f t="shared" si="0"/>
        <v>17955</v>
      </c>
      <c r="M11" s="56" t="str">
        <f>'$_DATI_BASE'!B51</f>
        <v>NORM.</v>
      </c>
      <c r="N11" s="58">
        <f>'$_DATI_BASE'!J51</f>
        <v>50</v>
      </c>
      <c r="O11" s="61">
        <f t="shared" si="1"/>
        <v>360</v>
      </c>
      <c r="P11" s="62">
        <f>L11/$G$2*R44</f>
        <v>8161.363636363636</v>
      </c>
      <c r="Q11" s="62">
        <f>L11/$G$2*S44</f>
        <v>2448.409090909091</v>
      </c>
      <c r="R11" s="62">
        <f t="shared" si="2"/>
        <v>10609.772727272728</v>
      </c>
      <c r="S11" s="56">
        <f t="shared" si="3"/>
        <v>213</v>
      </c>
      <c r="T11" s="57">
        <f t="shared" si="4"/>
        <v>6.5000000000000009</v>
      </c>
      <c r="U11" s="247">
        <f t="shared" si="5"/>
        <v>3.3846153846153841</v>
      </c>
    </row>
    <row r="12" spans="1:21" x14ac:dyDescent="0.3">
      <c r="A12" s="306"/>
      <c r="B12" s="306"/>
      <c r="C12" s="16" t="str">
        <f>'$_DB_CICLI'!F43</f>
        <v>ESTALB002</v>
      </c>
      <c r="D12" s="336" t="s">
        <v>340</v>
      </c>
      <c r="E12" s="336"/>
      <c r="F12" s="336"/>
      <c r="G12" s="336"/>
      <c r="H12" s="336"/>
      <c r="I12" s="336"/>
      <c r="J12" s="55"/>
      <c r="K12" s="55">
        <f>'$_DB_CICLI'!Q43</f>
        <v>7695</v>
      </c>
      <c r="L12" s="55">
        <f t="shared" si="0"/>
        <v>7695</v>
      </c>
      <c r="M12" s="56" t="str">
        <f>'$_DATI_BASE'!B52</f>
        <v>NORM.</v>
      </c>
      <c r="N12" s="58">
        <f>'$_DATI_BASE'!J52</f>
        <v>50</v>
      </c>
      <c r="O12" s="61">
        <f t="shared" si="1"/>
        <v>154</v>
      </c>
      <c r="P12" s="62">
        <f>L12/$G$2*R44</f>
        <v>3497.7272727272725</v>
      </c>
      <c r="Q12" s="62">
        <f>L12/$G$2*S44</f>
        <v>1049.3181818181818</v>
      </c>
      <c r="R12" s="62">
        <f t="shared" si="2"/>
        <v>4547.045454545454</v>
      </c>
      <c r="S12" s="56">
        <f t="shared" si="3"/>
        <v>91</v>
      </c>
      <c r="T12" s="57">
        <f t="shared" si="4"/>
        <v>6.5</v>
      </c>
      <c r="U12" s="247">
        <f t="shared" si="5"/>
        <v>3.3846153846153846</v>
      </c>
    </row>
    <row r="13" spans="1:21" x14ac:dyDescent="0.3">
      <c r="A13" s="306"/>
      <c r="B13" s="306"/>
      <c r="C13" s="16" t="str">
        <f>'$_DB_CICLI'!F24</f>
        <v>ESTASS003</v>
      </c>
      <c r="D13" s="336" t="str">
        <f>'$_DB_CICLI'!I24</f>
        <v>ALBERO COMPLETO DI MARTELLI PER TRINCIATUTTO L=1500</v>
      </c>
      <c r="E13" s="336"/>
      <c r="F13" s="336"/>
      <c r="G13" s="336"/>
      <c r="H13" s="336"/>
      <c r="I13" s="336"/>
      <c r="J13" s="55">
        <f>'$_DB_CICLI'!Q24</f>
        <v>17955</v>
      </c>
      <c r="K13" s="55"/>
      <c r="L13" s="55">
        <f t="shared" si="0"/>
        <v>17955</v>
      </c>
      <c r="M13" s="56" t="str">
        <f>'$_DATI_BASE'!B49</f>
        <v>SPEC.</v>
      </c>
      <c r="N13" s="58">
        <f>'$_DATI_BASE'!J49</f>
        <v>12</v>
      </c>
      <c r="O13" s="61">
        <f t="shared" si="1"/>
        <v>1497</v>
      </c>
      <c r="P13" s="62">
        <f>L13/$G$2*R46</f>
        <v>4080.681818181818</v>
      </c>
      <c r="Q13" s="62">
        <f>L13/$G$2*S46</f>
        <v>816.13636363636363</v>
      </c>
      <c r="R13" s="62">
        <f t="shared" si="2"/>
        <v>4896.818181818182</v>
      </c>
      <c r="S13" s="56">
        <f t="shared" si="3"/>
        <v>409</v>
      </c>
      <c r="T13" s="57">
        <f t="shared" si="4"/>
        <v>3</v>
      </c>
      <c r="U13" s="248">
        <f t="shared" si="5"/>
        <v>7.333333333333333</v>
      </c>
    </row>
    <row r="14" spans="1:21" x14ac:dyDescent="0.3">
      <c r="A14" s="306"/>
      <c r="B14" s="306"/>
      <c r="C14" s="16" t="str">
        <f>'$_DB_CICLI'!F46</f>
        <v>ESTASS004</v>
      </c>
      <c r="D14" s="336" t="str">
        <f>'$_DB_CICLI'!I46</f>
        <v>ALBERO COMPLETO DI MARTELLI PER TRINCIATUTTO L=1750</v>
      </c>
      <c r="E14" s="336"/>
      <c r="F14" s="336"/>
      <c r="G14" s="336"/>
      <c r="H14" s="336"/>
      <c r="I14" s="336"/>
      <c r="J14" s="55"/>
      <c r="K14" s="55">
        <f>'$_DB_CICLI'!Q46</f>
        <v>7695</v>
      </c>
      <c r="L14" s="55">
        <f t="shared" si="0"/>
        <v>7695</v>
      </c>
      <c r="M14" s="56" t="str">
        <f>'$_DATI_BASE'!B50</f>
        <v>SPEC.</v>
      </c>
      <c r="N14" s="58">
        <f>'$_DATI_BASE'!J50</f>
        <v>12</v>
      </c>
      <c r="O14" s="61">
        <f t="shared" si="1"/>
        <v>642</v>
      </c>
      <c r="P14" s="62">
        <f>L14/$G$2*R46</f>
        <v>1748.8636363636363</v>
      </c>
      <c r="Q14" s="62">
        <f>L14/$G$2*S46</f>
        <v>349.77272727272725</v>
      </c>
      <c r="R14" s="62">
        <f t="shared" si="2"/>
        <v>2098.6363636363635</v>
      </c>
      <c r="S14" s="56">
        <f t="shared" si="3"/>
        <v>175</v>
      </c>
      <c r="T14" s="57">
        <f t="shared" si="4"/>
        <v>3</v>
      </c>
      <c r="U14" s="248">
        <f t="shared" si="5"/>
        <v>7.333333333333333</v>
      </c>
    </row>
    <row r="15" spans="1:21" x14ac:dyDescent="0.3">
      <c r="A15" s="306"/>
      <c r="B15" s="306"/>
      <c r="C15" s="16" t="str">
        <f>'$_DB_CICLI'!F20</f>
        <v>ESTSAL001</v>
      </c>
      <c r="D15" s="336" t="s">
        <v>162</v>
      </c>
      <c r="E15" s="336"/>
      <c r="F15" s="336"/>
      <c r="G15" s="336"/>
      <c r="H15" s="336"/>
      <c r="I15" s="336"/>
      <c r="J15" s="55">
        <f>'$_DB_CICLI'!Q20</f>
        <v>17955</v>
      </c>
      <c r="K15" s="55"/>
      <c r="L15" s="55">
        <f t="shared" si="0"/>
        <v>17955</v>
      </c>
      <c r="M15" s="56" t="str">
        <f>'$_DATI_BASE'!B65</f>
        <v>SPEC.</v>
      </c>
      <c r="N15" s="58">
        <f>'$_DATI_BASE'!J65</f>
        <v>12</v>
      </c>
      <c r="O15" s="61">
        <f t="shared" si="1"/>
        <v>1497</v>
      </c>
      <c r="P15" s="62">
        <f>L15/$G$2*R48</f>
        <v>8161.363636363636</v>
      </c>
      <c r="Q15" s="62">
        <f>L15/$G$2*S48</f>
        <v>2448.409090909091</v>
      </c>
      <c r="R15" s="62">
        <f t="shared" si="2"/>
        <v>10609.772727272728</v>
      </c>
      <c r="S15" s="56">
        <f t="shared" si="3"/>
        <v>885</v>
      </c>
      <c r="T15" s="57">
        <f t="shared" si="4"/>
        <v>6.5000000000000009</v>
      </c>
      <c r="U15" s="247">
        <f t="shared" si="5"/>
        <v>3.3846153846153841</v>
      </c>
    </row>
    <row r="16" spans="1:21" ht="14.4" customHeight="1" x14ac:dyDescent="0.3">
      <c r="A16" s="306"/>
      <c r="B16" s="306"/>
      <c r="C16" s="16" t="str">
        <f>'$_DB_CICLI'!F42</f>
        <v>ESTSAL002</v>
      </c>
      <c r="D16" s="336" t="s">
        <v>169</v>
      </c>
      <c r="E16" s="336"/>
      <c r="F16" s="336"/>
      <c r="G16" s="336"/>
      <c r="H16" s="336"/>
      <c r="I16" s="336"/>
      <c r="J16" s="55"/>
      <c r="K16" s="55">
        <f>'$_DB_CICLI'!Q42</f>
        <v>7695</v>
      </c>
      <c r="L16" s="55">
        <f t="shared" si="0"/>
        <v>7695</v>
      </c>
      <c r="M16" s="56" t="str">
        <f>'$_DATI_BASE'!B66</f>
        <v>SPEC.</v>
      </c>
      <c r="N16" s="58">
        <f>'$_DATI_BASE'!J66</f>
        <v>12</v>
      </c>
      <c r="O16" s="61">
        <f t="shared" si="1"/>
        <v>642</v>
      </c>
      <c r="P16" s="62">
        <f>L16/$G$2*R48</f>
        <v>3497.7272727272725</v>
      </c>
      <c r="Q16" s="62">
        <f>L16/$G$2*S48</f>
        <v>1049.3181818181818</v>
      </c>
      <c r="R16" s="62">
        <f t="shared" si="2"/>
        <v>4547.045454545454</v>
      </c>
      <c r="S16" s="56">
        <f t="shared" si="3"/>
        <v>379</v>
      </c>
      <c r="T16" s="57">
        <f t="shared" si="4"/>
        <v>6.5</v>
      </c>
      <c r="U16" s="247">
        <f t="shared" si="5"/>
        <v>3.3846153846153846</v>
      </c>
    </row>
    <row r="17" spans="1:21" x14ac:dyDescent="0.3">
      <c r="A17" s="374"/>
      <c r="B17" s="374"/>
      <c r="C17" s="374"/>
      <c r="D17" s="374"/>
      <c r="E17" s="374"/>
      <c r="F17" s="374"/>
      <c r="G17" s="374"/>
      <c r="H17" s="374"/>
      <c r="I17" s="374"/>
      <c r="J17" s="374"/>
      <c r="K17" s="374"/>
      <c r="L17" s="374"/>
      <c r="O17" s="10"/>
      <c r="P17" s="18"/>
      <c r="Q17" s="18"/>
      <c r="R17" s="18"/>
      <c r="S17" s="18"/>
      <c r="T17" s="213"/>
      <c r="U17" s="213"/>
    </row>
    <row r="18" spans="1:21" ht="15" customHeight="1" x14ac:dyDescent="0.3">
      <c r="A18" s="420" t="s">
        <v>341</v>
      </c>
      <c r="B18" s="421"/>
      <c r="C18" s="16" t="str">
        <f>'$_DB_CICLI'!F4</f>
        <v>INTASS001</v>
      </c>
      <c r="D18" s="417" t="str">
        <f>'$_DB_CICLI'!I4</f>
        <v>TRINCIATUTTO COMPLETO L=1500</v>
      </c>
      <c r="E18" s="418"/>
      <c r="F18" s="418"/>
      <c r="G18" s="418"/>
      <c r="H18" s="418"/>
      <c r="I18" s="419"/>
      <c r="J18" s="55">
        <f>'$_DB_CICLI'!Q4</f>
        <v>17955</v>
      </c>
      <c r="K18" s="55"/>
      <c r="L18" s="55">
        <f>J18+K18</f>
        <v>17955</v>
      </c>
      <c r="M18" s="56" t="str">
        <f>'$_DATI_BASE'!B45</f>
        <v>PED+SCA</v>
      </c>
      <c r="N18" s="58">
        <f>'$_DATI_BASE'!J45</f>
        <v>1</v>
      </c>
      <c r="O18" s="61">
        <f t="shared" si="1"/>
        <v>17955</v>
      </c>
      <c r="P18" s="63">
        <f>'$_DATI_BASE'!S47</f>
        <v>500</v>
      </c>
      <c r="Q18" s="62">
        <f>P18*$I$2</f>
        <v>100</v>
      </c>
      <c r="R18" s="62">
        <f t="shared" si="2"/>
        <v>600</v>
      </c>
      <c r="S18" s="56">
        <f t="shared" si="3"/>
        <v>600</v>
      </c>
      <c r="T18" s="57">
        <f t="shared" si="4"/>
        <v>0.36758563074352546</v>
      </c>
      <c r="U18" s="57">
        <f t="shared" si="5"/>
        <v>59.85</v>
      </c>
    </row>
    <row r="19" spans="1:21" x14ac:dyDescent="0.3">
      <c r="A19" s="424"/>
      <c r="B19" s="425"/>
      <c r="C19" s="16" t="str">
        <f>'$_DB_CICLI'!F26</f>
        <v>INTASS002</v>
      </c>
      <c r="D19" s="417" t="str">
        <f>'$_DB_CICLI'!I26</f>
        <v>TRINCIATUTTO COMPLETO L=1750</v>
      </c>
      <c r="E19" s="418"/>
      <c r="F19" s="418"/>
      <c r="G19" s="418"/>
      <c r="H19" s="418"/>
      <c r="I19" s="419"/>
      <c r="J19" s="55"/>
      <c r="K19" s="55">
        <f>'$_DB_CICLI'!Q26</f>
        <v>7695</v>
      </c>
      <c r="L19" s="55">
        <f>J19+K19</f>
        <v>7695</v>
      </c>
      <c r="M19" s="56" t="str">
        <f>'$_DATI_BASE'!B46</f>
        <v>PED+SCA</v>
      </c>
      <c r="N19" s="58">
        <f>'$_DATI_BASE'!J46</f>
        <v>1</v>
      </c>
      <c r="O19" s="61">
        <f t="shared" si="1"/>
        <v>7695</v>
      </c>
      <c r="P19" s="63">
        <f>'$_DATI_BASE'!S48</f>
        <v>215</v>
      </c>
      <c r="Q19" s="62">
        <f t="shared" ref="Q19:Q30" si="6">P19*$I$2</f>
        <v>43</v>
      </c>
      <c r="R19" s="62">
        <f t="shared" si="2"/>
        <v>258</v>
      </c>
      <c r="S19" s="56">
        <f t="shared" si="3"/>
        <v>258</v>
      </c>
      <c r="T19" s="57">
        <f t="shared" si="4"/>
        <v>0.36881091617933726</v>
      </c>
      <c r="U19" s="57">
        <f t="shared" si="5"/>
        <v>59.651162790697668</v>
      </c>
    </row>
    <row r="20" spans="1:21" x14ac:dyDescent="0.3">
      <c r="A20" s="243"/>
      <c r="B20" s="243"/>
      <c r="C20" s="243"/>
      <c r="D20" s="417"/>
      <c r="E20" s="418"/>
      <c r="F20" s="418"/>
      <c r="G20" s="418"/>
      <c r="H20" s="418"/>
      <c r="I20" s="419"/>
      <c r="J20" s="243"/>
      <c r="K20" s="243"/>
      <c r="L20" s="243"/>
      <c r="M20" s="243"/>
      <c r="N20" s="243"/>
      <c r="O20" s="243"/>
      <c r="P20" s="243"/>
      <c r="Q20" s="209"/>
      <c r="R20" s="243"/>
      <c r="S20" s="243"/>
      <c r="T20" s="213"/>
      <c r="U20" s="213"/>
    </row>
    <row r="21" spans="1:21" ht="15" customHeight="1" x14ac:dyDescent="0.3">
      <c r="A21" s="420" t="s">
        <v>342</v>
      </c>
      <c r="B21" s="421"/>
      <c r="C21" s="16" t="str">
        <f>'$_DB_CICLI'!F6</f>
        <v>INTSAL001</v>
      </c>
      <c r="D21" s="417" t="str">
        <f>'$_DB_CICLI'!I6</f>
        <v xml:space="preserve"> TELAIO COMPLETO PER TRINCIATUTTO L=1500 </v>
      </c>
      <c r="E21" s="418"/>
      <c r="F21" s="418"/>
      <c r="G21" s="418"/>
      <c r="H21" s="418"/>
      <c r="I21" s="419"/>
      <c r="J21" s="55">
        <f>'$_DB_CICLI'!Q6</f>
        <v>17955</v>
      </c>
      <c r="K21" s="55"/>
      <c r="L21" s="55">
        <f>J21+K21</f>
        <v>17955</v>
      </c>
      <c r="M21" s="56" t="str">
        <f>'$_DATI_BASE'!B47</f>
        <v>SPEC.</v>
      </c>
      <c r="N21" s="58">
        <f>'$_DATI_BASE'!J47</f>
        <v>4</v>
      </c>
      <c r="O21" s="61">
        <f t="shared" si="1"/>
        <v>4489</v>
      </c>
      <c r="P21" s="63">
        <f>'$_DATI_BASE'!S49*'$_DATI_BASE'!U20</f>
        <v>485</v>
      </c>
      <c r="Q21" s="62">
        <f t="shared" si="6"/>
        <v>97</v>
      </c>
      <c r="R21" s="62">
        <f t="shared" si="2"/>
        <v>582</v>
      </c>
      <c r="S21" s="56">
        <f t="shared" si="3"/>
        <v>146</v>
      </c>
      <c r="T21" s="57">
        <f t="shared" si="4"/>
        <v>0.35655806182121974</v>
      </c>
      <c r="U21" s="57">
        <f t="shared" si="5"/>
        <v>61.701030927835049</v>
      </c>
    </row>
    <row r="22" spans="1:21" x14ac:dyDescent="0.3">
      <c r="A22" s="422"/>
      <c r="B22" s="423"/>
      <c r="C22" s="16" t="str">
        <f>'$_DB_CICLI'!F28</f>
        <v>INTSAL002</v>
      </c>
      <c r="D22" s="417" t="str">
        <f>'$_DB_CICLI'!I28</f>
        <v xml:space="preserve"> TELAIO COMPLETO PER TRINCIATUTTO L=1750 </v>
      </c>
      <c r="E22" s="418"/>
      <c r="F22" s="418"/>
      <c r="G22" s="418"/>
      <c r="H22" s="418"/>
      <c r="I22" s="419"/>
      <c r="J22" s="55"/>
      <c r="K22" s="55">
        <f>'$_DB_CICLI'!Q28</f>
        <v>7695</v>
      </c>
      <c r="L22" s="55">
        <f t="shared" ref="L22:L30" si="7">J22+K22</f>
        <v>7695</v>
      </c>
      <c r="M22" s="56" t="str">
        <f>'$_DATI_BASE'!B48</f>
        <v>SPEC.</v>
      </c>
      <c r="N22" s="58">
        <f>'$_DATI_BASE'!J48</f>
        <v>4</v>
      </c>
      <c r="O22" s="61">
        <f t="shared" si="1"/>
        <v>1924</v>
      </c>
      <c r="P22" s="63">
        <f>'$_DATI_BASE'!S50*'$_DATI_BASE'!U20</f>
        <v>208.54999999999998</v>
      </c>
      <c r="Q22" s="62">
        <f t="shared" si="6"/>
        <v>41.71</v>
      </c>
      <c r="R22" s="62">
        <f t="shared" si="2"/>
        <v>250.26</v>
      </c>
      <c r="S22" s="56">
        <f t="shared" si="3"/>
        <v>63</v>
      </c>
      <c r="T22" s="57">
        <f t="shared" si="4"/>
        <v>0.35774658869395715</v>
      </c>
      <c r="U22" s="57">
        <f t="shared" si="5"/>
        <v>61.496044114121311</v>
      </c>
    </row>
    <row r="23" spans="1:21" x14ac:dyDescent="0.3">
      <c r="A23" s="422"/>
      <c r="B23" s="423"/>
      <c r="C23" s="16" t="str">
        <f>'$_DB_CICLI'!F8</f>
        <v>INTPSP001</v>
      </c>
      <c r="D23" s="417" t="str">
        <f>'$_DB_CICLI'!I8</f>
        <v>CARTER L=1500</v>
      </c>
      <c r="E23" s="418"/>
      <c r="F23" s="418"/>
      <c r="G23" s="418"/>
      <c r="H23" s="418"/>
      <c r="I23" s="419"/>
      <c r="J23" s="55">
        <f>'$_DB_CICLI'!Q8</f>
        <v>18511</v>
      </c>
      <c r="K23" s="55"/>
      <c r="L23" s="55">
        <f t="shared" si="7"/>
        <v>18511</v>
      </c>
      <c r="M23" s="56" t="str">
        <f>'$_DATI_BASE'!B55</f>
        <v>PEDANA</v>
      </c>
      <c r="N23" s="58">
        <f>'$_DATI_BASE'!J55</f>
        <v>25</v>
      </c>
      <c r="O23" s="61">
        <f t="shared" si="1"/>
        <v>741</v>
      </c>
      <c r="P23" s="63">
        <f>'$_DATI_BASE'!S51*'$_DATI_BASE'!$U$26</f>
        <v>490</v>
      </c>
      <c r="Q23" s="62">
        <f t="shared" si="6"/>
        <v>98</v>
      </c>
      <c r="R23" s="62">
        <f t="shared" si="2"/>
        <v>588</v>
      </c>
      <c r="S23" s="56">
        <f t="shared" si="3"/>
        <v>24</v>
      </c>
      <c r="T23" s="57">
        <f t="shared" si="4"/>
        <v>0.34941386202798336</v>
      </c>
      <c r="U23" s="57">
        <f t="shared" si="5"/>
        <v>62.962585034013607</v>
      </c>
    </row>
    <row r="24" spans="1:21" x14ac:dyDescent="0.3">
      <c r="A24" s="422"/>
      <c r="B24" s="423"/>
      <c r="C24" s="16" t="str">
        <f>'$_FABB_PARTI_LOTTI'!C14</f>
        <v>INTPSP001-10</v>
      </c>
      <c r="D24" s="417" t="str">
        <f>'$_DB_CICLI'!I10</f>
        <v>TRANCIATURA CARTER L=1500</v>
      </c>
      <c r="E24" s="418"/>
      <c r="F24" s="418"/>
      <c r="G24" s="418"/>
      <c r="H24" s="418"/>
      <c r="I24" s="419"/>
      <c r="J24" s="55">
        <f>'$_DB_CICLI'!Q10</f>
        <v>18889</v>
      </c>
      <c r="K24" s="52"/>
      <c r="L24" s="55">
        <f t="shared" si="7"/>
        <v>18889</v>
      </c>
      <c r="M24" s="56" t="str">
        <f>'$_DATI_BASE'!B56</f>
        <v>PEDANA</v>
      </c>
      <c r="N24" s="58">
        <f>'$_DATI_BASE'!J56</f>
        <v>25</v>
      </c>
      <c r="O24" s="61">
        <f t="shared" si="1"/>
        <v>756</v>
      </c>
      <c r="P24" s="63">
        <f>'$_DATI_BASE'!S52*'$_DATI_BASE'!$U$28</f>
        <v>495</v>
      </c>
      <c r="Q24" s="62">
        <f t="shared" si="6"/>
        <v>99</v>
      </c>
      <c r="R24" s="62">
        <f t="shared" si="2"/>
        <v>594</v>
      </c>
      <c r="S24" s="56">
        <f t="shared" si="3"/>
        <v>24</v>
      </c>
      <c r="T24" s="57">
        <f t="shared" si="4"/>
        <v>0.34591561226110434</v>
      </c>
      <c r="U24" s="57">
        <f t="shared" si="5"/>
        <v>63.599326599326602</v>
      </c>
    </row>
    <row r="25" spans="1:21" x14ac:dyDescent="0.3">
      <c r="A25" s="422"/>
      <c r="B25" s="423"/>
      <c r="C25" s="16" t="str">
        <f>'$_DB_CICLI'!F30</f>
        <v>INTPSP002</v>
      </c>
      <c r="D25" s="417" t="str">
        <f>'$_DB_CICLI'!I30</f>
        <v>CARTER L=1750</v>
      </c>
      <c r="E25" s="418"/>
      <c r="F25" s="418"/>
      <c r="G25" s="418"/>
      <c r="H25" s="418"/>
      <c r="I25" s="419"/>
      <c r="J25" s="55"/>
      <c r="K25" s="55">
        <f>'$_DB_CICLI'!Q31</f>
        <v>7933</v>
      </c>
      <c r="L25" s="55">
        <f t="shared" si="7"/>
        <v>7933</v>
      </c>
      <c r="M25" s="56" t="str">
        <f>'$_DATI_BASE'!B57</f>
        <v>PEDANA</v>
      </c>
      <c r="N25" s="58">
        <f>'$_DATI_BASE'!J57</f>
        <v>25</v>
      </c>
      <c r="O25" s="61">
        <f t="shared" si="1"/>
        <v>318</v>
      </c>
      <c r="P25" s="63">
        <f>'$_DATI_BASE'!S53*'$_DATI_BASE'!$U$26</f>
        <v>210.7</v>
      </c>
      <c r="Q25" s="62">
        <f t="shared" si="6"/>
        <v>42.14</v>
      </c>
      <c r="R25" s="62">
        <f t="shared" si="2"/>
        <v>252.83999999999997</v>
      </c>
      <c r="S25" s="56">
        <f t="shared" si="3"/>
        <v>11</v>
      </c>
      <c r="T25" s="57">
        <f t="shared" si="4"/>
        <v>0.35059120131097943</v>
      </c>
      <c r="U25" s="57">
        <f t="shared" si="5"/>
        <v>62.75114697041608</v>
      </c>
    </row>
    <row r="26" spans="1:21" x14ac:dyDescent="0.3">
      <c r="A26" s="422"/>
      <c r="B26" s="423"/>
      <c r="C26" s="16" t="str">
        <f>'$_FABB_PARTI_LOTTI'!C16</f>
        <v>INTPSP002-10</v>
      </c>
      <c r="D26" s="417" t="str">
        <f>'$_FABB_PARTI_LOTTI'!D16</f>
        <v>TRANCIATURA CARTER L=1750</v>
      </c>
      <c r="E26" s="418"/>
      <c r="F26" s="418"/>
      <c r="G26" s="418"/>
      <c r="H26" s="418"/>
      <c r="I26" s="419"/>
      <c r="J26" s="55"/>
      <c r="K26" s="55">
        <f>'$_DB_CICLI'!Q32</f>
        <v>8095</v>
      </c>
      <c r="L26" s="55">
        <f t="shared" si="7"/>
        <v>8095</v>
      </c>
      <c r="M26" s="56" t="str">
        <f>'$_DATI_BASE'!B58</f>
        <v>PEDANA</v>
      </c>
      <c r="N26" s="58">
        <f>'$_DATI_BASE'!J58</f>
        <v>25</v>
      </c>
      <c r="O26" s="61">
        <f t="shared" si="1"/>
        <v>324</v>
      </c>
      <c r="P26" s="63">
        <f>'$_DATI_BASE'!S54*'$_DATI_BASE'!$U$28</f>
        <v>212.85</v>
      </c>
      <c r="Q26" s="62">
        <f t="shared" si="6"/>
        <v>42.57</v>
      </c>
      <c r="R26" s="62">
        <f t="shared" si="2"/>
        <v>255.42</v>
      </c>
      <c r="S26" s="56">
        <f t="shared" si="3"/>
        <v>11</v>
      </c>
      <c r="T26" s="57">
        <f t="shared" si="4"/>
        <v>0.34708091414453368</v>
      </c>
      <c r="U26" s="57">
        <f t="shared" si="5"/>
        <v>63.385795943935477</v>
      </c>
    </row>
    <row r="27" spans="1:21" x14ac:dyDescent="0.3">
      <c r="A27" s="422"/>
      <c r="B27" s="423"/>
      <c r="C27" s="16" t="str">
        <f>'$_DB_CICLI'!F12</f>
        <v>INTPSP003</v>
      </c>
      <c r="D27" s="417" t="str">
        <f>'$_DB_CICLI'!I12</f>
        <v>STAFFE RINFORZO</v>
      </c>
      <c r="E27" s="418"/>
      <c r="F27" s="418"/>
      <c r="G27" s="418"/>
      <c r="H27" s="418"/>
      <c r="I27" s="419"/>
      <c r="J27" s="55">
        <f>'$_DB_CICLI'!Q13</f>
        <v>55531</v>
      </c>
      <c r="K27" s="55">
        <f>'$_DB_CICLI'!Q35</f>
        <v>1587</v>
      </c>
      <c r="L27" s="55">
        <f t="shared" si="7"/>
        <v>57118</v>
      </c>
      <c r="M27" s="56" t="str">
        <f>'$_DATI_BASE'!B59</f>
        <v>NORM.</v>
      </c>
      <c r="N27" s="58">
        <f>'$_DATI_BASE'!J59</f>
        <v>200</v>
      </c>
      <c r="O27" s="61">
        <f t="shared" si="1"/>
        <v>286</v>
      </c>
      <c r="P27" s="63">
        <f>'$_DATI_BASE'!S55*'$_DATI_BASE'!$U$26</f>
        <v>2940</v>
      </c>
      <c r="Q27" s="62">
        <f t="shared" si="6"/>
        <v>588</v>
      </c>
      <c r="R27" s="62">
        <f t="shared" si="2"/>
        <v>3528</v>
      </c>
      <c r="S27" s="56">
        <f t="shared" si="3"/>
        <v>18</v>
      </c>
      <c r="T27" s="57">
        <f t="shared" si="4"/>
        <v>0.67943555446619275</v>
      </c>
      <c r="U27" s="57">
        <f t="shared" si="5"/>
        <v>32.379818594104307</v>
      </c>
    </row>
    <row r="28" spans="1:21" x14ac:dyDescent="0.3">
      <c r="A28" s="422"/>
      <c r="B28" s="423"/>
      <c r="C28" s="16" t="str">
        <f>'$_FABB_PARTI_LOTTI'!C18</f>
        <v>INTPSP003-10</v>
      </c>
      <c r="D28" s="417" t="str">
        <f>'$_FABB_PARTI_LOTTI'!D18</f>
        <v>TRANCIATURA STAFFE RINFORZO</v>
      </c>
      <c r="E28" s="418"/>
      <c r="F28" s="418"/>
      <c r="G28" s="418"/>
      <c r="H28" s="418"/>
      <c r="I28" s="419"/>
      <c r="J28" s="55">
        <f>'$_DB_CICLI'!Q14</f>
        <v>56665</v>
      </c>
      <c r="K28" s="55">
        <f>'$_DB_CICLI'!Q36</f>
        <v>1620</v>
      </c>
      <c r="L28" s="55">
        <f t="shared" si="7"/>
        <v>58285</v>
      </c>
      <c r="M28" s="56" t="str">
        <f>'$_DATI_BASE'!B60</f>
        <v>NORM.</v>
      </c>
      <c r="N28" s="58">
        <f>'$_DATI_BASE'!J60</f>
        <v>200</v>
      </c>
      <c r="O28" s="61">
        <f t="shared" si="1"/>
        <v>292</v>
      </c>
      <c r="P28" s="63">
        <f>'$_DATI_BASE'!S56*'$_DATI_BASE'!$U$28</f>
        <v>2970</v>
      </c>
      <c r="Q28" s="62">
        <f t="shared" si="6"/>
        <v>594</v>
      </c>
      <c r="R28" s="62">
        <f t="shared" si="2"/>
        <v>3564</v>
      </c>
      <c r="S28" s="56">
        <f t="shared" si="3"/>
        <v>18</v>
      </c>
      <c r="T28" s="57">
        <f t="shared" si="4"/>
        <v>0.67262589002316198</v>
      </c>
      <c r="U28" s="57">
        <f t="shared" si="5"/>
        <v>32.707631874298542</v>
      </c>
    </row>
    <row r="29" spans="1:21" x14ac:dyDescent="0.3">
      <c r="A29" s="422"/>
      <c r="B29" s="423"/>
      <c r="C29" s="16" t="str">
        <f>'$_DB_CICLI'!F16</f>
        <v>INTPSP004</v>
      </c>
      <c r="D29" s="417" t="str">
        <f>'$_DB_CICLI'!I16</f>
        <v>PIASTRE ATTACCO TRATTORE</v>
      </c>
      <c r="E29" s="418"/>
      <c r="F29" s="418"/>
      <c r="G29" s="418"/>
      <c r="H29" s="418"/>
      <c r="I29" s="419"/>
      <c r="J29" s="55">
        <f>'$_DB_CICLI'!Q17</f>
        <v>37021</v>
      </c>
      <c r="K29" s="55">
        <f>'$_DB_CICLI'!Q39</f>
        <v>15866</v>
      </c>
      <c r="L29" s="55">
        <f t="shared" si="7"/>
        <v>52887</v>
      </c>
      <c r="M29" s="56" t="str">
        <f>'$_DATI_BASE'!B61</f>
        <v>NORM.</v>
      </c>
      <c r="N29" s="58">
        <f>'$_DATI_BASE'!J61</f>
        <v>200</v>
      </c>
      <c r="O29" s="61">
        <f t="shared" si="1"/>
        <v>265</v>
      </c>
      <c r="P29" s="63">
        <f>'$_DATI_BASE'!S57*'$_DATI_BASE'!$U$26</f>
        <v>1960</v>
      </c>
      <c r="Q29" s="62">
        <f t="shared" si="6"/>
        <v>392</v>
      </c>
      <c r="R29" s="62">
        <f t="shared" si="2"/>
        <v>2352</v>
      </c>
      <c r="S29" s="56">
        <f t="shared" si="3"/>
        <v>12</v>
      </c>
      <c r="T29" s="57">
        <f t="shared" si="4"/>
        <v>0.48919394180044246</v>
      </c>
      <c r="U29" s="57">
        <f t="shared" si="5"/>
        <v>44.971938775510203</v>
      </c>
    </row>
    <row r="30" spans="1:21" x14ac:dyDescent="0.3">
      <c r="A30" s="424"/>
      <c r="B30" s="425"/>
      <c r="C30" s="16" t="str">
        <f>'$_FABB_PARTI_LOTTI'!C20</f>
        <v>INTPSP004-10</v>
      </c>
      <c r="D30" s="417" t="str">
        <f>'$_FABB_PARTI_LOTTI'!D20</f>
        <v>TRANCIATURA STAFFE ATTACCO TRATTORE</v>
      </c>
      <c r="E30" s="418"/>
      <c r="F30" s="418"/>
      <c r="G30" s="418"/>
      <c r="H30" s="418"/>
      <c r="I30" s="419"/>
      <c r="J30" s="55">
        <f>'$_DB_CICLI'!Q18</f>
        <v>37777</v>
      </c>
      <c r="K30" s="55">
        <f>'$_DB_CICLI'!Q40</f>
        <v>16190</v>
      </c>
      <c r="L30" s="55">
        <f t="shared" si="7"/>
        <v>53967</v>
      </c>
      <c r="M30" s="56" t="str">
        <f>'$_DATI_BASE'!B62</f>
        <v>NORM.</v>
      </c>
      <c r="N30" s="58">
        <f>'$_DATI_BASE'!J62</f>
        <v>200</v>
      </c>
      <c r="O30" s="61">
        <f t="shared" si="1"/>
        <v>270</v>
      </c>
      <c r="P30" s="63">
        <f>'$_DATI_BASE'!S58*'$_DATI_BASE'!$U$28</f>
        <v>1980</v>
      </c>
      <c r="Q30" s="62">
        <f t="shared" si="6"/>
        <v>396</v>
      </c>
      <c r="R30" s="62">
        <f t="shared" si="2"/>
        <v>2376</v>
      </c>
      <c r="S30" s="56">
        <f t="shared" si="3"/>
        <v>12</v>
      </c>
      <c r="T30" s="57">
        <f t="shared" si="4"/>
        <v>0.48429595864139197</v>
      </c>
      <c r="U30" s="57">
        <f t="shared" si="5"/>
        <v>45.426767676767675</v>
      </c>
    </row>
    <row r="31" spans="1:21" x14ac:dyDescent="0.3">
      <c r="A31" s="5"/>
      <c r="B31" s="15"/>
      <c r="D31" s="356"/>
      <c r="E31" s="356"/>
      <c r="F31" s="356"/>
      <c r="G31" s="356"/>
      <c r="H31" s="356"/>
      <c r="I31" s="356"/>
      <c r="J31" s="2"/>
      <c r="K31" s="2"/>
      <c r="L31" s="2"/>
      <c r="M31" s="1"/>
    </row>
    <row r="32" spans="1:21" x14ac:dyDescent="0.3">
      <c r="A32" s="5"/>
      <c r="B32" s="15"/>
      <c r="D32" s="356"/>
      <c r="E32" s="356"/>
      <c r="F32" s="356"/>
      <c r="G32" s="356"/>
      <c r="H32" s="356"/>
      <c r="I32" s="356"/>
      <c r="J32" s="2"/>
      <c r="K32" s="2"/>
      <c r="L32" s="2"/>
      <c r="M32" s="1"/>
    </row>
    <row r="33" spans="1:19" x14ac:dyDescent="0.3">
      <c r="A33" s="5"/>
      <c r="B33" s="15"/>
      <c r="D33" s="356"/>
      <c r="E33" s="356"/>
      <c r="F33" s="356"/>
      <c r="G33" s="356"/>
      <c r="H33" s="356"/>
      <c r="I33" s="356"/>
      <c r="J33" s="2"/>
      <c r="K33" s="2"/>
      <c r="L33" s="2"/>
      <c r="M33" s="1"/>
    </row>
    <row r="34" spans="1:19" x14ac:dyDescent="0.3">
      <c r="A34" s="5"/>
      <c r="B34" s="15"/>
      <c r="D34" s="356"/>
      <c r="E34" s="356"/>
      <c r="F34" s="356"/>
      <c r="G34" s="356"/>
      <c r="H34" s="356"/>
      <c r="I34" s="356"/>
      <c r="J34" s="2"/>
      <c r="K34" s="2"/>
      <c r="L34" s="2"/>
      <c r="M34" s="1"/>
    </row>
    <row r="35" spans="1:19" x14ac:dyDescent="0.3">
      <c r="A35" s="5"/>
      <c r="B35" s="15"/>
      <c r="D35" s="356"/>
      <c r="E35" s="356"/>
      <c r="F35" s="356"/>
      <c r="G35" s="356"/>
      <c r="H35" s="356"/>
      <c r="I35" s="356"/>
      <c r="J35" s="2"/>
      <c r="K35" s="2"/>
      <c r="L35" s="2"/>
      <c r="M35" s="1"/>
    </row>
    <row r="36" spans="1:19" ht="15" thickBot="1" x14ac:dyDescent="0.35">
      <c r="A36" s="5"/>
      <c r="B36" s="15"/>
      <c r="D36" s="356"/>
      <c r="E36" s="356"/>
      <c r="F36" s="356"/>
      <c r="G36" s="356"/>
      <c r="H36" s="356"/>
      <c r="I36" s="356"/>
      <c r="J36" s="2"/>
      <c r="K36" s="2"/>
      <c r="L36" s="2"/>
      <c r="M36" s="1"/>
    </row>
    <row r="37" spans="1:19" x14ac:dyDescent="0.3">
      <c r="A37" s="5"/>
      <c r="B37" s="15"/>
      <c r="D37" s="356"/>
      <c r="E37" s="356"/>
      <c r="F37" s="356"/>
      <c r="G37" s="356"/>
      <c r="H37" s="356"/>
      <c r="I37" s="356"/>
      <c r="J37" s="2"/>
      <c r="K37" s="2"/>
      <c r="L37" s="2"/>
      <c r="M37" s="1"/>
      <c r="O37" s="303" t="s">
        <v>48</v>
      </c>
      <c r="P37" s="304"/>
      <c r="Q37" s="304"/>
      <c r="R37" s="346" t="s">
        <v>49</v>
      </c>
      <c r="S37" s="347" t="s">
        <v>50</v>
      </c>
    </row>
    <row r="38" spans="1:19" x14ac:dyDescent="0.3">
      <c r="A38" s="5"/>
      <c r="B38" s="15"/>
      <c r="D38" s="356"/>
      <c r="E38" s="356"/>
      <c r="F38" s="356"/>
      <c r="G38" s="356"/>
      <c r="H38" s="356"/>
      <c r="I38" s="356"/>
      <c r="J38" s="2"/>
      <c r="K38" s="2"/>
      <c r="L38" s="2"/>
      <c r="M38" s="1"/>
      <c r="O38" s="305"/>
      <c r="P38" s="306"/>
      <c r="Q38" s="306"/>
      <c r="R38" s="302"/>
      <c r="S38" s="334"/>
    </row>
    <row r="39" spans="1:19" x14ac:dyDescent="0.3">
      <c r="A39" s="5"/>
      <c r="B39" s="15"/>
      <c r="D39" s="356"/>
      <c r="E39" s="356"/>
      <c r="F39" s="356"/>
      <c r="G39" s="356"/>
      <c r="H39" s="356"/>
      <c r="I39" s="356"/>
      <c r="J39" s="2"/>
      <c r="K39" s="2"/>
      <c r="L39" s="2"/>
      <c r="M39" s="1"/>
      <c r="O39" s="305"/>
      <c r="P39" s="306"/>
      <c r="Q39" s="306"/>
      <c r="R39" s="302"/>
      <c r="S39" s="334"/>
    </row>
    <row r="40" spans="1:19" x14ac:dyDescent="0.3">
      <c r="A40" s="5"/>
      <c r="B40" s="15"/>
      <c r="D40" s="356"/>
      <c r="E40" s="356"/>
      <c r="F40" s="356"/>
      <c r="G40" s="356"/>
      <c r="H40" s="356"/>
      <c r="I40" s="356"/>
      <c r="J40" s="2"/>
      <c r="K40" s="2"/>
      <c r="L40" s="2"/>
      <c r="M40" s="1"/>
      <c r="O40" s="318" t="s">
        <v>57</v>
      </c>
      <c r="P40" s="324"/>
      <c r="Q40" s="324"/>
      <c r="R40" s="332">
        <v>10</v>
      </c>
      <c r="S40" s="334">
        <v>3</v>
      </c>
    </row>
    <row r="41" spans="1:19" x14ac:dyDescent="0.3">
      <c r="A41" s="5"/>
      <c r="B41" s="15"/>
      <c r="D41" s="356"/>
      <c r="E41" s="356"/>
      <c r="F41" s="356"/>
      <c r="G41" s="356"/>
      <c r="H41" s="356"/>
      <c r="I41" s="356"/>
      <c r="J41" s="2"/>
      <c r="K41" s="2"/>
      <c r="L41" s="2"/>
      <c r="M41" s="1"/>
      <c r="O41" s="318"/>
      <c r="P41" s="324"/>
      <c r="Q41" s="324"/>
      <c r="R41" s="332"/>
      <c r="S41" s="334"/>
    </row>
    <row r="42" spans="1:19" x14ac:dyDescent="0.3">
      <c r="A42" s="5"/>
      <c r="B42" s="15"/>
      <c r="D42" s="356"/>
      <c r="E42" s="356"/>
      <c r="F42" s="356"/>
      <c r="G42" s="356"/>
      <c r="H42" s="356"/>
      <c r="I42" s="356"/>
      <c r="J42" s="2"/>
      <c r="K42" s="2"/>
      <c r="L42" s="2"/>
      <c r="M42" s="1"/>
      <c r="O42" s="305" t="s">
        <v>65</v>
      </c>
      <c r="P42" s="324"/>
      <c r="Q42" s="324"/>
      <c r="R42" s="332">
        <v>3</v>
      </c>
      <c r="S42" s="334">
        <v>1</v>
      </c>
    </row>
    <row r="43" spans="1:19" x14ac:dyDescent="0.3">
      <c r="A43" s="5"/>
      <c r="B43" s="15"/>
      <c r="D43" s="356"/>
      <c r="E43" s="356"/>
      <c r="F43" s="356"/>
      <c r="G43" s="356"/>
      <c r="H43" s="356"/>
      <c r="I43" s="356"/>
      <c r="J43" s="2"/>
      <c r="K43" s="2"/>
      <c r="L43" s="2"/>
      <c r="M43" s="1"/>
      <c r="O43" s="318"/>
      <c r="P43" s="324"/>
      <c r="Q43" s="324"/>
      <c r="R43" s="332"/>
      <c r="S43" s="334"/>
    </row>
    <row r="44" spans="1:19" x14ac:dyDescent="0.3">
      <c r="A44" s="5"/>
      <c r="B44" s="15"/>
      <c r="D44" s="356"/>
      <c r="E44" s="356"/>
      <c r="F44" s="356"/>
      <c r="G44" s="356"/>
      <c r="H44" s="356"/>
      <c r="I44" s="356"/>
      <c r="J44" s="2"/>
      <c r="K44" s="2"/>
      <c r="L44" s="2"/>
      <c r="M44" s="1"/>
      <c r="O44" s="318" t="s">
        <v>69</v>
      </c>
      <c r="P44" s="324"/>
      <c r="Q44" s="324"/>
      <c r="R44" s="332">
        <v>10</v>
      </c>
      <c r="S44" s="334">
        <v>3</v>
      </c>
    </row>
    <row r="45" spans="1:19" x14ac:dyDescent="0.3">
      <c r="A45" s="5"/>
      <c r="B45" s="15"/>
      <c r="D45" s="356"/>
      <c r="E45" s="356"/>
      <c r="F45" s="356"/>
      <c r="G45" s="356"/>
      <c r="H45" s="356"/>
      <c r="I45" s="356"/>
      <c r="J45" s="2"/>
      <c r="K45" s="2"/>
      <c r="L45" s="2"/>
      <c r="M45" s="1"/>
      <c r="O45" s="318"/>
      <c r="P45" s="324"/>
      <c r="Q45" s="324"/>
      <c r="R45" s="332"/>
      <c r="S45" s="334"/>
    </row>
    <row r="46" spans="1:19" x14ac:dyDescent="0.3">
      <c r="A46" s="5"/>
      <c r="B46" s="15"/>
      <c r="D46" s="356"/>
      <c r="E46" s="356"/>
      <c r="F46" s="356"/>
      <c r="G46" s="356"/>
      <c r="H46" s="356"/>
      <c r="I46" s="356"/>
      <c r="J46" s="2"/>
      <c r="K46" s="2"/>
      <c r="L46" s="2"/>
      <c r="M46" s="1"/>
      <c r="O46" s="318" t="s">
        <v>76</v>
      </c>
      <c r="P46" s="324"/>
      <c r="Q46" s="324"/>
      <c r="R46" s="332">
        <v>5</v>
      </c>
      <c r="S46" s="334">
        <v>1</v>
      </c>
    </row>
    <row r="47" spans="1:19" x14ac:dyDescent="0.3">
      <c r="A47" s="5"/>
      <c r="B47" s="15"/>
      <c r="D47" s="356"/>
      <c r="E47" s="356"/>
      <c r="F47" s="356"/>
      <c r="G47" s="356"/>
      <c r="H47" s="356"/>
      <c r="I47" s="356"/>
      <c r="J47" s="2"/>
      <c r="K47" s="2"/>
      <c r="L47" s="2"/>
      <c r="M47" s="1"/>
      <c r="O47" s="318"/>
      <c r="P47" s="324"/>
      <c r="Q47" s="324"/>
      <c r="R47" s="332"/>
      <c r="S47" s="334"/>
    </row>
    <row r="48" spans="1:19" x14ac:dyDescent="0.3">
      <c r="A48" s="5"/>
      <c r="B48" s="15"/>
      <c r="D48" s="356"/>
      <c r="E48" s="356"/>
      <c r="F48" s="356"/>
      <c r="G48" s="356"/>
      <c r="H48" s="356"/>
      <c r="I48" s="356"/>
      <c r="J48" s="2"/>
      <c r="K48" s="2"/>
      <c r="L48" s="2"/>
      <c r="M48" s="1"/>
      <c r="O48" s="318" t="s">
        <v>77</v>
      </c>
      <c r="P48" s="324"/>
      <c r="Q48" s="324"/>
      <c r="R48" s="332">
        <v>10</v>
      </c>
      <c r="S48" s="334">
        <v>3</v>
      </c>
    </row>
    <row r="49" spans="1:19" ht="15" thickBot="1" x14ac:dyDescent="0.35">
      <c r="A49" s="5"/>
      <c r="B49" s="15"/>
      <c r="D49" s="356"/>
      <c r="E49" s="356"/>
      <c r="F49" s="356"/>
      <c r="G49" s="356"/>
      <c r="H49" s="356"/>
      <c r="I49" s="356"/>
      <c r="J49" s="2"/>
      <c r="K49" s="2"/>
      <c r="L49" s="2"/>
      <c r="M49" s="1"/>
      <c r="O49" s="323"/>
      <c r="P49" s="325"/>
      <c r="Q49" s="325"/>
      <c r="R49" s="333"/>
      <c r="S49" s="335"/>
    </row>
    <row r="50" spans="1:19" x14ac:dyDescent="0.3">
      <c r="A50" s="5"/>
      <c r="B50" s="15"/>
      <c r="D50" s="356"/>
      <c r="E50" s="356"/>
      <c r="F50" s="356"/>
      <c r="G50" s="356"/>
      <c r="H50" s="356"/>
      <c r="I50" s="356"/>
      <c r="J50" s="2"/>
      <c r="K50" s="2"/>
      <c r="L50" s="2"/>
      <c r="M50" s="1"/>
    </row>
    <row r="51" spans="1:19" x14ac:dyDescent="0.3">
      <c r="A51" s="5"/>
      <c r="B51" s="15"/>
      <c r="D51" s="356"/>
      <c r="E51" s="356"/>
      <c r="F51" s="356"/>
      <c r="G51" s="356"/>
      <c r="H51" s="356"/>
      <c r="I51" s="356"/>
      <c r="J51" s="2"/>
      <c r="K51" s="2"/>
      <c r="L51" s="2"/>
      <c r="M51" s="1"/>
    </row>
    <row r="52" spans="1:19" x14ac:dyDescent="0.3">
      <c r="A52" s="5"/>
      <c r="B52" s="15"/>
      <c r="D52" s="356"/>
      <c r="E52" s="356"/>
      <c r="F52" s="356"/>
      <c r="G52" s="356"/>
      <c r="H52" s="356"/>
      <c r="I52" s="356"/>
      <c r="J52" s="2"/>
      <c r="K52" s="2"/>
      <c r="L52" s="2"/>
      <c r="M52" s="1"/>
    </row>
  </sheetData>
  <mergeCells count="90">
    <mergeCell ref="D20:I20"/>
    <mergeCell ref="O46:Q47"/>
    <mergeCell ref="R46:R47"/>
    <mergeCell ref="S46:S47"/>
    <mergeCell ref="O48:Q49"/>
    <mergeCell ref="R48:R49"/>
    <mergeCell ref="S48:S49"/>
    <mergeCell ref="O42:Q43"/>
    <mergeCell ref="R42:R43"/>
    <mergeCell ref="S42:S43"/>
    <mergeCell ref="O44:Q45"/>
    <mergeCell ref="R44:R45"/>
    <mergeCell ref="S44:S45"/>
    <mergeCell ref="O37:Q39"/>
    <mergeCell ref="R37:R39"/>
    <mergeCell ref="S37:S39"/>
    <mergeCell ref="O40:Q41"/>
    <mergeCell ref="R40:R41"/>
    <mergeCell ref="S40:S41"/>
    <mergeCell ref="E2:F2"/>
    <mergeCell ref="D29:I29"/>
    <mergeCell ref="D19:I19"/>
    <mergeCell ref="D21:I21"/>
    <mergeCell ref="D22:I22"/>
    <mergeCell ref="D10:I10"/>
    <mergeCell ref="D11:I11"/>
    <mergeCell ref="D12:I12"/>
    <mergeCell ref="A17:L17"/>
    <mergeCell ref="D18:I18"/>
    <mergeCell ref="D6:I6"/>
    <mergeCell ref="J2:O3"/>
    <mergeCell ref="O4:O5"/>
    <mergeCell ref="P1:Q1"/>
    <mergeCell ref="S4:S5"/>
    <mergeCell ref="P4:P5"/>
    <mergeCell ref="Q4:Q5"/>
    <mergeCell ref="R4:R5"/>
    <mergeCell ref="P2:U3"/>
    <mergeCell ref="U4:U5"/>
    <mergeCell ref="T4:T5"/>
    <mergeCell ref="D51:I51"/>
    <mergeCell ref="D52:I52"/>
    <mergeCell ref="D24:I24"/>
    <mergeCell ref="D49:I49"/>
    <mergeCell ref="D50:I50"/>
    <mergeCell ref="D35:I35"/>
    <mergeCell ref="D36:I36"/>
    <mergeCell ref="D37:I37"/>
    <mergeCell ref="D38:I38"/>
    <mergeCell ref="D31:I31"/>
    <mergeCell ref="D32:I32"/>
    <mergeCell ref="D33:I33"/>
    <mergeCell ref="D34:I34"/>
    <mergeCell ref="D45:I45"/>
    <mergeCell ref="D47:I47"/>
    <mergeCell ref="D48:I48"/>
    <mergeCell ref="D44:I44"/>
    <mergeCell ref="D46:I46"/>
    <mergeCell ref="D16:I16"/>
    <mergeCell ref="D30:I30"/>
    <mergeCell ref="A21:B30"/>
    <mergeCell ref="D23:I23"/>
    <mergeCell ref="D25:I25"/>
    <mergeCell ref="D26:I26"/>
    <mergeCell ref="D27:I27"/>
    <mergeCell ref="D28:I28"/>
    <mergeCell ref="A18:B19"/>
    <mergeCell ref="D39:I39"/>
    <mergeCell ref="D40:I40"/>
    <mergeCell ref="D41:I41"/>
    <mergeCell ref="D42:I42"/>
    <mergeCell ref="D43:I43"/>
    <mergeCell ref="A1:C1"/>
    <mergeCell ref="A2:C2"/>
    <mergeCell ref="A3:C3"/>
    <mergeCell ref="C4:C5"/>
    <mergeCell ref="A4:B5"/>
    <mergeCell ref="E3:F3"/>
    <mergeCell ref="D4:I5"/>
    <mergeCell ref="D15:I15"/>
    <mergeCell ref="D7:I7"/>
    <mergeCell ref="D8:I8"/>
    <mergeCell ref="D9:I9"/>
    <mergeCell ref="A6:B16"/>
    <mergeCell ref="D13:I13"/>
    <mergeCell ref="D14:I14"/>
    <mergeCell ref="M4:M5"/>
    <mergeCell ref="N4:N5"/>
    <mergeCell ref="J4:K4"/>
    <mergeCell ref="L4:L5"/>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7902F-70B0-426D-8939-227C947E2834}">
  <dimension ref="A1:AO154"/>
  <sheetViews>
    <sheetView zoomScale="40" zoomScaleNormal="70" zoomScaleSheetLayoutView="50" workbookViewId="0">
      <selection activeCell="P53" sqref="P53"/>
    </sheetView>
  </sheetViews>
  <sheetFormatPr defaultRowHeight="14.4" x14ac:dyDescent="0.3"/>
  <cols>
    <col min="1" max="1" width="20" customWidth="1"/>
    <col min="2" max="2" width="28.33203125" customWidth="1"/>
    <col min="3" max="3" width="14.5546875" customWidth="1"/>
    <col min="4" max="4" width="16.33203125" customWidth="1"/>
    <col min="5" max="5" width="16.5546875" customWidth="1"/>
    <col min="6" max="6" width="14.88671875" customWidth="1"/>
    <col min="7" max="7" width="18.88671875" customWidth="1"/>
    <col min="8" max="8" width="33.88671875" customWidth="1"/>
    <col min="9" max="9" width="31.5546875" customWidth="1"/>
    <col min="10" max="10" width="18.33203125" customWidth="1"/>
    <col min="11" max="11" width="22.88671875" customWidth="1"/>
    <col min="12" max="12" width="18.44140625" customWidth="1"/>
    <col min="13" max="13" width="11.33203125" customWidth="1"/>
    <col min="14" max="14" width="26.33203125" customWidth="1"/>
    <col min="15" max="15" width="16.44140625" customWidth="1"/>
    <col min="16" max="16" width="15.6640625" customWidth="1"/>
    <col min="17" max="17" width="25.33203125" customWidth="1"/>
    <col min="18" max="18" width="21" customWidth="1"/>
    <col min="19" max="19" width="22.44140625" customWidth="1"/>
    <col min="20" max="20" width="20.33203125" customWidth="1"/>
    <col min="21" max="21" width="19.44140625" customWidth="1"/>
    <col min="22" max="22" width="11" bestFit="1" customWidth="1"/>
    <col min="27" max="27" width="20" customWidth="1"/>
    <col min="35" max="35" width="71.5546875" customWidth="1"/>
    <col min="36" max="36" width="15.33203125" customWidth="1"/>
  </cols>
  <sheetData>
    <row r="1" spans="1:34" x14ac:dyDescent="0.3">
      <c r="G1" s="435" t="s">
        <v>343</v>
      </c>
      <c r="H1" s="436"/>
      <c r="I1" s="436"/>
      <c r="J1" s="436"/>
      <c r="K1" s="436"/>
      <c r="L1" s="436"/>
      <c r="M1" s="437"/>
    </row>
    <row r="2" spans="1:34" ht="15" thickBot="1" x14ac:dyDescent="0.35">
      <c r="G2" s="438"/>
      <c r="H2" s="439"/>
      <c r="I2" s="439"/>
      <c r="J2" s="439"/>
      <c r="K2" s="439"/>
      <c r="L2" s="439"/>
      <c r="M2" s="440"/>
    </row>
    <row r="4" spans="1:34" ht="31.2" customHeight="1" x14ac:dyDescent="0.3">
      <c r="A4" s="312" t="s">
        <v>344</v>
      </c>
      <c r="B4" s="441"/>
      <c r="C4" s="441"/>
      <c r="D4" s="313"/>
      <c r="G4" s="324" t="s">
        <v>345</v>
      </c>
      <c r="H4" s="324"/>
      <c r="J4" s="324" t="s">
        <v>346</v>
      </c>
      <c r="K4" s="324"/>
      <c r="N4" s="11" t="s">
        <v>347</v>
      </c>
      <c r="O4" s="10"/>
      <c r="P4" s="10"/>
      <c r="Q4" s="324" t="s">
        <v>348</v>
      </c>
      <c r="R4" s="324"/>
      <c r="S4" s="324"/>
      <c r="T4" s="324"/>
      <c r="U4" s="324"/>
    </row>
    <row r="5" spans="1:34" ht="71.400000000000006" customHeight="1" x14ac:dyDescent="0.3">
      <c r="A5" s="374"/>
      <c r="B5" s="374"/>
      <c r="C5" s="442" t="s">
        <v>349</v>
      </c>
      <c r="D5" s="443"/>
      <c r="E5" s="237"/>
      <c r="F5" s="225"/>
      <c r="G5" s="11" t="s">
        <v>350</v>
      </c>
      <c r="H5" s="223" t="s">
        <v>351</v>
      </c>
      <c r="I5" s="49"/>
      <c r="J5" s="11" t="s">
        <v>350</v>
      </c>
      <c r="K5" s="223" t="s">
        <v>351</v>
      </c>
      <c r="N5" s="223" t="s">
        <v>352</v>
      </c>
      <c r="O5" s="10"/>
      <c r="P5" s="10"/>
      <c r="Q5" s="293" t="s">
        <v>353</v>
      </c>
      <c r="R5" s="293" t="s">
        <v>354</v>
      </c>
      <c r="S5" s="293" t="s">
        <v>355</v>
      </c>
      <c r="T5" s="293" t="s">
        <v>356</v>
      </c>
      <c r="U5" s="293" t="s">
        <v>357</v>
      </c>
    </row>
    <row r="6" spans="1:34" ht="21.6" thickBot="1" x14ac:dyDescent="0.35">
      <c r="A6" s="306" t="s">
        <v>358</v>
      </c>
      <c r="B6" s="314"/>
      <c r="C6" s="445">
        <f>SUM('$_MAG_BUFFER'!R18:R19)</f>
        <v>858</v>
      </c>
      <c r="D6" s="446"/>
      <c r="E6" s="238"/>
      <c r="F6" s="227"/>
      <c r="G6" s="449">
        <f>'$_MAG_BUFFER'!R24+'$_MAG_BUFFER'!R26</f>
        <v>849.42</v>
      </c>
      <c r="H6" s="449">
        <f>'$_MAG_BUFFER'!R28+'$_MAG_BUFFER'!R30</f>
        <v>5940</v>
      </c>
      <c r="I6" s="226"/>
      <c r="J6" s="451">
        <f>'$_MAG_BUFFER'!R23+'$_MAG_BUFFER'!R25</f>
        <v>840.83999999999992</v>
      </c>
      <c r="K6" s="451">
        <f>'$_MAG_BUFFER'!R27+'$_MAG_BUFFER'!R29</f>
        <v>5880</v>
      </c>
      <c r="N6" s="455">
        <f>SUM('$_MAG_BUFFER'!R21:R22)</f>
        <v>832.26</v>
      </c>
      <c r="O6" s="225"/>
      <c r="P6" s="225"/>
      <c r="Q6" s="455">
        <f>SUM('$_MAG_BUFFER'!R6:R8)</f>
        <v>13014.772727272728</v>
      </c>
      <c r="R6" s="455">
        <f>SUM('$_MAG_BUFFER'!R9:R10)</f>
        <v>23318.181818181816</v>
      </c>
      <c r="S6" s="455">
        <f>SUM('$_MAG_BUFFER'!R13:R14)</f>
        <v>6995.454545454546</v>
      </c>
      <c r="T6" s="456">
        <f>SUM('$_MAG_BUFFER'!R11:R12)</f>
        <v>15156.818181818182</v>
      </c>
      <c r="U6" s="456">
        <f>SUM('$_MAG_BUFFER'!R15:R16)</f>
        <v>15156.818181818182</v>
      </c>
    </row>
    <row r="7" spans="1:34" ht="21.6" thickTop="1" x14ac:dyDescent="0.3">
      <c r="A7" s="306"/>
      <c r="B7" s="314"/>
      <c r="C7" s="453"/>
      <c r="D7" s="454"/>
      <c r="E7" s="239"/>
      <c r="F7" s="227"/>
      <c r="G7" s="449"/>
      <c r="H7" s="450"/>
      <c r="I7" s="227"/>
      <c r="J7" s="452"/>
      <c r="K7" s="452"/>
      <c r="N7" s="391"/>
      <c r="O7" s="225"/>
      <c r="P7" s="225"/>
      <c r="Q7" s="391"/>
      <c r="R7" s="391"/>
      <c r="S7" s="391"/>
      <c r="T7" s="457"/>
      <c r="U7" s="457"/>
      <c r="AB7" s="10"/>
      <c r="AC7" s="10"/>
      <c r="AD7" s="10"/>
      <c r="AE7" s="10"/>
      <c r="AF7" s="10"/>
      <c r="AG7" s="10"/>
      <c r="AH7" s="10"/>
    </row>
    <row r="8" spans="1:34" ht="21.6" thickBot="1" x14ac:dyDescent="0.35">
      <c r="A8" s="306" t="s">
        <v>359</v>
      </c>
      <c r="B8" s="314"/>
      <c r="C8" s="445">
        <f>SUM('$_MAG_BUFFER'!S18:S19)</f>
        <v>858</v>
      </c>
      <c r="D8" s="446"/>
      <c r="E8" s="238"/>
      <c r="F8" s="227"/>
      <c r="G8" s="449">
        <f>'$_MAG_BUFFER'!S24+'$_MAG_BUFFER'!S26</f>
        <v>35</v>
      </c>
      <c r="H8" s="449">
        <f>'$_MAG_BUFFER'!S28+'$_MAG_BUFFER'!S30</f>
        <v>30</v>
      </c>
      <c r="I8" s="226"/>
      <c r="J8" s="451">
        <f>'$_MAG_BUFFER'!S23+'$_MAG_BUFFER'!S25</f>
        <v>35</v>
      </c>
      <c r="K8" s="451">
        <f>'$_MAG_BUFFER'!S27+'$_MAG_BUFFER'!S29</f>
        <v>30</v>
      </c>
      <c r="N8" s="455">
        <f>SUM('$_MAG_BUFFER'!S21:S22)</f>
        <v>209</v>
      </c>
      <c r="O8" s="225"/>
      <c r="P8" s="225"/>
      <c r="Q8" s="455">
        <f>SUM('$_MAG_BUFFER'!S6:S8)</f>
        <v>522</v>
      </c>
      <c r="R8" s="455">
        <f>SUM('$_MAG_BUFFER'!S9:S10)</f>
        <v>117</v>
      </c>
      <c r="S8" s="455">
        <f>SUM('$_MAG_BUFFER'!S13:S14)</f>
        <v>584</v>
      </c>
      <c r="T8" s="456">
        <f>SUM('$_MAG_BUFFER'!S11:S12)</f>
        <v>304</v>
      </c>
      <c r="U8" s="456">
        <f>SUM('$_MAG_BUFFER'!S15:S16)</f>
        <v>1264</v>
      </c>
      <c r="W8" s="10"/>
      <c r="X8" s="10"/>
      <c r="AB8" s="10"/>
      <c r="AC8" s="10"/>
      <c r="AD8" s="10"/>
      <c r="AE8" s="10"/>
      <c r="AF8" s="10"/>
      <c r="AG8" s="10"/>
      <c r="AH8" s="10"/>
    </row>
    <row r="9" spans="1:34" ht="21.6" thickTop="1" x14ac:dyDescent="0.3">
      <c r="A9" s="444"/>
      <c r="B9" s="420"/>
      <c r="C9" s="447"/>
      <c r="D9" s="448"/>
      <c r="E9" s="239"/>
      <c r="F9" s="227"/>
      <c r="G9" s="449"/>
      <c r="H9" s="450"/>
      <c r="I9" s="227"/>
      <c r="J9" s="452"/>
      <c r="K9" s="452"/>
      <c r="N9" s="391"/>
      <c r="O9" s="225"/>
      <c r="P9" s="225"/>
      <c r="Q9" s="391"/>
      <c r="R9" s="391"/>
      <c r="S9" s="391"/>
      <c r="T9" s="457"/>
      <c r="U9" s="457"/>
      <c r="AB9" s="10"/>
      <c r="AC9" s="10"/>
      <c r="AD9" s="10"/>
      <c r="AE9" s="10"/>
      <c r="AF9" s="10"/>
      <c r="AG9" s="10"/>
      <c r="AH9" s="10"/>
    </row>
    <row r="10" spans="1:34" ht="21.6" thickBot="1" x14ac:dyDescent="0.35">
      <c r="A10" s="306" t="s">
        <v>360</v>
      </c>
      <c r="B10" s="314"/>
      <c r="C10" s="445" t="s">
        <v>81</v>
      </c>
      <c r="D10" s="446"/>
      <c r="E10" s="238"/>
      <c r="F10" s="227"/>
      <c r="G10" s="449" t="s">
        <v>125</v>
      </c>
      <c r="H10" s="449" t="s">
        <v>73</v>
      </c>
      <c r="I10" s="227"/>
      <c r="J10" s="449" t="str">
        <f>G10</f>
        <v>1500x2000</v>
      </c>
      <c r="K10" s="449" t="s">
        <v>361</v>
      </c>
      <c r="N10" s="455" t="s">
        <v>362</v>
      </c>
      <c r="O10" s="225"/>
      <c r="P10" s="225"/>
      <c r="Q10" s="455" t="s">
        <v>61</v>
      </c>
      <c r="R10" s="455" t="s">
        <v>73</v>
      </c>
      <c r="S10" s="455" t="s">
        <v>101</v>
      </c>
      <c r="T10" s="456" t="s">
        <v>117</v>
      </c>
      <c r="U10" s="455" t="s">
        <v>101</v>
      </c>
      <c r="AB10" s="10"/>
      <c r="AC10" s="10"/>
      <c r="AD10" s="10"/>
      <c r="AE10" s="10"/>
      <c r="AF10" s="10"/>
      <c r="AG10" s="10"/>
      <c r="AH10" s="10"/>
    </row>
    <row r="11" spans="1:34" ht="21.6" thickTop="1" x14ac:dyDescent="0.3">
      <c r="A11" s="444"/>
      <c r="B11" s="420"/>
      <c r="C11" s="447"/>
      <c r="D11" s="448"/>
      <c r="E11" s="239"/>
      <c r="F11" s="227"/>
      <c r="G11" s="449"/>
      <c r="H11" s="450"/>
      <c r="I11" s="227"/>
      <c r="J11" s="450"/>
      <c r="K11" s="450"/>
      <c r="N11" s="391"/>
      <c r="O11" s="225"/>
      <c r="P11" s="225"/>
      <c r="Q11" s="391"/>
      <c r="R11" s="391"/>
      <c r="S11" s="391"/>
      <c r="T11" s="457"/>
      <c r="U11" s="391"/>
      <c r="W11" s="226"/>
      <c r="X11" s="227"/>
      <c r="AB11" s="10"/>
      <c r="AC11" s="10"/>
      <c r="AD11" s="10"/>
      <c r="AE11" s="10"/>
      <c r="AF11" s="10"/>
      <c r="AG11" s="10"/>
      <c r="AH11" s="10"/>
    </row>
    <row r="12" spans="1:34" ht="21.6" thickBot="1" x14ac:dyDescent="0.35">
      <c r="A12" s="458" t="s">
        <v>363</v>
      </c>
      <c r="B12" s="459"/>
      <c r="C12" s="460">
        <v>1550</v>
      </c>
      <c r="D12" s="461"/>
      <c r="E12" s="240"/>
      <c r="F12" s="228"/>
      <c r="G12" s="449">
        <v>1550</v>
      </c>
      <c r="H12" s="450">
        <v>850</v>
      </c>
      <c r="I12" s="227"/>
      <c r="J12" s="449">
        <f>G12</f>
        <v>1550</v>
      </c>
      <c r="K12" s="449">
        <f>H12</f>
        <v>850</v>
      </c>
      <c r="N12" s="391">
        <v>1550</v>
      </c>
      <c r="O12" s="225"/>
      <c r="P12" s="225"/>
      <c r="Q12" s="391">
        <v>1550</v>
      </c>
      <c r="R12" s="391">
        <v>850</v>
      </c>
      <c r="S12" s="391">
        <v>1050</v>
      </c>
      <c r="T12" s="464">
        <v>850</v>
      </c>
      <c r="U12" s="391">
        <v>1050</v>
      </c>
      <c r="W12" s="227"/>
      <c r="X12" s="227"/>
      <c r="AB12" s="10"/>
      <c r="AC12" s="10"/>
      <c r="AD12" s="10"/>
      <c r="AE12" s="10"/>
      <c r="AF12" s="10"/>
      <c r="AG12" s="10"/>
      <c r="AH12" s="10"/>
    </row>
    <row r="13" spans="1:34" ht="21.6" thickTop="1" x14ac:dyDescent="0.3">
      <c r="A13" s="458"/>
      <c r="B13" s="459"/>
      <c r="C13" s="462"/>
      <c r="D13" s="463"/>
      <c r="E13" s="240"/>
      <c r="F13" s="228"/>
      <c r="G13" s="449"/>
      <c r="H13" s="450"/>
      <c r="I13" s="227"/>
      <c r="J13" s="450"/>
      <c r="K13" s="450"/>
      <c r="N13" s="391"/>
      <c r="O13" s="225"/>
      <c r="P13" s="225"/>
      <c r="Q13" s="391"/>
      <c r="R13" s="391"/>
      <c r="S13" s="391"/>
      <c r="T13" s="465"/>
      <c r="U13" s="391"/>
      <c r="AB13" s="10"/>
      <c r="AC13" s="10"/>
      <c r="AD13" s="10"/>
      <c r="AE13" s="10"/>
      <c r="AF13" s="10"/>
      <c r="AG13" s="10"/>
      <c r="AH13" s="10"/>
    </row>
    <row r="14" spans="1:34" ht="21.6" thickBot="1" x14ac:dyDescent="0.35">
      <c r="A14" s="466" t="s">
        <v>364</v>
      </c>
      <c r="B14" s="467"/>
      <c r="C14" s="460">
        <v>2100</v>
      </c>
      <c r="D14" s="461"/>
      <c r="E14" s="240"/>
      <c r="F14" s="228"/>
      <c r="G14" s="449">
        <v>2020</v>
      </c>
      <c r="H14" s="450">
        <v>1020</v>
      </c>
      <c r="I14" s="227"/>
      <c r="J14" s="449">
        <f t="shared" ref="J14:K14" si="0">G14</f>
        <v>2020</v>
      </c>
      <c r="K14" s="449">
        <f t="shared" si="0"/>
        <v>1020</v>
      </c>
      <c r="N14" s="391">
        <v>2020</v>
      </c>
      <c r="O14" s="225"/>
      <c r="P14" s="225"/>
      <c r="Q14" s="391">
        <v>2020</v>
      </c>
      <c r="R14" s="391">
        <v>1020</v>
      </c>
      <c r="S14" s="391">
        <v>2020</v>
      </c>
      <c r="T14" s="464">
        <v>1520</v>
      </c>
      <c r="U14" s="391">
        <v>2020</v>
      </c>
      <c r="AB14" s="10"/>
      <c r="AC14" s="10"/>
      <c r="AD14" s="10"/>
      <c r="AE14" s="10"/>
      <c r="AF14" s="10"/>
      <c r="AG14" s="10"/>
      <c r="AH14" s="10"/>
    </row>
    <row r="15" spans="1:34" ht="21.6" thickTop="1" x14ac:dyDescent="0.3">
      <c r="A15" s="468"/>
      <c r="B15" s="469"/>
      <c r="C15" s="470"/>
      <c r="D15" s="471"/>
      <c r="E15" s="240"/>
      <c r="F15" s="228"/>
      <c r="G15" s="449"/>
      <c r="H15" s="450"/>
      <c r="I15" s="227"/>
      <c r="J15" s="450"/>
      <c r="K15" s="450"/>
      <c r="N15" s="391"/>
      <c r="O15" s="225"/>
      <c r="P15" s="225"/>
      <c r="Q15" s="391"/>
      <c r="R15" s="391"/>
      <c r="S15" s="391"/>
      <c r="T15" s="465"/>
      <c r="U15" s="391"/>
      <c r="AB15" s="10"/>
      <c r="AC15" s="10"/>
      <c r="AD15" s="10"/>
      <c r="AE15" s="10"/>
      <c r="AF15" s="10"/>
      <c r="AG15" s="10"/>
      <c r="AH15" s="10"/>
    </row>
    <row r="16" spans="1:34" ht="21.6" thickBot="1" x14ac:dyDescent="0.35">
      <c r="A16" s="466" t="s">
        <v>365</v>
      </c>
      <c r="B16" s="467"/>
      <c r="C16" s="460">
        <v>1200</v>
      </c>
      <c r="D16" s="461"/>
      <c r="E16" s="240"/>
      <c r="F16" s="228"/>
      <c r="G16" s="449">
        <v>2000</v>
      </c>
      <c r="H16" s="450">
        <v>1000</v>
      </c>
      <c r="I16" s="227"/>
      <c r="J16" s="449">
        <f t="shared" ref="J16:K16" si="1">G16</f>
        <v>2000</v>
      </c>
      <c r="K16" s="449">
        <f t="shared" si="1"/>
        <v>1000</v>
      </c>
      <c r="N16" s="391">
        <v>2200</v>
      </c>
      <c r="O16" s="225"/>
      <c r="P16" s="225"/>
      <c r="Q16" s="391">
        <v>1200</v>
      </c>
      <c r="R16" s="391">
        <v>1000</v>
      </c>
      <c r="S16" s="391">
        <v>1200</v>
      </c>
      <c r="T16" s="464">
        <v>1000</v>
      </c>
      <c r="U16" s="391">
        <v>1200</v>
      </c>
      <c r="AB16" s="10"/>
      <c r="AC16" s="10"/>
      <c r="AD16" s="10"/>
      <c r="AE16" s="10"/>
      <c r="AF16" s="10"/>
      <c r="AG16" s="10"/>
      <c r="AH16" s="10"/>
    </row>
    <row r="17" spans="1:34" ht="21.6" thickTop="1" x14ac:dyDescent="0.3">
      <c r="A17" s="468"/>
      <c r="B17" s="469"/>
      <c r="C17" s="462"/>
      <c r="D17" s="463"/>
      <c r="E17" s="240"/>
      <c r="F17" s="228"/>
      <c r="G17" s="449"/>
      <c r="H17" s="450"/>
      <c r="I17" s="227"/>
      <c r="J17" s="450"/>
      <c r="K17" s="450"/>
      <c r="N17" s="391"/>
      <c r="O17" s="225"/>
      <c r="P17" s="225"/>
      <c r="Q17" s="391"/>
      <c r="R17" s="391"/>
      <c r="S17" s="391"/>
      <c r="T17" s="465"/>
      <c r="U17" s="391"/>
      <c r="W17" s="10"/>
      <c r="X17" s="10"/>
      <c r="AB17" s="10"/>
      <c r="AC17" s="10"/>
      <c r="AD17" s="10"/>
      <c r="AE17" s="10"/>
      <c r="AF17" s="10"/>
      <c r="AG17" s="10"/>
      <c r="AH17" s="10"/>
    </row>
    <row r="18" spans="1:34" ht="21.6" thickBot="1" x14ac:dyDescent="0.35">
      <c r="A18" s="324" t="s">
        <v>366</v>
      </c>
      <c r="B18" s="312"/>
      <c r="C18" s="472">
        <f>INT(C22/C16)+1</f>
        <v>9</v>
      </c>
      <c r="D18" s="446"/>
      <c r="E18" s="239"/>
      <c r="F18" s="227"/>
      <c r="G18" s="391">
        <f>INT(G22/G16)+1</f>
        <v>6</v>
      </c>
      <c r="H18" s="391">
        <f>INT(H22/H16)+1</f>
        <v>11</v>
      </c>
      <c r="I18" s="227"/>
      <c r="J18" s="391">
        <f>INT(J22/J16)+1</f>
        <v>6</v>
      </c>
      <c r="K18" s="391">
        <f>INT(K22/K16)+1</f>
        <v>11</v>
      </c>
      <c r="N18" s="391">
        <f>INT(N22/N16)+1</f>
        <v>5</v>
      </c>
      <c r="O18" s="23"/>
      <c r="P18" s="23"/>
      <c r="Q18" s="391">
        <f>INT(Q22/Q16)+1</f>
        <v>9</v>
      </c>
      <c r="R18" s="391">
        <f>INT(R22/R16)+1</f>
        <v>11</v>
      </c>
      <c r="S18" s="391">
        <f>INT(S22/S16)+1</f>
        <v>9</v>
      </c>
      <c r="T18" s="464">
        <f>INT(T22/T16)+1</f>
        <v>11</v>
      </c>
      <c r="U18" s="391">
        <f>INT(U22/U16)+1</f>
        <v>9</v>
      </c>
      <c r="AB18" s="10"/>
      <c r="AC18" s="10"/>
      <c r="AD18" s="10"/>
      <c r="AE18" s="10"/>
      <c r="AF18" s="10"/>
      <c r="AG18" s="10"/>
      <c r="AH18" s="10"/>
    </row>
    <row r="19" spans="1:34" ht="21.6" thickTop="1" x14ac:dyDescent="0.3">
      <c r="A19" s="324"/>
      <c r="B19" s="312"/>
      <c r="C19" s="447"/>
      <c r="D19" s="448"/>
      <c r="E19" s="239"/>
      <c r="F19" s="227"/>
      <c r="G19" s="391"/>
      <c r="H19" s="391"/>
      <c r="I19" s="227"/>
      <c r="J19" s="391"/>
      <c r="K19" s="391"/>
      <c r="N19" s="391"/>
      <c r="O19" s="23"/>
      <c r="P19" s="23"/>
      <c r="Q19" s="391"/>
      <c r="R19" s="391"/>
      <c r="S19" s="391"/>
      <c r="T19" s="465"/>
      <c r="U19" s="391"/>
      <c r="AB19" s="10"/>
      <c r="AC19" s="10"/>
      <c r="AD19" s="10"/>
      <c r="AE19" s="10"/>
      <c r="AF19" s="10"/>
      <c r="AG19" s="10"/>
      <c r="AH19" s="10"/>
    </row>
    <row r="20" spans="1:34" ht="21.6" thickBot="1" x14ac:dyDescent="0.35">
      <c r="A20" s="324" t="s">
        <v>52</v>
      </c>
      <c r="B20" s="312"/>
      <c r="C20" s="474" t="s">
        <v>59</v>
      </c>
      <c r="D20" s="475"/>
      <c r="E20" s="241"/>
      <c r="F20" s="10"/>
      <c r="G20" s="449" t="s">
        <v>59</v>
      </c>
      <c r="H20" s="450" t="s">
        <v>367</v>
      </c>
      <c r="I20" s="227"/>
      <c r="J20" s="449" t="str">
        <f t="shared" ref="J20:K22" si="2">G20</f>
        <v>PEDANA</v>
      </c>
      <c r="K20" s="449" t="str">
        <f t="shared" si="2"/>
        <v>NORM</v>
      </c>
      <c r="N20" s="391" t="s">
        <v>368</v>
      </c>
      <c r="O20" s="23"/>
      <c r="P20" s="23"/>
      <c r="Q20" s="449" t="s">
        <v>59</v>
      </c>
      <c r="R20" s="391" t="s">
        <v>367</v>
      </c>
      <c r="S20" s="391" t="s">
        <v>368</v>
      </c>
      <c r="T20" s="464" t="s">
        <v>367</v>
      </c>
      <c r="U20" s="391" t="s">
        <v>368</v>
      </c>
    </row>
    <row r="21" spans="1:34" ht="21.6" thickTop="1" x14ac:dyDescent="0.3">
      <c r="A21" s="324"/>
      <c r="B21" s="312"/>
      <c r="C21" s="476"/>
      <c r="D21" s="477"/>
      <c r="E21" s="241"/>
      <c r="F21" s="10"/>
      <c r="G21" s="449"/>
      <c r="H21" s="450"/>
      <c r="I21" s="227"/>
      <c r="J21" s="450"/>
      <c r="K21" s="450"/>
      <c r="N21" s="391"/>
      <c r="O21" s="23"/>
      <c r="P21" s="23"/>
      <c r="Q21" s="450"/>
      <c r="R21" s="391"/>
      <c r="S21" s="391"/>
      <c r="T21" s="465"/>
      <c r="U21" s="391"/>
    </row>
    <row r="22" spans="1:34" ht="15" customHeight="1" thickBot="1" x14ac:dyDescent="0.35">
      <c r="A22" s="324" t="s">
        <v>369</v>
      </c>
      <c r="B22" s="324"/>
      <c r="C22" s="460">
        <v>10000</v>
      </c>
      <c r="D22" s="461"/>
      <c r="E22" s="241"/>
      <c r="F22" s="10"/>
      <c r="G22" s="451">
        <f>C22</f>
        <v>10000</v>
      </c>
      <c r="H22" s="473">
        <f>G22</f>
        <v>10000</v>
      </c>
      <c r="J22" s="449">
        <f t="shared" si="2"/>
        <v>10000</v>
      </c>
      <c r="K22" s="449">
        <f t="shared" si="2"/>
        <v>10000</v>
      </c>
      <c r="N22" s="391">
        <v>10000</v>
      </c>
      <c r="O22" s="23"/>
      <c r="P22" s="23"/>
      <c r="Q22" s="391">
        <v>10000</v>
      </c>
      <c r="R22" s="391">
        <v>10000</v>
      </c>
      <c r="S22" s="391">
        <v>10000</v>
      </c>
      <c r="T22" s="464">
        <v>10000</v>
      </c>
      <c r="U22" s="391">
        <v>10000</v>
      </c>
    </row>
    <row r="23" spans="1:34" ht="21" customHeight="1" thickTop="1" x14ac:dyDescent="0.3">
      <c r="A23" s="324"/>
      <c r="B23" s="324"/>
      <c r="C23" s="470"/>
      <c r="D23" s="471"/>
      <c r="E23" s="241"/>
      <c r="F23" s="10"/>
      <c r="G23" s="452"/>
      <c r="H23" s="473"/>
      <c r="J23" s="450"/>
      <c r="K23" s="450"/>
      <c r="N23" s="391"/>
      <c r="O23" s="23"/>
      <c r="P23" s="23"/>
      <c r="Q23" s="391"/>
      <c r="R23" s="391"/>
      <c r="S23" s="391"/>
      <c r="T23" s="465"/>
      <c r="U23" s="391"/>
    </row>
    <row r="24" spans="1:34" ht="30" customHeight="1" x14ac:dyDescent="0.3">
      <c r="A24" s="324" t="s">
        <v>370</v>
      </c>
      <c r="B24" s="312"/>
      <c r="C24" s="473">
        <v>4000</v>
      </c>
      <c r="D24" s="473"/>
      <c r="E24" s="10"/>
      <c r="F24" s="10"/>
      <c r="G24" s="246">
        <f>C24</f>
        <v>4000</v>
      </c>
      <c r="H24" s="246">
        <f>G24</f>
        <v>4000</v>
      </c>
      <c r="J24" s="12">
        <v>4000</v>
      </c>
      <c r="K24" s="12">
        <v>4000</v>
      </c>
      <c r="L24" s="1"/>
      <c r="N24" s="245">
        <v>4000</v>
      </c>
      <c r="O24" s="23"/>
      <c r="P24" s="23"/>
      <c r="Q24" s="245">
        <v>4000</v>
      </c>
      <c r="R24" s="245">
        <v>4000</v>
      </c>
      <c r="S24" s="245">
        <v>4000</v>
      </c>
      <c r="T24" s="245">
        <v>4000</v>
      </c>
      <c r="U24" s="245">
        <v>4000</v>
      </c>
    </row>
    <row r="25" spans="1:34" ht="15" thickBot="1" x14ac:dyDescent="0.35"/>
    <row r="26" spans="1:34" ht="25.8" x14ac:dyDescent="0.3">
      <c r="E26" s="224"/>
      <c r="F26" s="224"/>
      <c r="G26" s="435" t="s">
        <v>371</v>
      </c>
      <c r="H26" s="436"/>
      <c r="I26" s="436"/>
      <c r="J26" s="436"/>
      <c r="K26" s="436"/>
      <c r="L26" s="436"/>
      <c r="M26" s="437"/>
    </row>
    <row r="27" spans="1:34" ht="26.4" thickBot="1" x14ac:dyDescent="0.35">
      <c r="E27" s="224"/>
      <c r="F27" s="224"/>
      <c r="G27" s="438"/>
      <c r="H27" s="439"/>
      <c r="I27" s="439"/>
      <c r="J27" s="439"/>
      <c r="K27" s="439"/>
      <c r="L27" s="439"/>
      <c r="M27" s="440"/>
    </row>
    <row r="28" spans="1:34" ht="25.95" customHeight="1" x14ac:dyDescent="0.3">
      <c r="A28" s="309" t="s">
        <v>344</v>
      </c>
      <c r="B28" s="310"/>
      <c r="C28" s="310"/>
      <c r="D28" s="311"/>
      <c r="G28" s="324" t="s">
        <v>345</v>
      </c>
      <c r="H28" s="324"/>
      <c r="J28" s="324" t="s">
        <v>346</v>
      </c>
      <c r="K28" s="324"/>
      <c r="N28" s="11" t="s">
        <v>347</v>
      </c>
      <c r="Q28" s="324" t="s">
        <v>348</v>
      </c>
      <c r="R28" s="324"/>
      <c r="S28" s="324"/>
      <c r="T28" s="324"/>
      <c r="U28" s="324"/>
    </row>
    <row r="29" spans="1:34" ht="45.6" customHeight="1" x14ac:dyDescent="0.3">
      <c r="A29" s="374"/>
      <c r="B29" s="374"/>
      <c r="C29" s="442" t="s">
        <v>372</v>
      </c>
      <c r="D29" s="443"/>
      <c r="E29" s="237"/>
      <c r="F29" s="225"/>
      <c r="G29" s="11" t="s">
        <v>350</v>
      </c>
      <c r="H29" s="223" t="s">
        <v>373</v>
      </c>
      <c r="I29" s="49"/>
      <c r="J29" s="11" t="s">
        <v>350</v>
      </c>
      <c r="K29" s="223" t="s">
        <v>351</v>
      </c>
      <c r="N29" s="223" t="s">
        <v>352</v>
      </c>
      <c r="Q29" s="223" t="s">
        <v>353</v>
      </c>
      <c r="R29" s="223" t="s">
        <v>354</v>
      </c>
      <c r="S29" s="223" t="s">
        <v>355</v>
      </c>
      <c r="T29" s="223" t="s">
        <v>356</v>
      </c>
      <c r="U29" s="223" t="s">
        <v>357</v>
      </c>
    </row>
    <row r="30" spans="1:34" ht="21" x14ac:dyDescent="0.3">
      <c r="A30" s="478" t="s">
        <v>374</v>
      </c>
      <c r="B30" s="479"/>
      <c r="C30" s="482">
        <f>((C14*2)+C24)*C12/1000000</f>
        <v>12.71</v>
      </c>
      <c r="D30" s="483"/>
      <c r="E30" s="280"/>
      <c r="F30" s="229"/>
      <c r="G30" s="486">
        <f>((2*G14)+G24)*G12/1000000</f>
        <v>12.462</v>
      </c>
      <c r="H30" s="486">
        <f>((2*H14)+H24)*H12/1000000</f>
        <v>5.1340000000000003</v>
      </c>
      <c r="J30" s="486">
        <f>((2*J14)+J24)*J12/1000000</f>
        <v>12.462</v>
      </c>
      <c r="K30" s="486">
        <f>((2*K14)+K24)*K12/1000000</f>
        <v>5.1340000000000003</v>
      </c>
      <c r="N30" s="486">
        <f>((2*N14)+N24)*N12/1000000</f>
        <v>12.462</v>
      </c>
      <c r="O30" s="23"/>
      <c r="P30" s="23"/>
      <c r="Q30" s="486">
        <f>((2*Q14)+Q24)*Q12/1000000</f>
        <v>12.462</v>
      </c>
      <c r="R30" s="486">
        <f>((2*R14)+R24)*R12/1000000</f>
        <v>5.1340000000000003</v>
      </c>
      <c r="S30" s="486">
        <f>((2*S14)+S24)*S12/1000000</f>
        <v>8.4420000000000002</v>
      </c>
      <c r="T30" s="486">
        <f>((2*T14)+T24)*T12/1000000</f>
        <v>5.984</v>
      </c>
      <c r="U30" s="486">
        <f>((2*U14)+U24)*U12/1000000</f>
        <v>8.4420000000000002</v>
      </c>
    </row>
    <row r="31" spans="1:34" ht="21" x14ac:dyDescent="0.3">
      <c r="A31" s="480"/>
      <c r="B31" s="481"/>
      <c r="C31" s="484"/>
      <c r="D31" s="485"/>
      <c r="E31" s="280"/>
      <c r="F31" s="229"/>
      <c r="G31" s="486"/>
      <c r="H31" s="486"/>
      <c r="J31" s="486"/>
      <c r="K31" s="486"/>
      <c r="N31" s="486"/>
      <c r="O31" s="23"/>
      <c r="P31" s="23"/>
      <c r="Q31" s="486"/>
      <c r="R31" s="486"/>
      <c r="S31" s="486"/>
      <c r="T31" s="486"/>
      <c r="U31" s="486"/>
    </row>
    <row r="32" spans="1:34" ht="21" x14ac:dyDescent="0.3">
      <c r="A32" s="324" t="s">
        <v>375</v>
      </c>
      <c r="B32" s="324"/>
      <c r="C32" s="450">
        <f>C18*2</f>
        <v>18</v>
      </c>
      <c r="D32" s="488"/>
      <c r="E32" s="239"/>
      <c r="F32" s="227"/>
      <c r="G32" s="489">
        <f>G18*2</f>
        <v>12</v>
      </c>
      <c r="H32" s="489">
        <f>H18*2</f>
        <v>22</v>
      </c>
      <c r="J32" s="489">
        <f>J18*2</f>
        <v>12</v>
      </c>
      <c r="K32" s="489">
        <f>K18*2</f>
        <v>22</v>
      </c>
      <c r="N32" s="489">
        <f>N18*2</f>
        <v>10</v>
      </c>
      <c r="O32" s="23"/>
      <c r="P32" s="23"/>
      <c r="Q32" s="489">
        <f>Q18*2</f>
        <v>18</v>
      </c>
      <c r="R32" s="489">
        <f>R18*2</f>
        <v>22</v>
      </c>
      <c r="S32" s="489">
        <f>S18*2</f>
        <v>18</v>
      </c>
      <c r="T32" s="489">
        <f t="shared" ref="T32:U32" si="3">T18*2</f>
        <v>22</v>
      </c>
      <c r="U32" s="489">
        <f t="shared" si="3"/>
        <v>18</v>
      </c>
    </row>
    <row r="33" spans="1:21" ht="21" x14ac:dyDescent="0.3">
      <c r="A33" s="324"/>
      <c r="B33" s="324"/>
      <c r="C33" s="450"/>
      <c r="D33" s="488"/>
      <c r="E33" s="239"/>
      <c r="F33" s="227"/>
      <c r="G33" s="489"/>
      <c r="H33" s="489"/>
      <c r="J33" s="489"/>
      <c r="K33" s="489"/>
      <c r="N33" s="489"/>
      <c r="O33" s="23"/>
      <c r="P33" s="23"/>
      <c r="Q33" s="489"/>
      <c r="R33" s="489"/>
      <c r="S33" s="489"/>
      <c r="T33" s="489"/>
      <c r="U33" s="489"/>
    </row>
    <row r="34" spans="1:21" ht="21" x14ac:dyDescent="0.3">
      <c r="A34" s="324" t="s">
        <v>376</v>
      </c>
      <c r="B34" s="324"/>
      <c r="C34" s="486">
        <f>C30/C32</f>
        <v>0.70611111111111113</v>
      </c>
      <c r="D34" s="487"/>
      <c r="E34" s="280"/>
      <c r="F34" s="229"/>
      <c r="G34" s="486">
        <f>G30/G32</f>
        <v>1.0385</v>
      </c>
      <c r="H34" s="486">
        <f>H30/H32</f>
        <v>0.23336363636363638</v>
      </c>
      <c r="J34" s="486">
        <f>J30/J32</f>
        <v>1.0385</v>
      </c>
      <c r="K34" s="486">
        <f>K30/K32</f>
        <v>0.23336363636363638</v>
      </c>
      <c r="N34" s="486">
        <f>N30/N32</f>
        <v>1.2462</v>
      </c>
      <c r="O34" s="23"/>
      <c r="P34" s="23"/>
      <c r="Q34" s="486">
        <f>Q30/Q32</f>
        <v>0.69233333333333336</v>
      </c>
      <c r="R34" s="486">
        <f>R30/R32</f>
        <v>0.23336363636363638</v>
      </c>
      <c r="S34" s="486">
        <f>S30/S32</f>
        <v>0.46900000000000003</v>
      </c>
      <c r="T34" s="486">
        <f t="shared" ref="T34:U34" si="4">T30/T32</f>
        <v>0.27200000000000002</v>
      </c>
      <c r="U34" s="486">
        <f t="shared" si="4"/>
        <v>0.46900000000000003</v>
      </c>
    </row>
    <row r="35" spans="1:21" ht="21" x14ac:dyDescent="0.3">
      <c r="A35" s="324"/>
      <c r="B35" s="324"/>
      <c r="C35" s="486"/>
      <c r="D35" s="487"/>
      <c r="E35" s="280"/>
      <c r="F35" s="229"/>
      <c r="G35" s="486"/>
      <c r="H35" s="486"/>
      <c r="J35" s="486"/>
      <c r="K35" s="486"/>
      <c r="N35" s="486"/>
      <c r="O35" s="23"/>
      <c r="P35" s="23"/>
      <c r="Q35" s="486"/>
      <c r="R35" s="486"/>
      <c r="S35" s="486"/>
      <c r="T35" s="486"/>
      <c r="U35" s="486"/>
    </row>
    <row r="36" spans="1:21" ht="21" x14ac:dyDescent="0.3">
      <c r="A36" s="324" t="s">
        <v>377</v>
      </c>
      <c r="B36" s="324"/>
      <c r="C36" s="490">
        <f>(C30-((C14*2)*C12)/1000000)/C30</f>
        <v>0.48780487804878053</v>
      </c>
      <c r="D36" s="491"/>
      <c r="E36" s="281"/>
      <c r="F36" s="230"/>
      <c r="G36" s="490">
        <f>(G30-((G14*2)*G12)/1000000)/G30</f>
        <v>0.49751243781094528</v>
      </c>
      <c r="H36" s="490">
        <f>(H30-((H14*2)*H12)/1000000)/H30</f>
        <v>0.66225165562913912</v>
      </c>
      <c r="J36" s="490">
        <f>(J30-((J14*2)*J12)/1000000)/J30</f>
        <v>0.49751243781094528</v>
      </c>
      <c r="K36" s="490">
        <f>(K30-((K14*2)*K12)/1000000)/K30</f>
        <v>0.66225165562913912</v>
      </c>
      <c r="N36" s="490">
        <f>(N30-((N14*2)*N12)/1000000)/N30</f>
        <v>0.49751243781094528</v>
      </c>
      <c r="O36" s="23"/>
      <c r="P36" s="23"/>
      <c r="Q36" s="490">
        <f>(Q30-((Q14*2)*Q12)/1000000)/Q30</f>
        <v>0.49751243781094528</v>
      </c>
      <c r="R36" s="490">
        <f>(R30-((R14*2)*R12)/1000000)/R30</f>
        <v>0.66225165562913912</v>
      </c>
      <c r="S36" s="490">
        <f>(S30-((S14*2)*S12)/1000000)/S30</f>
        <v>0.49751243781094528</v>
      </c>
      <c r="T36" s="490">
        <f>(T30-((T14*2)*T12)/1000000)/T30</f>
        <v>0.56818181818181812</v>
      </c>
      <c r="U36" s="490">
        <f>(U30-((U14*2)*U12)/1000000)/U30</f>
        <v>0.49751243781094528</v>
      </c>
    </row>
    <row r="37" spans="1:21" ht="21" x14ac:dyDescent="0.3">
      <c r="A37" s="324"/>
      <c r="B37" s="324"/>
      <c r="C37" s="490"/>
      <c r="D37" s="491"/>
      <c r="E37" s="281"/>
      <c r="F37" s="230"/>
      <c r="G37" s="490"/>
      <c r="H37" s="490"/>
      <c r="J37" s="490"/>
      <c r="K37" s="490"/>
      <c r="N37" s="490"/>
      <c r="O37" s="23"/>
      <c r="P37" s="23"/>
      <c r="Q37" s="490"/>
      <c r="R37" s="490"/>
      <c r="S37" s="490"/>
      <c r="T37" s="490"/>
      <c r="U37" s="490"/>
    </row>
    <row r="38" spans="1:21" ht="21" x14ac:dyDescent="0.3">
      <c r="A38" s="324" t="s">
        <v>378</v>
      </c>
      <c r="B38" s="324"/>
      <c r="C38" s="486">
        <f>C8*C34</f>
        <v>605.84333333333336</v>
      </c>
      <c r="D38" s="487"/>
      <c r="E38" s="280"/>
      <c r="F38" s="229"/>
      <c r="G38" s="486">
        <f>G34*G8</f>
        <v>36.347499999999997</v>
      </c>
      <c r="H38" s="486">
        <f>H34*H8</f>
        <v>7.0009090909090919</v>
      </c>
      <c r="J38" s="486">
        <f>J34*J8</f>
        <v>36.347499999999997</v>
      </c>
      <c r="K38" s="486">
        <f>K34*K8</f>
        <v>7.0009090909090919</v>
      </c>
      <c r="N38" s="486">
        <f>N34*N8</f>
        <v>260.45580000000001</v>
      </c>
      <c r="O38" s="23"/>
      <c r="P38" s="23"/>
      <c r="Q38" s="486">
        <f>Q34*Q8</f>
        <v>361.39800000000002</v>
      </c>
      <c r="R38" s="486">
        <f>R34*R8</f>
        <v>27.303545454545457</v>
      </c>
      <c r="S38" s="486">
        <f>S34*S8</f>
        <v>273.89600000000002</v>
      </c>
      <c r="T38" s="486">
        <f>T34*T8</f>
        <v>82.688000000000002</v>
      </c>
      <c r="U38" s="486">
        <f>U34*U8</f>
        <v>592.81600000000003</v>
      </c>
    </row>
    <row r="39" spans="1:21" ht="21" x14ac:dyDescent="0.3">
      <c r="A39" s="324"/>
      <c r="B39" s="324"/>
      <c r="C39" s="486"/>
      <c r="D39" s="487"/>
      <c r="E39" s="280"/>
      <c r="F39" s="229"/>
      <c r="G39" s="486"/>
      <c r="H39" s="486"/>
      <c r="J39" s="486"/>
      <c r="K39" s="486"/>
      <c r="N39" s="486"/>
      <c r="O39" s="23"/>
      <c r="P39" s="23"/>
      <c r="Q39" s="486"/>
      <c r="R39" s="486"/>
      <c r="S39" s="486"/>
      <c r="T39" s="486"/>
      <c r="U39" s="486"/>
    </row>
    <row r="40" spans="1:21" ht="15" thickBot="1" x14ac:dyDescent="0.35"/>
    <row r="41" spans="1:21" ht="37.200000000000003" customHeight="1" thickBot="1" x14ac:dyDescent="0.35">
      <c r="G41" s="492" t="s">
        <v>379</v>
      </c>
      <c r="H41" s="493"/>
      <c r="I41" s="493"/>
      <c r="J41" s="493"/>
      <c r="K41" s="493"/>
      <c r="L41" s="493"/>
      <c r="M41" s="494"/>
    </row>
    <row r="42" spans="1:21" x14ac:dyDescent="0.3">
      <c r="C42" s="23"/>
      <c r="D42" s="23"/>
      <c r="E42" s="23"/>
      <c r="F42" s="23"/>
    </row>
    <row r="43" spans="1:21" ht="21" x14ac:dyDescent="0.3">
      <c r="A43" s="306" t="s">
        <v>380</v>
      </c>
      <c r="B43" s="306"/>
      <c r="C43" s="486">
        <f>SQRT((3/2)*C38)</f>
        <v>30.145729382451506</v>
      </c>
      <c r="D43" s="486"/>
      <c r="E43" s="280"/>
      <c r="F43" s="229"/>
      <c r="G43" s="486">
        <f>SQRT((3/2)*G38)</f>
        <v>7.3838506214576141</v>
      </c>
      <c r="H43" s="486">
        <f>SQRT((3/2)*H38)</f>
        <v>3.2405807560318007</v>
      </c>
      <c r="J43" s="486">
        <f>SQRT((3/2)*J38)</f>
        <v>7.3838506214576141</v>
      </c>
      <c r="K43" s="486">
        <f>SQRT((3/2)*K38)</f>
        <v>3.2405807560318007</v>
      </c>
      <c r="N43" s="486">
        <f>SQRT((3/2)*N38)</f>
        <v>19.765720325857089</v>
      </c>
      <c r="O43" s="225"/>
      <c r="P43" s="225"/>
      <c r="Q43" s="486">
        <f>SQRT((3/2)*Q38)</f>
        <v>23.282976613826676</v>
      </c>
      <c r="R43" s="486">
        <f>SQRT((3/2)*R38)</f>
        <v>6.3996342225019536</v>
      </c>
      <c r="S43" s="486">
        <f>SQRT((3/2)*S38)</f>
        <v>20.269287111292297</v>
      </c>
      <c r="T43" s="486">
        <f t="shared" ref="T43:U43" si="5">SQRT((3/2)*T38)</f>
        <v>11.136965475388708</v>
      </c>
      <c r="U43" s="486">
        <f t="shared" si="5"/>
        <v>29.819859154596958</v>
      </c>
    </row>
    <row r="44" spans="1:21" ht="21" x14ac:dyDescent="0.3">
      <c r="A44" s="306"/>
      <c r="B44" s="306"/>
      <c r="C44" s="486"/>
      <c r="D44" s="486"/>
      <c r="E44" s="280"/>
      <c r="F44" s="229"/>
      <c r="G44" s="486"/>
      <c r="H44" s="486"/>
      <c r="J44" s="486"/>
      <c r="K44" s="486"/>
      <c r="N44" s="486"/>
      <c r="O44" s="225"/>
      <c r="P44" s="225"/>
      <c r="Q44" s="486"/>
      <c r="R44" s="486"/>
      <c r="S44" s="486"/>
      <c r="T44" s="486"/>
      <c r="U44" s="486"/>
    </row>
    <row r="45" spans="1:21" ht="21" x14ac:dyDescent="0.3">
      <c r="A45" s="306" t="s">
        <v>381</v>
      </c>
      <c r="B45" s="306"/>
      <c r="C45" s="486">
        <f>2*C43/3</f>
        <v>20.097152921634336</v>
      </c>
      <c r="D45" s="487"/>
      <c r="E45" s="280"/>
      <c r="F45" s="229"/>
      <c r="G45" s="486">
        <f>2*G43/3</f>
        <v>4.922567080971743</v>
      </c>
      <c r="H45" s="486">
        <f>2*H43/3</f>
        <v>2.160387170687867</v>
      </c>
      <c r="J45" s="486">
        <f>2*J43/3</f>
        <v>4.922567080971743</v>
      </c>
      <c r="K45" s="486">
        <f>2*K43/3</f>
        <v>2.160387170687867</v>
      </c>
      <c r="N45" s="486">
        <f>2*N43/3</f>
        <v>13.177146883904726</v>
      </c>
      <c r="O45" s="225"/>
      <c r="P45" s="225"/>
      <c r="Q45" s="486">
        <f>2*Q43/3</f>
        <v>15.521984409217785</v>
      </c>
      <c r="R45" s="486">
        <f>2*R43/3</f>
        <v>4.2664228150013024</v>
      </c>
      <c r="S45" s="486">
        <f>2*S43/3</f>
        <v>13.512858074194865</v>
      </c>
      <c r="T45" s="486">
        <f t="shared" ref="T45:U45" si="6">2*T43/3</f>
        <v>7.4246436502591386</v>
      </c>
      <c r="U45" s="486">
        <f t="shared" si="6"/>
        <v>19.879906103064638</v>
      </c>
    </row>
    <row r="46" spans="1:21" ht="21" x14ac:dyDescent="0.3">
      <c r="A46" s="306"/>
      <c r="B46" s="306"/>
      <c r="C46" s="486"/>
      <c r="D46" s="487"/>
      <c r="E46" s="280"/>
      <c r="F46" s="229"/>
      <c r="G46" s="486"/>
      <c r="H46" s="486"/>
      <c r="J46" s="486"/>
      <c r="K46" s="486"/>
      <c r="N46" s="486"/>
      <c r="O46" s="225"/>
      <c r="P46" s="225"/>
      <c r="Q46" s="486"/>
      <c r="R46" s="486"/>
      <c r="S46" s="486"/>
      <c r="T46" s="486"/>
      <c r="U46" s="486"/>
    </row>
    <row r="47" spans="1:21" ht="21" customHeight="1" x14ac:dyDescent="0.4">
      <c r="A47" s="306" t="s">
        <v>382</v>
      </c>
      <c r="B47" s="306"/>
      <c r="C47" s="501">
        <f>_xlfn.CEILING.MATH(C43/((C24+(2*C14))/1000))</f>
        <v>4</v>
      </c>
      <c r="D47" s="502"/>
      <c r="E47" s="282"/>
      <c r="F47" s="283"/>
      <c r="G47" s="450">
        <f>_xlfn.CEILING.MATH(G43/((G24+(2*G14))/1000))</f>
        <v>1</v>
      </c>
      <c r="H47" s="450">
        <f>_xlfn.CEILING.MATH(H43/((H24+(2*H14))/1000))</f>
        <v>1</v>
      </c>
      <c r="J47" s="450">
        <f>_xlfn.CEILING.MATH(J43/((J24+(2*J14))/1000))</f>
        <v>1</v>
      </c>
      <c r="K47" s="450">
        <f>_xlfn.CEILING.MATH(K43/((K24+(2*K14))/1000))</f>
        <v>1</v>
      </c>
      <c r="N47" s="450">
        <f>_xlfn.CEILING.MATH(N43/((N24+(2*N14))/1000))</f>
        <v>3</v>
      </c>
      <c r="O47" s="225"/>
      <c r="P47" s="225"/>
      <c r="Q47" s="450">
        <f>_xlfn.CEILING.MATH(Q43/((Q24+(2*Q14))/1000))</f>
        <v>3</v>
      </c>
      <c r="R47" s="450">
        <f>_xlfn.CEILING.MATH(R43/((R24+(2*R14))/1000))</f>
        <v>2</v>
      </c>
      <c r="S47" s="450">
        <f>_xlfn.CEILING.MATH(S43/((S24+(2*S14))/1000))</f>
        <v>3</v>
      </c>
      <c r="T47" s="450">
        <f>_xlfn.CEILING.MATH(T43/((T24+(2*T14))/1000))</f>
        <v>2</v>
      </c>
      <c r="U47" s="450">
        <f>_xlfn.CEILING.MATH(U43/((U24+(2*U14))/1000))</f>
        <v>4</v>
      </c>
    </row>
    <row r="48" spans="1:21" ht="21" x14ac:dyDescent="0.4">
      <c r="A48" s="306"/>
      <c r="B48" s="306"/>
      <c r="C48" s="503"/>
      <c r="D48" s="504"/>
      <c r="E48" s="282"/>
      <c r="F48" s="283"/>
      <c r="G48" s="450"/>
      <c r="H48" s="450"/>
      <c r="J48" s="450"/>
      <c r="K48" s="450"/>
      <c r="N48" s="450"/>
      <c r="O48" s="225"/>
      <c r="P48" s="225"/>
      <c r="Q48" s="450"/>
      <c r="R48" s="450"/>
      <c r="S48" s="450"/>
      <c r="T48" s="450"/>
      <c r="U48" s="450"/>
    </row>
    <row r="49" spans="1:41" ht="21" x14ac:dyDescent="0.4">
      <c r="A49" s="495" t="s">
        <v>383</v>
      </c>
      <c r="B49" s="495"/>
      <c r="C49" s="496">
        <f>C47*((C24/1000)+(2*(C14/1000)))</f>
        <v>32.799999999999997</v>
      </c>
      <c r="D49" s="497"/>
      <c r="E49" s="282"/>
      <c r="F49" s="283"/>
      <c r="G49" s="500">
        <f>G47*((G24/1000)+(2*(G14/1000)))</f>
        <v>8.0399999999999991</v>
      </c>
      <c r="H49" s="500">
        <f>H47*((H24/1000)+(2*(H14/1000)))</f>
        <v>6.04</v>
      </c>
      <c r="J49" s="500">
        <f>J47*((J24/1000)+(2*(J14/1000)))</f>
        <v>8.0399999999999991</v>
      </c>
      <c r="K49" s="500">
        <f>K47*((K24/1000)+(2*(K14/1000)))</f>
        <v>6.04</v>
      </c>
      <c r="N49" s="500">
        <f>N47*((N24/1000)+(2*(N14/1000)))</f>
        <v>24.119999999999997</v>
      </c>
      <c r="O49" s="225"/>
      <c r="P49" s="225"/>
      <c r="Q49" s="500">
        <f>Q47*((Q24/1000)+(2*(Q14/1000)))</f>
        <v>24.119999999999997</v>
      </c>
      <c r="R49" s="500">
        <f>R47*((R24/1000)+(2*(R14/1000)))</f>
        <v>12.08</v>
      </c>
      <c r="S49" s="500">
        <f>S47*((S24/1000)+(2*(S14/1000)))</f>
        <v>24.119999999999997</v>
      </c>
      <c r="T49" s="500">
        <f>T47*((T24/1000)+(2*(T14/1000)))</f>
        <v>14.08</v>
      </c>
      <c r="U49" s="500">
        <f>U47*((U24/1000)+(2*(U14/1000)))</f>
        <v>32.159999999999997</v>
      </c>
    </row>
    <row r="50" spans="1:41" ht="21" x14ac:dyDescent="0.4">
      <c r="A50" s="495"/>
      <c r="B50" s="495"/>
      <c r="C50" s="498"/>
      <c r="D50" s="499"/>
      <c r="E50" s="282"/>
      <c r="F50" s="283"/>
      <c r="G50" s="500"/>
      <c r="H50" s="500"/>
      <c r="J50" s="500"/>
      <c r="K50" s="500"/>
      <c r="N50" s="500"/>
      <c r="O50" s="225"/>
      <c r="P50" s="225"/>
      <c r="Q50" s="500"/>
      <c r="R50" s="500"/>
      <c r="S50" s="500"/>
      <c r="T50" s="500"/>
      <c r="U50" s="500"/>
    </row>
    <row r="51" spans="1:41" ht="21" customHeight="1" x14ac:dyDescent="0.4">
      <c r="A51" s="420" t="s">
        <v>384</v>
      </c>
      <c r="B51" s="421"/>
      <c r="C51" s="501">
        <f>_xlfn.CEILING.MATH(C8/(C47*2*C18))</f>
        <v>12</v>
      </c>
      <c r="D51" s="502"/>
      <c r="E51" s="282"/>
      <c r="F51" s="283"/>
      <c r="G51" s="450">
        <f>_xlfn.CEILING.MATH(G8/(G47*2*G18))</f>
        <v>3</v>
      </c>
      <c r="H51" s="450">
        <f>_xlfn.CEILING.MATH(H8/(H47*2*H18))</f>
        <v>2</v>
      </c>
      <c r="J51" s="450">
        <f>_xlfn.CEILING.MATH(J8/(J47*2*J18))</f>
        <v>3</v>
      </c>
      <c r="K51" s="450">
        <f>_xlfn.CEILING.MATH(K8/(K47*2*K18))</f>
        <v>2</v>
      </c>
      <c r="N51" s="450">
        <f>_xlfn.CEILING.MATH(N8/(N47*2*N18))</f>
        <v>7</v>
      </c>
      <c r="O51" s="225"/>
      <c r="P51" s="225"/>
      <c r="Q51" s="450">
        <f>_xlfn.CEILING.MATH(Q8/(Q47*2*Q18))</f>
        <v>10</v>
      </c>
      <c r="R51" s="450">
        <f>_xlfn.CEILING.MATH(R8/(R47*2*R18))</f>
        <v>3</v>
      </c>
      <c r="S51" s="450">
        <f>_xlfn.CEILING.MATH(S8/(S47*2*S18))</f>
        <v>11</v>
      </c>
      <c r="T51" s="450">
        <f>_xlfn.CEILING.MATH(T8/(T47*2*T18))</f>
        <v>7</v>
      </c>
      <c r="U51" s="450">
        <f>_xlfn.CEILING.MATH(U8/(U47*2*U18))</f>
        <v>18</v>
      </c>
    </row>
    <row r="52" spans="1:41" ht="21" x14ac:dyDescent="0.4">
      <c r="A52" s="424"/>
      <c r="B52" s="425"/>
      <c r="C52" s="503"/>
      <c r="D52" s="504"/>
      <c r="E52" s="282"/>
      <c r="F52" s="283"/>
      <c r="G52" s="450"/>
      <c r="H52" s="450"/>
      <c r="J52" s="450"/>
      <c r="K52" s="450"/>
      <c r="N52" s="450"/>
      <c r="O52" s="225"/>
      <c r="P52" s="225"/>
      <c r="Q52" s="450"/>
      <c r="R52" s="450"/>
      <c r="S52" s="450"/>
      <c r="T52" s="450"/>
      <c r="U52" s="450"/>
    </row>
    <row r="53" spans="1:41" ht="21" x14ac:dyDescent="0.4">
      <c r="A53" s="505" t="s">
        <v>385</v>
      </c>
      <c r="B53" s="506"/>
      <c r="C53" s="496">
        <f>C51*C12/1000</f>
        <v>18.600000000000001</v>
      </c>
      <c r="D53" s="497"/>
      <c r="E53" s="282"/>
      <c r="F53" s="283"/>
      <c r="G53" s="500">
        <f>G51*G12/1000</f>
        <v>4.6500000000000004</v>
      </c>
      <c r="H53" s="500">
        <f>H51*H12/1000</f>
        <v>1.7</v>
      </c>
      <c r="J53" s="500">
        <f>J51*J12/1000</f>
        <v>4.6500000000000004</v>
      </c>
      <c r="K53" s="500">
        <f>K51*K12/1000</f>
        <v>1.7</v>
      </c>
      <c r="N53" s="500">
        <f>N51*N12/1000</f>
        <v>10.85</v>
      </c>
      <c r="O53" s="225"/>
      <c r="P53" s="225"/>
      <c r="Q53" s="500">
        <f>Q51*Q12/1000</f>
        <v>15.5</v>
      </c>
      <c r="R53" s="500">
        <f>R51*R12/1000</f>
        <v>2.5499999999999998</v>
      </c>
      <c r="S53" s="500">
        <f>S51*S12/1000</f>
        <v>11.55</v>
      </c>
      <c r="T53" s="500">
        <f>T51*T12/1000</f>
        <v>5.95</v>
      </c>
      <c r="U53" s="500">
        <f>U51*U12/1000</f>
        <v>18.899999999999999</v>
      </c>
    </row>
    <row r="54" spans="1:41" ht="21" x14ac:dyDescent="0.4">
      <c r="A54" s="507"/>
      <c r="B54" s="508"/>
      <c r="C54" s="498"/>
      <c r="D54" s="499"/>
      <c r="E54" s="282"/>
      <c r="F54" s="283"/>
      <c r="G54" s="500"/>
      <c r="H54" s="500"/>
      <c r="J54" s="500"/>
      <c r="K54" s="500"/>
      <c r="N54" s="500"/>
      <c r="O54" s="225"/>
      <c r="P54" s="225"/>
      <c r="Q54" s="500"/>
      <c r="R54" s="500"/>
      <c r="S54" s="500"/>
      <c r="T54" s="500"/>
      <c r="U54" s="500"/>
    </row>
    <row r="55" spans="1:41" ht="21" x14ac:dyDescent="0.4">
      <c r="A55" s="420" t="s">
        <v>386</v>
      </c>
      <c r="B55" s="421"/>
      <c r="C55" s="509">
        <f>2*C47*C51*C18</f>
        <v>864</v>
      </c>
      <c r="D55" s="510"/>
      <c r="E55" s="284"/>
      <c r="F55" s="234"/>
      <c r="G55" s="450">
        <f>2*G47*G51*G18</f>
        <v>36</v>
      </c>
      <c r="H55" s="450">
        <f>2*H47*H51*H18</f>
        <v>44</v>
      </c>
      <c r="J55" s="450">
        <f>2*J47*J51*J18</f>
        <v>36</v>
      </c>
      <c r="K55" s="450">
        <f>2*K47*K51*K18</f>
        <v>44</v>
      </c>
      <c r="N55" s="450">
        <f>2*N47*N51*N18</f>
        <v>210</v>
      </c>
      <c r="O55" s="225"/>
      <c r="P55" s="225"/>
      <c r="Q55" s="450">
        <f>2*Q47*Q51*Q18</f>
        <v>540</v>
      </c>
      <c r="R55" s="450">
        <f>2*R47*R51*R18</f>
        <v>132</v>
      </c>
      <c r="S55" s="450">
        <f>2*S47*S51*S18</f>
        <v>594</v>
      </c>
      <c r="T55" s="450">
        <f t="shared" ref="T55:U55" si="7">2*T47*T51*T18</f>
        <v>308</v>
      </c>
      <c r="U55" s="450">
        <f t="shared" si="7"/>
        <v>1296</v>
      </c>
    </row>
    <row r="56" spans="1:41" ht="21" x14ac:dyDescent="0.4">
      <c r="A56" s="424"/>
      <c r="B56" s="425"/>
      <c r="C56" s="511"/>
      <c r="D56" s="512"/>
      <c r="E56" s="284"/>
      <c r="F56" s="234"/>
      <c r="G56" s="450"/>
      <c r="H56" s="450"/>
      <c r="J56" s="450"/>
      <c r="K56" s="450"/>
      <c r="N56" s="450"/>
      <c r="O56" s="225"/>
      <c r="P56" s="225"/>
      <c r="Q56" s="450"/>
      <c r="R56" s="450"/>
      <c r="S56" s="450"/>
      <c r="T56" s="450"/>
      <c r="U56" s="450"/>
    </row>
    <row r="57" spans="1:41" ht="21" customHeight="1" x14ac:dyDescent="0.45">
      <c r="A57" s="517" t="s">
        <v>387</v>
      </c>
      <c r="B57" s="518"/>
      <c r="C57" s="521">
        <f>C49*C53</f>
        <v>610.08000000000004</v>
      </c>
      <c r="D57" s="522"/>
      <c r="E57" s="284"/>
      <c r="F57" s="234"/>
      <c r="G57" s="516">
        <f>G49*G53</f>
        <v>37.385999999999996</v>
      </c>
      <c r="H57" s="516">
        <f>H49*H53</f>
        <v>10.267999999999999</v>
      </c>
      <c r="J57" s="516">
        <f>J49*J53</f>
        <v>37.385999999999996</v>
      </c>
      <c r="K57" s="516">
        <f>K49*K53</f>
        <v>10.267999999999999</v>
      </c>
      <c r="N57" s="516">
        <f>N49*N53</f>
        <v>261.70199999999994</v>
      </c>
      <c r="O57" s="225"/>
      <c r="P57" s="225"/>
      <c r="Q57" s="516">
        <f>Q49*Q53</f>
        <v>373.85999999999996</v>
      </c>
      <c r="R57" s="516">
        <f>R49*R53</f>
        <v>30.803999999999998</v>
      </c>
      <c r="S57" s="516">
        <f>S49*S53</f>
        <v>278.58600000000001</v>
      </c>
      <c r="T57" s="516">
        <f t="shared" ref="T57:U57" si="8">T49*T53</f>
        <v>83.775999999999996</v>
      </c>
      <c r="U57" s="516">
        <f t="shared" si="8"/>
        <v>607.82399999999984</v>
      </c>
      <c r="V57" s="242"/>
    </row>
    <row r="58" spans="1:41" ht="21" x14ac:dyDescent="0.4">
      <c r="A58" s="519"/>
      <c r="B58" s="520"/>
      <c r="C58" s="523"/>
      <c r="D58" s="524"/>
      <c r="E58" s="284"/>
      <c r="F58" s="234"/>
      <c r="G58" s="516"/>
      <c r="H58" s="516"/>
      <c r="J58" s="516"/>
      <c r="K58" s="516"/>
      <c r="N58" s="516"/>
      <c r="O58" s="225"/>
      <c r="P58" s="225"/>
      <c r="Q58" s="516"/>
      <c r="R58" s="516"/>
      <c r="S58" s="516"/>
      <c r="T58" s="516"/>
      <c r="U58" s="516"/>
    </row>
    <row r="59" spans="1:41" ht="14.4" customHeight="1" x14ac:dyDescent="0.3">
      <c r="A59" s="324" t="s">
        <v>388</v>
      </c>
      <c r="B59" s="324"/>
      <c r="C59" s="513">
        <f>C49/C53</f>
        <v>1.7634408602150535</v>
      </c>
      <c r="D59" s="513"/>
      <c r="G59" s="514">
        <f>G49/G53</f>
        <v>1.7290322580645159</v>
      </c>
      <c r="H59" s="514">
        <f>H49/H53</f>
        <v>3.5529411764705885</v>
      </c>
      <c r="J59" s="514">
        <f>J49/J53</f>
        <v>1.7290322580645159</v>
      </c>
      <c r="K59" s="514">
        <f>K49/K53</f>
        <v>3.5529411764705885</v>
      </c>
      <c r="N59" s="514">
        <f>N49/N53</f>
        <v>2.2230414746543778</v>
      </c>
      <c r="Q59" s="514">
        <f>Q49/Q53</f>
        <v>1.5561290322580643</v>
      </c>
      <c r="R59" s="514">
        <f>R49/R53</f>
        <v>4.7372549019607844</v>
      </c>
      <c r="S59" s="514">
        <f>S49/S53</f>
        <v>2.0883116883116881</v>
      </c>
      <c r="T59" s="514">
        <f t="shared" ref="T59:U59" si="9">T49/T53</f>
        <v>2.3663865546218488</v>
      </c>
      <c r="U59" s="514">
        <f t="shared" si="9"/>
        <v>1.7015873015873015</v>
      </c>
    </row>
    <row r="60" spans="1:41" ht="14.4" customHeight="1" x14ac:dyDescent="0.3">
      <c r="A60" s="324"/>
      <c r="B60" s="324"/>
      <c r="C60" s="513"/>
      <c r="D60" s="513"/>
      <c r="G60" s="515"/>
      <c r="H60" s="515"/>
      <c r="J60" s="515"/>
      <c r="K60" s="515"/>
      <c r="N60" s="515"/>
      <c r="Q60" s="515"/>
      <c r="R60" s="515"/>
      <c r="S60" s="515"/>
      <c r="T60" s="515"/>
      <c r="U60" s="515"/>
    </row>
    <row r="64" spans="1:41" ht="46.2" x14ac:dyDescent="0.3">
      <c r="A64" s="233"/>
      <c r="B64" s="233"/>
      <c r="C64" s="233"/>
      <c r="D64" s="233"/>
      <c r="E64" s="233"/>
      <c r="F64" s="233"/>
      <c r="G64" s="233"/>
      <c r="H64" s="233"/>
      <c r="I64" s="233"/>
      <c r="J64" s="233"/>
      <c r="K64" s="233"/>
      <c r="L64" s="233"/>
      <c r="M64" s="233"/>
      <c r="N64" s="233"/>
      <c r="O64" s="233"/>
      <c r="P64" s="233"/>
      <c r="Q64" s="294"/>
      <c r="R64" s="233"/>
      <c r="S64" s="233"/>
      <c r="T64" s="233"/>
      <c r="U64" s="233"/>
      <c r="V64" s="233"/>
      <c r="W64" s="233"/>
      <c r="X64" s="233"/>
      <c r="Y64" s="233"/>
      <c r="Z64" s="233"/>
      <c r="AA64" s="233"/>
      <c r="AB64" s="233"/>
      <c r="AC64" s="233"/>
      <c r="AD64" s="233"/>
      <c r="AE64" s="233"/>
      <c r="AF64" s="233"/>
      <c r="AG64" s="233"/>
      <c r="AH64" s="233"/>
      <c r="AI64" s="233"/>
      <c r="AJ64" s="233"/>
      <c r="AK64" s="233"/>
      <c r="AL64" s="233"/>
      <c r="AM64" s="233"/>
      <c r="AN64" s="233"/>
      <c r="AO64" s="233"/>
    </row>
    <row r="66" spans="1:35" ht="15.6" x14ac:dyDescent="0.3">
      <c r="A66" s="231"/>
      <c r="B66" s="231"/>
      <c r="C66" s="285"/>
      <c r="D66" s="285"/>
    </row>
    <row r="67" spans="1:35" ht="28.8" x14ac:dyDescent="0.55000000000000004">
      <c r="A67" s="231"/>
      <c r="B67" s="231"/>
      <c r="C67" s="285"/>
      <c r="D67" s="285"/>
      <c r="X67" s="232"/>
      <c r="Y67" s="232"/>
      <c r="Z67" s="232"/>
      <c r="AA67" s="232"/>
      <c r="AB67" s="232"/>
      <c r="AC67" s="232"/>
      <c r="AD67" s="232"/>
      <c r="AE67" s="232"/>
      <c r="AF67" s="232"/>
      <c r="AG67" s="232"/>
      <c r="AH67" s="232"/>
      <c r="AI67" s="232"/>
    </row>
    <row r="68" spans="1:35" ht="28.8" x14ac:dyDescent="0.55000000000000004">
      <c r="A68" s="231"/>
      <c r="B68" s="231"/>
      <c r="C68" s="285"/>
      <c r="D68" s="285"/>
      <c r="X68" s="232"/>
      <c r="Y68" s="232"/>
      <c r="Z68" s="232"/>
      <c r="AA68" s="232"/>
      <c r="AB68" s="232"/>
      <c r="AC68" s="232"/>
      <c r="AD68" s="232"/>
      <c r="AE68" s="232"/>
      <c r="AF68" s="232"/>
      <c r="AG68" s="232"/>
      <c r="AH68" s="232"/>
      <c r="AI68" s="232"/>
    </row>
    <row r="69" spans="1:35" ht="28.8" x14ac:dyDescent="0.55000000000000004">
      <c r="A69" s="231"/>
      <c r="B69" s="231"/>
      <c r="X69" s="232"/>
      <c r="Y69" s="232"/>
      <c r="Z69" s="232"/>
      <c r="AA69" s="232"/>
      <c r="AB69" s="232"/>
      <c r="AC69" s="232"/>
      <c r="AD69" s="232"/>
      <c r="AE69" s="232"/>
      <c r="AF69" s="232"/>
      <c r="AG69" s="232"/>
      <c r="AH69" s="232"/>
      <c r="AI69" s="232"/>
    </row>
    <row r="70" spans="1:35" ht="28.8" x14ac:dyDescent="0.55000000000000004">
      <c r="A70" s="231"/>
      <c r="B70" s="231"/>
      <c r="C70" s="286"/>
      <c r="D70" s="286"/>
      <c r="X70" s="232"/>
      <c r="Y70" s="232"/>
      <c r="Z70" s="232"/>
      <c r="AA70" s="232"/>
      <c r="AB70" s="232"/>
      <c r="AC70" s="232"/>
      <c r="AD70" s="232"/>
      <c r="AE70" s="232"/>
      <c r="AF70" s="232"/>
      <c r="AG70" s="232"/>
      <c r="AH70" s="232"/>
      <c r="AI70" s="232"/>
    </row>
    <row r="71" spans="1:35" ht="28.8" x14ac:dyDescent="0.55000000000000004">
      <c r="A71" s="231"/>
      <c r="B71" s="231"/>
      <c r="C71" s="285"/>
      <c r="D71" s="285"/>
      <c r="X71" s="232"/>
      <c r="Y71" s="232"/>
      <c r="Z71" s="232"/>
      <c r="AA71" s="232"/>
      <c r="AB71" s="232"/>
      <c r="AC71" s="232"/>
      <c r="AD71" s="232"/>
      <c r="AE71" s="232"/>
      <c r="AF71" s="232"/>
      <c r="AG71" s="232"/>
      <c r="AH71" s="232"/>
      <c r="AI71" s="232"/>
    </row>
    <row r="72" spans="1:35" ht="28.8" x14ac:dyDescent="0.55000000000000004">
      <c r="A72" s="231"/>
      <c r="B72" s="231"/>
      <c r="C72" s="285"/>
      <c r="D72" s="285"/>
      <c r="X72" s="232"/>
      <c r="Y72" s="232"/>
      <c r="Z72" s="232"/>
      <c r="AA72" s="232"/>
      <c r="AB72" s="232"/>
      <c r="AC72" s="232"/>
      <c r="AD72" s="232"/>
      <c r="AE72" s="232"/>
      <c r="AF72" s="232"/>
      <c r="AG72" s="232"/>
      <c r="AH72" s="232"/>
      <c r="AI72" s="232"/>
    </row>
    <row r="73" spans="1:35" ht="28.8" x14ac:dyDescent="0.55000000000000004">
      <c r="A73" s="231"/>
      <c r="B73" s="231"/>
      <c r="C73" s="285"/>
      <c r="D73" s="285"/>
      <c r="X73" s="232"/>
      <c r="Y73" s="232"/>
      <c r="Z73" s="232"/>
      <c r="AA73" s="232"/>
      <c r="AB73" s="232"/>
      <c r="AC73" s="232"/>
      <c r="AD73" s="232"/>
      <c r="AE73" s="232"/>
      <c r="AF73" s="232"/>
      <c r="AG73" s="232"/>
      <c r="AH73" s="232"/>
      <c r="AI73" s="232"/>
    </row>
    <row r="74" spans="1:35" ht="28.8" x14ac:dyDescent="0.55000000000000004">
      <c r="A74" s="231"/>
      <c r="B74" s="231"/>
      <c r="C74" s="285"/>
      <c r="D74" s="285"/>
      <c r="X74" s="232"/>
      <c r="Y74" s="232"/>
      <c r="Z74" s="232"/>
      <c r="AA74" s="232"/>
      <c r="AB74" s="232"/>
      <c r="AC74" s="232"/>
      <c r="AD74" s="232"/>
      <c r="AE74" s="232"/>
      <c r="AF74" s="232"/>
      <c r="AG74" s="232"/>
      <c r="AH74" s="232"/>
      <c r="AI74" s="232"/>
    </row>
    <row r="75" spans="1:35" ht="28.8" x14ac:dyDescent="0.55000000000000004">
      <c r="X75" s="232"/>
      <c r="Y75" s="232"/>
      <c r="Z75" s="232"/>
      <c r="AA75" s="232"/>
      <c r="AB75" s="232"/>
      <c r="AC75" s="232"/>
      <c r="AD75" s="232"/>
      <c r="AE75" s="232"/>
      <c r="AF75" s="232"/>
      <c r="AG75" s="232"/>
      <c r="AH75" s="232"/>
      <c r="AI75" s="232"/>
    </row>
    <row r="76" spans="1:35" ht="28.8" x14ac:dyDescent="0.55000000000000004">
      <c r="A76" s="287"/>
      <c r="B76" s="287"/>
      <c r="C76" s="287"/>
      <c r="D76" s="287"/>
      <c r="E76" s="287"/>
      <c r="F76" s="287"/>
      <c r="G76" s="23"/>
      <c r="H76" s="23"/>
      <c r="J76" s="23"/>
      <c r="K76" s="23"/>
      <c r="N76" s="18"/>
      <c r="O76" s="1"/>
      <c r="Q76" s="49"/>
      <c r="R76" s="49"/>
      <c r="S76" s="49"/>
      <c r="T76" s="49"/>
      <c r="X76" s="232"/>
      <c r="Y76" s="232"/>
      <c r="Z76" s="232"/>
      <c r="AA76" s="232"/>
      <c r="AB76" s="232"/>
      <c r="AC76" s="232"/>
      <c r="AD76" s="232"/>
      <c r="AE76" s="232"/>
      <c r="AF76" s="232"/>
      <c r="AG76" s="232"/>
      <c r="AH76" s="232"/>
      <c r="AI76" s="232"/>
    </row>
    <row r="77" spans="1:35" ht="28.8" x14ac:dyDescent="0.55000000000000004">
      <c r="X77" s="232"/>
      <c r="Y77" s="232"/>
      <c r="Z77" s="232"/>
      <c r="AA77" s="232"/>
      <c r="AB77" s="232"/>
      <c r="AC77" s="232"/>
      <c r="AD77" s="232"/>
      <c r="AE77" s="232"/>
      <c r="AF77" s="232"/>
      <c r="AG77" s="232"/>
      <c r="AH77" s="232"/>
      <c r="AI77" s="232"/>
    </row>
    <row r="78" spans="1:35" ht="49.2" customHeight="1" x14ac:dyDescent="0.55000000000000004">
      <c r="C78" s="225"/>
      <c r="D78" s="225"/>
      <c r="E78" s="225"/>
      <c r="F78" s="225"/>
      <c r="G78" s="18"/>
      <c r="H78" s="243"/>
      <c r="J78" s="18"/>
      <c r="K78" s="243"/>
      <c r="N78" s="243"/>
      <c r="Q78" s="243"/>
      <c r="R78" s="243"/>
      <c r="S78" s="243"/>
      <c r="T78" s="243"/>
      <c r="X78" s="232"/>
      <c r="Y78" s="232"/>
      <c r="Z78" s="232"/>
      <c r="AA78" s="232"/>
      <c r="AB78" s="232"/>
      <c r="AC78" s="232"/>
      <c r="AD78" s="232"/>
      <c r="AE78" s="232"/>
      <c r="AF78" s="232"/>
      <c r="AG78" s="232"/>
      <c r="AH78" s="232"/>
      <c r="AI78" s="232"/>
    </row>
    <row r="79" spans="1:35" ht="25.95" customHeight="1" x14ac:dyDescent="0.55000000000000004">
      <c r="A79" s="288"/>
      <c r="B79" s="288"/>
      <c r="C79" s="229"/>
      <c r="D79" s="229"/>
      <c r="E79" s="229"/>
      <c r="F79" s="229"/>
      <c r="G79" s="229"/>
      <c r="H79" s="229"/>
      <c r="J79" s="229"/>
      <c r="K79" s="229"/>
      <c r="N79" s="229"/>
      <c r="Q79" s="229"/>
      <c r="R79" s="229"/>
      <c r="S79" s="229"/>
      <c r="T79" s="229"/>
      <c r="X79" s="232"/>
      <c r="Y79" s="232"/>
      <c r="Z79" s="232"/>
      <c r="AA79" s="232"/>
      <c r="AB79" s="232"/>
      <c r="AC79" s="232"/>
      <c r="AD79" s="232"/>
      <c r="AE79" s="232"/>
      <c r="AF79" s="232"/>
      <c r="AG79" s="232"/>
      <c r="AH79" s="232"/>
      <c r="AI79" s="232"/>
    </row>
    <row r="80" spans="1:35" ht="31.2" customHeight="1" x14ac:dyDescent="0.55000000000000004">
      <c r="A80" s="288"/>
      <c r="B80" s="288"/>
      <c r="C80" s="229"/>
      <c r="D80" s="229"/>
      <c r="E80" s="229"/>
      <c r="F80" s="229"/>
      <c r="G80" s="229"/>
      <c r="H80" s="229"/>
      <c r="J80" s="229"/>
      <c r="K80" s="229"/>
      <c r="N80" s="229"/>
      <c r="Q80" s="229"/>
      <c r="R80" s="229"/>
      <c r="S80" s="229"/>
      <c r="T80" s="229"/>
      <c r="X80" s="232"/>
      <c r="Y80" s="232"/>
      <c r="Z80" s="232"/>
      <c r="AA80" s="232"/>
      <c r="AB80" s="232"/>
      <c r="AC80" s="232"/>
      <c r="AD80" s="232"/>
      <c r="AE80" s="232"/>
      <c r="AF80" s="232"/>
      <c r="AG80" s="232"/>
      <c r="AH80" s="232"/>
      <c r="AI80" s="232"/>
    </row>
    <row r="81" spans="1:35" ht="34.950000000000003" customHeight="1" x14ac:dyDescent="0.55000000000000004">
      <c r="A81" s="225"/>
      <c r="B81" s="225"/>
      <c r="C81" s="229"/>
      <c r="D81" s="229"/>
      <c r="E81" s="229"/>
      <c r="F81" s="229"/>
      <c r="G81" s="229"/>
      <c r="H81" s="229"/>
      <c r="J81" s="229"/>
      <c r="K81" s="229"/>
      <c r="N81" s="229"/>
      <c r="Q81" s="229"/>
      <c r="R81" s="229"/>
      <c r="S81" s="229"/>
      <c r="T81" s="229"/>
      <c r="X81" s="232"/>
      <c r="Y81" s="232"/>
      <c r="Z81" s="232"/>
      <c r="AA81" s="232"/>
      <c r="AB81" s="232"/>
      <c r="AC81" s="232"/>
      <c r="AD81" s="232"/>
      <c r="AE81" s="232"/>
      <c r="AF81" s="232"/>
      <c r="AG81" s="232"/>
      <c r="AH81" s="232"/>
      <c r="AI81" s="232"/>
    </row>
    <row r="82" spans="1:35" ht="26.4" customHeight="1" x14ac:dyDescent="0.55000000000000004">
      <c r="A82" s="225"/>
      <c r="B82" s="225"/>
      <c r="C82" s="229"/>
      <c r="D82" s="229"/>
      <c r="E82" s="229"/>
      <c r="F82" s="229"/>
      <c r="G82" s="229"/>
      <c r="H82" s="229"/>
      <c r="J82" s="229"/>
      <c r="K82" s="229"/>
      <c r="N82" s="229"/>
      <c r="Q82" s="229"/>
      <c r="R82" s="229"/>
      <c r="S82" s="229"/>
      <c r="T82" s="229"/>
      <c r="X82" s="232"/>
      <c r="Y82" s="232"/>
      <c r="Z82" s="232"/>
      <c r="AA82" s="232"/>
      <c r="AB82" s="232"/>
      <c r="AC82" s="232"/>
      <c r="AD82" s="232"/>
      <c r="AE82" s="232"/>
      <c r="AF82" s="232"/>
      <c r="AG82" s="232"/>
      <c r="AH82" s="232"/>
      <c r="AI82" s="232"/>
    </row>
    <row r="83" spans="1:35" ht="24.6" customHeight="1" x14ac:dyDescent="0.55000000000000004">
      <c r="A83" s="225"/>
      <c r="B83" s="225"/>
      <c r="C83" s="229"/>
      <c r="D83" s="229"/>
      <c r="E83" s="229"/>
      <c r="F83" s="229"/>
      <c r="G83" s="229"/>
      <c r="H83" s="229"/>
      <c r="J83" s="229"/>
      <c r="K83" s="229"/>
      <c r="N83" s="229"/>
      <c r="Q83" s="229"/>
      <c r="R83" s="229"/>
      <c r="S83" s="229"/>
      <c r="T83" s="229"/>
      <c r="X83" s="232"/>
      <c r="Y83" s="232"/>
      <c r="Z83" s="232"/>
      <c r="AA83" s="232"/>
      <c r="AB83" s="232"/>
      <c r="AC83" s="232"/>
      <c r="AD83" s="232"/>
      <c r="AE83" s="232"/>
      <c r="AF83" s="232"/>
      <c r="AG83" s="232"/>
      <c r="AH83" s="232"/>
      <c r="AI83" s="232"/>
    </row>
    <row r="84" spans="1:35" ht="14.4" customHeight="1" x14ac:dyDescent="0.3">
      <c r="A84" s="225"/>
      <c r="B84" s="225"/>
      <c r="C84" s="229"/>
      <c r="D84" s="229"/>
      <c r="E84" s="229"/>
      <c r="G84" s="229"/>
      <c r="H84" s="229"/>
      <c r="J84" s="229"/>
      <c r="K84" s="229"/>
      <c r="N84" s="229"/>
      <c r="Q84" s="229"/>
      <c r="R84" s="229"/>
      <c r="S84" s="229"/>
      <c r="T84" s="229"/>
    </row>
    <row r="85" spans="1:35" ht="14.4" customHeight="1" x14ac:dyDescent="0.4">
      <c r="A85" s="225"/>
      <c r="B85" s="225"/>
      <c r="C85" s="283"/>
      <c r="D85" s="283"/>
      <c r="E85" s="283"/>
      <c r="F85" s="283"/>
      <c r="G85" s="229"/>
      <c r="H85" s="229"/>
      <c r="J85" s="229"/>
      <c r="K85" s="229"/>
      <c r="N85" s="229"/>
      <c r="Q85" s="229"/>
      <c r="R85" s="229"/>
      <c r="S85" s="229"/>
      <c r="T85" s="229"/>
    </row>
    <row r="86" spans="1:35" ht="14.4" customHeight="1" x14ac:dyDescent="0.4">
      <c r="A86" s="225"/>
      <c r="B86" s="225"/>
      <c r="C86" s="283"/>
      <c r="D86" s="283"/>
      <c r="E86" s="283"/>
      <c r="F86" s="283"/>
      <c r="G86" s="229"/>
      <c r="H86" s="229"/>
      <c r="J86" s="229"/>
      <c r="K86" s="229"/>
      <c r="N86" s="229"/>
      <c r="Q86" s="229"/>
      <c r="R86" s="229"/>
      <c r="S86" s="229"/>
      <c r="T86" s="229"/>
    </row>
    <row r="87" spans="1:35" ht="14.4" customHeight="1" x14ac:dyDescent="0.4">
      <c r="A87" s="225"/>
      <c r="B87" s="225"/>
      <c r="C87" s="283"/>
      <c r="D87" s="283"/>
      <c r="E87" s="283"/>
      <c r="F87" s="283"/>
      <c r="G87" s="229"/>
      <c r="H87" s="229"/>
      <c r="J87" s="229"/>
      <c r="K87" s="229"/>
      <c r="N87" s="229"/>
      <c r="Q87" s="229"/>
      <c r="R87" s="229"/>
      <c r="S87" s="229"/>
      <c r="T87" s="229"/>
    </row>
    <row r="88" spans="1:35" ht="14.4" customHeight="1" x14ac:dyDescent="0.4">
      <c r="A88" s="225"/>
      <c r="B88" s="225"/>
      <c r="C88" s="283"/>
      <c r="D88" s="283"/>
      <c r="E88" s="283"/>
      <c r="F88" s="283"/>
      <c r="G88" s="229"/>
      <c r="H88" s="229"/>
      <c r="J88" s="229"/>
      <c r="K88" s="229"/>
      <c r="N88" s="229"/>
      <c r="Q88" s="229"/>
      <c r="R88" s="229"/>
      <c r="S88" s="229"/>
      <c r="T88" s="229"/>
    </row>
    <row r="89" spans="1:35" ht="14.4" customHeight="1" x14ac:dyDescent="0.4">
      <c r="A89" s="225"/>
      <c r="B89" s="225"/>
      <c r="C89" s="283"/>
      <c r="D89" s="283"/>
      <c r="E89" s="283"/>
      <c r="F89" s="283"/>
      <c r="G89" s="229"/>
      <c r="H89" s="229"/>
      <c r="J89" s="229"/>
      <c r="K89" s="229"/>
      <c r="N89" s="229"/>
      <c r="Q89" s="229"/>
      <c r="R89" s="229"/>
      <c r="S89" s="229"/>
      <c r="T89" s="229"/>
    </row>
    <row r="90" spans="1:35" ht="14.4" customHeight="1" x14ac:dyDescent="0.4">
      <c r="A90" s="225"/>
      <c r="B90" s="225"/>
      <c r="C90" s="283"/>
      <c r="D90" s="283"/>
      <c r="E90" s="283"/>
      <c r="F90" s="283"/>
      <c r="G90" s="229"/>
      <c r="H90" s="229"/>
      <c r="J90" s="229"/>
      <c r="K90" s="229"/>
      <c r="N90" s="229"/>
      <c r="Q90" s="229"/>
      <c r="R90" s="229"/>
      <c r="S90" s="229"/>
      <c r="T90" s="229"/>
    </row>
    <row r="93" spans="1:35" ht="33.6" customHeight="1" x14ac:dyDescent="0.3">
      <c r="A93" s="225"/>
      <c r="B93" s="225"/>
      <c r="C93" s="265"/>
      <c r="D93" s="265"/>
      <c r="E93" s="23"/>
      <c r="F93" s="23"/>
      <c r="G93" s="265"/>
      <c r="H93" s="265"/>
      <c r="I93" s="23"/>
      <c r="J93" s="265"/>
      <c r="K93" s="265"/>
      <c r="L93" s="225"/>
      <c r="M93" s="225"/>
      <c r="N93" s="265"/>
      <c r="O93" s="225"/>
      <c r="P93" s="225"/>
      <c r="Q93" s="265"/>
      <c r="R93" s="265"/>
      <c r="S93" s="265"/>
      <c r="T93" s="265"/>
    </row>
    <row r="94" spans="1:35" ht="18" customHeight="1" x14ac:dyDescent="0.3">
      <c r="A94" s="225"/>
      <c r="B94" s="225"/>
      <c r="C94" s="265"/>
      <c r="D94" s="265"/>
      <c r="E94" s="23"/>
      <c r="F94" s="23"/>
      <c r="G94" s="265"/>
      <c r="H94" s="265"/>
      <c r="I94" s="23"/>
      <c r="J94" s="265"/>
      <c r="K94" s="265"/>
      <c r="L94" s="225"/>
      <c r="M94" s="225"/>
      <c r="N94" s="265"/>
      <c r="O94" s="225"/>
      <c r="P94" s="225"/>
      <c r="Q94" s="265"/>
      <c r="R94" s="265"/>
      <c r="S94" s="265"/>
      <c r="T94" s="265"/>
    </row>
    <row r="95" spans="1:35" ht="14.4" customHeight="1" x14ac:dyDescent="0.3">
      <c r="A95" s="225"/>
      <c r="B95" s="225"/>
      <c r="C95" s="215"/>
      <c r="D95" s="215"/>
      <c r="E95" s="225"/>
      <c r="F95" s="225"/>
      <c r="G95" s="215"/>
      <c r="H95" s="215"/>
      <c r="I95" s="225"/>
      <c r="J95" s="215"/>
      <c r="K95" s="215"/>
      <c r="L95" s="225"/>
      <c r="M95" s="225"/>
      <c r="N95" s="215"/>
      <c r="O95" s="225"/>
      <c r="P95" s="225"/>
      <c r="Q95" s="215"/>
      <c r="R95" s="215"/>
      <c r="S95" s="215"/>
      <c r="T95" s="215"/>
    </row>
    <row r="96" spans="1:35" x14ac:dyDescent="0.3">
      <c r="A96" s="225"/>
      <c r="B96" s="225"/>
      <c r="C96" s="215"/>
      <c r="D96" s="215"/>
      <c r="E96" s="225"/>
      <c r="F96" s="225"/>
      <c r="G96" s="215"/>
      <c r="H96" s="215"/>
      <c r="I96" s="225"/>
      <c r="J96" s="215"/>
      <c r="K96" s="215"/>
      <c r="L96" s="225"/>
      <c r="M96" s="225"/>
      <c r="N96" s="215"/>
      <c r="O96" s="225"/>
      <c r="P96" s="225"/>
      <c r="Q96" s="215"/>
      <c r="R96" s="215"/>
      <c r="S96" s="215"/>
      <c r="T96" s="215"/>
    </row>
    <row r="97" spans="1:20" ht="28.2" customHeight="1" x14ac:dyDescent="0.3">
      <c r="A97" s="225"/>
      <c r="B97" s="225"/>
      <c r="C97" s="215"/>
      <c r="D97" s="215"/>
      <c r="E97" s="225"/>
      <c r="F97" s="225"/>
      <c r="G97" s="215"/>
      <c r="H97" s="215"/>
      <c r="I97" s="225"/>
      <c r="J97" s="215"/>
      <c r="K97" s="215"/>
      <c r="L97" s="225"/>
      <c r="M97" s="225"/>
      <c r="N97" s="215"/>
      <c r="O97" s="225"/>
      <c r="P97" s="225"/>
      <c r="Q97" s="215"/>
      <c r="R97" s="215"/>
      <c r="S97" s="215"/>
      <c r="T97" s="215"/>
    </row>
    <row r="98" spans="1:20" ht="14.4" customHeight="1" x14ac:dyDescent="0.3">
      <c r="A98" s="225"/>
      <c r="B98" s="225"/>
      <c r="C98" s="215"/>
      <c r="D98" s="215"/>
      <c r="E98" s="225"/>
      <c r="F98" s="225"/>
      <c r="G98" s="215"/>
      <c r="H98" s="215"/>
      <c r="I98" s="225"/>
      <c r="J98" s="215"/>
      <c r="K98" s="215"/>
      <c r="L98" s="225"/>
      <c r="M98" s="225"/>
      <c r="N98" s="215"/>
      <c r="O98" s="225"/>
      <c r="P98" s="225"/>
      <c r="Q98" s="215"/>
      <c r="R98" s="215"/>
      <c r="S98" s="215"/>
      <c r="T98" s="215"/>
    </row>
    <row r="99" spans="1:20" x14ac:dyDescent="0.3">
      <c r="A99" s="225"/>
      <c r="B99" s="225"/>
      <c r="C99" s="215"/>
      <c r="D99" s="215"/>
      <c r="E99" s="225"/>
      <c r="F99" s="225"/>
      <c r="G99" s="215"/>
      <c r="H99" s="215"/>
      <c r="I99" s="225"/>
      <c r="J99" s="215"/>
      <c r="K99" s="215"/>
      <c r="L99" s="225"/>
      <c r="M99" s="225"/>
      <c r="N99" s="215"/>
      <c r="O99" s="225"/>
      <c r="P99" s="225"/>
      <c r="Q99" s="215"/>
      <c r="R99" s="215"/>
      <c r="S99" s="215"/>
      <c r="T99" s="215"/>
    </row>
    <row r="100" spans="1:20" ht="46.95" customHeight="1" x14ac:dyDescent="0.3">
      <c r="A100" s="225"/>
      <c r="B100" s="225"/>
      <c r="C100" s="215"/>
      <c r="D100" s="215"/>
      <c r="E100" s="225"/>
      <c r="F100" s="225"/>
      <c r="G100" s="215"/>
      <c r="H100" s="215"/>
      <c r="I100" s="225"/>
      <c r="J100" s="215"/>
      <c r="K100" s="215"/>
      <c r="L100" s="225"/>
      <c r="M100" s="225"/>
      <c r="N100" s="215"/>
      <c r="O100" s="225"/>
      <c r="P100" s="225"/>
      <c r="Q100" s="215"/>
      <c r="R100" s="215"/>
      <c r="S100" s="215"/>
      <c r="T100" s="215"/>
    </row>
    <row r="101" spans="1:20" ht="15" customHeight="1" x14ac:dyDescent="0.3">
      <c r="A101" s="225"/>
      <c r="B101" s="225"/>
      <c r="C101" s="215"/>
      <c r="D101" s="215"/>
      <c r="E101" s="225"/>
      <c r="F101" s="225"/>
      <c r="G101" s="215"/>
      <c r="H101" s="215"/>
      <c r="I101" s="225"/>
      <c r="J101" s="215"/>
      <c r="K101" s="215"/>
      <c r="L101" s="225"/>
      <c r="M101" s="225"/>
      <c r="N101" s="215"/>
      <c r="O101" s="225"/>
      <c r="P101" s="225"/>
      <c r="Q101" s="215"/>
      <c r="R101" s="215"/>
      <c r="S101" s="215"/>
      <c r="T101" s="215"/>
    </row>
    <row r="102" spans="1:20" x14ac:dyDescent="0.3">
      <c r="A102" s="225"/>
      <c r="B102" s="225"/>
      <c r="C102" s="215"/>
      <c r="D102" s="215"/>
      <c r="E102" s="225"/>
      <c r="F102" s="225"/>
      <c r="G102" s="215"/>
      <c r="H102" s="215"/>
      <c r="I102" s="225"/>
      <c r="J102" s="215"/>
      <c r="K102" s="215"/>
      <c r="L102" s="225"/>
      <c r="M102" s="225"/>
      <c r="N102" s="215"/>
      <c r="O102" s="225"/>
      <c r="P102" s="225"/>
      <c r="Q102" s="215"/>
      <c r="R102" s="215"/>
      <c r="S102" s="215"/>
      <c r="T102" s="215"/>
    </row>
    <row r="103" spans="1:20" x14ac:dyDescent="0.3">
      <c r="A103" s="225"/>
      <c r="B103" s="225"/>
      <c r="C103" s="215"/>
      <c r="D103" s="215"/>
      <c r="E103" s="225"/>
      <c r="F103" s="225"/>
      <c r="G103" s="215"/>
      <c r="H103" s="215"/>
      <c r="I103" s="225"/>
      <c r="J103" s="215"/>
      <c r="K103" s="215"/>
      <c r="L103" s="225"/>
      <c r="M103" s="225"/>
      <c r="N103" s="215"/>
      <c r="O103" s="225"/>
      <c r="P103" s="225"/>
      <c r="Q103" s="215"/>
      <c r="R103" s="215"/>
      <c r="S103" s="215"/>
      <c r="T103" s="215"/>
    </row>
    <row r="104" spans="1:20" ht="19.95" customHeight="1" x14ac:dyDescent="0.3">
      <c r="A104" s="225"/>
      <c r="B104" s="225"/>
      <c r="C104" s="215"/>
      <c r="D104" s="215"/>
      <c r="E104" s="225"/>
      <c r="F104" s="225"/>
      <c r="G104" s="215"/>
      <c r="H104" s="215"/>
      <c r="I104" s="225"/>
      <c r="J104" s="215"/>
      <c r="K104" s="215"/>
      <c r="L104" s="225"/>
      <c r="M104" s="225"/>
      <c r="N104" s="215"/>
      <c r="O104" s="225"/>
      <c r="P104" s="225"/>
      <c r="Q104" s="215"/>
      <c r="R104" s="215"/>
      <c r="S104" s="215"/>
      <c r="T104" s="215"/>
    </row>
    <row r="105" spans="1:20" x14ac:dyDescent="0.3">
      <c r="A105" s="225"/>
      <c r="B105" s="225"/>
      <c r="C105" s="215"/>
      <c r="D105" s="215"/>
      <c r="E105" s="225"/>
      <c r="F105" s="225"/>
      <c r="G105" s="215"/>
      <c r="H105" s="215"/>
      <c r="I105" s="225"/>
      <c r="J105" s="215"/>
      <c r="K105" s="215"/>
      <c r="L105" s="225"/>
      <c r="M105" s="225"/>
      <c r="N105" s="215"/>
      <c r="O105" s="225"/>
      <c r="P105" s="225"/>
      <c r="Q105" s="215"/>
      <c r="R105" s="215"/>
      <c r="S105" s="215"/>
      <c r="T105" s="215"/>
    </row>
    <row r="106" spans="1:20" x14ac:dyDescent="0.3">
      <c r="A106" s="225"/>
      <c r="B106" s="225"/>
      <c r="C106" s="215"/>
      <c r="D106" s="215"/>
      <c r="E106" s="225"/>
      <c r="F106" s="225"/>
      <c r="G106" s="215"/>
      <c r="H106" s="215"/>
      <c r="I106" s="225"/>
      <c r="J106" s="215"/>
      <c r="K106" s="215"/>
      <c r="L106" s="225"/>
      <c r="M106" s="225"/>
      <c r="N106" s="215"/>
      <c r="O106" s="225"/>
      <c r="P106" s="225"/>
      <c r="Q106" s="215"/>
      <c r="R106" s="215"/>
      <c r="S106" s="215"/>
      <c r="T106" s="215"/>
    </row>
    <row r="107" spans="1:20" ht="14.4" customHeight="1" x14ac:dyDescent="0.3">
      <c r="A107" s="225"/>
      <c r="B107" s="225"/>
      <c r="C107" s="215"/>
      <c r="D107" s="215"/>
      <c r="E107" s="225"/>
      <c r="F107" s="225"/>
      <c r="G107" s="215"/>
      <c r="H107" s="215"/>
      <c r="I107" s="225"/>
      <c r="J107" s="215"/>
      <c r="K107" s="215"/>
      <c r="L107" s="225"/>
      <c r="M107" s="225"/>
      <c r="N107" s="215"/>
      <c r="O107" s="225"/>
      <c r="P107" s="225"/>
      <c r="Q107" s="215"/>
      <c r="R107" s="215"/>
      <c r="S107" s="215"/>
      <c r="T107" s="215"/>
    </row>
    <row r="108" spans="1:20" x14ac:dyDescent="0.3">
      <c r="A108" s="225"/>
      <c r="B108" s="225"/>
      <c r="C108" s="215"/>
      <c r="D108" s="215"/>
      <c r="E108" s="225"/>
      <c r="F108" s="225"/>
      <c r="G108" s="215"/>
      <c r="H108" s="215"/>
      <c r="I108" s="225"/>
      <c r="J108" s="215"/>
      <c r="K108" s="215"/>
      <c r="L108" s="225"/>
      <c r="M108" s="225"/>
      <c r="N108" s="215"/>
      <c r="O108" s="225"/>
      <c r="P108" s="225"/>
      <c r="Q108" s="215"/>
      <c r="R108" s="215"/>
      <c r="S108" s="215"/>
      <c r="T108" s="215"/>
    </row>
    <row r="109" spans="1:20" x14ac:dyDescent="0.3">
      <c r="A109" s="225"/>
      <c r="B109" s="225"/>
      <c r="C109" s="215"/>
      <c r="D109" s="215"/>
      <c r="E109" s="225"/>
      <c r="F109" s="225"/>
      <c r="G109" s="215"/>
      <c r="H109" s="215"/>
      <c r="I109" s="225"/>
      <c r="J109" s="215"/>
      <c r="K109" s="215"/>
      <c r="L109" s="225"/>
      <c r="M109" s="225"/>
      <c r="N109" s="215"/>
      <c r="O109" s="225"/>
      <c r="P109" s="225"/>
      <c r="Q109" s="215"/>
      <c r="R109" s="215"/>
      <c r="S109" s="215"/>
      <c r="T109" s="215"/>
    </row>
    <row r="110" spans="1:20" x14ac:dyDescent="0.3">
      <c r="A110" s="225"/>
      <c r="B110" s="225"/>
      <c r="C110" s="215"/>
      <c r="D110" s="215"/>
      <c r="E110" s="225"/>
      <c r="F110" s="225"/>
      <c r="G110" s="215"/>
      <c r="H110" s="215"/>
      <c r="I110" s="225"/>
      <c r="J110" s="215"/>
      <c r="K110" s="215"/>
      <c r="L110" s="225"/>
      <c r="M110" s="225"/>
      <c r="N110" s="215"/>
      <c r="O110" s="225"/>
      <c r="P110" s="225"/>
      <c r="Q110" s="215"/>
      <c r="R110" s="215"/>
      <c r="S110" s="215"/>
      <c r="T110" s="215"/>
    </row>
    <row r="111" spans="1:20" ht="17.399999999999999" customHeight="1" x14ac:dyDescent="0.3">
      <c r="A111" s="225"/>
      <c r="B111" s="225"/>
      <c r="C111" s="215"/>
      <c r="D111" s="215"/>
      <c r="E111" s="225"/>
      <c r="F111" s="225"/>
      <c r="G111" s="215"/>
      <c r="H111" s="215"/>
      <c r="I111" s="225"/>
      <c r="J111" s="215"/>
      <c r="K111" s="215"/>
      <c r="L111" s="225"/>
      <c r="M111" s="225"/>
      <c r="N111" s="215"/>
      <c r="O111" s="225"/>
      <c r="P111" s="225"/>
      <c r="Q111" s="215"/>
      <c r="R111" s="215"/>
      <c r="S111" s="215"/>
      <c r="T111" s="215"/>
    </row>
    <row r="112" spans="1:20" x14ac:dyDescent="0.3">
      <c r="A112" s="225"/>
      <c r="B112" s="225"/>
      <c r="C112" s="215"/>
      <c r="D112" s="215"/>
      <c r="E112" s="225"/>
      <c r="F112" s="225"/>
      <c r="G112" s="215"/>
      <c r="H112" s="215"/>
      <c r="I112" s="225"/>
      <c r="J112" s="215"/>
      <c r="K112" s="215"/>
      <c r="L112" s="225"/>
      <c r="M112" s="225"/>
      <c r="N112" s="215"/>
      <c r="O112" s="225"/>
      <c r="P112" s="225"/>
      <c r="Q112" s="215"/>
      <c r="R112" s="215"/>
      <c r="S112" s="215"/>
      <c r="T112" s="215"/>
    </row>
    <row r="113" spans="1:20" ht="14.4" customHeight="1" x14ac:dyDescent="0.3">
      <c r="A113" s="225"/>
      <c r="B113" s="225"/>
      <c r="C113" s="215"/>
      <c r="D113" s="215"/>
      <c r="E113" s="225"/>
      <c r="F113" s="225"/>
      <c r="G113" s="215"/>
      <c r="H113" s="215"/>
      <c r="I113" s="225"/>
      <c r="J113" s="289"/>
      <c r="K113" s="289"/>
      <c r="L113" s="225"/>
      <c r="M113" s="225"/>
      <c r="N113" s="215"/>
      <c r="O113" s="225"/>
      <c r="P113" s="225"/>
      <c r="Q113" s="215"/>
      <c r="R113" s="215"/>
      <c r="S113" s="215"/>
      <c r="T113" s="215"/>
    </row>
    <row r="114" spans="1:20" x14ac:dyDescent="0.3">
      <c r="A114" s="225"/>
      <c r="B114" s="225"/>
      <c r="C114" s="215"/>
      <c r="D114" s="215"/>
      <c r="E114" s="225"/>
      <c r="F114" s="225"/>
      <c r="G114" s="215"/>
      <c r="H114" s="215"/>
      <c r="I114" s="225"/>
      <c r="J114" s="289"/>
      <c r="K114" s="289"/>
      <c r="L114" s="225"/>
      <c r="M114" s="225"/>
      <c r="N114" s="215"/>
      <c r="O114" s="225"/>
      <c r="P114" s="225"/>
      <c r="Q114" s="215"/>
      <c r="R114" s="215"/>
      <c r="S114" s="215"/>
      <c r="T114" s="215"/>
    </row>
    <row r="115" spans="1:20" ht="31.95" customHeight="1" x14ac:dyDescent="0.3">
      <c r="A115" s="225"/>
      <c r="B115" s="225"/>
      <c r="C115" s="215"/>
      <c r="D115" s="215"/>
      <c r="E115" s="225"/>
      <c r="F115" s="225"/>
      <c r="G115" s="215"/>
      <c r="H115" s="215"/>
      <c r="I115" s="225"/>
      <c r="J115" s="289"/>
      <c r="K115" s="289"/>
      <c r="L115" s="225"/>
      <c r="M115" s="225"/>
      <c r="N115" s="215"/>
      <c r="O115" s="225"/>
      <c r="P115" s="225"/>
      <c r="Q115" s="215"/>
      <c r="R115" s="215"/>
      <c r="S115" s="215"/>
      <c r="T115" s="215"/>
    </row>
    <row r="116" spans="1:20" ht="14.4" customHeight="1" x14ac:dyDescent="0.3">
      <c r="A116" s="225"/>
      <c r="B116" s="225"/>
      <c r="C116" s="215"/>
      <c r="D116" s="215"/>
      <c r="E116" s="225"/>
      <c r="F116" s="225"/>
      <c r="G116" s="215"/>
      <c r="H116" s="215"/>
      <c r="I116" s="225"/>
      <c r="J116" s="215"/>
      <c r="K116" s="215"/>
      <c r="L116" s="225"/>
      <c r="M116" s="225"/>
      <c r="N116" s="215"/>
      <c r="O116" s="225"/>
      <c r="P116" s="225"/>
      <c r="Q116" s="215"/>
      <c r="R116" s="215"/>
      <c r="S116" s="215"/>
      <c r="T116" s="215"/>
    </row>
    <row r="117" spans="1:20" x14ac:dyDescent="0.3">
      <c r="A117" s="225"/>
      <c r="B117" s="225"/>
      <c r="C117" s="215"/>
      <c r="D117" s="215"/>
      <c r="E117" s="225"/>
      <c r="F117" s="225"/>
      <c r="G117" s="215"/>
      <c r="H117" s="215"/>
      <c r="I117" s="225"/>
      <c r="J117" s="215"/>
      <c r="K117" s="215"/>
      <c r="L117" s="225"/>
      <c r="M117" s="225"/>
      <c r="N117" s="215"/>
      <c r="O117" s="225"/>
      <c r="P117" s="225"/>
      <c r="Q117" s="215"/>
      <c r="R117" s="215"/>
      <c r="S117" s="215"/>
      <c r="T117" s="215"/>
    </row>
    <row r="118" spans="1:20" ht="40.950000000000003" customHeight="1" x14ac:dyDescent="0.3">
      <c r="A118" s="225"/>
      <c r="B118" s="225"/>
      <c r="C118" s="215"/>
      <c r="D118" s="215"/>
      <c r="E118" s="225"/>
      <c r="F118" s="225"/>
      <c r="G118" s="215"/>
      <c r="H118" s="215"/>
      <c r="I118" s="225"/>
      <c r="J118" s="215"/>
      <c r="K118" s="215"/>
      <c r="L118" s="225"/>
      <c r="M118" s="225"/>
      <c r="N118" s="215"/>
      <c r="O118" s="225"/>
      <c r="P118" s="225"/>
      <c r="Q118" s="215"/>
      <c r="R118" s="215"/>
      <c r="S118" s="215"/>
      <c r="T118" s="215"/>
    </row>
    <row r="119" spans="1:20" ht="14.4" customHeight="1" x14ac:dyDescent="0.3">
      <c r="A119" s="225"/>
      <c r="B119" s="225"/>
      <c r="C119" s="215"/>
      <c r="D119" s="215"/>
      <c r="E119" s="225"/>
      <c r="F119" s="225"/>
      <c r="G119" s="215"/>
      <c r="H119" s="215"/>
      <c r="I119" s="225"/>
      <c r="J119" s="215"/>
      <c r="K119" s="215"/>
      <c r="L119" s="225"/>
      <c r="M119" s="225"/>
      <c r="N119" s="215"/>
      <c r="O119" s="225"/>
      <c r="P119" s="225"/>
      <c r="Q119" s="215"/>
      <c r="R119" s="215"/>
      <c r="S119" s="215"/>
      <c r="T119" s="215"/>
    </row>
    <row r="120" spans="1:20" x14ac:dyDescent="0.3">
      <c r="A120" s="225"/>
      <c r="B120" s="225"/>
      <c r="C120" s="215"/>
      <c r="D120" s="215"/>
      <c r="E120" s="225"/>
      <c r="F120" s="225"/>
      <c r="G120" s="215"/>
      <c r="H120" s="215"/>
      <c r="I120" s="225"/>
      <c r="J120" s="215"/>
      <c r="K120" s="215"/>
      <c r="L120" s="225"/>
      <c r="M120" s="225"/>
      <c r="N120" s="215"/>
      <c r="O120" s="225"/>
      <c r="P120" s="225"/>
      <c r="Q120" s="215"/>
      <c r="R120" s="215"/>
      <c r="S120" s="215"/>
      <c r="T120" s="215"/>
    </row>
    <row r="121" spans="1:20" x14ac:dyDescent="0.3">
      <c r="A121" s="225"/>
      <c r="B121" s="225"/>
      <c r="C121" s="215"/>
      <c r="D121" s="215"/>
      <c r="E121" s="225"/>
      <c r="F121" s="225"/>
      <c r="G121" s="215"/>
      <c r="H121" s="215"/>
      <c r="I121" s="225"/>
      <c r="J121" s="215"/>
      <c r="K121" s="215"/>
      <c r="L121" s="225"/>
      <c r="M121" s="225"/>
      <c r="N121" s="215"/>
      <c r="O121" s="225"/>
      <c r="P121" s="225"/>
      <c r="Q121" s="215"/>
      <c r="R121" s="215"/>
      <c r="S121" s="215"/>
      <c r="T121" s="215"/>
    </row>
    <row r="122" spans="1:20" ht="14.4" customHeight="1" x14ac:dyDescent="0.3">
      <c r="A122" s="225"/>
      <c r="B122" s="225"/>
      <c r="C122" s="215"/>
      <c r="D122" s="215"/>
      <c r="E122" s="225"/>
      <c r="F122" s="225"/>
      <c r="G122" s="215"/>
      <c r="H122" s="215"/>
      <c r="I122" s="225"/>
      <c r="J122" s="215"/>
      <c r="K122" s="215"/>
      <c r="L122" s="225"/>
      <c r="M122" s="225"/>
      <c r="N122" s="215"/>
      <c r="O122" s="225"/>
      <c r="P122" s="225"/>
      <c r="Q122" s="215"/>
      <c r="R122" s="215"/>
      <c r="S122" s="215"/>
      <c r="T122" s="215"/>
    </row>
    <row r="123" spans="1:20" x14ac:dyDescent="0.3">
      <c r="A123" s="225"/>
      <c r="B123" s="225"/>
      <c r="C123" s="215"/>
      <c r="D123" s="215"/>
      <c r="E123" s="225"/>
      <c r="F123" s="225"/>
      <c r="G123" s="215"/>
      <c r="H123" s="215"/>
      <c r="I123" s="225"/>
      <c r="J123" s="215"/>
      <c r="K123" s="215"/>
      <c r="L123" s="225"/>
      <c r="M123" s="225"/>
      <c r="N123" s="215"/>
      <c r="O123" s="225"/>
      <c r="P123" s="225"/>
      <c r="Q123" s="215"/>
      <c r="R123" s="215"/>
      <c r="S123" s="215"/>
      <c r="T123" s="215"/>
    </row>
    <row r="124" spans="1:20" x14ac:dyDescent="0.3">
      <c r="A124" s="225"/>
      <c r="B124" s="225"/>
      <c r="C124" s="215"/>
      <c r="D124" s="215"/>
      <c r="E124" s="225"/>
      <c r="F124" s="225"/>
      <c r="G124" s="215"/>
      <c r="H124" s="215"/>
      <c r="I124" s="225"/>
      <c r="J124" s="215"/>
      <c r="K124" s="215"/>
      <c r="L124" s="225"/>
      <c r="M124" s="225"/>
      <c r="N124" s="215"/>
      <c r="O124" s="225"/>
      <c r="P124" s="225"/>
      <c r="Q124" s="215"/>
      <c r="R124" s="215"/>
      <c r="S124" s="215"/>
      <c r="T124" s="215"/>
    </row>
    <row r="125" spans="1:20" ht="14.4" customHeight="1" x14ac:dyDescent="0.3">
      <c r="A125" s="225"/>
      <c r="B125" s="225"/>
      <c r="C125" s="215"/>
      <c r="D125" s="215"/>
      <c r="E125" s="225"/>
      <c r="F125" s="225"/>
      <c r="G125" s="215"/>
      <c r="H125" s="215"/>
      <c r="I125" s="225"/>
      <c r="J125" s="215"/>
      <c r="K125" s="215"/>
      <c r="L125" s="225"/>
      <c r="M125" s="225"/>
      <c r="N125" s="215"/>
      <c r="O125" s="225"/>
      <c r="P125" s="225"/>
      <c r="Q125" s="215"/>
      <c r="R125" s="215"/>
      <c r="S125" s="215"/>
      <c r="T125" s="215"/>
    </row>
    <row r="126" spans="1:20" x14ac:dyDescent="0.3">
      <c r="A126" s="225"/>
      <c r="B126" s="225"/>
      <c r="C126" s="215"/>
      <c r="D126" s="215"/>
      <c r="E126" s="225"/>
      <c r="F126" s="225"/>
      <c r="G126" s="215"/>
      <c r="H126" s="215"/>
      <c r="I126" s="225"/>
      <c r="J126" s="215"/>
      <c r="K126" s="215"/>
      <c r="L126" s="225"/>
      <c r="M126" s="225"/>
      <c r="N126" s="215"/>
      <c r="O126" s="225"/>
      <c r="P126" s="225"/>
      <c r="Q126" s="215"/>
      <c r="R126" s="215"/>
      <c r="S126" s="215"/>
      <c r="T126" s="215"/>
    </row>
    <row r="127" spans="1:20" x14ac:dyDescent="0.3">
      <c r="A127" s="225"/>
      <c r="B127" s="225"/>
      <c r="C127" s="215"/>
      <c r="D127" s="215"/>
      <c r="E127" s="225"/>
      <c r="F127" s="225"/>
      <c r="G127" s="215"/>
      <c r="H127" s="215"/>
      <c r="I127" s="225"/>
      <c r="J127" s="215"/>
      <c r="K127" s="215"/>
      <c r="L127" s="225"/>
      <c r="M127" s="225"/>
      <c r="N127" s="215"/>
      <c r="O127" s="225"/>
      <c r="P127" s="225"/>
      <c r="Q127" s="215"/>
      <c r="R127" s="215"/>
      <c r="S127" s="215"/>
      <c r="T127" s="215"/>
    </row>
    <row r="128" spans="1:20" ht="14.4" customHeight="1" x14ac:dyDescent="0.3">
      <c r="A128" s="225"/>
      <c r="B128" s="225"/>
      <c r="C128" s="215"/>
      <c r="D128" s="215"/>
      <c r="E128" s="225"/>
      <c r="F128" s="225"/>
      <c r="G128" s="215"/>
      <c r="H128" s="215"/>
      <c r="I128" s="225"/>
      <c r="J128" s="215"/>
      <c r="K128" s="215"/>
      <c r="L128" s="225"/>
      <c r="M128" s="225"/>
      <c r="N128" s="215"/>
      <c r="O128" s="225"/>
      <c r="P128" s="225"/>
      <c r="Q128" s="215"/>
      <c r="R128" s="215"/>
      <c r="S128" s="215"/>
      <c r="T128" s="215"/>
    </row>
    <row r="129" spans="1:20" x14ac:dyDescent="0.3">
      <c r="A129" s="225"/>
      <c r="B129" s="225"/>
      <c r="C129" s="215"/>
      <c r="D129" s="215"/>
      <c r="E129" s="225"/>
      <c r="F129" s="225"/>
      <c r="G129" s="215"/>
      <c r="H129" s="215"/>
      <c r="I129" s="225"/>
      <c r="J129" s="215"/>
      <c r="K129" s="215"/>
      <c r="L129" s="225"/>
      <c r="M129" s="225"/>
      <c r="N129" s="215"/>
      <c r="O129" s="225"/>
      <c r="P129" s="225"/>
      <c r="Q129" s="215"/>
      <c r="R129" s="215"/>
      <c r="S129" s="215"/>
      <c r="T129" s="215"/>
    </row>
    <row r="130" spans="1:20" x14ac:dyDescent="0.3">
      <c r="A130" s="225"/>
      <c r="B130" s="225"/>
      <c r="C130" s="215"/>
      <c r="D130" s="215"/>
      <c r="E130" s="225"/>
      <c r="F130" s="225"/>
      <c r="G130" s="215"/>
      <c r="H130" s="215"/>
      <c r="I130" s="225"/>
      <c r="J130" s="215"/>
      <c r="K130" s="215"/>
      <c r="L130" s="225"/>
      <c r="M130" s="225"/>
      <c r="N130" s="215"/>
      <c r="O130" s="225"/>
      <c r="P130" s="225"/>
      <c r="Q130" s="215"/>
      <c r="R130" s="215"/>
      <c r="S130" s="215"/>
      <c r="T130" s="215"/>
    </row>
    <row r="131" spans="1:20" ht="14.4" customHeight="1" x14ac:dyDescent="0.3">
      <c r="A131" s="225"/>
      <c r="B131" s="225"/>
      <c r="C131" s="215"/>
      <c r="D131" s="215"/>
      <c r="E131" s="225"/>
      <c r="F131" s="225"/>
      <c r="G131" s="215"/>
      <c r="H131" s="215"/>
      <c r="I131" s="225"/>
      <c r="J131" s="225"/>
      <c r="K131" s="225"/>
      <c r="L131" s="225"/>
      <c r="M131" s="225"/>
      <c r="N131" s="225"/>
      <c r="O131" s="225"/>
      <c r="P131" s="225"/>
      <c r="Q131" s="215"/>
      <c r="R131" s="215"/>
      <c r="S131" s="215"/>
      <c r="T131" s="215"/>
    </row>
    <row r="132" spans="1:20" x14ac:dyDescent="0.3">
      <c r="A132" s="225"/>
      <c r="B132" s="225"/>
      <c r="C132" s="215"/>
      <c r="D132" s="215"/>
      <c r="E132" s="225"/>
      <c r="F132" s="225"/>
      <c r="G132" s="215"/>
      <c r="H132" s="215"/>
      <c r="I132" s="225"/>
      <c r="J132" s="225"/>
      <c r="K132" s="225"/>
      <c r="L132" s="225"/>
      <c r="M132" s="225"/>
      <c r="N132" s="225"/>
      <c r="O132" s="225"/>
      <c r="P132" s="225"/>
      <c r="Q132" s="215"/>
      <c r="R132" s="215"/>
      <c r="S132" s="215"/>
      <c r="T132" s="215"/>
    </row>
    <row r="133" spans="1:20" x14ac:dyDescent="0.3">
      <c r="A133" s="225"/>
      <c r="B133" s="225"/>
      <c r="C133" s="215"/>
      <c r="D133" s="215"/>
      <c r="E133" s="225"/>
      <c r="F133" s="225"/>
      <c r="G133" s="215"/>
      <c r="H133" s="215"/>
      <c r="I133" s="225"/>
      <c r="J133" s="225"/>
      <c r="K133" s="225"/>
      <c r="L133" s="225"/>
      <c r="M133" s="225"/>
      <c r="N133" s="225"/>
      <c r="O133" s="225"/>
      <c r="P133" s="225"/>
      <c r="Q133" s="215"/>
      <c r="R133" s="215"/>
      <c r="S133" s="215"/>
      <c r="T133" s="215"/>
    </row>
    <row r="134" spans="1:20" ht="14.4" customHeight="1" x14ac:dyDescent="0.3">
      <c r="A134" s="225"/>
      <c r="B134" s="225"/>
      <c r="C134" s="215"/>
      <c r="D134" s="215"/>
      <c r="E134" s="225"/>
      <c r="F134" s="225"/>
      <c r="G134" s="215"/>
      <c r="H134" s="215"/>
      <c r="I134" s="225"/>
      <c r="J134" s="225"/>
      <c r="K134" s="225"/>
      <c r="L134" s="225"/>
      <c r="M134" s="225"/>
      <c r="N134" s="225"/>
      <c r="O134" s="225"/>
      <c r="P134" s="225"/>
      <c r="Q134" s="215"/>
      <c r="R134" s="215"/>
      <c r="S134" s="215"/>
      <c r="T134" s="215"/>
    </row>
    <row r="135" spans="1:20" x14ac:dyDescent="0.3">
      <c r="A135" s="225"/>
      <c r="B135" s="225"/>
      <c r="C135" s="215"/>
      <c r="D135" s="215"/>
      <c r="E135" s="225"/>
      <c r="F135" s="225"/>
      <c r="G135" s="215"/>
      <c r="H135" s="215"/>
      <c r="I135" s="225"/>
      <c r="J135" s="225"/>
      <c r="K135" s="225"/>
      <c r="L135" s="225"/>
      <c r="M135" s="225"/>
      <c r="N135" s="225"/>
      <c r="O135" s="225"/>
      <c r="P135" s="225"/>
      <c r="Q135" s="215"/>
      <c r="R135" s="215"/>
      <c r="S135" s="215"/>
      <c r="T135" s="215"/>
    </row>
    <row r="136" spans="1:20" ht="28.2" customHeight="1" x14ac:dyDescent="0.3">
      <c r="A136" s="225"/>
      <c r="B136" s="225"/>
      <c r="C136" s="215"/>
      <c r="D136" s="215"/>
      <c r="E136" s="225"/>
      <c r="F136" s="225"/>
      <c r="G136" s="215"/>
      <c r="H136" s="215"/>
      <c r="I136" s="225"/>
      <c r="J136" s="225"/>
      <c r="K136" s="225"/>
      <c r="L136" s="225"/>
      <c r="M136" s="225"/>
      <c r="N136" s="225"/>
      <c r="O136" s="225"/>
      <c r="P136" s="225"/>
      <c r="Q136" s="215"/>
      <c r="R136" s="215"/>
      <c r="S136" s="215"/>
      <c r="T136" s="215"/>
    </row>
    <row r="137" spans="1:20" x14ac:dyDescent="0.3">
      <c r="A137" s="225"/>
      <c r="B137" s="225"/>
      <c r="C137" s="215"/>
      <c r="D137" s="215"/>
      <c r="E137" s="225"/>
      <c r="F137" s="225"/>
      <c r="G137" s="215"/>
      <c r="H137" s="215"/>
      <c r="I137" s="225"/>
      <c r="J137" s="225"/>
      <c r="K137" s="225"/>
      <c r="L137" s="225"/>
      <c r="M137" s="225"/>
      <c r="N137" s="225"/>
      <c r="O137" s="225"/>
      <c r="P137" s="225"/>
      <c r="Q137" s="215"/>
      <c r="R137" s="215"/>
      <c r="S137" s="215"/>
      <c r="T137" s="215"/>
    </row>
    <row r="138" spans="1:20" x14ac:dyDescent="0.3">
      <c r="A138" s="225"/>
      <c r="B138" s="225"/>
      <c r="C138" s="215"/>
      <c r="D138" s="215"/>
      <c r="E138" s="225"/>
      <c r="F138" s="225"/>
      <c r="G138" s="215"/>
      <c r="H138" s="215"/>
      <c r="I138" s="225"/>
      <c r="J138" s="225"/>
      <c r="K138" s="225"/>
      <c r="L138" s="225"/>
      <c r="M138" s="225"/>
      <c r="N138" s="225"/>
      <c r="O138" s="225"/>
      <c r="P138" s="225"/>
      <c r="Q138" s="215"/>
      <c r="R138" s="215"/>
      <c r="S138" s="215"/>
      <c r="T138" s="215"/>
    </row>
    <row r="139" spans="1:20" ht="19.2" customHeight="1" x14ac:dyDescent="0.3">
      <c r="A139" s="225"/>
      <c r="B139" s="225"/>
      <c r="C139" s="215"/>
      <c r="D139" s="215"/>
      <c r="E139" s="225"/>
      <c r="F139" s="225"/>
      <c r="G139" s="215"/>
      <c r="H139" s="215"/>
      <c r="I139" s="225"/>
      <c r="J139" s="225"/>
      <c r="K139" s="225"/>
      <c r="L139" s="225"/>
      <c r="M139" s="225"/>
      <c r="N139" s="225"/>
      <c r="O139" s="225"/>
      <c r="P139" s="225"/>
      <c r="Q139" s="215"/>
      <c r="R139" s="215"/>
      <c r="S139" s="215"/>
      <c r="T139" s="215"/>
    </row>
    <row r="140" spans="1:20" ht="14.4" customHeight="1" x14ac:dyDescent="0.3">
      <c r="A140" s="225"/>
      <c r="B140" s="225"/>
      <c r="C140" s="215"/>
      <c r="D140" s="215"/>
      <c r="E140" s="225"/>
      <c r="F140" s="225"/>
      <c r="G140" s="215"/>
      <c r="H140" s="215"/>
      <c r="I140" s="225"/>
      <c r="J140" s="225"/>
      <c r="K140" s="225"/>
      <c r="L140" s="225"/>
      <c r="M140" s="225"/>
      <c r="N140" s="225"/>
      <c r="O140" s="225"/>
      <c r="P140" s="225"/>
      <c r="Q140" s="215"/>
      <c r="R140" s="215"/>
      <c r="S140" s="215"/>
      <c r="T140" s="215"/>
    </row>
    <row r="141" spans="1:20" x14ac:dyDescent="0.3">
      <c r="A141" s="225"/>
      <c r="B141" s="225"/>
      <c r="C141" s="215"/>
      <c r="D141" s="215"/>
      <c r="E141" s="225"/>
      <c r="F141" s="225"/>
      <c r="G141" s="215"/>
      <c r="H141" s="215"/>
      <c r="I141" s="225"/>
      <c r="J141" s="225"/>
      <c r="K141" s="225"/>
      <c r="L141" s="225"/>
      <c r="M141" s="225"/>
      <c r="N141" s="225"/>
      <c r="O141" s="225"/>
      <c r="P141" s="225"/>
      <c r="Q141" s="215"/>
      <c r="R141" s="215"/>
      <c r="S141" s="215"/>
      <c r="T141" s="215"/>
    </row>
    <row r="142" spans="1:20" x14ac:dyDescent="0.3">
      <c r="A142" s="225"/>
      <c r="B142" s="225"/>
      <c r="C142" s="215"/>
      <c r="D142" s="215"/>
      <c r="E142" s="225"/>
      <c r="F142" s="225"/>
      <c r="G142" s="215"/>
      <c r="H142" s="215"/>
      <c r="I142" s="225"/>
      <c r="J142" s="225"/>
      <c r="K142" s="225"/>
      <c r="L142" s="225"/>
      <c r="M142" s="225"/>
      <c r="N142" s="225"/>
      <c r="O142" s="225"/>
      <c r="P142" s="225"/>
      <c r="Q142" s="215"/>
      <c r="R142" s="215"/>
      <c r="S142" s="215"/>
      <c r="T142" s="215"/>
    </row>
    <row r="143" spans="1:20" x14ac:dyDescent="0.3">
      <c r="A143" s="225"/>
      <c r="B143" s="225"/>
      <c r="C143" s="215"/>
      <c r="D143" s="215"/>
      <c r="E143" s="225"/>
      <c r="F143" s="225"/>
      <c r="G143" s="215"/>
      <c r="H143" s="215"/>
      <c r="I143" s="225"/>
      <c r="J143" s="225"/>
      <c r="K143" s="225"/>
      <c r="L143" s="225"/>
      <c r="M143" s="225"/>
      <c r="N143" s="225"/>
      <c r="O143" s="225"/>
      <c r="P143" s="225"/>
      <c r="Q143" s="215"/>
      <c r="R143" s="215"/>
      <c r="S143" s="215"/>
      <c r="T143" s="215"/>
    </row>
    <row r="144" spans="1:20" x14ac:dyDescent="0.3">
      <c r="A144" s="225"/>
      <c r="B144" s="225"/>
      <c r="C144" s="215"/>
      <c r="D144" s="215"/>
      <c r="E144" s="225"/>
      <c r="F144" s="225"/>
      <c r="G144" s="215"/>
      <c r="H144" s="215"/>
      <c r="I144" s="225"/>
      <c r="J144" s="225"/>
      <c r="K144" s="225"/>
      <c r="L144" s="225"/>
      <c r="M144" s="225"/>
      <c r="N144" s="225"/>
      <c r="O144" s="225"/>
      <c r="P144" s="225"/>
      <c r="Q144" s="215"/>
      <c r="R144" s="215"/>
      <c r="S144" s="215"/>
      <c r="T144" s="215"/>
    </row>
    <row r="145" spans="1:20" x14ac:dyDescent="0.3">
      <c r="A145" s="225"/>
      <c r="B145" s="225"/>
      <c r="C145" s="215"/>
      <c r="D145" s="215"/>
      <c r="E145" s="225"/>
      <c r="F145" s="225"/>
      <c r="G145" s="215"/>
      <c r="H145" s="215"/>
      <c r="I145" s="225"/>
      <c r="J145" s="225"/>
      <c r="K145" s="225"/>
      <c r="L145" s="225"/>
      <c r="M145" s="225"/>
      <c r="N145" s="225"/>
      <c r="O145" s="225"/>
      <c r="P145" s="225"/>
      <c r="Q145" s="215"/>
      <c r="R145" s="215"/>
      <c r="S145" s="215"/>
      <c r="T145" s="215"/>
    </row>
    <row r="146" spans="1:20" x14ac:dyDescent="0.3">
      <c r="A146" s="225"/>
      <c r="B146" s="225"/>
      <c r="C146" s="215"/>
      <c r="D146" s="215"/>
      <c r="E146" s="225"/>
      <c r="F146" s="225"/>
      <c r="G146" s="215"/>
      <c r="H146" s="215"/>
      <c r="I146" s="225"/>
      <c r="J146" s="225"/>
      <c r="K146" s="225"/>
      <c r="L146" s="225"/>
      <c r="M146" s="225"/>
      <c r="N146" s="225"/>
      <c r="O146" s="225"/>
      <c r="P146" s="225"/>
      <c r="Q146" s="215"/>
      <c r="R146" s="215"/>
      <c r="S146" s="215"/>
      <c r="T146" s="215"/>
    </row>
    <row r="147" spans="1:20" x14ac:dyDescent="0.3">
      <c r="A147" s="225"/>
      <c r="B147" s="225"/>
      <c r="C147" s="215"/>
      <c r="D147" s="215"/>
      <c r="E147" s="225"/>
      <c r="F147" s="225"/>
      <c r="G147" s="215"/>
      <c r="H147" s="215"/>
      <c r="I147" s="225"/>
      <c r="J147" s="225"/>
      <c r="K147" s="225"/>
      <c r="L147" s="225"/>
      <c r="M147" s="225"/>
      <c r="N147" s="225"/>
      <c r="O147" s="225"/>
      <c r="P147" s="225"/>
      <c r="Q147" s="215"/>
      <c r="R147" s="215"/>
      <c r="S147" s="215"/>
      <c r="T147" s="215"/>
    </row>
    <row r="148" spans="1:20" x14ac:dyDescent="0.3">
      <c r="A148" s="225"/>
      <c r="B148" s="225"/>
      <c r="C148" s="215"/>
      <c r="D148" s="215"/>
      <c r="E148" s="225"/>
      <c r="F148" s="225"/>
      <c r="G148" s="215"/>
      <c r="H148" s="215"/>
      <c r="I148" s="225"/>
      <c r="J148" s="225"/>
      <c r="K148" s="225"/>
      <c r="L148" s="225"/>
      <c r="M148" s="225"/>
      <c r="N148" s="225"/>
      <c r="O148" s="225"/>
      <c r="P148" s="225"/>
      <c r="Q148" s="215"/>
      <c r="R148" s="215"/>
      <c r="S148" s="215"/>
      <c r="T148" s="215"/>
    </row>
    <row r="149" spans="1:20" x14ac:dyDescent="0.3">
      <c r="C149" s="4"/>
      <c r="D149" s="4"/>
    </row>
    <row r="150" spans="1:20" ht="14.4" customHeight="1" x14ac:dyDescent="0.3">
      <c r="A150" s="23"/>
      <c r="B150" s="23"/>
      <c r="C150" s="229"/>
      <c r="D150" s="229"/>
      <c r="E150" s="23"/>
      <c r="F150" s="23"/>
      <c r="G150" s="290"/>
      <c r="H150" s="290"/>
      <c r="I150" s="23"/>
      <c r="J150" s="290"/>
      <c r="K150" s="290"/>
      <c r="L150" s="23"/>
      <c r="M150" s="23"/>
      <c r="N150" s="290"/>
      <c r="O150" s="23"/>
      <c r="P150" s="23"/>
      <c r="Q150" s="4"/>
    </row>
    <row r="151" spans="1:20" ht="14.4" customHeight="1" x14ac:dyDescent="0.3">
      <c r="A151" s="23"/>
      <c r="B151" s="23"/>
      <c r="C151" s="229"/>
      <c r="D151" s="229"/>
      <c r="E151" s="23"/>
      <c r="F151" s="23"/>
      <c r="G151" s="290"/>
      <c r="H151" s="290"/>
      <c r="I151" s="23"/>
      <c r="J151" s="290"/>
      <c r="K151" s="290"/>
      <c r="L151" s="23"/>
      <c r="M151" s="23"/>
      <c r="N151" s="290"/>
      <c r="O151" s="23"/>
      <c r="P151" s="23"/>
    </row>
    <row r="152" spans="1:20" ht="14.4" customHeight="1" x14ac:dyDescent="0.3">
      <c r="A152" s="291"/>
      <c r="B152" s="292"/>
      <c r="C152" s="292"/>
      <c r="D152" s="292"/>
      <c r="E152" s="292"/>
      <c r="F152" s="292"/>
      <c r="G152" s="292"/>
      <c r="H152" s="292"/>
      <c r="I152" s="292"/>
      <c r="J152" s="292"/>
      <c r="K152" s="292"/>
      <c r="L152" s="292"/>
      <c r="M152" s="292"/>
      <c r="N152" s="292"/>
      <c r="O152" s="292"/>
      <c r="P152" s="292"/>
      <c r="Q152" s="292"/>
      <c r="R152" s="292"/>
      <c r="S152" s="292"/>
      <c r="T152" s="292"/>
    </row>
    <row r="153" spans="1:20" ht="14.4" customHeight="1" x14ac:dyDescent="0.3">
      <c r="A153" s="292"/>
      <c r="B153" s="292"/>
      <c r="C153" s="292"/>
      <c r="D153" s="292"/>
      <c r="E153" s="292"/>
      <c r="F153" s="292"/>
      <c r="G153" s="292"/>
      <c r="H153" s="292"/>
      <c r="I153" s="292"/>
      <c r="J153" s="292"/>
      <c r="K153" s="292"/>
      <c r="L153" s="292"/>
      <c r="M153" s="292"/>
      <c r="N153" s="292"/>
      <c r="O153" s="292"/>
      <c r="P153" s="292"/>
      <c r="Q153" s="292"/>
      <c r="R153" s="292"/>
      <c r="S153" s="292"/>
      <c r="T153" s="292"/>
    </row>
    <row r="154" spans="1:20" ht="14.4" customHeight="1" x14ac:dyDescent="0.3">
      <c r="A154" s="292"/>
      <c r="B154" s="292"/>
      <c r="C154" s="292"/>
      <c r="D154" s="292"/>
      <c r="E154" s="292"/>
      <c r="F154" s="292"/>
      <c r="G154" s="292"/>
      <c r="H154" s="292"/>
      <c r="I154" s="292"/>
      <c r="J154" s="292"/>
      <c r="K154" s="292"/>
      <c r="L154" s="292"/>
      <c r="M154" s="292"/>
      <c r="N154" s="292"/>
      <c r="O154" s="292"/>
      <c r="P154" s="292"/>
      <c r="Q154" s="292"/>
      <c r="R154" s="292"/>
      <c r="S154" s="292"/>
      <c r="T154" s="292"/>
    </row>
  </sheetData>
  <mergeCells count="293">
    <mergeCell ref="U55:U56"/>
    <mergeCell ref="U57:U58"/>
    <mergeCell ref="U59:U60"/>
    <mergeCell ref="Q28:U28"/>
    <mergeCell ref="U43:U44"/>
    <mergeCell ref="U45:U46"/>
    <mergeCell ref="U47:U48"/>
    <mergeCell ref="U49:U50"/>
    <mergeCell ref="U51:U52"/>
    <mergeCell ref="U53:U54"/>
    <mergeCell ref="U30:U31"/>
    <mergeCell ref="U32:U33"/>
    <mergeCell ref="U34:U35"/>
    <mergeCell ref="U36:U37"/>
    <mergeCell ref="U38:U39"/>
    <mergeCell ref="S53:S54"/>
    <mergeCell ref="T53:T54"/>
    <mergeCell ref="S32:S33"/>
    <mergeCell ref="T32:T33"/>
    <mergeCell ref="U16:U17"/>
    <mergeCell ref="U18:U19"/>
    <mergeCell ref="U20:U21"/>
    <mergeCell ref="U22:U23"/>
    <mergeCell ref="Q4:U4"/>
    <mergeCell ref="N59:N60"/>
    <mergeCell ref="Q59:Q60"/>
    <mergeCell ref="R59:R60"/>
    <mergeCell ref="S59:S60"/>
    <mergeCell ref="T59:T60"/>
    <mergeCell ref="U6:U7"/>
    <mergeCell ref="U8:U9"/>
    <mergeCell ref="U10:U11"/>
    <mergeCell ref="U12:U13"/>
    <mergeCell ref="U14:U15"/>
    <mergeCell ref="R57:R58"/>
    <mergeCell ref="S57:S58"/>
    <mergeCell ref="T57:T58"/>
    <mergeCell ref="N55:N56"/>
    <mergeCell ref="Q55:Q56"/>
    <mergeCell ref="R55:R56"/>
    <mergeCell ref="S55:S56"/>
    <mergeCell ref="T55:T56"/>
    <mergeCell ref="R53:R54"/>
    <mergeCell ref="A59:B60"/>
    <mergeCell ref="C59:D60"/>
    <mergeCell ref="G59:G60"/>
    <mergeCell ref="H59:H60"/>
    <mergeCell ref="J59:J60"/>
    <mergeCell ref="K59:K60"/>
    <mergeCell ref="K57:K58"/>
    <mergeCell ref="N57:N58"/>
    <mergeCell ref="Q57:Q58"/>
    <mergeCell ref="A57:B58"/>
    <mergeCell ref="C57:D58"/>
    <mergeCell ref="G57:G58"/>
    <mergeCell ref="H57:H58"/>
    <mergeCell ref="J57:J58"/>
    <mergeCell ref="A55:B56"/>
    <mergeCell ref="C55:D56"/>
    <mergeCell ref="G55:G56"/>
    <mergeCell ref="H55:H56"/>
    <mergeCell ref="J55:J56"/>
    <mergeCell ref="K55:K56"/>
    <mergeCell ref="K53:K54"/>
    <mergeCell ref="N53:N54"/>
    <mergeCell ref="Q53:Q54"/>
    <mergeCell ref="N51:N52"/>
    <mergeCell ref="Q51:Q52"/>
    <mergeCell ref="R51:R52"/>
    <mergeCell ref="S51:S52"/>
    <mergeCell ref="T51:T52"/>
    <mergeCell ref="A53:B54"/>
    <mergeCell ref="C53:D54"/>
    <mergeCell ref="G53:G54"/>
    <mergeCell ref="H53:H54"/>
    <mergeCell ref="J53:J54"/>
    <mergeCell ref="A51:B52"/>
    <mergeCell ref="C51:D52"/>
    <mergeCell ref="G51:G52"/>
    <mergeCell ref="H51:H52"/>
    <mergeCell ref="J51:J52"/>
    <mergeCell ref="K51:K52"/>
    <mergeCell ref="K49:K50"/>
    <mergeCell ref="N49:N50"/>
    <mergeCell ref="Q49:Q50"/>
    <mergeCell ref="R49:R50"/>
    <mergeCell ref="S49:S50"/>
    <mergeCell ref="T49:T50"/>
    <mergeCell ref="N47:N48"/>
    <mergeCell ref="Q47:Q48"/>
    <mergeCell ref="R47:R48"/>
    <mergeCell ref="S47:S48"/>
    <mergeCell ref="T47:T48"/>
    <mergeCell ref="K47:K48"/>
    <mergeCell ref="A49:B50"/>
    <mergeCell ref="C49:D50"/>
    <mergeCell ref="G49:G50"/>
    <mergeCell ref="H49:H50"/>
    <mergeCell ref="J49:J50"/>
    <mergeCell ref="A47:B48"/>
    <mergeCell ref="C47:D48"/>
    <mergeCell ref="G47:G48"/>
    <mergeCell ref="H47:H48"/>
    <mergeCell ref="J47:J48"/>
    <mergeCell ref="N45:N46"/>
    <mergeCell ref="Q45:Q46"/>
    <mergeCell ref="R45:R46"/>
    <mergeCell ref="S45:S46"/>
    <mergeCell ref="T45:T46"/>
    <mergeCell ref="N43:N44"/>
    <mergeCell ref="Q43:Q44"/>
    <mergeCell ref="R43:R44"/>
    <mergeCell ref="S43:S44"/>
    <mergeCell ref="T43:T44"/>
    <mergeCell ref="A45:B46"/>
    <mergeCell ref="C45:D46"/>
    <mergeCell ref="G45:G46"/>
    <mergeCell ref="H45:H46"/>
    <mergeCell ref="J45:J46"/>
    <mergeCell ref="G41:M41"/>
    <mergeCell ref="A43:B44"/>
    <mergeCell ref="C43:D44"/>
    <mergeCell ref="G43:G44"/>
    <mergeCell ref="H43:H44"/>
    <mergeCell ref="J43:J44"/>
    <mergeCell ref="K43:K44"/>
    <mergeCell ref="K45:K46"/>
    <mergeCell ref="A38:B39"/>
    <mergeCell ref="C38:D39"/>
    <mergeCell ref="G38:G39"/>
    <mergeCell ref="H38:H39"/>
    <mergeCell ref="J38:J39"/>
    <mergeCell ref="A36:B37"/>
    <mergeCell ref="C36:D37"/>
    <mergeCell ref="G36:G37"/>
    <mergeCell ref="H36:H37"/>
    <mergeCell ref="J36:J37"/>
    <mergeCell ref="K38:K39"/>
    <mergeCell ref="N38:N39"/>
    <mergeCell ref="Q38:Q39"/>
    <mergeCell ref="R38:R39"/>
    <mergeCell ref="S38:S39"/>
    <mergeCell ref="T38:T39"/>
    <mergeCell ref="N36:N37"/>
    <mergeCell ref="Q36:Q37"/>
    <mergeCell ref="R36:R37"/>
    <mergeCell ref="S36:S37"/>
    <mergeCell ref="T36:T37"/>
    <mergeCell ref="K36:K37"/>
    <mergeCell ref="A34:B35"/>
    <mergeCell ref="C34:D35"/>
    <mergeCell ref="G34:G35"/>
    <mergeCell ref="H34:H35"/>
    <mergeCell ref="J34:J35"/>
    <mergeCell ref="Q30:Q31"/>
    <mergeCell ref="R30:R31"/>
    <mergeCell ref="S30:S31"/>
    <mergeCell ref="T30:T31"/>
    <mergeCell ref="A32:B33"/>
    <mergeCell ref="C32:D33"/>
    <mergeCell ref="G32:G33"/>
    <mergeCell ref="H32:H33"/>
    <mergeCell ref="J32:J33"/>
    <mergeCell ref="K32:K33"/>
    <mergeCell ref="K34:K35"/>
    <mergeCell ref="N34:N35"/>
    <mergeCell ref="Q34:Q35"/>
    <mergeCell ref="R34:R35"/>
    <mergeCell ref="S34:S35"/>
    <mergeCell ref="T34:T35"/>
    <mergeCell ref="N32:N33"/>
    <mergeCell ref="Q32:Q33"/>
    <mergeCell ref="R32:R33"/>
    <mergeCell ref="A29:B29"/>
    <mergeCell ref="C29:D29"/>
    <mergeCell ref="A30:B31"/>
    <mergeCell ref="C30:D31"/>
    <mergeCell ref="G30:G31"/>
    <mergeCell ref="H30:H31"/>
    <mergeCell ref="J30:J31"/>
    <mergeCell ref="K30:K31"/>
    <mergeCell ref="N30:N31"/>
    <mergeCell ref="A24:B24"/>
    <mergeCell ref="C24:D24"/>
    <mergeCell ref="G26:M27"/>
    <mergeCell ref="A28:D28"/>
    <mergeCell ref="G28:H28"/>
    <mergeCell ref="J28:K28"/>
    <mergeCell ref="K22:K23"/>
    <mergeCell ref="N22:N23"/>
    <mergeCell ref="Q22:Q23"/>
    <mergeCell ref="R22:R23"/>
    <mergeCell ref="S22:S23"/>
    <mergeCell ref="T22:T23"/>
    <mergeCell ref="N20:N21"/>
    <mergeCell ref="Q20:Q21"/>
    <mergeCell ref="R20:R21"/>
    <mergeCell ref="S20:S21"/>
    <mergeCell ref="T20:T21"/>
    <mergeCell ref="A22:B23"/>
    <mergeCell ref="C22:D23"/>
    <mergeCell ref="G22:G23"/>
    <mergeCell ref="H22:H23"/>
    <mergeCell ref="J22:J23"/>
    <mergeCell ref="A20:B21"/>
    <mergeCell ref="C20:D21"/>
    <mergeCell ref="G20:G21"/>
    <mergeCell ref="H20:H21"/>
    <mergeCell ref="J20:J21"/>
    <mergeCell ref="K20:K21"/>
    <mergeCell ref="K18:K19"/>
    <mergeCell ref="N18:N19"/>
    <mergeCell ref="Q18:Q19"/>
    <mergeCell ref="R18:R19"/>
    <mergeCell ref="S18:S19"/>
    <mergeCell ref="T18:T19"/>
    <mergeCell ref="A18:B19"/>
    <mergeCell ref="C18:D19"/>
    <mergeCell ref="G18:G19"/>
    <mergeCell ref="H18:H19"/>
    <mergeCell ref="J18:J19"/>
    <mergeCell ref="K16:K17"/>
    <mergeCell ref="N16:N17"/>
    <mergeCell ref="Q16:Q17"/>
    <mergeCell ref="R16:R17"/>
    <mergeCell ref="S16:S17"/>
    <mergeCell ref="T16:T17"/>
    <mergeCell ref="N14:N15"/>
    <mergeCell ref="Q14:Q15"/>
    <mergeCell ref="R14:R15"/>
    <mergeCell ref="S14:S15"/>
    <mergeCell ref="T14:T15"/>
    <mergeCell ref="K14:K15"/>
    <mergeCell ref="A16:B17"/>
    <mergeCell ref="C16:D17"/>
    <mergeCell ref="G16:G17"/>
    <mergeCell ref="H16:H17"/>
    <mergeCell ref="J16:J17"/>
    <mergeCell ref="A14:B15"/>
    <mergeCell ref="C14:D15"/>
    <mergeCell ref="G14:G15"/>
    <mergeCell ref="H14:H15"/>
    <mergeCell ref="J14:J15"/>
    <mergeCell ref="K12:K13"/>
    <mergeCell ref="N12:N13"/>
    <mergeCell ref="Q12:Q13"/>
    <mergeCell ref="R12:R13"/>
    <mergeCell ref="S12:S13"/>
    <mergeCell ref="T12:T13"/>
    <mergeCell ref="N10:N11"/>
    <mergeCell ref="Q10:Q11"/>
    <mergeCell ref="R10:R11"/>
    <mergeCell ref="S10:S11"/>
    <mergeCell ref="T10:T11"/>
    <mergeCell ref="K10:K11"/>
    <mergeCell ref="A12:B13"/>
    <mergeCell ref="C12:D13"/>
    <mergeCell ref="G12:G13"/>
    <mergeCell ref="H12:H13"/>
    <mergeCell ref="J12:J13"/>
    <mergeCell ref="A10:B11"/>
    <mergeCell ref="C10:D11"/>
    <mergeCell ref="G10:G11"/>
    <mergeCell ref="H10:H11"/>
    <mergeCell ref="J10:J11"/>
    <mergeCell ref="N8:N9"/>
    <mergeCell ref="Q8:Q9"/>
    <mergeCell ref="R8:R9"/>
    <mergeCell ref="S8:S9"/>
    <mergeCell ref="T8:T9"/>
    <mergeCell ref="N6:N7"/>
    <mergeCell ref="Q6:Q7"/>
    <mergeCell ref="R6:R7"/>
    <mergeCell ref="S6:S7"/>
    <mergeCell ref="T6:T7"/>
    <mergeCell ref="G1:M2"/>
    <mergeCell ref="A4:D4"/>
    <mergeCell ref="G4:H4"/>
    <mergeCell ref="J4:K4"/>
    <mergeCell ref="A5:B5"/>
    <mergeCell ref="C5:D5"/>
    <mergeCell ref="A8:B9"/>
    <mergeCell ref="C8:D9"/>
    <mergeCell ref="G8:G9"/>
    <mergeCell ref="H8:H9"/>
    <mergeCell ref="J8:J9"/>
    <mergeCell ref="A6:B7"/>
    <mergeCell ref="C6:D7"/>
    <mergeCell ref="G6:G7"/>
    <mergeCell ref="H6:H7"/>
    <mergeCell ref="J6:J7"/>
    <mergeCell ref="K8:K9"/>
    <mergeCell ref="K6:K7"/>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E01CF-A76C-41F4-BFD7-9F464AC9478E}">
  <dimension ref="A2:AO100"/>
  <sheetViews>
    <sheetView topLeftCell="N1" zoomScale="50" workbookViewId="0">
      <selection activeCell="K45" sqref="K45"/>
    </sheetView>
  </sheetViews>
  <sheetFormatPr defaultRowHeight="14.4" x14ac:dyDescent="0.3"/>
  <cols>
    <col min="3" max="3" width="15.33203125" customWidth="1"/>
    <col min="6" max="6" width="11.88671875" customWidth="1"/>
    <col min="7" max="8" width="13.33203125" customWidth="1"/>
    <col min="9" max="9" width="14.44140625" customWidth="1"/>
    <col min="11" max="11" width="15.5546875" customWidth="1"/>
    <col min="12" max="12" width="10.44140625" customWidth="1"/>
    <col min="13" max="13" width="13.33203125" customWidth="1"/>
    <col min="14" max="14" width="12.88671875" customWidth="1"/>
    <col min="15" max="15" width="11.33203125" customWidth="1"/>
    <col min="16" max="16" width="11.6640625" customWidth="1"/>
    <col min="21" max="21" width="13.6640625" customWidth="1"/>
    <col min="24" max="24" width="10.109375" customWidth="1"/>
    <col min="25" max="25" width="12.88671875" customWidth="1"/>
    <col min="26" max="26" width="16.33203125" customWidth="1"/>
    <col min="27" max="27" width="15.44140625" customWidth="1"/>
    <col min="28" max="28" width="18.5546875" customWidth="1"/>
    <col min="29" max="29" width="20.88671875" customWidth="1"/>
    <col min="30" max="30" width="17.5546875" customWidth="1"/>
    <col min="31" max="31" width="22.6640625" customWidth="1"/>
    <col min="32" max="32" width="23.109375" customWidth="1"/>
    <col min="33" max="33" width="22.109375" customWidth="1"/>
    <col min="34" max="34" width="21" customWidth="1"/>
    <col min="35" max="35" width="19.88671875" customWidth="1"/>
    <col min="36" max="36" width="20.33203125" customWidth="1"/>
    <col min="37" max="37" width="24.44140625" customWidth="1"/>
    <col min="38" max="38" width="20.88671875" customWidth="1"/>
    <col min="39" max="39" width="18.33203125" customWidth="1"/>
    <col min="40" max="40" width="14.6640625" customWidth="1"/>
  </cols>
  <sheetData>
    <row r="2" spans="1:41" x14ac:dyDescent="0.3">
      <c r="C2" s="570" t="s">
        <v>389</v>
      </c>
      <c r="D2" s="571"/>
      <c r="E2" s="571"/>
      <c r="F2" s="571"/>
      <c r="G2" s="571"/>
      <c r="H2" s="571"/>
      <c r="I2" s="571"/>
      <c r="J2" s="571"/>
      <c r="K2" s="571"/>
      <c r="L2" s="571"/>
      <c r="M2" s="571"/>
      <c r="N2" s="571"/>
      <c r="O2" s="571"/>
      <c r="P2" s="571"/>
      <c r="Q2" s="571"/>
      <c r="R2" s="571"/>
      <c r="S2" s="571"/>
      <c r="T2" s="572"/>
    </row>
    <row r="3" spans="1:41" ht="28.8" x14ac:dyDescent="0.3">
      <c r="C3" s="573"/>
      <c r="D3" s="574"/>
      <c r="E3" s="574"/>
      <c r="F3" s="574"/>
      <c r="G3" s="574"/>
      <c r="H3" s="574"/>
      <c r="I3" s="574"/>
      <c r="J3" s="574"/>
      <c r="K3" s="574"/>
      <c r="L3" s="574"/>
      <c r="M3" s="574"/>
      <c r="N3" s="574"/>
      <c r="O3" s="574"/>
      <c r="P3" s="574"/>
      <c r="Q3" s="574"/>
      <c r="R3" s="574"/>
      <c r="S3" s="574"/>
      <c r="T3" s="575"/>
      <c r="X3" s="10"/>
      <c r="Y3" s="312" t="s">
        <v>390</v>
      </c>
      <c r="Z3" s="313"/>
      <c r="AA3" s="11" t="s">
        <v>391</v>
      </c>
      <c r="AB3" s="11" t="s">
        <v>392</v>
      </c>
      <c r="AC3" s="223" t="s">
        <v>393</v>
      </c>
      <c r="AD3" s="223" t="s">
        <v>394</v>
      </c>
      <c r="AE3" s="223" t="s">
        <v>395</v>
      </c>
      <c r="AF3" s="223" t="s">
        <v>396</v>
      </c>
      <c r="AG3" s="223" t="s">
        <v>397</v>
      </c>
      <c r="AH3" s="223" t="s">
        <v>398</v>
      </c>
      <c r="AI3" s="223" t="s">
        <v>399</v>
      </c>
      <c r="AJ3" s="223" t="s">
        <v>400</v>
      </c>
      <c r="AK3" s="223" t="s">
        <v>401</v>
      </c>
      <c r="AL3" s="223" t="s">
        <v>402</v>
      </c>
      <c r="AM3" s="223" t="s">
        <v>403</v>
      </c>
      <c r="AN3" s="223" t="s">
        <v>404</v>
      </c>
    </row>
    <row r="4" spans="1:41" ht="14.4" customHeight="1" x14ac:dyDescent="0.3">
      <c r="A4" s="389" t="s">
        <v>405</v>
      </c>
      <c r="B4" s="389"/>
      <c r="C4" s="306" t="s">
        <v>406</v>
      </c>
      <c r="D4" s="306"/>
      <c r="E4" s="306" t="s">
        <v>407</v>
      </c>
      <c r="F4" s="306"/>
      <c r="G4" s="306" t="s">
        <v>38</v>
      </c>
      <c r="H4" s="306"/>
      <c r="I4" s="306" t="s">
        <v>408</v>
      </c>
      <c r="J4" s="306"/>
      <c r="K4" s="306" t="s">
        <v>42</v>
      </c>
      <c r="L4" s="306"/>
      <c r="M4" s="306" t="s">
        <v>409</v>
      </c>
      <c r="N4" s="306"/>
      <c r="O4" s="306" t="s">
        <v>410</v>
      </c>
      <c r="P4" s="306"/>
      <c r="Q4" s="306" t="s">
        <v>411</v>
      </c>
      <c r="R4" s="306"/>
      <c r="S4" s="306" t="s">
        <v>46</v>
      </c>
      <c r="T4" s="314"/>
      <c r="U4" s="559" t="s">
        <v>412</v>
      </c>
      <c r="X4" s="10"/>
      <c r="Y4" s="478" t="s">
        <v>413</v>
      </c>
      <c r="Z4" s="479"/>
      <c r="AA4" s="16" t="s">
        <v>414</v>
      </c>
      <c r="AB4" t="s">
        <v>229</v>
      </c>
      <c r="AC4" s="16" t="s">
        <v>415</v>
      </c>
      <c r="AD4" s="16" t="s">
        <v>415</v>
      </c>
      <c r="AE4" s="16" t="s">
        <v>415</v>
      </c>
      <c r="AF4" s="16" t="s">
        <v>415</v>
      </c>
      <c r="AG4" s="235" t="s">
        <v>246</v>
      </c>
      <c r="AH4" s="235" t="s">
        <v>240</v>
      </c>
      <c r="AI4" s="235" t="s">
        <v>246</v>
      </c>
      <c r="AJ4" s="235" t="s">
        <v>240</v>
      </c>
      <c r="AK4" s="235" t="s">
        <v>246</v>
      </c>
      <c r="AL4" s="235" t="s">
        <v>240</v>
      </c>
      <c r="AM4" s="235" t="s">
        <v>416</v>
      </c>
      <c r="AN4" s="16" t="s">
        <v>416</v>
      </c>
    </row>
    <row r="5" spans="1:41" x14ac:dyDescent="0.3">
      <c r="A5" s="389"/>
      <c r="B5" s="389"/>
      <c r="C5" s="306"/>
      <c r="D5" s="306"/>
      <c r="E5" s="306"/>
      <c r="F5" s="306"/>
      <c r="G5" s="306"/>
      <c r="H5" s="306"/>
      <c r="I5" s="306"/>
      <c r="J5" s="306"/>
      <c r="K5" s="306"/>
      <c r="L5" s="306"/>
      <c r="M5" s="306"/>
      <c r="N5" s="306"/>
      <c r="O5" s="306"/>
      <c r="P5" s="306"/>
      <c r="Q5" s="306"/>
      <c r="R5" s="306"/>
      <c r="S5" s="306"/>
      <c r="T5" s="314"/>
      <c r="U5" s="561"/>
      <c r="X5" s="10"/>
      <c r="Y5" s="576"/>
      <c r="Z5" s="577"/>
      <c r="AA5" s="16" t="s">
        <v>417</v>
      </c>
      <c r="AB5" s="16" t="s">
        <v>418</v>
      </c>
      <c r="AC5" s="16" t="s">
        <v>414</v>
      </c>
      <c r="AD5" s="16" t="s">
        <v>414</v>
      </c>
      <c r="AE5" s="16" t="s">
        <v>414</v>
      </c>
      <c r="AF5" s="16" t="s">
        <v>414</v>
      </c>
      <c r="AG5" s="236" t="s">
        <v>419</v>
      </c>
      <c r="AH5" s="16" t="s">
        <v>420</v>
      </c>
      <c r="AI5" s="16" t="s">
        <v>421</v>
      </c>
      <c r="AJ5" s="16" t="s">
        <v>420</v>
      </c>
      <c r="AK5" s="16" t="s">
        <v>421</v>
      </c>
      <c r="AL5" s="16" t="s">
        <v>420</v>
      </c>
      <c r="AM5" s="16" t="s">
        <v>229</v>
      </c>
      <c r="AN5" s="16" t="s">
        <v>246</v>
      </c>
    </row>
    <row r="6" spans="1:41" ht="14.4" customHeight="1" x14ac:dyDescent="0.3">
      <c r="A6" s="306" t="s">
        <v>406</v>
      </c>
      <c r="B6" s="306"/>
      <c r="C6" s="542">
        <v>3</v>
      </c>
      <c r="D6" s="542"/>
      <c r="E6" s="536"/>
      <c r="F6" s="536"/>
      <c r="G6" s="536">
        <f>AC14+AD14+AE14+AF14</f>
        <v>3293</v>
      </c>
      <c r="H6" s="536"/>
      <c r="I6" s="536"/>
      <c r="J6" s="536"/>
      <c r="K6" s="536">
        <f>AM14</f>
        <v>2138</v>
      </c>
      <c r="L6" s="536"/>
      <c r="M6" s="536"/>
      <c r="N6" s="536"/>
      <c r="O6" s="536"/>
      <c r="P6" s="536"/>
      <c r="Q6" s="536"/>
      <c r="R6" s="536"/>
      <c r="S6" s="566">
        <f>AN14</f>
        <v>881</v>
      </c>
      <c r="T6" s="567"/>
      <c r="U6" s="546">
        <f>SUM(E6:T7)</f>
        <v>6312</v>
      </c>
      <c r="X6" s="10"/>
      <c r="Y6" s="576"/>
      <c r="Z6" s="577"/>
      <c r="AA6" s="16"/>
      <c r="AB6" s="16" t="s">
        <v>414</v>
      </c>
      <c r="AC6" s="16"/>
      <c r="AD6" s="16"/>
      <c r="AE6" s="16"/>
      <c r="AF6" s="16"/>
      <c r="AG6" s="236" t="s">
        <v>240</v>
      </c>
      <c r="AH6" s="16" t="s">
        <v>229</v>
      </c>
      <c r="AI6" s="16" t="s">
        <v>240</v>
      </c>
      <c r="AJ6" s="16" t="s">
        <v>229</v>
      </c>
      <c r="AK6" s="16" t="s">
        <v>240</v>
      </c>
      <c r="AL6" s="16" t="s">
        <v>229</v>
      </c>
      <c r="AM6" s="16"/>
      <c r="AN6" s="16"/>
    </row>
    <row r="7" spans="1:41" ht="14.4" customHeight="1" x14ac:dyDescent="0.3">
      <c r="A7" s="306"/>
      <c r="B7" s="306"/>
      <c r="C7" s="542"/>
      <c r="D7" s="542"/>
      <c r="E7" s="536"/>
      <c r="F7" s="536"/>
      <c r="G7" s="536"/>
      <c r="H7" s="536"/>
      <c r="I7" s="536"/>
      <c r="J7" s="536"/>
      <c r="K7" s="536"/>
      <c r="L7" s="536"/>
      <c r="M7" s="536"/>
      <c r="N7" s="536"/>
      <c r="O7" s="536"/>
      <c r="P7" s="536"/>
      <c r="Q7" s="536"/>
      <c r="R7" s="536"/>
      <c r="S7" s="568"/>
      <c r="T7" s="569"/>
      <c r="U7" s="354"/>
      <c r="X7" s="10"/>
      <c r="Y7" s="576"/>
      <c r="Z7" s="577"/>
      <c r="AA7" s="16"/>
      <c r="AB7" s="16"/>
      <c r="AC7" s="16"/>
      <c r="AD7" s="16"/>
      <c r="AE7" s="16"/>
      <c r="AF7" s="16"/>
      <c r="AG7" s="236"/>
      <c r="AH7" s="16"/>
      <c r="AI7" s="16"/>
      <c r="AJ7" s="16"/>
      <c r="AK7" s="16"/>
      <c r="AL7" s="16"/>
      <c r="AM7" s="16"/>
      <c r="AN7" s="16"/>
    </row>
    <row r="8" spans="1:41" ht="14.4" customHeight="1" x14ac:dyDescent="0.3">
      <c r="A8" s="306" t="s">
        <v>407</v>
      </c>
      <c r="B8" s="306"/>
      <c r="C8" s="536"/>
      <c r="D8" s="536"/>
      <c r="E8" s="542">
        <v>1</v>
      </c>
      <c r="F8" s="542"/>
      <c r="G8" s="536"/>
      <c r="H8" s="536"/>
      <c r="I8" s="536"/>
      <c r="J8" s="536"/>
      <c r="K8" s="536"/>
      <c r="L8" s="536"/>
      <c r="M8" s="536"/>
      <c r="N8" s="536"/>
      <c r="O8" s="536"/>
      <c r="P8" s="536"/>
      <c r="Q8" s="536"/>
      <c r="R8" s="536"/>
      <c r="S8" s="536"/>
      <c r="T8" s="537"/>
      <c r="U8" s="546">
        <f>SUM(G8:T9,C8)</f>
        <v>0</v>
      </c>
      <c r="X8" s="10"/>
      <c r="Y8" s="576"/>
      <c r="Z8" s="577"/>
      <c r="AA8" s="16"/>
      <c r="AB8" s="16"/>
      <c r="AC8" s="16"/>
      <c r="AD8" s="16"/>
      <c r="AE8" s="16"/>
      <c r="AF8" s="16"/>
      <c r="AG8" s="236"/>
      <c r="AH8" s="16"/>
      <c r="AI8" s="16"/>
      <c r="AJ8" s="16"/>
      <c r="AK8" s="16"/>
      <c r="AL8" s="16"/>
      <c r="AM8" s="16"/>
      <c r="AN8" s="16"/>
    </row>
    <row r="9" spans="1:41" ht="14.4" customHeight="1" x14ac:dyDescent="0.3">
      <c r="A9" s="306"/>
      <c r="B9" s="306"/>
      <c r="C9" s="536"/>
      <c r="D9" s="536"/>
      <c r="E9" s="542"/>
      <c r="F9" s="542"/>
      <c r="G9" s="536"/>
      <c r="H9" s="536"/>
      <c r="I9" s="536"/>
      <c r="J9" s="536"/>
      <c r="K9" s="536"/>
      <c r="L9" s="536"/>
      <c r="M9" s="536"/>
      <c r="N9" s="536"/>
      <c r="O9" s="536"/>
      <c r="P9" s="536"/>
      <c r="Q9" s="536"/>
      <c r="R9" s="536"/>
      <c r="S9" s="536"/>
      <c r="T9" s="537"/>
      <c r="U9" s="354"/>
      <c r="X9" s="10"/>
      <c r="Y9" s="480"/>
      <c r="Z9" s="481"/>
      <c r="AA9" s="16"/>
      <c r="AB9" s="16"/>
      <c r="AC9" s="16"/>
      <c r="AD9" s="16"/>
      <c r="AE9" s="16"/>
      <c r="AF9" s="16"/>
      <c r="AG9" s="236"/>
      <c r="AH9" s="16"/>
      <c r="AI9" s="16"/>
      <c r="AJ9" s="16"/>
      <c r="AK9" s="16"/>
      <c r="AL9" s="16"/>
      <c r="AM9" s="16"/>
      <c r="AN9" s="16"/>
    </row>
    <row r="10" spans="1:41" x14ac:dyDescent="0.3">
      <c r="A10" s="306" t="s">
        <v>38</v>
      </c>
      <c r="B10" s="306"/>
      <c r="C10" s="536"/>
      <c r="D10" s="536"/>
      <c r="E10" s="536">
        <f>AA14</f>
        <v>25650</v>
      </c>
      <c r="F10" s="536"/>
      <c r="G10" s="542">
        <v>3</v>
      </c>
      <c r="H10" s="542"/>
      <c r="I10" s="536"/>
      <c r="J10" s="536"/>
      <c r="K10" s="536"/>
      <c r="L10" s="536"/>
      <c r="M10" s="536"/>
      <c r="N10" s="536"/>
      <c r="O10" s="536"/>
      <c r="P10" s="536"/>
      <c r="Q10" s="536"/>
      <c r="R10" s="536"/>
      <c r="S10" s="536"/>
      <c r="T10" s="537"/>
      <c r="U10" s="546">
        <f>SUM(I10:T11,C10:F11)</f>
        <v>25650</v>
      </c>
      <c r="X10" s="10"/>
      <c r="Y10" s="420" t="s">
        <v>422</v>
      </c>
      <c r="Z10" s="421"/>
      <c r="AA10" s="562">
        <f>SUM('[1]$_FABB_PARTI_LOTTI'!L7:L8)</f>
        <v>25650</v>
      </c>
      <c r="AB10" s="562">
        <f>SUM('[1]$_FABB_PARTI_LOTTI'!L10:L11)</f>
        <v>25650</v>
      </c>
      <c r="AC10" s="562">
        <f>SUM('[1]$_DB_CICLI'!P21,'[1]$_DB_CICLI'!Q43)</f>
        <v>25650</v>
      </c>
      <c r="AD10" s="562">
        <f>SUM('[1]$_DB_CICLI'!P44,'[1]$_DB_CICLI'!Q22)</f>
        <v>51300</v>
      </c>
      <c r="AE10" s="562">
        <f>SUM('[1]$_DB_CICLI'!P23,'[1]$_DB_CICLI'!Q45)</f>
        <v>76950</v>
      </c>
      <c r="AF10" s="562">
        <f>SUM('[1]$_DB_CICLI'!P24,'[1]$_DB_CICLI'!Q46)</f>
        <v>25650</v>
      </c>
      <c r="AG10" s="562">
        <f>SUM('[1]$_FABB_PARTI_LOTTI'!L14,'[1]$_FABB_PARTI_LOTTI'!L16)</f>
        <v>26984</v>
      </c>
      <c r="AH10" s="564">
        <f>SUM('[1]$_FABB_PARTI_LOTTI'!L15,'[1]$_FABB_PARTI_LOTTI'!L13)</f>
        <v>26444</v>
      </c>
      <c r="AI10" s="562">
        <f>'[1]$_FABB_PARTI_LOTTI'!L18</f>
        <v>58285</v>
      </c>
      <c r="AJ10" s="564">
        <f>'[1]$_FABB_PARTI_LOTTI'!L17</f>
        <v>57118</v>
      </c>
      <c r="AK10" s="562">
        <f>'[1]$_FABB_PARTI_LOTTI'!L20</f>
        <v>53967</v>
      </c>
      <c r="AL10" s="564">
        <f>'[1]$_FABB_PARTI_LOTTI'!L19</f>
        <v>52887</v>
      </c>
      <c r="AM10" s="562">
        <f>SUM('[1]$_DB_CICLI'!Q20,'[1]$_DB_CICLI'!Q42)</f>
        <v>25650</v>
      </c>
      <c r="AN10" s="562">
        <f>SUM('[1]$_DB_CICLI'!Q41,'[1]$_DB_CICLI'!Q37,'[1]$_DB_CICLI'!Q33,'[1]$_DB_CICLI'!Q19,'[1]$_DB_CICLI'!Q15,'[1]$_DB_CICLI'!Q11)</f>
        <v>22025</v>
      </c>
      <c r="AO10" s="5"/>
    </row>
    <row r="11" spans="1:41" x14ac:dyDescent="0.3">
      <c r="A11" s="306"/>
      <c r="B11" s="306"/>
      <c r="C11" s="536"/>
      <c r="D11" s="536"/>
      <c r="E11" s="536"/>
      <c r="F11" s="536"/>
      <c r="G11" s="542"/>
      <c r="H11" s="542"/>
      <c r="I11" s="536"/>
      <c r="J11" s="536"/>
      <c r="K11" s="536"/>
      <c r="L11" s="536"/>
      <c r="M11" s="536"/>
      <c r="N11" s="536"/>
      <c r="O11" s="536"/>
      <c r="P11" s="536"/>
      <c r="Q11" s="536"/>
      <c r="R11" s="536"/>
      <c r="S11" s="536"/>
      <c r="T11" s="537"/>
      <c r="U11" s="354"/>
      <c r="X11" s="10"/>
      <c r="Y11" s="424"/>
      <c r="Z11" s="425"/>
      <c r="AA11" s="563"/>
      <c r="AB11" s="563"/>
      <c r="AC11" s="563"/>
      <c r="AD11" s="563"/>
      <c r="AE11" s="563"/>
      <c r="AF11" s="563"/>
      <c r="AG11" s="563"/>
      <c r="AH11" s="565"/>
      <c r="AI11" s="563"/>
      <c r="AJ11" s="565"/>
      <c r="AK11" s="563"/>
      <c r="AL11" s="565"/>
      <c r="AM11" s="563"/>
      <c r="AN11" s="563"/>
      <c r="AO11" s="5"/>
    </row>
    <row r="12" spans="1:41" x14ac:dyDescent="0.3">
      <c r="A12" s="306" t="s">
        <v>423</v>
      </c>
      <c r="B12" s="306"/>
      <c r="C12" s="536"/>
      <c r="D12" s="536"/>
      <c r="E12" s="536"/>
      <c r="F12" s="536"/>
      <c r="G12" s="536">
        <f>AB14</f>
        <v>6413</v>
      </c>
      <c r="H12" s="536"/>
      <c r="I12" s="542">
        <v>2</v>
      </c>
      <c r="J12" s="542"/>
      <c r="K12" s="536"/>
      <c r="L12" s="536"/>
      <c r="M12" s="536"/>
      <c r="N12" s="536"/>
      <c r="O12" s="536"/>
      <c r="P12" s="536"/>
      <c r="Q12" s="536"/>
      <c r="R12" s="536"/>
      <c r="S12" s="536"/>
      <c r="T12" s="537"/>
      <c r="U12" s="546">
        <f>SUM(K12:T13,C12:H13)</f>
        <v>6413</v>
      </c>
      <c r="X12" s="10"/>
      <c r="Y12" s="420" t="s">
        <v>333</v>
      </c>
      <c r="Z12" s="421"/>
      <c r="AA12" s="547">
        <v>1</v>
      </c>
      <c r="AB12" s="547">
        <v>4</v>
      </c>
      <c r="AC12" s="547">
        <v>50</v>
      </c>
      <c r="AD12" s="547">
        <v>200</v>
      </c>
      <c r="AE12" s="547">
        <v>200</v>
      </c>
      <c r="AF12" s="547">
        <f>12</f>
        <v>12</v>
      </c>
      <c r="AG12" s="547">
        <v>25</v>
      </c>
      <c r="AH12" s="547">
        <v>25</v>
      </c>
      <c r="AI12" s="547">
        <v>200</v>
      </c>
      <c r="AJ12" s="547">
        <v>200</v>
      </c>
      <c r="AK12" s="547">
        <v>200</v>
      </c>
      <c r="AL12" s="547">
        <v>200</v>
      </c>
      <c r="AM12" s="547">
        <v>12</v>
      </c>
      <c r="AN12" s="547">
        <v>25</v>
      </c>
      <c r="AO12" s="5"/>
    </row>
    <row r="13" spans="1:41" x14ac:dyDescent="0.3">
      <c r="A13" s="306"/>
      <c r="B13" s="306"/>
      <c r="C13" s="536"/>
      <c r="D13" s="536"/>
      <c r="E13" s="536"/>
      <c r="F13" s="536"/>
      <c r="G13" s="536"/>
      <c r="H13" s="536"/>
      <c r="I13" s="542"/>
      <c r="J13" s="542"/>
      <c r="K13" s="536"/>
      <c r="L13" s="536"/>
      <c r="M13" s="536"/>
      <c r="N13" s="536"/>
      <c r="O13" s="536"/>
      <c r="P13" s="536"/>
      <c r="Q13" s="536"/>
      <c r="R13" s="536"/>
      <c r="S13" s="536"/>
      <c r="T13" s="537"/>
      <c r="U13" s="354"/>
      <c r="X13" s="10"/>
      <c r="Y13" s="424"/>
      <c r="Z13" s="425"/>
      <c r="AA13" s="548"/>
      <c r="AB13" s="548"/>
      <c r="AC13" s="548"/>
      <c r="AD13" s="548"/>
      <c r="AE13" s="548"/>
      <c r="AF13" s="548"/>
      <c r="AG13" s="548"/>
      <c r="AH13" s="548"/>
      <c r="AI13" s="548"/>
      <c r="AJ13" s="548"/>
      <c r="AK13" s="548"/>
      <c r="AL13" s="548"/>
      <c r="AM13" s="548"/>
      <c r="AN13" s="548"/>
      <c r="AO13" s="5"/>
    </row>
    <row r="14" spans="1:41" x14ac:dyDescent="0.3">
      <c r="A14" s="306" t="s">
        <v>42</v>
      </c>
      <c r="B14" s="306"/>
      <c r="C14" s="536"/>
      <c r="D14" s="536"/>
      <c r="E14" s="536"/>
      <c r="F14" s="536"/>
      <c r="G14" s="536"/>
      <c r="H14" s="536"/>
      <c r="I14" s="536">
        <f>AB14</f>
        <v>6413</v>
      </c>
      <c r="J14" s="536"/>
      <c r="K14" s="542">
        <v>3</v>
      </c>
      <c r="L14" s="542"/>
      <c r="M14" s="536"/>
      <c r="N14" s="536"/>
      <c r="O14" s="536"/>
      <c r="P14" s="536"/>
      <c r="Q14" s="536"/>
      <c r="R14" s="536"/>
      <c r="S14" s="536"/>
      <c r="T14" s="537"/>
      <c r="U14" s="546">
        <f>SUM(M14:T15,C14:J15)</f>
        <v>6413</v>
      </c>
      <c r="X14" s="10"/>
      <c r="Y14" s="559" t="s">
        <v>424</v>
      </c>
      <c r="Z14" s="557" t="s">
        <v>425</v>
      </c>
      <c r="AA14" s="547">
        <f t="shared" ref="AA14:AN14" si="0">_xlfn.CEILING.MATH(AA10/AA12)</f>
        <v>25650</v>
      </c>
      <c r="AB14" s="547">
        <f t="shared" si="0"/>
        <v>6413</v>
      </c>
      <c r="AC14" s="547">
        <f t="shared" si="0"/>
        <v>513</v>
      </c>
      <c r="AD14" s="547">
        <f t="shared" si="0"/>
        <v>257</v>
      </c>
      <c r="AE14" s="547">
        <f t="shared" si="0"/>
        <v>385</v>
      </c>
      <c r="AF14" s="547">
        <f t="shared" si="0"/>
        <v>2138</v>
      </c>
      <c r="AG14" s="547">
        <f t="shared" si="0"/>
        <v>1080</v>
      </c>
      <c r="AH14" s="547">
        <f t="shared" si="0"/>
        <v>1058</v>
      </c>
      <c r="AI14" s="547">
        <f t="shared" si="0"/>
        <v>292</v>
      </c>
      <c r="AJ14" s="547">
        <f t="shared" si="0"/>
        <v>286</v>
      </c>
      <c r="AK14" s="547">
        <f t="shared" si="0"/>
        <v>270</v>
      </c>
      <c r="AL14" s="547">
        <f t="shared" si="0"/>
        <v>265</v>
      </c>
      <c r="AM14" s="547">
        <f t="shared" si="0"/>
        <v>2138</v>
      </c>
      <c r="AN14" s="547">
        <f t="shared" si="0"/>
        <v>881</v>
      </c>
      <c r="AO14" s="5"/>
    </row>
    <row r="15" spans="1:41" x14ac:dyDescent="0.3">
      <c r="A15" s="306"/>
      <c r="B15" s="306"/>
      <c r="C15" s="536"/>
      <c r="D15" s="536"/>
      <c r="E15" s="536"/>
      <c r="F15" s="536"/>
      <c r="G15" s="536"/>
      <c r="H15" s="536"/>
      <c r="I15" s="536"/>
      <c r="J15" s="536"/>
      <c r="K15" s="542"/>
      <c r="L15" s="542"/>
      <c r="M15" s="536"/>
      <c r="N15" s="536"/>
      <c r="O15" s="536"/>
      <c r="P15" s="536"/>
      <c r="Q15" s="536"/>
      <c r="R15" s="536"/>
      <c r="S15" s="536"/>
      <c r="T15" s="537"/>
      <c r="U15" s="354"/>
      <c r="X15" s="10"/>
      <c r="Y15" s="560"/>
      <c r="Z15" s="558"/>
      <c r="AA15" s="548"/>
      <c r="AB15" s="548"/>
      <c r="AC15" s="548"/>
      <c r="AD15" s="548"/>
      <c r="AE15" s="548"/>
      <c r="AF15" s="548"/>
      <c r="AG15" s="548"/>
      <c r="AH15" s="548"/>
      <c r="AI15" s="548"/>
      <c r="AJ15" s="548"/>
      <c r="AK15" s="548"/>
      <c r="AL15" s="548"/>
      <c r="AM15" s="548"/>
      <c r="AN15" s="548"/>
      <c r="AO15" s="5"/>
    </row>
    <row r="16" spans="1:41" ht="14.4" customHeight="1" x14ac:dyDescent="0.3">
      <c r="A16" s="306" t="s">
        <v>409</v>
      </c>
      <c r="B16" s="306"/>
      <c r="C16" s="536"/>
      <c r="D16" s="536"/>
      <c r="E16" s="536"/>
      <c r="F16" s="536"/>
      <c r="G16" s="536"/>
      <c r="H16" s="536"/>
      <c r="I16" s="536"/>
      <c r="J16" s="536"/>
      <c r="K16" s="536">
        <f>AH14+AJ14+AL14</f>
        <v>1609</v>
      </c>
      <c r="L16" s="536"/>
      <c r="M16" s="542">
        <v>2</v>
      </c>
      <c r="N16" s="542"/>
      <c r="O16" s="536"/>
      <c r="P16" s="536"/>
      <c r="Q16" s="536"/>
      <c r="R16" s="536"/>
      <c r="S16" s="536"/>
      <c r="T16" s="537"/>
      <c r="U16" s="546">
        <f>SUM(O16:T17,C16:L17)</f>
        <v>1609</v>
      </c>
      <c r="Y16" s="560"/>
      <c r="Z16" s="549" t="s">
        <v>426</v>
      </c>
      <c r="AA16" s="547">
        <f>AA14*1</f>
        <v>25650</v>
      </c>
      <c r="AB16" s="547">
        <f>AB14*2</f>
        <v>12826</v>
      </c>
      <c r="AC16" s="547">
        <f>AC14*1</f>
        <v>513</v>
      </c>
      <c r="AD16" s="547">
        <f>AD14*1</f>
        <v>257</v>
      </c>
      <c r="AE16" s="547">
        <f>AE14*1</f>
        <v>385</v>
      </c>
      <c r="AF16" s="547">
        <f>AF14*1</f>
        <v>2138</v>
      </c>
      <c r="AG16" s="547">
        <f t="shared" ref="AG16:AL16" si="1">AG14*2</f>
        <v>2160</v>
      </c>
      <c r="AH16" s="547">
        <f t="shared" si="1"/>
        <v>2116</v>
      </c>
      <c r="AI16" s="547">
        <f t="shared" si="1"/>
        <v>584</v>
      </c>
      <c r="AJ16" s="547">
        <f t="shared" si="1"/>
        <v>572</v>
      </c>
      <c r="AK16" s="547">
        <f t="shared" si="1"/>
        <v>540</v>
      </c>
      <c r="AL16" s="547">
        <f t="shared" si="1"/>
        <v>530</v>
      </c>
      <c r="AM16" s="547">
        <f>AM14*1</f>
        <v>2138</v>
      </c>
      <c r="AN16" s="547">
        <f>AN14*1</f>
        <v>881</v>
      </c>
    </row>
    <row r="17" spans="1:40" ht="14.4" customHeight="1" x14ac:dyDescent="0.3">
      <c r="A17" s="306"/>
      <c r="B17" s="306"/>
      <c r="C17" s="536"/>
      <c r="D17" s="536"/>
      <c r="E17" s="536"/>
      <c r="F17" s="536"/>
      <c r="G17" s="536"/>
      <c r="H17" s="536"/>
      <c r="I17" s="536"/>
      <c r="J17" s="536"/>
      <c r="K17" s="536"/>
      <c r="L17" s="536"/>
      <c r="M17" s="542"/>
      <c r="N17" s="542"/>
      <c r="O17" s="536"/>
      <c r="P17" s="536"/>
      <c r="Q17" s="536"/>
      <c r="R17" s="536"/>
      <c r="S17" s="536"/>
      <c r="T17" s="537"/>
      <c r="U17" s="354"/>
      <c r="Y17" s="560"/>
      <c r="Z17" s="550"/>
      <c r="AA17" s="548"/>
      <c r="AB17" s="548"/>
      <c r="AC17" s="548"/>
      <c r="AD17" s="548"/>
      <c r="AE17" s="548"/>
      <c r="AF17" s="548"/>
      <c r="AG17" s="548"/>
      <c r="AH17" s="548"/>
      <c r="AI17" s="548"/>
      <c r="AJ17" s="548"/>
      <c r="AK17" s="548"/>
      <c r="AL17" s="548"/>
      <c r="AM17" s="548"/>
      <c r="AN17" s="548"/>
    </row>
    <row r="18" spans="1:40" ht="14.4" customHeight="1" x14ac:dyDescent="0.3">
      <c r="A18" s="306" t="s">
        <v>410</v>
      </c>
      <c r="B18" s="306"/>
      <c r="C18" s="536"/>
      <c r="D18" s="536"/>
      <c r="E18" s="536"/>
      <c r="F18" s="536"/>
      <c r="G18" s="536"/>
      <c r="H18" s="536"/>
      <c r="I18" s="536"/>
      <c r="J18" s="536"/>
      <c r="K18" s="536"/>
      <c r="L18" s="536"/>
      <c r="M18" s="536">
        <f>AH14+AJ14+AL14</f>
        <v>1609</v>
      </c>
      <c r="N18" s="536"/>
      <c r="O18" s="542">
        <v>2</v>
      </c>
      <c r="P18" s="542"/>
      <c r="Q18" s="536"/>
      <c r="R18" s="536"/>
      <c r="S18" s="536"/>
      <c r="T18" s="537"/>
      <c r="U18" s="546">
        <f>SUM(Q18:T19,C18:N19)</f>
        <v>1609</v>
      </c>
      <c r="Y18" s="560"/>
      <c r="Z18" s="549" t="s">
        <v>427</v>
      </c>
      <c r="AA18" s="551">
        <f>SUM(AA16:AN17)</f>
        <v>51290</v>
      </c>
      <c r="AB18" s="552"/>
      <c r="AC18" s="552"/>
      <c r="AD18" s="552"/>
      <c r="AE18" s="552"/>
      <c r="AF18" s="552"/>
      <c r="AG18" s="552"/>
      <c r="AH18" s="552"/>
      <c r="AI18" s="552"/>
      <c r="AJ18" s="552"/>
      <c r="AK18" s="552"/>
      <c r="AL18" s="552"/>
      <c r="AM18" s="552"/>
      <c r="AN18" s="553"/>
    </row>
    <row r="19" spans="1:40" ht="14.4" customHeight="1" x14ac:dyDescent="0.3">
      <c r="A19" s="306"/>
      <c r="B19" s="306"/>
      <c r="C19" s="536"/>
      <c r="D19" s="536"/>
      <c r="E19" s="536"/>
      <c r="F19" s="536"/>
      <c r="G19" s="536"/>
      <c r="H19" s="536"/>
      <c r="I19" s="536"/>
      <c r="J19" s="536"/>
      <c r="K19" s="536"/>
      <c r="L19" s="536"/>
      <c r="M19" s="536"/>
      <c r="N19" s="536"/>
      <c r="O19" s="542"/>
      <c r="P19" s="542"/>
      <c r="Q19" s="536"/>
      <c r="R19" s="536"/>
      <c r="S19" s="536"/>
      <c r="T19" s="537"/>
      <c r="U19" s="354"/>
      <c r="Y19" s="561"/>
      <c r="Z19" s="550"/>
      <c r="AA19" s="554"/>
      <c r="AB19" s="555"/>
      <c r="AC19" s="555"/>
      <c r="AD19" s="555"/>
      <c r="AE19" s="555"/>
      <c r="AF19" s="555"/>
      <c r="AG19" s="555"/>
      <c r="AH19" s="555"/>
      <c r="AI19" s="555"/>
      <c r="AJ19" s="555"/>
      <c r="AK19" s="555"/>
      <c r="AL19" s="555"/>
      <c r="AM19" s="555"/>
      <c r="AN19" s="556"/>
    </row>
    <row r="20" spans="1:40" ht="14.4" customHeight="1" x14ac:dyDescent="0.3">
      <c r="A20" s="306" t="s">
        <v>411</v>
      </c>
      <c r="B20" s="306"/>
      <c r="C20" s="536"/>
      <c r="D20" s="536"/>
      <c r="E20" s="536"/>
      <c r="F20" s="536"/>
      <c r="G20" s="536"/>
      <c r="H20" s="536"/>
      <c r="I20" s="536"/>
      <c r="J20" s="536"/>
      <c r="K20" s="536"/>
      <c r="L20" s="536"/>
      <c r="M20" s="536"/>
      <c r="N20" s="536"/>
      <c r="O20" s="536">
        <f>AG14+AI14+AK14</f>
        <v>1642</v>
      </c>
      <c r="P20" s="536"/>
      <c r="Q20" s="542">
        <v>2</v>
      </c>
      <c r="R20" s="542"/>
      <c r="S20" s="536"/>
      <c r="T20" s="537"/>
      <c r="U20" s="546">
        <f>SUM(S20,C20:P21)</f>
        <v>1642</v>
      </c>
    </row>
    <row r="21" spans="1:40" ht="14.4" customHeight="1" x14ac:dyDescent="0.3">
      <c r="A21" s="306"/>
      <c r="B21" s="306"/>
      <c r="C21" s="536"/>
      <c r="D21" s="536"/>
      <c r="E21" s="536"/>
      <c r="F21" s="536"/>
      <c r="G21" s="536"/>
      <c r="H21" s="536"/>
      <c r="I21" s="536"/>
      <c r="J21" s="536"/>
      <c r="K21" s="536"/>
      <c r="L21" s="536"/>
      <c r="M21" s="536"/>
      <c r="N21" s="536"/>
      <c r="O21" s="536"/>
      <c r="P21" s="536"/>
      <c r="Q21" s="542"/>
      <c r="R21" s="542"/>
      <c r="S21" s="536"/>
      <c r="T21" s="537"/>
      <c r="U21" s="354"/>
      <c r="AC21" s="1"/>
    </row>
    <row r="22" spans="1:40" ht="14.4" customHeight="1" x14ac:dyDescent="0.3">
      <c r="A22" s="306" t="s">
        <v>46</v>
      </c>
      <c r="B22" s="306"/>
      <c r="C22" s="536"/>
      <c r="D22" s="536"/>
      <c r="E22" s="536"/>
      <c r="F22" s="536"/>
      <c r="G22" s="536"/>
      <c r="H22" s="536"/>
      <c r="I22" s="536"/>
      <c r="J22" s="536"/>
      <c r="K22" s="536"/>
      <c r="L22" s="536"/>
      <c r="M22" s="536"/>
      <c r="N22" s="536"/>
      <c r="O22" s="536"/>
      <c r="P22" s="536"/>
      <c r="Q22" s="536">
        <f>AG14+AI14+AK14</f>
        <v>1642</v>
      </c>
      <c r="R22" s="536"/>
      <c r="S22" s="542">
        <v>2</v>
      </c>
      <c r="T22" s="543"/>
      <c r="U22" s="546">
        <f>SUM(C22:R23)</f>
        <v>1642</v>
      </c>
    </row>
    <row r="23" spans="1:40" ht="14.4" customHeight="1" x14ac:dyDescent="0.3">
      <c r="A23" s="444"/>
      <c r="B23" s="444"/>
      <c r="C23" s="541"/>
      <c r="D23" s="541"/>
      <c r="E23" s="541"/>
      <c r="F23" s="541"/>
      <c r="G23" s="541"/>
      <c r="H23" s="541"/>
      <c r="I23" s="541"/>
      <c r="J23" s="541"/>
      <c r="K23" s="541"/>
      <c r="L23" s="541"/>
      <c r="M23" s="541"/>
      <c r="N23" s="541"/>
      <c r="O23" s="541"/>
      <c r="P23" s="541"/>
      <c r="Q23" s="541"/>
      <c r="R23" s="541"/>
      <c r="S23" s="544"/>
      <c r="T23" s="545"/>
      <c r="U23" s="354"/>
    </row>
    <row r="24" spans="1:40" ht="15.6" x14ac:dyDescent="0.3">
      <c r="A24" s="306" t="s">
        <v>412</v>
      </c>
      <c r="B24" s="306"/>
      <c r="C24" s="538">
        <f>SUM(C8:D23)</f>
        <v>0</v>
      </c>
      <c r="D24" s="539"/>
      <c r="E24" s="538">
        <f>SUM(E10:F23,E6)</f>
        <v>25650</v>
      </c>
      <c r="F24" s="539"/>
      <c r="G24" s="538">
        <f>SUM(G12:H23,G6:H9)</f>
        <v>9706</v>
      </c>
      <c r="H24" s="539"/>
      <c r="I24" s="538">
        <f>SUM(I14:J23,I6:J11)</f>
        <v>6413</v>
      </c>
      <c r="J24" s="539"/>
      <c r="K24" s="538">
        <f>SUM(K16:L23,K6:L13)</f>
        <v>3747</v>
      </c>
      <c r="L24" s="539"/>
      <c r="M24" s="538">
        <f>SUM(M18:N23,M6:N15)</f>
        <v>1609</v>
      </c>
      <c r="N24" s="539"/>
      <c r="O24" s="538">
        <f>SUM(O20:P23,O6:P17)</f>
        <v>1642</v>
      </c>
      <c r="P24" s="539"/>
      <c r="Q24" s="538">
        <f>SUM(Q22,Q6:R19)</f>
        <v>1642</v>
      </c>
      <c r="R24" s="539"/>
      <c r="S24" s="538">
        <f>SUM(S6:T21)</f>
        <v>881</v>
      </c>
      <c r="T24" s="539"/>
      <c r="U24" s="211">
        <f>SUM(C24:T24)</f>
        <v>51290</v>
      </c>
    </row>
    <row r="25" spans="1:40" ht="14.4" customHeight="1" x14ac:dyDescent="0.3">
      <c r="A25" s="540" t="s">
        <v>428</v>
      </c>
      <c r="B25" s="540"/>
      <c r="C25" s="540"/>
      <c r="D25" s="540"/>
      <c r="E25" s="540"/>
      <c r="F25" s="540"/>
      <c r="G25" s="540"/>
      <c r="H25" s="540"/>
      <c r="I25" s="540"/>
      <c r="J25" s="540"/>
      <c r="K25" s="540"/>
      <c r="L25" s="540"/>
      <c r="M25" s="540"/>
      <c r="N25" s="540"/>
      <c r="O25" s="540"/>
      <c r="P25" s="540"/>
      <c r="Q25" s="540"/>
      <c r="R25" s="540"/>
      <c r="S25" s="540"/>
      <c r="T25" s="540"/>
    </row>
    <row r="26" spans="1:40" ht="14.4" customHeight="1" x14ac:dyDescent="0.3">
      <c r="A26" s="540"/>
      <c r="B26" s="540"/>
      <c r="C26" s="540"/>
      <c r="D26" s="540"/>
      <c r="E26" s="540"/>
      <c r="F26" s="540"/>
      <c r="G26" s="540"/>
      <c r="H26" s="540"/>
      <c r="I26" s="540"/>
      <c r="J26" s="540"/>
      <c r="K26" s="540"/>
      <c r="L26" s="540"/>
      <c r="M26" s="540"/>
      <c r="N26" s="540"/>
      <c r="O26" s="540"/>
      <c r="P26" s="540"/>
      <c r="Q26" s="540"/>
      <c r="R26" s="540"/>
      <c r="S26" s="540"/>
      <c r="T26" s="540"/>
    </row>
    <row r="27" spans="1:40" x14ac:dyDescent="0.3">
      <c r="A27" s="540"/>
      <c r="B27" s="540"/>
      <c r="C27" s="540"/>
      <c r="D27" s="540"/>
      <c r="E27" s="540"/>
      <c r="F27" s="540"/>
      <c r="G27" s="540"/>
      <c r="H27" s="540"/>
      <c r="I27" s="540"/>
      <c r="J27" s="540"/>
      <c r="K27" s="540"/>
      <c r="L27" s="540"/>
      <c r="M27" s="540"/>
      <c r="N27" s="540"/>
      <c r="O27" s="540"/>
      <c r="P27" s="540"/>
      <c r="Q27" s="540"/>
      <c r="R27" s="540"/>
      <c r="S27" s="540"/>
      <c r="T27" s="540"/>
    </row>
    <row r="28" spans="1:40" ht="15" thickBot="1" x14ac:dyDescent="0.35"/>
    <row r="29" spans="1:40" ht="14.4" customHeight="1" x14ac:dyDescent="0.3">
      <c r="A29" s="306" t="s">
        <v>429</v>
      </c>
      <c r="B29" s="306"/>
      <c r="C29" s="319" t="s">
        <v>57</v>
      </c>
      <c r="D29" s="319"/>
      <c r="E29" s="317" t="s">
        <v>430</v>
      </c>
      <c r="F29" s="317"/>
      <c r="G29" s="317" t="s">
        <v>69</v>
      </c>
      <c r="H29" s="317"/>
      <c r="I29" s="317" t="s">
        <v>431</v>
      </c>
      <c r="J29" s="317"/>
      <c r="K29" s="317" t="s">
        <v>432</v>
      </c>
      <c r="L29" s="317"/>
      <c r="O29" s="527" t="s">
        <v>433</v>
      </c>
      <c r="P29" s="528"/>
      <c r="Q29" s="528"/>
      <c r="R29" s="528"/>
      <c r="S29" s="528"/>
      <c r="T29" s="529"/>
    </row>
    <row r="30" spans="1:40" x14ac:dyDescent="0.3">
      <c r="A30" s="306"/>
      <c r="B30" s="306"/>
      <c r="C30" s="319"/>
      <c r="D30" s="319"/>
      <c r="E30" s="317"/>
      <c r="F30" s="317"/>
      <c r="G30" s="317"/>
      <c r="H30" s="317"/>
      <c r="I30" s="317"/>
      <c r="J30" s="317"/>
      <c r="K30" s="317"/>
      <c r="L30" s="317"/>
      <c r="O30" s="530"/>
      <c r="P30" s="531"/>
      <c r="Q30" s="531"/>
      <c r="R30" s="531"/>
      <c r="S30" s="531"/>
      <c r="T30" s="532"/>
    </row>
    <row r="31" spans="1:40" x14ac:dyDescent="0.3">
      <c r="A31" s="306"/>
      <c r="B31" s="306"/>
      <c r="C31" s="536">
        <f>AN14</f>
        <v>881</v>
      </c>
      <c r="D31" s="536"/>
      <c r="E31" s="536">
        <f>AE14+AD14</f>
        <v>642</v>
      </c>
      <c r="F31" s="536"/>
      <c r="G31" s="536">
        <f>AC14</f>
        <v>513</v>
      </c>
      <c r="H31" s="536"/>
      <c r="I31" s="536">
        <f>AF14</f>
        <v>2138</v>
      </c>
      <c r="J31" s="536"/>
      <c r="K31" s="536">
        <f>AM14</f>
        <v>2138</v>
      </c>
      <c r="L31" s="536"/>
      <c r="O31" s="530"/>
      <c r="P31" s="531"/>
      <c r="Q31" s="531"/>
      <c r="R31" s="531"/>
      <c r="S31" s="531"/>
      <c r="T31" s="532"/>
    </row>
    <row r="32" spans="1:40" ht="15" thickBot="1" x14ac:dyDescent="0.35">
      <c r="A32" s="306"/>
      <c r="B32" s="306"/>
      <c r="C32" s="536"/>
      <c r="D32" s="536"/>
      <c r="E32" s="536"/>
      <c r="F32" s="536"/>
      <c r="G32" s="536"/>
      <c r="H32" s="536"/>
      <c r="I32" s="536"/>
      <c r="J32" s="536"/>
      <c r="K32" s="536"/>
      <c r="L32" s="536"/>
      <c r="O32" s="533"/>
      <c r="P32" s="534"/>
      <c r="Q32" s="534"/>
      <c r="R32" s="534"/>
      <c r="S32" s="534"/>
      <c r="T32" s="535"/>
    </row>
    <row r="34" spans="1:22" ht="15" thickBot="1" x14ac:dyDescent="0.35"/>
    <row r="35" spans="1:22" ht="14.4" customHeight="1" x14ac:dyDescent="0.3">
      <c r="A35" s="317" t="s">
        <v>434</v>
      </c>
      <c r="B35" s="317"/>
      <c r="C35" s="317" t="s">
        <v>435</v>
      </c>
      <c r="D35" s="317"/>
      <c r="E35" s="317" t="s">
        <v>436</v>
      </c>
      <c r="F35" s="526"/>
      <c r="G35" s="527" t="s">
        <v>437</v>
      </c>
      <c r="H35" s="528"/>
      <c r="I35" s="528"/>
      <c r="J35" s="529"/>
      <c r="O35" s="527" t="s">
        <v>438</v>
      </c>
      <c r="P35" s="528"/>
      <c r="Q35" s="528"/>
      <c r="R35" s="528"/>
      <c r="S35" s="528"/>
      <c r="T35" s="529"/>
    </row>
    <row r="36" spans="1:22" x14ac:dyDescent="0.3">
      <c r="A36" s="317"/>
      <c r="B36" s="317"/>
      <c r="C36" s="317"/>
      <c r="D36" s="317"/>
      <c r="E36" s="317"/>
      <c r="F36" s="526"/>
      <c r="G36" s="530"/>
      <c r="H36" s="531"/>
      <c r="I36" s="531"/>
      <c r="J36" s="532"/>
      <c r="O36" s="530"/>
      <c r="P36" s="531"/>
      <c r="Q36" s="531"/>
      <c r="R36" s="531"/>
      <c r="S36" s="531"/>
      <c r="T36" s="532"/>
    </row>
    <row r="37" spans="1:22" ht="14.4" customHeight="1" x14ac:dyDescent="0.3">
      <c r="A37" s="317"/>
      <c r="B37" s="317"/>
      <c r="C37" s="536">
        <f>AA14*70%</f>
        <v>17955</v>
      </c>
      <c r="D37" s="536"/>
      <c r="E37" s="536">
        <f>AA14*30%</f>
        <v>7695</v>
      </c>
      <c r="F37" s="537"/>
      <c r="G37" s="530"/>
      <c r="H37" s="531"/>
      <c r="I37" s="531"/>
      <c r="J37" s="532"/>
      <c r="O37" s="530"/>
      <c r="P37" s="531"/>
      <c r="Q37" s="531"/>
      <c r="R37" s="531"/>
      <c r="S37" s="531"/>
      <c r="T37" s="532"/>
    </row>
    <row r="38" spans="1:22" ht="15" thickBot="1" x14ac:dyDescent="0.35">
      <c r="A38" s="317"/>
      <c r="B38" s="317"/>
      <c r="C38" s="536"/>
      <c r="D38" s="536"/>
      <c r="E38" s="536"/>
      <c r="F38" s="537"/>
      <c r="G38" s="533"/>
      <c r="H38" s="534"/>
      <c r="I38" s="534"/>
      <c r="J38" s="535"/>
      <c r="O38" s="533"/>
      <c r="P38" s="534"/>
      <c r="Q38" s="534"/>
      <c r="R38" s="534"/>
      <c r="S38" s="534"/>
      <c r="T38" s="535"/>
    </row>
    <row r="39" spans="1:22" ht="28.8" x14ac:dyDescent="0.55000000000000004">
      <c r="A39" s="525"/>
      <c r="B39" s="525"/>
      <c r="C39" s="525"/>
      <c r="D39" s="525"/>
      <c r="E39" s="525"/>
      <c r="F39" s="525"/>
      <c r="G39" s="525"/>
      <c r="H39" s="525"/>
      <c r="I39" s="525"/>
      <c r="J39" s="525"/>
      <c r="K39" s="525"/>
      <c r="L39" s="525"/>
      <c r="M39" s="525"/>
      <c r="N39" s="525"/>
      <c r="O39" s="525"/>
      <c r="P39" s="525"/>
      <c r="Q39" s="525"/>
      <c r="R39" s="525"/>
      <c r="S39" s="525"/>
      <c r="T39" s="525"/>
      <c r="U39" s="525"/>
      <c r="V39" s="525"/>
    </row>
    <row r="40" spans="1:22" ht="15" customHeight="1" x14ac:dyDescent="0.3"/>
    <row r="41" spans="1:22" ht="30" customHeight="1" x14ac:dyDescent="0.55000000000000004">
      <c r="A41" s="250"/>
      <c r="B41" s="250"/>
      <c r="C41" s="250"/>
      <c r="D41" s="250"/>
      <c r="E41" s="250"/>
      <c r="F41" s="250"/>
      <c r="G41" s="250"/>
      <c r="H41" s="250"/>
      <c r="I41" s="250"/>
      <c r="J41" s="250"/>
      <c r="K41" s="250"/>
      <c r="L41" s="250"/>
      <c r="M41" s="250"/>
      <c r="N41" s="250"/>
      <c r="O41" s="250"/>
      <c r="P41" s="250"/>
      <c r="Q41" s="250"/>
      <c r="R41" s="250"/>
      <c r="S41" s="250"/>
      <c r="T41" s="250"/>
      <c r="U41" s="250"/>
      <c r="V41" s="250"/>
    </row>
    <row r="43" spans="1:22" ht="18" x14ac:dyDescent="0.35">
      <c r="I43" s="251"/>
      <c r="J43" s="251"/>
      <c r="K43" s="251"/>
      <c r="L43" s="251"/>
    </row>
    <row r="44" spans="1:22" x14ac:dyDescent="0.3">
      <c r="I44" s="243"/>
      <c r="J44" s="1"/>
      <c r="K44" s="252"/>
    </row>
    <row r="45" spans="1:22" ht="43.95" customHeight="1" x14ac:dyDescent="0.3">
      <c r="I45" s="243"/>
      <c r="J45" s="253"/>
      <c r="K45" s="252"/>
      <c r="P45" s="180"/>
      <c r="Q45" s="180"/>
      <c r="R45" s="180"/>
      <c r="S45" s="180"/>
    </row>
    <row r="46" spans="1:22" x14ac:dyDescent="0.3">
      <c r="A46" s="254"/>
      <c r="B46" s="254"/>
      <c r="C46" s="254"/>
      <c r="D46" s="254"/>
      <c r="E46" s="254"/>
    </row>
    <row r="47" spans="1:22" ht="14.4" customHeight="1" x14ac:dyDescent="0.3">
      <c r="A47" s="255"/>
      <c r="B47" s="255"/>
      <c r="C47" s="255"/>
      <c r="D47" s="255"/>
      <c r="E47" s="249"/>
      <c r="F47" s="249"/>
      <c r="G47" s="249"/>
      <c r="H47" s="249"/>
      <c r="I47" s="249"/>
      <c r="J47" s="18"/>
      <c r="K47" s="18"/>
      <c r="L47" s="18"/>
      <c r="M47" s="18"/>
      <c r="N47" s="18"/>
      <c r="O47" s="18"/>
      <c r="P47" s="18"/>
    </row>
    <row r="48" spans="1:22" x14ac:dyDescent="0.3">
      <c r="A48" s="256"/>
      <c r="B48" s="6"/>
      <c r="E48" s="257"/>
      <c r="F48" s="5"/>
      <c r="G48" s="10"/>
      <c r="I48" s="10"/>
      <c r="J48" s="13"/>
      <c r="P48" s="258"/>
    </row>
    <row r="49" spans="1:22" x14ac:dyDescent="0.3">
      <c r="E49" s="257"/>
      <c r="F49" s="5"/>
      <c r="G49" s="10"/>
      <c r="I49" s="10"/>
      <c r="J49" s="13"/>
      <c r="P49" s="258"/>
    </row>
    <row r="50" spans="1:22" ht="14.4" customHeight="1" x14ac:dyDescent="0.3">
      <c r="A50" s="259"/>
      <c r="B50" s="259"/>
      <c r="C50" s="259"/>
      <c r="D50" s="259"/>
      <c r="E50" s="5"/>
      <c r="F50" s="260"/>
      <c r="G50" s="4"/>
      <c r="I50" s="10"/>
      <c r="P50" s="258"/>
    </row>
    <row r="51" spans="1:22" ht="14.4" customHeight="1" x14ac:dyDescent="0.3">
      <c r="A51" s="256"/>
      <c r="B51" s="6"/>
      <c r="E51" s="257"/>
      <c r="F51" s="5"/>
      <c r="G51" s="10"/>
      <c r="I51" s="10"/>
      <c r="J51" s="13"/>
      <c r="P51" s="258"/>
    </row>
    <row r="52" spans="1:22" x14ac:dyDescent="0.3">
      <c r="E52" s="257"/>
      <c r="F52" s="5"/>
      <c r="G52" s="10"/>
      <c r="I52" s="10"/>
      <c r="J52" s="13"/>
      <c r="P52" s="258"/>
    </row>
    <row r="53" spans="1:22" x14ac:dyDescent="0.3">
      <c r="G53" s="4"/>
      <c r="H53" s="4"/>
    </row>
    <row r="54" spans="1:22" x14ac:dyDescent="0.3">
      <c r="A54" s="261"/>
      <c r="B54" s="261"/>
      <c r="C54" s="261"/>
      <c r="D54" s="261"/>
      <c r="E54" s="261"/>
    </row>
    <row r="55" spans="1:22" ht="14.4" customHeight="1" x14ac:dyDescent="0.3">
      <c r="A55" s="256"/>
      <c r="B55" s="256"/>
      <c r="C55" s="256"/>
      <c r="D55" s="256"/>
      <c r="E55" s="262"/>
      <c r="F55" s="5"/>
      <c r="G55" s="5"/>
      <c r="M55" s="4"/>
    </row>
    <row r="56" spans="1:22" ht="14.4" customHeight="1" x14ac:dyDescent="0.3">
      <c r="A56" s="256"/>
      <c r="B56" s="256"/>
      <c r="C56" s="256"/>
      <c r="D56" s="256"/>
      <c r="E56" s="263"/>
      <c r="F56" s="264"/>
      <c r="G56" s="265"/>
    </row>
    <row r="57" spans="1:22" ht="14.4" customHeight="1" x14ac:dyDescent="0.3">
      <c r="E57" s="263"/>
      <c r="F57" s="264"/>
      <c r="G57" s="265"/>
    </row>
    <row r="58" spans="1:22" ht="14.4" customHeight="1" x14ac:dyDescent="0.3">
      <c r="A58" s="256"/>
      <c r="B58" s="256"/>
      <c r="C58" s="256"/>
      <c r="D58" s="256"/>
      <c r="E58" s="260"/>
      <c r="F58" s="260"/>
      <c r="G58" s="265"/>
    </row>
    <row r="59" spans="1:22" ht="14.4" customHeight="1" x14ac:dyDescent="0.3">
      <c r="A59" s="256"/>
      <c r="B59" s="256"/>
      <c r="C59" s="256"/>
      <c r="D59" s="256"/>
      <c r="E59" s="263"/>
      <c r="F59" s="260"/>
      <c r="G59" s="265"/>
    </row>
    <row r="60" spans="1:22" x14ac:dyDescent="0.3">
      <c r="E60" s="264"/>
      <c r="F60" s="260"/>
      <c r="G60" s="265"/>
    </row>
    <row r="64" spans="1:22" ht="28.8" x14ac:dyDescent="0.55000000000000004">
      <c r="A64" s="250"/>
      <c r="B64" s="250"/>
      <c r="C64" s="250"/>
      <c r="D64" s="250"/>
      <c r="E64" s="250"/>
      <c r="F64" s="250"/>
      <c r="G64" s="250"/>
      <c r="H64" s="250"/>
      <c r="I64" s="250"/>
      <c r="J64" s="250"/>
      <c r="K64" s="250"/>
      <c r="L64" s="250"/>
      <c r="M64" s="250"/>
      <c r="N64" s="250"/>
      <c r="O64" s="250"/>
      <c r="P64" s="250"/>
      <c r="Q64" s="250"/>
      <c r="R64" s="250"/>
      <c r="S64" s="250"/>
      <c r="T64" s="250"/>
      <c r="U64" s="250"/>
      <c r="V64" s="250"/>
    </row>
    <row r="67" spans="6:24" ht="14.4" customHeight="1" x14ac:dyDescent="0.3">
      <c r="F67" s="266"/>
      <c r="G67" s="267"/>
      <c r="H67" s="28"/>
      <c r="I67" s="28"/>
      <c r="J67" s="28"/>
      <c r="K67" s="28"/>
      <c r="L67" s="28"/>
      <c r="M67" s="268"/>
      <c r="N67" s="268"/>
      <c r="O67" s="28"/>
      <c r="P67" s="27"/>
      <c r="Q67" s="23"/>
      <c r="R67" s="23"/>
    </row>
    <row r="68" spans="6:24" ht="14.4" customHeight="1" x14ac:dyDescent="0.3">
      <c r="F68" s="266"/>
      <c r="G68" s="267"/>
      <c r="H68" s="28"/>
      <c r="I68" s="28"/>
      <c r="J68" s="28"/>
      <c r="K68" s="28"/>
      <c r="L68" s="28"/>
      <c r="M68" s="268"/>
      <c r="N68" s="268"/>
      <c r="O68" s="28"/>
      <c r="P68" s="27"/>
      <c r="Q68" s="23"/>
      <c r="R68" s="23"/>
    </row>
    <row r="69" spans="6:24" x14ac:dyDescent="0.3">
      <c r="G69" s="1"/>
      <c r="H69" s="10"/>
      <c r="I69" s="10"/>
      <c r="J69" s="10"/>
      <c r="K69" s="10"/>
      <c r="L69" s="10"/>
      <c r="M69" s="10"/>
      <c r="N69" s="10"/>
      <c r="O69" s="13"/>
      <c r="P69" s="1"/>
      <c r="Q69" s="2"/>
    </row>
    <row r="70" spans="6:24" x14ac:dyDescent="0.3">
      <c r="G70" s="1"/>
      <c r="H70" s="10"/>
      <c r="I70" s="10"/>
      <c r="J70" s="10"/>
      <c r="K70" s="10"/>
      <c r="L70" s="10"/>
      <c r="M70" s="10"/>
      <c r="N70" s="10"/>
      <c r="O70" s="13"/>
      <c r="P70" s="1"/>
      <c r="Q70" s="2"/>
      <c r="X70" s="2">
        <f>SUM(Q56:Q57)</f>
        <v>0</v>
      </c>
    </row>
    <row r="71" spans="6:24" x14ac:dyDescent="0.3">
      <c r="G71" s="1"/>
      <c r="H71" s="10"/>
      <c r="I71" s="10"/>
      <c r="J71" s="10"/>
      <c r="K71" s="10"/>
      <c r="L71" s="10"/>
      <c r="M71" s="10"/>
      <c r="N71" s="10"/>
      <c r="O71" s="13"/>
      <c r="P71" s="1"/>
      <c r="Q71" s="2"/>
    </row>
    <row r="72" spans="6:24" x14ac:dyDescent="0.3">
      <c r="G72" s="1"/>
      <c r="H72" s="10"/>
      <c r="I72" s="10"/>
      <c r="J72" s="10"/>
      <c r="K72" s="10"/>
      <c r="L72" s="10"/>
      <c r="M72" s="10"/>
      <c r="N72" s="10"/>
      <c r="O72" s="13"/>
      <c r="P72" s="1"/>
    </row>
    <row r="73" spans="6:24" x14ac:dyDescent="0.3">
      <c r="G73" s="1"/>
      <c r="H73" s="10"/>
      <c r="I73" s="10"/>
      <c r="J73" s="10"/>
      <c r="K73" s="10"/>
      <c r="L73" s="10"/>
      <c r="M73" s="10"/>
      <c r="N73" s="10"/>
      <c r="O73" s="13"/>
      <c r="P73" s="1"/>
      <c r="Q73" s="2"/>
    </row>
    <row r="74" spans="6:24" x14ac:dyDescent="0.3">
      <c r="G74" s="1"/>
      <c r="H74" s="10"/>
      <c r="I74" s="10"/>
      <c r="J74" s="10"/>
      <c r="K74" s="10"/>
      <c r="L74" s="10"/>
      <c r="M74" s="10"/>
      <c r="N74" s="10"/>
      <c r="O74" s="13"/>
      <c r="P74" s="1"/>
      <c r="Q74" s="2"/>
    </row>
    <row r="75" spans="6:24" x14ac:dyDescent="0.3">
      <c r="G75" s="1"/>
      <c r="H75" s="10"/>
      <c r="I75" s="10"/>
      <c r="J75" s="10"/>
      <c r="K75" s="10"/>
      <c r="L75" s="10"/>
      <c r="M75" s="10"/>
      <c r="N75" s="10"/>
      <c r="O75" s="13"/>
      <c r="P75" s="1"/>
    </row>
    <row r="76" spans="6:24" x14ac:dyDescent="0.3">
      <c r="G76" s="1"/>
      <c r="H76" s="10"/>
      <c r="I76" s="10"/>
      <c r="J76" s="10"/>
      <c r="K76" s="10"/>
      <c r="L76" s="10"/>
      <c r="M76" s="10"/>
      <c r="N76" s="10"/>
      <c r="O76" s="13"/>
      <c r="P76" s="1"/>
    </row>
    <row r="77" spans="6:24" x14ac:dyDescent="0.3">
      <c r="G77" s="269"/>
      <c r="H77" s="10"/>
      <c r="I77" s="10"/>
      <c r="J77" s="10"/>
      <c r="K77" s="10"/>
      <c r="L77" s="10"/>
      <c r="M77" s="10"/>
      <c r="N77" s="10"/>
      <c r="O77" s="13"/>
      <c r="P77" s="1"/>
    </row>
    <row r="78" spans="6:24" x14ac:dyDescent="0.3">
      <c r="G78" s="1"/>
      <c r="H78" s="10"/>
      <c r="I78" s="10"/>
      <c r="J78" s="10"/>
      <c r="K78" s="10"/>
      <c r="L78" s="10"/>
      <c r="M78" s="10"/>
      <c r="N78" s="10"/>
      <c r="O78" s="13"/>
      <c r="P78" s="1"/>
    </row>
    <row r="79" spans="6:24" x14ac:dyDescent="0.3">
      <c r="G79" s="1"/>
      <c r="H79" s="10"/>
      <c r="I79" s="10"/>
      <c r="J79" s="10"/>
      <c r="K79" s="10"/>
      <c r="L79" s="10"/>
      <c r="M79" s="10"/>
      <c r="N79" s="10"/>
      <c r="O79" s="13"/>
      <c r="P79" s="1"/>
      <c r="Q79" s="2"/>
    </row>
    <row r="80" spans="6:24" x14ac:dyDescent="0.3">
      <c r="G80" s="1"/>
      <c r="H80" s="10"/>
      <c r="I80" s="10"/>
      <c r="J80" s="10"/>
      <c r="K80" s="10"/>
      <c r="L80" s="10"/>
      <c r="M80" s="10"/>
      <c r="N80" s="10"/>
      <c r="O80" s="13"/>
      <c r="P80" s="1"/>
      <c r="Q80" s="2"/>
    </row>
    <row r="81" spans="7:17" x14ac:dyDescent="0.3">
      <c r="G81" s="1"/>
      <c r="H81" s="10"/>
      <c r="I81" s="10"/>
      <c r="J81" s="10"/>
      <c r="K81" s="10"/>
      <c r="L81" s="10"/>
      <c r="M81" s="10"/>
      <c r="N81" s="10"/>
      <c r="O81" s="13"/>
      <c r="P81" s="1"/>
      <c r="Q81" s="2"/>
    </row>
    <row r="82" spans="7:17" x14ac:dyDescent="0.3">
      <c r="G82" s="1"/>
      <c r="H82" s="10"/>
      <c r="I82" s="10"/>
      <c r="J82" s="10"/>
      <c r="K82" s="10"/>
      <c r="L82" s="10"/>
      <c r="M82" s="10"/>
      <c r="N82" s="10"/>
      <c r="O82" s="13"/>
      <c r="P82" s="1"/>
      <c r="Q82" s="2"/>
    </row>
    <row r="83" spans="7:17" x14ac:dyDescent="0.3">
      <c r="G83" s="1"/>
      <c r="H83" s="10"/>
      <c r="I83" s="10"/>
      <c r="J83" s="10"/>
      <c r="K83" s="10"/>
      <c r="L83" s="10"/>
      <c r="M83" s="10"/>
      <c r="N83" s="10"/>
      <c r="O83" s="13"/>
      <c r="P83" s="1"/>
      <c r="Q83" s="2"/>
    </row>
    <row r="84" spans="7:17" x14ac:dyDescent="0.3">
      <c r="G84" s="1"/>
      <c r="H84" s="10"/>
      <c r="I84" s="10"/>
      <c r="J84" s="10"/>
      <c r="K84" s="10"/>
      <c r="L84" s="10"/>
      <c r="M84" s="10"/>
      <c r="N84" s="10"/>
      <c r="O84" s="13"/>
      <c r="P84" s="1"/>
      <c r="Q84" s="2"/>
    </row>
    <row r="85" spans="7:17" x14ac:dyDescent="0.3">
      <c r="G85" s="1"/>
      <c r="H85" s="10"/>
      <c r="I85" s="10"/>
      <c r="J85" s="10"/>
      <c r="K85" s="10"/>
      <c r="L85" s="10"/>
      <c r="M85" s="10"/>
      <c r="N85" s="10"/>
      <c r="O85" s="13"/>
      <c r="P85" s="1"/>
      <c r="Q85" s="2"/>
    </row>
    <row r="86" spans="7:17" x14ac:dyDescent="0.3">
      <c r="G86" s="1"/>
      <c r="H86" s="10"/>
      <c r="I86" s="10"/>
      <c r="J86" s="10"/>
      <c r="K86" s="10"/>
      <c r="L86" s="10"/>
      <c r="M86" s="10"/>
      <c r="N86" s="10"/>
      <c r="O86" s="13"/>
      <c r="P86" s="1"/>
      <c r="Q86" s="2"/>
    </row>
    <row r="87" spans="7:17" x14ac:dyDescent="0.3">
      <c r="G87" s="1"/>
      <c r="H87" s="10"/>
      <c r="I87" s="10"/>
      <c r="J87" s="10"/>
      <c r="K87" s="10"/>
      <c r="L87" s="10"/>
      <c r="M87" s="10"/>
      <c r="N87" s="10"/>
      <c r="O87" s="13"/>
      <c r="P87" s="1"/>
    </row>
    <row r="88" spans="7:17" x14ac:dyDescent="0.3">
      <c r="G88" s="1"/>
      <c r="H88" s="10"/>
      <c r="I88" s="10"/>
      <c r="J88" s="10"/>
      <c r="K88" s="10"/>
      <c r="L88" s="10"/>
      <c r="M88" s="10"/>
      <c r="N88" s="10"/>
      <c r="O88" s="13"/>
      <c r="P88" s="1"/>
    </row>
    <row r="89" spans="7:17" x14ac:dyDescent="0.3">
      <c r="G89" s="1"/>
      <c r="H89" s="10"/>
      <c r="I89" s="10"/>
      <c r="J89" s="10"/>
      <c r="K89" s="10"/>
      <c r="L89" s="10"/>
      <c r="M89" s="10"/>
      <c r="N89" s="10"/>
      <c r="O89" s="13"/>
      <c r="P89" s="1"/>
      <c r="Q89" s="2"/>
    </row>
    <row r="90" spans="7:17" x14ac:dyDescent="0.3">
      <c r="G90" s="1"/>
      <c r="H90" s="10"/>
      <c r="I90" s="10"/>
      <c r="J90" s="10"/>
      <c r="K90" s="10"/>
      <c r="L90" s="10"/>
      <c r="M90" s="10"/>
      <c r="N90" s="10"/>
      <c r="O90" s="13"/>
      <c r="P90" s="1"/>
      <c r="Q90" s="258"/>
    </row>
    <row r="91" spans="7:17" x14ac:dyDescent="0.3">
      <c r="G91" s="1"/>
      <c r="H91" s="10"/>
      <c r="I91" s="10"/>
      <c r="J91" s="10"/>
      <c r="K91" s="10"/>
      <c r="L91" s="10"/>
      <c r="M91" s="10"/>
      <c r="N91" s="10"/>
      <c r="O91" s="13"/>
      <c r="P91" s="1"/>
      <c r="Q91" s="2"/>
    </row>
    <row r="92" spans="7:17" x14ac:dyDescent="0.3">
      <c r="G92" s="1"/>
      <c r="H92" s="10"/>
      <c r="I92" s="10"/>
      <c r="J92" s="10"/>
      <c r="K92" s="10"/>
      <c r="L92" s="10"/>
      <c r="M92" s="10"/>
      <c r="N92" s="10"/>
      <c r="O92" s="13"/>
      <c r="P92" s="1"/>
      <c r="Q92" s="258"/>
    </row>
    <row r="93" spans="7:17" x14ac:dyDescent="0.3">
      <c r="G93" s="1"/>
      <c r="H93" s="10"/>
      <c r="I93" s="10"/>
      <c r="J93" s="10"/>
      <c r="K93" s="10"/>
      <c r="L93" s="10"/>
      <c r="M93" s="10"/>
      <c r="N93" s="10"/>
      <c r="O93" s="13"/>
      <c r="P93" s="1"/>
      <c r="Q93" s="2"/>
    </row>
    <row r="94" spans="7:17" x14ac:dyDescent="0.3">
      <c r="G94" s="1"/>
      <c r="H94" s="10"/>
      <c r="I94" s="10"/>
      <c r="J94" s="10"/>
      <c r="K94" s="10"/>
      <c r="L94" s="10"/>
      <c r="M94" s="10"/>
      <c r="N94" s="10"/>
      <c r="O94" s="13"/>
      <c r="P94" s="1"/>
      <c r="Q94" s="258"/>
    </row>
    <row r="95" spans="7:17" x14ac:dyDescent="0.3">
      <c r="G95" s="1"/>
      <c r="H95" s="10"/>
      <c r="I95" s="10"/>
      <c r="J95" s="10"/>
      <c r="K95" s="10"/>
      <c r="L95" s="10"/>
      <c r="M95" s="10"/>
      <c r="N95" s="10"/>
      <c r="O95" s="13"/>
      <c r="P95" s="1"/>
      <c r="Q95" s="2"/>
    </row>
    <row r="96" spans="7:17" x14ac:dyDescent="0.3">
      <c r="G96" s="1"/>
      <c r="H96" s="10"/>
      <c r="I96" s="10"/>
      <c r="J96" s="10"/>
      <c r="K96" s="10"/>
      <c r="L96" s="10"/>
      <c r="M96" s="10"/>
      <c r="N96" s="10"/>
      <c r="O96" s="13"/>
      <c r="P96" s="1"/>
      <c r="Q96" s="258"/>
    </row>
    <row r="97" spans="7:17" x14ac:dyDescent="0.3">
      <c r="G97" s="1"/>
      <c r="H97" s="10"/>
      <c r="I97" s="10"/>
      <c r="J97" s="10"/>
      <c r="K97" s="10"/>
      <c r="L97" s="10"/>
      <c r="M97" s="10"/>
      <c r="N97" s="10"/>
      <c r="O97" s="13"/>
      <c r="P97" s="1"/>
    </row>
    <row r="98" spans="7:17" x14ac:dyDescent="0.3">
      <c r="G98" s="1"/>
      <c r="H98" s="10"/>
      <c r="I98" s="10"/>
      <c r="J98" s="10"/>
      <c r="K98" s="10"/>
      <c r="L98" s="10"/>
      <c r="M98" s="10"/>
      <c r="N98" s="10"/>
      <c r="O98" s="13"/>
      <c r="P98" s="1"/>
    </row>
    <row r="99" spans="7:17" x14ac:dyDescent="0.3">
      <c r="G99" s="1"/>
      <c r="H99" s="10"/>
      <c r="I99" s="10"/>
      <c r="J99" s="10"/>
      <c r="K99" s="10"/>
      <c r="L99" s="10"/>
      <c r="M99" s="10"/>
      <c r="N99" s="10"/>
      <c r="O99" s="13"/>
      <c r="P99" s="1"/>
      <c r="Q99" s="2"/>
    </row>
    <row r="100" spans="7:17" x14ac:dyDescent="0.3">
      <c r="G100" s="1"/>
      <c r="H100" s="10"/>
      <c r="I100" s="10"/>
      <c r="J100" s="10"/>
      <c r="K100" s="10"/>
      <c r="L100" s="10"/>
      <c r="M100" s="10"/>
      <c r="N100" s="10"/>
      <c r="O100" s="13"/>
      <c r="P100" s="1"/>
      <c r="Q100" s="2"/>
    </row>
  </sheetData>
  <mergeCells count="207">
    <mergeCell ref="C2:T3"/>
    <mergeCell ref="Y3:Z3"/>
    <mergeCell ref="A4:B5"/>
    <mergeCell ref="C4:D5"/>
    <mergeCell ref="E4:F5"/>
    <mergeCell ref="G4:H5"/>
    <mergeCell ref="I4:J5"/>
    <mergeCell ref="K4:L5"/>
    <mergeCell ref="M4:N5"/>
    <mergeCell ref="O4:P5"/>
    <mergeCell ref="Q4:R5"/>
    <mergeCell ref="S4:T5"/>
    <mergeCell ref="U4:U5"/>
    <mergeCell ref="Y4:Z9"/>
    <mergeCell ref="A6:B7"/>
    <mergeCell ref="C6:D7"/>
    <mergeCell ref="E6:F7"/>
    <mergeCell ref="G6:H7"/>
    <mergeCell ref="I6:J7"/>
    <mergeCell ref="K6:L7"/>
    <mergeCell ref="Q8:R9"/>
    <mergeCell ref="S8:T9"/>
    <mergeCell ref="U8:U9"/>
    <mergeCell ref="M6:N7"/>
    <mergeCell ref="O6:P7"/>
    <mergeCell ref="Q6:R7"/>
    <mergeCell ref="S6:T7"/>
    <mergeCell ref="U6:U7"/>
    <mergeCell ref="A8:B9"/>
    <mergeCell ref="C8:D9"/>
    <mergeCell ref="E8:F9"/>
    <mergeCell ref="G8:H9"/>
    <mergeCell ref="I8:J9"/>
    <mergeCell ref="A10:B11"/>
    <mergeCell ref="C10:D11"/>
    <mergeCell ref="E10:F11"/>
    <mergeCell ref="G10:H11"/>
    <mergeCell ref="I10:J11"/>
    <mergeCell ref="K10:L11"/>
    <mergeCell ref="K8:L9"/>
    <mergeCell ref="M8:N9"/>
    <mergeCell ref="O8:P9"/>
    <mergeCell ref="AC10:AC11"/>
    <mergeCell ref="AD10:AD11"/>
    <mergeCell ref="AE10:AE11"/>
    <mergeCell ref="AF10:AF11"/>
    <mergeCell ref="M10:N11"/>
    <mergeCell ref="O10:P11"/>
    <mergeCell ref="Q10:R11"/>
    <mergeCell ref="S10:T11"/>
    <mergeCell ref="U10:U11"/>
    <mergeCell ref="Y10:Z11"/>
    <mergeCell ref="Q12:R13"/>
    <mergeCell ref="S12:T13"/>
    <mergeCell ref="U12:U13"/>
    <mergeCell ref="Y12:Z13"/>
    <mergeCell ref="AA12:AA13"/>
    <mergeCell ref="AB12:AB13"/>
    <mergeCell ref="AM10:AM11"/>
    <mergeCell ref="AN10:AN11"/>
    <mergeCell ref="A12:B13"/>
    <mergeCell ref="C12:D13"/>
    <mergeCell ref="E12:F13"/>
    <mergeCell ref="G12:H13"/>
    <mergeCell ref="I12:J13"/>
    <mergeCell ref="K12:L13"/>
    <mergeCell ref="M12:N13"/>
    <mergeCell ref="O12:P13"/>
    <mergeCell ref="AG10:AG11"/>
    <mergeCell ref="AH10:AH11"/>
    <mergeCell ref="AI10:AI11"/>
    <mergeCell ref="AJ10:AJ11"/>
    <mergeCell ref="AK10:AK11"/>
    <mergeCell ref="AL10:AL11"/>
    <mergeCell ref="AA10:AA11"/>
    <mergeCell ref="AB10:AB11"/>
    <mergeCell ref="AI12:AI13"/>
    <mergeCell ref="AJ12:AJ13"/>
    <mergeCell ref="AK12:AK13"/>
    <mergeCell ref="AL12:AL13"/>
    <mergeCell ref="AM12:AM13"/>
    <mergeCell ref="AN12:AN13"/>
    <mergeCell ref="AC12:AC13"/>
    <mergeCell ref="AD12:AD13"/>
    <mergeCell ref="AE12:AE13"/>
    <mergeCell ref="AF12:AF13"/>
    <mergeCell ref="AG12:AG13"/>
    <mergeCell ref="AH12:AH13"/>
    <mergeCell ref="Q14:R15"/>
    <mergeCell ref="S14:T15"/>
    <mergeCell ref="U14:U15"/>
    <mergeCell ref="Y14:Y19"/>
    <mergeCell ref="O16:P17"/>
    <mergeCell ref="Q16:R17"/>
    <mergeCell ref="S16:T17"/>
    <mergeCell ref="U16:U17"/>
    <mergeCell ref="A14:B15"/>
    <mergeCell ref="C14:D15"/>
    <mergeCell ref="E14:F15"/>
    <mergeCell ref="G14:H15"/>
    <mergeCell ref="I14:J15"/>
    <mergeCell ref="K14:L15"/>
    <mergeCell ref="A18:B19"/>
    <mergeCell ref="C18:D19"/>
    <mergeCell ref="E18:F19"/>
    <mergeCell ref="G18:H19"/>
    <mergeCell ref="I18:J19"/>
    <mergeCell ref="K18:L19"/>
    <mergeCell ref="M18:N19"/>
    <mergeCell ref="AL14:AL15"/>
    <mergeCell ref="AM14:AM15"/>
    <mergeCell ref="AN14:AN15"/>
    <mergeCell ref="A16:B17"/>
    <mergeCell ref="C16:D17"/>
    <mergeCell ref="E16:F17"/>
    <mergeCell ref="G16:H17"/>
    <mergeCell ref="I16:J17"/>
    <mergeCell ref="K16:L17"/>
    <mergeCell ref="M16:N17"/>
    <mergeCell ref="AF14:AF15"/>
    <mergeCell ref="AG14:AG15"/>
    <mergeCell ref="AH14:AH15"/>
    <mergeCell ref="AI14:AI15"/>
    <mergeCell ref="AJ14:AJ15"/>
    <mergeCell ref="AK14:AK15"/>
    <mergeCell ref="Z14:Z15"/>
    <mergeCell ref="AA14:AA15"/>
    <mergeCell ref="AB14:AB15"/>
    <mergeCell ref="AC14:AC15"/>
    <mergeCell ref="AD14:AD15"/>
    <mergeCell ref="AE14:AE15"/>
    <mergeCell ref="M14:N15"/>
    <mergeCell ref="O14:P15"/>
    <mergeCell ref="AF16:AF17"/>
    <mergeCell ref="AG16:AG17"/>
    <mergeCell ref="Z16:Z17"/>
    <mergeCell ref="AA16:AA17"/>
    <mergeCell ref="AB16:AB17"/>
    <mergeCell ref="AC16:AC17"/>
    <mergeCell ref="AD16:AD17"/>
    <mergeCell ref="AE16:AE17"/>
    <mergeCell ref="O18:P19"/>
    <mergeCell ref="Q18:R19"/>
    <mergeCell ref="S18:T19"/>
    <mergeCell ref="U18:U19"/>
    <mergeCell ref="Z18:Z19"/>
    <mergeCell ref="AA18:AN19"/>
    <mergeCell ref="AL16:AL17"/>
    <mergeCell ref="AM16:AM17"/>
    <mergeCell ref="AN16:AN17"/>
    <mergeCell ref="AH16:AH17"/>
    <mergeCell ref="AI16:AI17"/>
    <mergeCell ref="AJ16:AJ17"/>
    <mergeCell ref="AK16:AK17"/>
    <mergeCell ref="A22:B23"/>
    <mergeCell ref="C22:D23"/>
    <mergeCell ref="E22:F23"/>
    <mergeCell ref="G22:H23"/>
    <mergeCell ref="I22:J23"/>
    <mergeCell ref="A20:B21"/>
    <mergeCell ref="C20:D21"/>
    <mergeCell ref="E20:F21"/>
    <mergeCell ref="G20:H21"/>
    <mergeCell ref="I20:J21"/>
    <mergeCell ref="K22:L23"/>
    <mergeCell ref="M22:N23"/>
    <mergeCell ref="O22:P23"/>
    <mergeCell ref="Q22:R23"/>
    <mergeCell ref="S22:T23"/>
    <mergeCell ref="U22:U23"/>
    <mergeCell ref="M20:N21"/>
    <mergeCell ref="O20:P21"/>
    <mergeCell ref="Q20:R21"/>
    <mergeCell ref="S20:T21"/>
    <mergeCell ref="U20:U21"/>
    <mergeCell ref="K20:L21"/>
    <mergeCell ref="M24:N24"/>
    <mergeCell ref="O24:P24"/>
    <mergeCell ref="Q24:R24"/>
    <mergeCell ref="S24:T24"/>
    <mergeCell ref="A25:T27"/>
    <mergeCell ref="A29:B32"/>
    <mergeCell ref="C29:D30"/>
    <mergeCell ref="E29:F30"/>
    <mergeCell ref="G29:H30"/>
    <mergeCell ref="I29:J30"/>
    <mergeCell ref="A24:B24"/>
    <mergeCell ref="C24:D24"/>
    <mergeCell ref="E24:F24"/>
    <mergeCell ref="G24:H24"/>
    <mergeCell ref="I24:J24"/>
    <mergeCell ref="K24:L24"/>
    <mergeCell ref="A39:V39"/>
    <mergeCell ref="A35:B38"/>
    <mergeCell ref="C35:D36"/>
    <mergeCell ref="E35:F36"/>
    <mergeCell ref="G35:J38"/>
    <mergeCell ref="O35:T38"/>
    <mergeCell ref="C37:D38"/>
    <mergeCell ref="E37:F38"/>
    <mergeCell ref="K29:L30"/>
    <mergeCell ref="O29:T32"/>
    <mergeCell ref="C31:D32"/>
    <mergeCell ref="E31:F32"/>
    <mergeCell ref="G31:H32"/>
    <mergeCell ref="I31:J32"/>
    <mergeCell ref="K31:L32"/>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5D012-3C6B-4D8F-B667-49480993A5F6}">
  <dimension ref="A1:K35"/>
  <sheetViews>
    <sheetView zoomScale="61" workbookViewId="0">
      <selection activeCell="H14" sqref="H14:I14"/>
    </sheetView>
  </sheetViews>
  <sheetFormatPr defaultRowHeight="14.4" x14ac:dyDescent="0.3"/>
  <cols>
    <col min="1" max="1" width="14.6640625" customWidth="1"/>
    <col min="7" max="8" width="11.33203125" customWidth="1"/>
    <col min="11" max="11" width="10.109375" customWidth="1"/>
  </cols>
  <sheetData>
    <row r="1" spans="1:11" ht="18.600000000000001" thickBot="1" x14ac:dyDescent="0.4">
      <c r="A1" s="578" t="s">
        <v>439</v>
      </c>
      <c r="B1" s="578"/>
      <c r="C1" s="578"/>
      <c r="D1" s="578"/>
      <c r="E1" s="578"/>
      <c r="F1" s="578"/>
      <c r="G1" s="578"/>
      <c r="H1" s="578"/>
      <c r="I1" s="578"/>
      <c r="J1" s="578"/>
      <c r="K1" s="578"/>
    </row>
    <row r="2" spans="1:11" x14ac:dyDescent="0.3">
      <c r="A2" s="348" t="s">
        <v>51</v>
      </c>
      <c r="B2" s="350"/>
      <c r="C2" s="350" t="s">
        <v>440</v>
      </c>
      <c r="D2" s="350"/>
      <c r="E2" s="350"/>
      <c r="F2" s="350"/>
      <c r="G2" s="350"/>
      <c r="H2" s="581" t="s">
        <v>441</v>
      </c>
      <c r="I2" s="582"/>
      <c r="J2" s="350" t="s">
        <v>442</v>
      </c>
      <c r="K2" s="584"/>
    </row>
    <row r="3" spans="1:11" ht="15" thickBot="1" x14ac:dyDescent="0.35">
      <c r="A3" s="579"/>
      <c r="B3" s="580"/>
      <c r="C3" s="580"/>
      <c r="D3" s="580"/>
      <c r="E3" s="580"/>
      <c r="F3" s="580"/>
      <c r="G3" s="580"/>
      <c r="H3" s="583"/>
      <c r="I3" s="583"/>
      <c r="J3" s="580"/>
      <c r="K3" s="585"/>
    </row>
    <row r="4" spans="1:11" x14ac:dyDescent="0.3">
      <c r="A4" s="71" t="s">
        <v>58</v>
      </c>
      <c r="B4" s="72"/>
      <c r="C4" s="586" t="s">
        <v>60</v>
      </c>
      <c r="D4" s="586"/>
      <c r="E4" s="586"/>
      <c r="F4" s="586"/>
      <c r="G4" s="586"/>
      <c r="H4" s="587" t="s">
        <v>125</v>
      </c>
      <c r="I4" s="587"/>
      <c r="J4" s="73">
        <f>15*20*0.03*7.8</f>
        <v>70.2</v>
      </c>
      <c r="K4" s="74"/>
    </row>
    <row r="5" spans="1:11" x14ac:dyDescent="0.3">
      <c r="A5" s="75" t="s">
        <v>62</v>
      </c>
      <c r="B5" s="12"/>
      <c r="C5" s="307" t="s">
        <v>63</v>
      </c>
      <c r="D5" s="307"/>
      <c r="E5" s="307"/>
      <c r="F5" s="307"/>
      <c r="G5" s="307"/>
      <c r="H5" s="302" t="s">
        <v>443</v>
      </c>
      <c r="I5" s="302"/>
      <c r="J5" s="76">
        <f>10*15*0.03*7.8</f>
        <v>35.1</v>
      </c>
      <c r="K5" s="69"/>
    </row>
    <row r="6" spans="1:11" x14ac:dyDescent="0.3">
      <c r="A6" s="75" t="s">
        <v>66</v>
      </c>
      <c r="B6" s="12"/>
      <c r="C6" s="307" t="s">
        <v>67</v>
      </c>
      <c r="D6" s="307"/>
      <c r="E6" s="307"/>
      <c r="F6" s="307"/>
      <c r="G6" s="307"/>
      <c r="H6" s="302" t="s">
        <v>444</v>
      </c>
      <c r="I6" s="302"/>
      <c r="J6" s="76">
        <f>10*20*0.03*7.8</f>
        <v>46.8</v>
      </c>
      <c r="K6" s="69"/>
    </row>
    <row r="7" spans="1:11" x14ac:dyDescent="0.3">
      <c r="A7" s="75"/>
      <c r="B7" s="12"/>
      <c r="C7" s="307"/>
      <c r="D7" s="307"/>
      <c r="E7" s="307"/>
      <c r="F7" s="307"/>
      <c r="G7" s="307"/>
      <c r="H7" s="302"/>
      <c r="I7" s="302"/>
      <c r="J7" s="76"/>
      <c r="K7" s="69"/>
    </row>
    <row r="8" spans="1:11" x14ac:dyDescent="0.3">
      <c r="A8" s="75" t="s">
        <v>70</v>
      </c>
      <c r="B8" s="12"/>
      <c r="C8" s="307" t="s">
        <v>72</v>
      </c>
      <c r="D8" s="307"/>
      <c r="E8" s="307"/>
      <c r="F8" s="307"/>
      <c r="G8" s="307"/>
      <c r="H8" s="302" t="s">
        <v>445</v>
      </c>
      <c r="I8" s="302"/>
      <c r="J8" s="76">
        <v>0.8</v>
      </c>
      <c r="K8" s="69"/>
    </row>
    <row r="9" spans="1:11" x14ac:dyDescent="0.3">
      <c r="A9" s="75" t="s">
        <v>74</v>
      </c>
      <c r="B9" s="12"/>
      <c r="C9" s="307" t="s">
        <v>75</v>
      </c>
      <c r="D9" s="307"/>
      <c r="E9" s="307"/>
      <c r="F9" s="307"/>
      <c r="G9" s="307"/>
      <c r="H9" s="302" t="s">
        <v>446</v>
      </c>
      <c r="I9" s="302"/>
      <c r="J9" s="76">
        <v>1.2</v>
      </c>
      <c r="K9" s="69"/>
    </row>
    <row r="10" spans="1:11" x14ac:dyDescent="0.3">
      <c r="A10" s="75"/>
      <c r="B10" s="12"/>
      <c r="C10" s="307"/>
      <c r="D10" s="307"/>
      <c r="E10" s="307"/>
      <c r="F10" s="307"/>
      <c r="G10" s="307"/>
      <c r="H10" s="302"/>
      <c r="I10" s="302"/>
      <c r="J10" s="25"/>
      <c r="K10" s="69"/>
    </row>
    <row r="11" spans="1:11" x14ac:dyDescent="0.3">
      <c r="A11" s="75"/>
      <c r="B11" s="12"/>
      <c r="C11" s="307"/>
      <c r="D11" s="307"/>
      <c r="E11" s="307"/>
      <c r="F11" s="307"/>
      <c r="G11" s="307"/>
      <c r="H11" s="302"/>
      <c r="I11" s="302"/>
      <c r="J11" s="25"/>
      <c r="K11" s="69"/>
    </row>
    <row r="12" spans="1:11" x14ac:dyDescent="0.3">
      <c r="A12" s="75"/>
      <c r="B12" s="26"/>
      <c r="C12" s="307"/>
      <c r="D12" s="307"/>
      <c r="E12" s="307"/>
      <c r="F12" s="307"/>
      <c r="G12" s="307"/>
      <c r="H12" s="302"/>
      <c r="I12" s="302"/>
      <c r="J12" s="25"/>
      <c r="K12" s="69"/>
    </row>
    <row r="13" spans="1:11" x14ac:dyDescent="0.3">
      <c r="A13" s="75"/>
      <c r="B13" s="12"/>
      <c r="C13" s="307"/>
      <c r="D13" s="307"/>
      <c r="E13" s="307"/>
      <c r="F13" s="307"/>
      <c r="G13" s="307"/>
      <c r="H13" s="302"/>
      <c r="I13" s="302"/>
      <c r="J13" s="25"/>
      <c r="K13" s="69"/>
    </row>
    <row r="14" spans="1:11" x14ac:dyDescent="0.3">
      <c r="A14" s="75" t="s">
        <v>78</v>
      </c>
      <c r="B14" s="12"/>
      <c r="C14" s="307" t="s">
        <v>80</v>
      </c>
      <c r="D14" s="307"/>
      <c r="E14" s="307"/>
      <c r="F14" s="307"/>
      <c r="G14" s="307"/>
      <c r="H14" s="302" t="s">
        <v>447</v>
      </c>
      <c r="I14" s="302"/>
      <c r="J14" s="76">
        <v>210</v>
      </c>
      <c r="K14" s="69"/>
    </row>
    <row r="15" spans="1:11" x14ac:dyDescent="0.3">
      <c r="A15" s="75" t="s">
        <v>82</v>
      </c>
      <c r="B15" s="12"/>
      <c r="C15" s="307" t="s">
        <v>83</v>
      </c>
      <c r="D15" s="307"/>
      <c r="E15" s="307"/>
      <c r="F15" s="307"/>
      <c r="G15" s="307"/>
      <c r="H15" s="302" t="s">
        <v>448</v>
      </c>
      <c r="I15" s="302"/>
      <c r="J15" s="76">
        <v>250</v>
      </c>
      <c r="K15" s="69"/>
    </row>
    <row r="16" spans="1:11" x14ac:dyDescent="0.3">
      <c r="A16" s="75" t="s">
        <v>88</v>
      </c>
      <c r="B16" s="12"/>
      <c r="C16" s="307" t="s">
        <v>90</v>
      </c>
      <c r="D16" s="307"/>
      <c r="E16" s="307"/>
      <c r="F16" s="307"/>
      <c r="G16" s="307"/>
      <c r="H16" s="302" t="s">
        <v>447</v>
      </c>
      <c r="I16" s="302"/>
      <c r="J16" s="76">
        <v>160</v>
      </c>
      <c r="K16" s="69"/>
    </row>
    <row r="17" spans="1:11" x14ac:dyDescent="0.3">
      <c r="A17" s="75" t="s">
        <v>95</v>
      </c>
      <c r="B17" s="12"/>
      <c r="C17" s="307" t="s">
        <v>96</v>
      </c>
      <c r="D17" s="307"/>
      <c r="E17" s="307"/>
      <c r="F17" s="307"/>
      <c r="G17" s="307"/>
      <c r="H17" s="302" t="s">
        <v>448</v>
      </c>
      <c r="I17" s="302"/>
      <c r="J17" s="76">
        <v>190</v>
      </c>
      <c r="K17" s="69"/>
    </row>
    <row r="18" spans="1:11" x14ac:dyDescent="0.3">
      <c r="A18" s="75" t="s">
        <v>99</v>
      </c>
      <c r="B18" s="12"/>
      <c r="C18" s="307" t="s">
        <v>100</v>
      </c>
      <c r="D18" s="307"/>
      <c r="E18" s="307"/>
      <c r="F18" s="307"/>
      <c r="G18" s="307"/>
      <c r="H18" s="302" t="s">
        <v>449</v>
      </c>
      <c r="I18" s="302"/>
      <c r="J18" s="76">
        <v>30</v>
      </c>
      <c r="K18" s="69"/>
    </row>
    <row r="19" spans="1:11" x14ac:dyDescent="0.3">
      <c r="A19" s="75" t="s">
        <v>105</v>
      </c>
      <c r="B19" s="12"/>
      <c r="C19" s="307" t="s">
        <v>106</v>
      </c>
      <c r="D19" s="307"/>
      <c r="E19" s="307"/>
      <c r="F19" s="307"/>
      <c r="G19" s="307"/>
      <c r="H19" s="302" t="s">
        <v>450</v>
      </c>
      <c r="I19" s="302"/>
      <c r="J19" s="76">
        <v>35</v>
      </c>
      <c r="K19" s="69"/>
    </row>
    <row r="20" spans="1:11" x14ac:dyDescent="0.3">
      <c r="A20" s="75" t="s">
        <v>109</v>
      </c>
      <c r="B20" s="12"/>
      <c r="C20" s="307" t="s">
        <v>110</v>
      </c>
      <c r="D20" s="307"/>
      <c r="E20" s="307"/>
      <c r="F20" s="307"/>
      <c r="G20" s="307"/>
      <c r="H20" s="302" t="s">
        <v>451</v>
      </c>
      <c r="I20" s="302"/>
      <c r="J20" s="76">
        <v>5</v>
      </c>
      <c r="K20" s="69"/>
    </row>
    <row r="21" spans="1:11" x14ac:dyDescent="0.3">
      <c r="A21" s="75" t="s">
        <v>115</v>
      </c>
      <c r="B21" s="12"/>
      <c r="C21" s="307" t="s">
        <v>116</v>
      </c>
      <c r="D21" s="307"/>
      <c r="E21" s="307"/>
      <c r="F21" s="307"/>
      <c r="G21" s="307"/>
      <c r="H21" s="302" t="s">
        <v>452</v>
      </c>
      <c r="I21" s="302"/>
      <c r="J21" s="76">
        <v>7</v>
      </c>
      <c r="K21" s="69"/>
    </row>
    <row r="22" spans="1:11" x14ac:dyDescent="0.3">
      <c r="A22" s="75"/>
      <c r="B22" s="12"/>
      <c r="C22" s="307"/>
      <c r="D22" s="307"/>
      <c r="E22" s="307"/>
      <c r="F22" s="307"/>
      <c r="G22" s="307"/>
      <c r="H22" s="302"/>
      <c r="I22" s="302"/>
      <c r="J22" s="25"/>
      <c r="K22" s="69"/>
    </row>
    <row r="23" spans="1:11" x14ac:dyDescent="0.3">
      <c r="A23" s="75"/>
      <c r="B23" s="12"/>
      <c r="C23" s="307"/>
      <c r="D23" s="307"/>
      <c r="E23" s="307"/>
      <c r="F23" s="307"/>
      <c r="G23" s="307"/>
      <c r="H23" s="302"/>
      <c r="I23" s="302"/>
      <c r="J23" s="25"/>
      <c r="K23" s="69"/>
    </row>
    <row r="24" spans="1:11" x14ac:dyDescent="0.3">
      <c r="A24" s="75" t="s">
        <v>119</v>
      </c>
      <c r="B24" s="12"/>
      <c r="C24" s="307" t="s">
        <v>124</v>
      </c>
      <c r="D24" s="307"/>
      <c r="E24" s="307"/>
      <c r="F24" s="307"/>
      <c r="G24" s="307"/>
      <c r="H24" s="302" t="s">
        <v>453</v>
      </c>
      <c r="I24" s="302"/>
      <c r="J24" s="76">
        <f>6*15*0.03*7.8</f>
        <v>21.06</v>
      </c>
      <c r="K24" s="69"/>
    </row>
    <row r="25" spans="1:11" x14ac:dyDescent="0.3">
      <c r="A25" s="75" t="s">
        <v>128</v>
      </c>
      <c r="B25" s="12"/>
      <c r="C25" s="307" t="s">
        <v>129</v>
      </c>
      <c r="D25" s="307"/>
      <c r="E25" s="307"/>
      <c r="F25" s="307"/>
      <c r="G25" s="307"/>
      <c r="H25" s="302" t="s">
        <v>454</v>
      </c>
      <c r="I25" s="302"/>
      <c r="J25" s="76">
        <f>J24</f>
        <v>21.06</v>
      </c>
      <c r="K25" s="69"/>
    </row>
    <row r="26" spans="1:11" x14ac:dyDescent="0.3">
      <c r="A26" s="75" t="s">
        <v>123</v>
      </c>
      <c r="B26" s="12"/>
      <c r="C26" s="307" t="s">
        <v>132</v>
      </c>
      <c r="D26" s="307"/>
      <c r="E26" s="307"/>
      <c r="F26" s="307"/>
      <c r="G26" s="307"/>
      <c r="H26" s="302" t="s">
        <v>455</v>
      </c>
      <c r="I26" s="302"/>
      <c r="J26" s="76">
        <f>6*17.5*0.03*7.8</f>
        <v>24.57</v>
      </c>
      <c r="K26" s="69"/>
    </row>
    <row r="27" spans="1:11" x14ac:dyDescent="0.3">
      <c r="A27" s="75" t="s">
        <v>135</v>
      </c>
      <c r="B27" s="12"/>
      <c r="C27" s="307" t="s">
        <v>136</v>
      </c>
      <c r="D27" s="307"/>
      <c r="E27" s="307"/>
      <c r="F27" s="307"/>
      <c r="G27" s="307"/>
      <c r="H27" s="302" t="s">
        <v>456</v>
      </c>
      <c r="I27" s="302"/>
      <c r="J27" s="76">
        <f>J26</f>
        <v>24.57</v>
      </c>
      <c r="K27" s="69"/>
    </row>
    <row r="28" spans="1:11" x14ac:dyDescent="0.3">
      <c r="A28" s="75" t="s">
        <v>131</v>
      </c>
      <c r="B28" s="12"/>
      <c r="C28" s="307" t="s">
        <v>139</v>
      </c>
      <c r="D28" s="307"/>
      <c r="E28" s="307"/>
      <c r="F28" s="307"/>
      <c r="G28" s="307"/>
      <c r="H28" s="302" t="s">
        <v>457</v>
      </c>
      <c r="I28" s="302"/>
      <c r="J28" s="76">
        <f>2*4*0.03*7.8</f>
        <v>1.8719999999999999</v>
      </c>
      <c r="K28" s="69"/>
    </row>
    <row r="29" spans="1:11" x14ac:dyDescent="0.3">
      <c r="A29" s="75" t="s">
        <v>140</v>
      </c>
      <c r="B29" s="12"/>
      <c r="C29" s="307" t="s">
        <v>141</v>
      </c>
      <c r="D29" s="307"/>
      <c r="E29" s="307"/>
      <c r="F29" s="307"/>
      <c r="G29" s="307"/>
      <c r="H29" s="302" t="s">
        <v>458</v>
      </c>
      <c r="I29" s="302"/>
      <c r="J29" s="76">
        <f>J28</f>
        <v>1.8719999999999999</v>
      </c>
      <c r="K29" s="69"/>
    </row>
    <row r="30" spans="1:11" x14ac:dyDescent="0.3">
      <c r="A30" s="75" t="s">
        <v>138</v>
      </c>
      <c r="B30" s="12"/>
      <c r="C30" s="307" t="s">
        <v>142</v>
      </c>
      <c r="D30" s="307"/>
      <c r="E30" s="307"/>
      <c r="F30" s="307"/>
      <c r="G30" s="307"/>
      <c r="H30" s="302" t="s">
        <v>459</v>
      </c>
      <c r="I30" s="302"/>
      <c r="J30" s="76">
        <f>2*3*0.03*7.8</f>
        <v>1.4039999999999999</v>
      </c>
      <c r="K30" s="69"/>
    </row>
    <row r="31" spans="1:11" x14ac:dyDescent="0.3">
      <c r="A31" s="75" t="s">
        <v>143</v>
      </c>
      <c r="B31" s="12"/>
      <c r="C31" s="307" t="s">
        <v>144</v>
      </c>
      <c r="D31" s="307"/>
      <c r="E31" s="307"/>
      <c r="F31" s="307"/>
      <c r="G31" s="307"/>
      <c r="H31" s="302" t="s">
        <v>460</v>
      </c>
      <c r="I31" s="302"/>
      <c r="J31" s="76">
        <f>J30</f>
        <v>1.4039999999999999</v>
      </c>
      <c r="K31" s="69"/>
    </row>
    <row r="32" spans="1:11" x14ac:dyDescent="0.3">
      <c r="A32" s="75"/>
      <c r="B32" s="12"/>
      <c r="C32" s="307"/>
      <c r="D32" s="307"/>
      <c r="E32" s="307"/>
      <c r="F32" s="307"/>
      <c r="G32" s="307"/>
      <c r="H32" s="302"/>
      <c r="I32" s="302"/>
      <c r="J32" s="25"/>
      <c r="K32" s="69"/>
    </row>
    <row r="33" spans="1:11" x14ac:dyDescent="0.3">
      <c r="A33" s="75"/>
      <c r="B33" s="12"/>
      <c r="C33" s="307"/>
      <c r="D33" s="307"/>
      <c r="E33" s="307"/>
      <c r="F33" s="307"/>
      <c r="G33" s="307"/>
      <c r="H33" s="302"/>
      <c r="I33" s="302"/>
      <c r="J33" s="25"/>
      <c r="K33" s="69"/>
    </row>
    <row r="34" spans="1:11" x14ac:dyDescent="0.3">
      <c r="A34" s="75" t="s">
        <v>152</v>
      </c>
      <c r="B34" s="12"/>
      <c r="C34" s="307" t="s">
        <v>153</v>
      </c>
      <c r="D34" s="307"/>
      <c r="E34" s="307"/>
      <c r="F34" s="307"/>
      <c r="G34" s="307"/>
      <c r="H34" s="302" t="s">
        <v>461</v>
      </c>
      <c r="I34" s="302"/>
      <c r="J34" s="76">
        <v>15</v>
      </c>
      <c r="K34" s="69"/>
    </row>
    <row r="35" spans="1:11" ht="15" thickBot="1" x14ac:dyDescent="0.35">
      <c r="A35" s="77" t="s">
        <v>155</v>
      </c>
      <c r="B35" s="36"/>
      <c r="C35" s="308" t="s">
        <v>156</v>
      </c>
      <c r="D35" s="308"/>
      <c r="E35" s="308"/>
      <c r="F35" s="308"/>
      <c r="G35" s="308"/>
      <c r="H35" s="588" t="s">
        <v>462</v>
      </c>
      <c r="I35" s="588"/>
      <c r="J35" s="78">
        <v>17</v>
      </c>
      <c r="K35" s="70"/>
    </row>
  </sheetData>
  <mergeCells count="71">
    <mergeCell ref="C34:G34"/>
    <mergeCell ref="H34:I34"/>
    <mergeCell ref="C35:G35"/>
    <mergeCell ref="H35:I35"/>
    <mergeCell ref="C31:G31"/>
    <mergeCell ref="H31:I31"/>
    <mergeCell ref="C32:G32"/>
    <mergeCell ref="H32:I32"/>
    <mergeCell ref="C33:G33"/>
    <mergeCell ref="H33:I33"/>
    <mergeCell ref="C28:G28"/>
    <mergeCell ref="H28:I28"/>
    <mergeCell ref="C29:G29"/>
    <mergeCell ref="H29:I29"/>
    <mergeCell ref="C30:G30"/>
    <mergeCell ref="H30:I30"/>
    <mergeCell ref="C25:G25"/>
    <mergeCell ref="H25:I25"/>
    <mergeCell ref="C26:G26"/>
    <mergeCell ref="H26:I26"/>
    <mergeCell ref="C27:G27"/>
    <mergeCell ref="H27:I27"/>
    <mergeCell ref="C22:G22"/>
    <mergeCell ref="H22:I22"/>
    <mergeCell ref="C23:G23"/>
    <mergeCell ref="H23:I23"/>
    <mergeCell ref="C24:G24"/>
    <mergeCell ref="H24:I24"/>
    <mergeCell ref="C19:G19"/>
    <mergeCell ref="H19:I19"/>
    <mergeCell ref="C20:G20"/>
    <mergeCell ref="H20:I20"/>
    <mergeCell ref="C21:G21"/>
    <mergeCell ref="H21:I21"/>
    <mergeCell ref="C16:G16"/>
    <mergeCell ref="H16:I16"/>
    <mergeCell ref="C17:G17"/>
    <mergeCell ref="H17:I17"/>
    <mergeCell ref="C18:G18"/>
    <mergeCell ref="H18:I18"/>
    <mergeCell ref="C13:G13"/>
    <mergeCell ref="H13:I13"/>
    <mergeCell ref="C14:G14"/>
    <mergeCell ref="H14:I14"/>
    <mergeCell ref="C15:G15"/>
    <mergeCell ref="H15:I15"/>
    <mergeCell ref="C10:G10"/>
    <mergeCell ref="H10:I10"/>
    <mergeCell ref="C11:G11"/>
    <mergeCell ref="H11:I11"/>
    <mergeCell ref="C12:G12"/>
    <mergeCell ref="H12:I12"/>
    <mergeCell ref="C7:G7"/>
    <mergeCell ref="H7:I7"/>
    <mergeCell ref="C8:G8"/>
    <mergeCell ref="H8:I8"/>
    <mergeCell ref="C9:G9"/>
    <mergeCell ref="H9:I9"/>
    <mergeCell ref="C4:G4"/>
    <mergeCell ref="H4:I4"/>
    <mergeCell ref="C5:G5"/>
    <mergeCell ref="H5:I5"/>
    <mergeCell ref="C6:G6"/>
    <mergeCell ref="H6:I6"/>
    <mergeCell ref="A1:K1"/>
    <mergeCell ref="A2:A3"/>
    <mergeCell ref="B2:B3"/>
    <mergeCell ref="C2:G3"/>
    <mergeCell ref="H2:I3"/>
    <mergeCell ref="J2:J3"/>
    <mergeCell ref="K2:K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26023-DCFB-411C-8AC8-5531EDC58E3D}">
  <sheetPr>
    <tabColor theme="9"/>
  </sheetPr>
  <dimension ref="C3:W47"/>
  <sheetViews>
    <sheetView topLeftCell="A4" zoomScale="70" workbookViewId="0">
      <selection activeCell="J51" sqref="J51"/>
    </sheetView>
  </sheetViews>
  <sheetFormatPr defaultRowHeight="14.4" x14ac:dyDescent="0.3"/>
  <sheetData>
    <row r="3" spans="3:23" x14ac:dyDescent="0.3">
      <c r="C3" s="307" t="s">
        <v>463</v>
      </c>
      <c r="D3" s="307"/>
      <c r="E3" s="307"/>
      <c r="F3" s="307"/>
      <c r="G3" s="307"/>
      <c r="H3" s="307"/>
      <c r="I3" s="307"/>
      <c r="J3" s="30" t="s">
        <v>464</v>
      </c>
      <c r="K3" s="614">
        <v>150000</v>
      </c>
      <c r="L3" s="614"/>
      <c r="O3" s="324" t="s">
        <v>465</v>
      </c>
      <c r="P3" s="324"/>
      <c r="Q3" s="324"/>
      <c r="R3" s="324"/>
      <c r="S3" s="324"/>
      <c r="T3" s="324"/>
      <c r="U3" s="306" t="s">
        <v>466</v>
      </c>
      <c r="V3" s="324"/>
      <c r="W3" s="324"/>
    </row>
    <row r="4" spans="3:23" x14ac:dyDescent="0.3">
      <c r="C4" s="307" t="s">
        <v>467</v>
      </c>
      <c r="D4" s="307"/>
      <c r="E4" s="307"/>
      <c r="F4" s="307"/>
      <c r="G4" s="307"/>
      <c r="H4" s="307"/>
      <c r="I4" s="307"/>
      <c r="J4" s="30" t="s">
        <v>464</v>
      </c>
      <c r="K4" s="614">
        <v>60000</v>
      </c>
      <c r="L4" s="614"/>
      <c r="O4" s="324"/>
      <c r="P4" s="324"/>
      <c r="Q4" s="324"/>
      <c r="R4" s="324"/>
      <c r="S4" s="324"/>
      <c r="T4" s="324"/>
      <c r="U4" s="324"/>
      <c r="V4" s="324"/>
      <c r="W4" s="324"/>
    </row>
    <row r="5" spans="3:23" x14ac:dyDescent="0.3">
      <c r="C5" s="307" t="s">
        <v>468</v>
      </c>
      <c r="D5" s="307"/>
      <c r="E5" s="307"/>
      <c r="F5" s="307"/>
      <c r="G5" s="307"/>
      <c r="H5" s="307"/>
      <c r="I5" s="307"/>
      <c r="J5" s="30" t="s">
        <v>464</v>
      </c>
      <c r="K5" s="614">
        <v>30000</v>
      </c>
      <c r="L5" s="614"/>
      <c r="O5" s="307" t="s">
        <v>469</v>
      </c>
      <c r="P5" s="307"/>
      <c r="Q5" s="307"/>
      <c r="R5" s="307"/>
      <c r="S5" s="307"/>
      <c r="T5" s="307"/>
      <c r="U5" s="302">
        <v>200</v>
      </c>
      <c r="V5" s="302"/>
      <c r="W5" s="302"/>
    </row>
    <row r="6" spans="3:23" x14ac:dyDescent="0.3">
      <c r="C6" s="307" t="s">
        <v>470</v>
      </c>
      <c r="D6" s="307"/>
      <c r="E6" s="307"/>
      <c r="F6" s="307"/>
      <c r="G6" s="307"/>
      <c r="H6" s="307"/>
      <c r="I6" s="307"/>
      <c r="J6" s="30" t="s">
        <v>464</v>
      </c>
      <c r="K6" s="614">
        <v>200000</v>
      </c>
      <c r="L6" s="614"/>
      <c r="O6" s="307"/>
      <c r="P6" s="307"/>
      <c r="Q6" s="307"/>
      <c r="R6" s="307"/>
      <c r="S6" s="307"/>
      <c r="T6" s="307"/>
      <c r="U6" s="302"/>
      <c r="V6" s="302"/>
      <c r="W6" s="302"/>
    </row>
    <row r="7" spans="3:23" x14ac:dyDescent="0.3">
      <c r="C7" s="307" t="s">
        <v>471</v>
      </c>
      <c r="D7" s="307"/>
      <c r="E7" s="307"/>
      <c r="F7" s="307"/>
      <c r="G7" s="307"/>
      <c r="H7" s="307"/>
      <c r="I7" s="307"/>
      <c r="J7" s="30" t="s">
        <v>464</v>
      </c>
      <c r="K7" s="614">
        <v>100000</v>
      </c>
      <c r="L7" s="614"/>
      <c r="O7" s="307" t="s">
        <v>472</v>
      </c>
      <c r="P7" s="307"/>
      <c r="Q7" s="307"/>
      <c r="R7" s="307"/>
      <c r="S7" s="307"/>
      <c r="T7" s="307"/>
      <c r="U7" s="302">
        <v>80</v>
      </c>
      <c r="V7" s="302"/>
      <c r="W7" s="302"/>
    </row>
    <row r="8" spans="3:23" x14ac:dyDescent="0.3">
      <c r="C8" s="307" t="s">
        <v>473</v>
      </c>
      <c r="D8" s="307"/>
      <c r="E8" s="307"/>
      <c r="F8" s="307"/>
      <c r="G8" s="307"/>
      <c r="H8" s="307"/>
      <c r="I8" s="307"/>
      <c r="J8" s="30" t="s">
        <v>464</v>
      </c>
      <c r="K8" s="614">
        <v>10000</v>
      </c>
      <c r="L8" s="614"/>
      <c r="O8" s="307"/>
      <c r="P8" s="307"/>
      <c r="Q8" s="307"/>
      <c r="R8" s="307"/>
      <c r="S8" s="307"/>
      <c r="T8" s="307"/>
      <c r="U8" s="302"/>
      <c r="V8" s="302"/>
      <c r="W8" s="302"/>
    </row>
    <row r="9" spans="3:23" x14ac:dyDescent="0.3">
      <c r="C9" s="307" t="s">
        <v>474</v>
      </c>
      <c r="D9" s="307"/>
      <c r="E9" s="307"/>
      <c r="F9" s="307"/>
      <c r="G9" s="307"/>
      <c r="H9" s="307"/>
      <c r="I9" s="307"/>
      <c r="J9" s="30" t="s">
        <v>464</v>
      </c>
      <c r="K9" s="614">
        <v>80000</v>
      </c>
      <c r="L9" s="614"/>
      <c r="O9" s="307" t="s">
        <v>475</v>
      </c>
      <c r="P9" s="307"/>
      <c r="Q9" s="307"/>
      <c r="R9" s="307"/>
      <c r="S9" s="307"/>
      <c r="T9" s="307"/>
      <c r="U9" s="389" t="s">
        <v>476</v>
      </c>
      <c r="V9" s="389"/>
      <c r="W9" s="389"/>
    </row>
    <row r="10" spans="3:23" x14ac:dyDescent="0.3">
      <c r="C10" s="307" t="s">
        <v>477</v>
      </c>
      <c r="D10" s="307"/>
      <c r="E10" s="307"/>
      <c r="F10" s="307"/>
      <c r="G10" s="307"/>
      <c r="H10" s="307"/>
      <c r="I10" s="307"/>
      <c r="J10" s="30" t="s">
        <v>478</v>
      </c>
      <c r="K10" s="614">
        <v>6000</v>
      </c>
      <c r="L10" s="614"/>
      <c r="O10" s="307"/>
      <c r="P10" s="307"/>
      <c r="Q10" s="307"/>
      <c r="R10" s="307"/>
      <c r="S10" s="307"/>
      <c r="T10" s="307"/>
      <c r="U10" s="389"/>
      <c r="V10" s="389"/>
      <c r="W10" s="389"/>
    </row>
    <row r="11" spans="3:23" x14ac:dyDescent="0.3">
      <c r="C11" s="307" t="s">
        <v>479</v>
      </c>
      <c r="D11" s="307"/>
      <c r="E11" s="307"/>
      <c r="F11" s="307"/>
      <c r="G11" s="307"/>
      <c r="H11" s="307"/>
      <c r="I11" s="307"/>
      <c r="J11" s="30" t="s">
        <v>480</v>
      </c>
      <c r="K11" s="614">
        <v>1000</v>
      </c>
      <c r="L11" s="614"/>
      <c r="O11" s="307" t="s">
        <v>481</v>
      </c>
      <c r="P11" s="307"/>
      <c r="Q11" s="307"/>
      <c r="R11" s="307"/>
      <c r="S11" s="307"/>
      <c r="T11" s="307"/>
      <c r="U11" s="389" t="s">
        <v>482</v>
      </c>
      <c r="V11" s="389"/>
      <c r="W11" s="389"/>
    </row>
    <row r="12" spans="3:23" x14ac:dyDescent="0.3">
      <c r="C12" s="307" t="s">
        <v>483</v>
      </c>
      <c r="D12" s="307"/>
      <c r="E12" s="307"/>
      <c r="F12" s="307"/>
      <c r="G12" s="307"/>
      <c r="H12" s="307"/>
      <c r="I12" s="307"/>
      <c r="J12" s="30" t="s">
        <v>480</v>
      </c>
      <c r="K12" s="614">
        <v>410</v>
      </c>
      <c r="L12" s="614"/>
      <c r="O12" s="307"/>
      <c r="P12" s="307"/>
      <c r="Q12" s="307"/>
      <c r="R12" s="307"/>
      <c r="S12" s="307"/>
      <c r="T12" s="307"/>
      <c r="U12" s="389"/>
      <c r="V12" s="389"/>
      <c r="W12" s="389"/>
    </row>
    <row r="13" spans="3:23" x14ac:dyDescent="0.3">
      <c r="C13" s="307" t="s">
        <v>484</v>
      </c>
      <c r="D13" s="307"/>
      <c r="E13" s="307"/>
      <c r="F13" s="307"/>
      <c r="G13" s="307"/>
      <c r="H13" s="307"/>
      <c r="I13" s="307"/>
      <c r="J13" s="30" t="s">
        <v>485</v>
      </c>
      <c r="K13" s="614">
        <v>100</v>
      </c>
      <c r="L13" s="614"/>
      <c r="O13" s="307" t="s">
        <v>486</v>
      </c>
      <c r="P13" s="307"/>
      <c r="Q13" s="307"/>
      <c r="R13" s="307"/>
      <c r="S13" s="307"/>
      <c r="T13" s="307"/>
      <c r="U13" s="302" t="s">
        <v>487</v>
      </c>
      <c r="V13" s="302"/>
      <c r="W13" s="302"/>
    </row>
    <row r="14" spans="3:23" x14ac:dyDescent="0.3">
      <c r="C14" s="307" t="s">
        <v>488</v>
      </c>
      <c r="D14" s="307"/>
      <c r="E14" s="307"/>
      <c r="F14" s="307"/>
      <c r="G14" s="307"/>
      <c r="H14" s="307"/>
      <c r="I14" s="307"/>
      <c r="J14" s="30" t="s">
        <v>485</v>
      </c>
      <c r="K14" s="614">
        <v>80</v>
      </c>
      <c r="L14" s="614"/>
      <c r="O14" s="307"/>
      <c r="P14" s="307"/>
      <c r="Q14" s="307"/>
      <c r="R14" s="307"/>
      <c r="S14" s="307"/>
      <c r="T14" s="307"/>
      <c r="U14" s="302"/>
      <c r="V14" s="302"/>
      <c r="W14" s="302"/>
    </row>
    <row r="15" spans="3:23" x14ac:dyDescent="0.3">
      <c r="C15" s="307" t="s">
        <v>489</v>
      </c>
      <c r="D15" s="307"/>
      <c r="E15" s="307"/>
      <c r="F15" s="307"/>
      <c r="G15" s="307"/>
      <c r="H15" s="307"/>
      <c r="I15" s="307"/>
      <c r="J15" s="30" t="s">
        <v>485</v>
      </c>
      <c r="K15" s="614">
        <v>400</v>
      </c>
      <c r="L15" s="614"/>
      <c r="O15" s="307" t="s">
        <v>490</v>
      </c>
      <c r="P15" s="307"/>
      <c r="Q15" s="307"/>
      <c r="R15" s="307"/>
      <c r="S15" s="307"/>
      <c r="T15" s="307"/>
      <c r="U15" s="302" t="s">
        <v>491</v>
      </c>
      <c r="V15" s="302"/>
      <c r="W15" s="302"/>
    </row>
    <row r="16" spans="3:23" x14ac:dyDescent="0.3">
      <c r="C16" s="307" t="s">
        <v>492</v>
      </c>
      <c r="D16" s="307"/>
      <c r="E16" s="307"/>
      <c r="F16" s="307"/>
      <c r="G16" s="307"/>
      <c r="H16" s="307"/>
      <c r="I16" s="307"/>
      <c r="J16" s="30" t="s">
        <v>464</v>
      </c>
      <c r="K16" s="614">
        <v>24000</v>
      </c>
      <c r="L16" s="614"/>
      <c r="O16" s="307"/>
      <c r="P16" s="307"/>
      <c r="Q16" s="307"/>
      <c r="R16" s="307"/>
      <c r="S16" s="307"/>
      <c r="T16" s="307"/>
      <c r="U16" s="302"/>
      <c r="V16" s="302"/>
      <c r="W16" s="302"/>
    </row>
    <row r="17" spans="3:23" x14ac:dyDescent="0.3">
      <c r="C17" s="307" t="s">
        <v>493</v>
      </c>
      <c r="D17" s="307"/>
      <c r="E17" s="307"/>
      <c r="F17" s="307"/>
      <c r="G17" s="307"/>
      <c r="H17" s="307"/>
      <c r="I17" s="307"/>
      <c r="J17" s="30" t="s">
        <v>464</v>
      </c>
      <c r="K17" s="614">
        <v>30000</v>
      </c>
      <c r="L17" s="614"/>
      <c r="O17" s="307" t="s">
        <v>494</v>
      </c>
      <c r="P17" s="307"/>
      <c r="Q17" s="307"/>
      <c r="R17" s="307"/>
      <c r="S17" s="307"/>
      <c r="T17" s="307"/>
      <c r="U17" s="302" t="s">
        <v>495</v>
      </c>
      <c r="V17" s="302"/>
      <c r="W17" s="302"/>
    </row>
    <row r="18" spans="3:23" x14ac:dyDescent="0.3">
      <c r="C18" s="307" t="s">
        <v>496</v>
      </c>
      <c r="D18" s="307"/>
      <c r="E18" s="307"/>
      <c r="F18" s="307"/>
      <c r="G18" s="307"/>
      <c r="H18" s="307"/>
      <c r="I18" s="307"/>
      <c r="J18" s="30" t="s">
        <v>464</v>
      </c>
      <c r="K18" s="614">
        <v>165000</v>
      </c>
      <c r="L18" s="614"/>
      <c r="O18" s="307"/>
      <c r="P18" s="307"/>
      <c r="Q18" s="307"/>
      <c r="R18" s="307"/>
      <c r="S18" s="307"/>
      <c r="T18" s="307"/>
      <c r="U18" s="302"/>
      <c r="V18" s="302"/>
      <c r="W18" s="302"/>
    </row>
    <row r="19" spans="3:23" x14ac:dyDescent="0.3">
      <c r="C19" s="307" t="s">
        <v>497</v>
      </c>
      <c r="D19" s="307"/>
      <c r="E19" s="307"/>
      <c r="F19" s="307"/>
      <c r="G19" s="307"/>
      <c r="H19" s="307"/>
      <c r="I19" s="307"/>
      <c r="J19" s="30" t="s">
        <v>478</v>
      </c>
      <c r="K19" s="614">
        <v>600</v>
      </c>
      <c r="L19" s="614"/>
      <c r="O19" s="307" t="s">
        <v>498</v>
      </c>
      <c r="P19" s="307"/>
      <c r="Q19" s="307"/>
      <c r="R19" s="307"/>
      <c r="S19" s="307"/>
      <c r="T19" s="307"/>
      <c r="U19" s="302" t="s">
        <v>499</v>
      </c>
      <c r="V19" s="302"/>
      <c r="W19" s="302"/>
    </row>
    <row r="20" spans="3:23" x14ac:dyDescent="0.3">
      <c r="C20" s="307" t="s">
        <v>500</v>
      </c>
      <c r="D20" s="307"/>
      <c r="E20" s="307"/>
      <c r="F20" s="307"/>
      <c r="G20" s="307"/>
      <c r="H20" s="307"/>
      <c r="I20" s="307"/>
      <c r="J20" s="30" t="s">
        <v>478</v>
      </c>
      <c r="K20" s="614">
        <v>2500</v>
      </c>
      <c r="L20" s="614"/>
      <c r="O20" s="307"/>
      <c r="P20" s="307"/>
      <c r="Q20" s="307"/>
      <c r="R20" s="307"/>
      <c r="S20" s="307"/>
      <c r="T20" s="307"/>
      <c r="U20" s="302"/>
      <c r="V20" s="302"/>
      <c r="W20" s="302"/>
    </row>
    <row r="21" spans="3:23" x14ac:dyDescent="0.3">
      <c r="C21" s="307" t="s">
        <v>501</v>
      </c>
      <c r="D21" s="307"/>
      <c r="E21" s="307"/>
      <c r="F21" s="307"/>
      <c r="G21" s="307"/>
      <c r="H21" s="307"/>
      <c r="I21" s="307"/>
      <c r="J21" s="30" t="s">
        <v>478</v>
      </c>
      <c r="K21" s="614">
        <v>950</v>
      </c>
      <c r="L21" s="614"/>
      <c r="O21" s="307" t="s">
        <v>502</v>
      </c>
      <c r="P21" s="307"/>
      <c r="Q21" s="307"/>
      <c r="R21" s="307"/>
      <c r="S21" s="307"/>
      <c r="T21" s="307"/>
      <c r="U21" s="302" t="s">
        <v>503</v>
      </c>
      <c r="V21" s="302"/>
      <c r="W21" s="302"/>
    </row>
    <row r="22" spans="3:23" x14ac:dyDescent="0.3">
      <c r="C22" s="307" t="s">
        <v>504</v>
      </c>
      <c r="D22" s="307"/>
      <c r="E22" s="307"/>
      <c r="F22" s="307"/>
      <c r="G22" s="307"/>
      <c r="H22" s="307"/>
      <c r="I22" s="307"/>
      <c r="J22" s="30" t="s">
        <v>464</v>
      </c>
      <c r="K22" s="614">
        <v>9700</v>
      </c>
      <c r="L22" s="614"/>
      <c r="O22" s="307"/>
      <c r="P22" s="307"/>
      <c r="Q22" s="307"/>
      <c r="R22" s="307"/>
      <c r="S22" s="307"/>
      <c r="T22" s="307"/>
      <c r="U22" s="302"/>
      <c r="V22" s="302"/>
      <c r="W22" s="302"/>
    </row>
    <row r="23" spans="3:23" x14ac:dyDescent="0.3">
      <c r="C23" s="307" t="s">
        <v>505</v>
      </c>
      <c r="D23" s="307"/>
      <c r="E23" s="307"/>
      <c r="F23" s="307"/>
      <c r="G23" s="307"/>
      <c r="H23" s="307"/>
      <c r="I23" s="307"/>
      <c r="J23" s="30" t="s">
        <v>464</v>
      </c>
      <c r="K23" s="614">
        <v>3500</v>
      </c>
      <c r="L23" s="614"/>
      <c r="O23" s="307" t="s">
        <v>506</v>
      </c>
      <c r="P23" s="307"/>
      <c r="Q23" s="307"/>
      <c r="R23" s="307"/>
      <c r="S23" s="307"/>
      <c r="T23" s="307"/>
      <c r="U23" s="389" t="s">
        <v>507</v>
      </c>
      <c r="V23" s="302"/>
      <c r="W23" s="302"/>
    </row>
    <row r="24" spans="3:23" x14ac:dyDescent="0.3">
      <c r="C24" s="307" t="s">
        <v>508</v>
      </c>
      <c r="D24" s="307"/>
      <c r="E24" s="307"/>
      <c r="F24" s="307"/>
      <c r="G24" s="307"/>
      <c r="H24" s="307"/>
      <c r="I24" s="307"/>
      <c r="J24" s="30" t="s">
        <v>464</v>
      </c>
      <c r="K24" s="614">
        <v>2800</v>
      </c>
      <c r="L24" s="614"/>
      <c r="O24" s="307"/>
      <c r="P24" s="307"/>
      <c r="Q24" s="307"/>
      <c r="R24" s="307"/>
      <c r="S24" s="307"/>
      <c r="T24" s="307"/>
      <c r="U24" s="302"/>
      <c r="V24" s="302"/>
      <c r="W24" s="302"/>
    </row>
    <row r="26" spans="3:23" ht="14.4" customHeight="1" x14ac:dyDescent="0.3"/>
    <row r="27" spans="3:23" ht="14.4" customHeight="1" x14ac:dyDescent="0.3"/>
    <row r="28" spans="3:23" ht="14.4" customHeight="1" x14ac:dyDescent="0.3"/>
    <row r="29" spans="3:23" ht="14.4" customHeight="1" thickBot="1" x14ac:dyDescent="0.35"/>
    <row r="30" spans="3:23" ht="14.4" customHeight="1" x14ac:dyDescent="0.3">
      <c r="C30" s="589" t="s">
        <v>519</v>
      </c>
      <c r="D30" s="590"/>
      <c r="E30" s="590"/>
      <c r="F30" s="590"/>
      <c r="G30" s="590"/>
      <c r="H30" s="590"/>
      <c r="I30" s="590"/>
      <c r="J30" s="590"/>
      <c r="K30" s="590"/>
      <c r="L30" s="590"/>
      <c r="M30" s="590"/>
      <c r="N30" s="590"/>
      <c r="O30" s="590"/>
      <c r="P30" s="591"/>
    </row>
    <row r="31" spans="3:23" ht="14.4" customHeight="1" thickBot="1" x14ac:dyDescent="0.35">
      <c r="C31" s="592"/>
      <c r="D31" s="593"/>
      <c r="E31" s="593"/>
      <c r="F31" s="593"/>
      <c r="G31" s="593"/>
      <c r="H31" s="593"/>
      <c r="I31" s="593"/>
      <c r="J31" s="593"/>
      <c r="K31" s="593"/>
      <c r="L31" s="593"/>
      <c r="M31" s="593"/>
      <c r="N31" s="593"/>
      <c r="O31" s="593"/>
      <c r="P31" s="594"/>
    </row>
    <row r="32" spans="3:23" ht="14.4" customHeight="1" thickBot="1" x14ac:dyDescent="0.35"/>
    <row r="33" spans="3:16" ht="14.4" customHeight="1" x14ac:dyDescent="0.3">
      <c r="C33" s="599" t="s">
        <v>509</v>
      </c>
      <c r="D33" s="600"/>
      <c r="E33" s="600"/>
      <c r="F33" s="600"/>
      <c r="G33" s="600"/>
      <c r="H33" s="600"/>
      <c r="I33" s="601"/>
      <c r="J33" s="300" t="s">
        <v>510</v>
      </c>
      <c r="K33" s="602" t="s">
        <v>511</v>
      </c>
      <c r="L33" s="603"/>
      <c r="M33" s="602" t="s">
        <v>512</v>
      </c>
      <c r="N33" s="603"/>
      <c r="O33" s="604" t="s">
        <v>513</v>
      </c>
      <c r="P33" s="605"/>
    </row>
    <row r="34" spans="3:16" ht="14.4" customHeight="1" x14ac:dyDescent="0.3">
      <c r="C34" s="608" t="s">
        <v>514</v>
      </c>
      <c r="D34" s="609"/>
      <c r="E34" s="609"/>
      <c r="F34" s="609"/>
      <c r="G34" s="609"/>
      <c r="H34" s="609"/>
      <c r="I34" s="610"/>
      <c r="J34" s="210">
        <v>1</v>
      </c>
      <c r="K34" s="606">
        <v>4800000</v>
      </c>
      <c r="L34" s="611"/>
      <c r="M34" s="612">
        <f>J34*K34</f>
        <v>4800000</v>
      </c>
      <c r="N34" s="613"/>
      <c r="O34" s="595">
        <f t="shared" ref="O34:O46" si="0">M34/$M$47</f>
        <v>0.10721407792319183</v>
      </c>
      <c r="P34" s="596"/>
    </row>
    <row r="35" spans="3:16" ht="14.4" customHeight="1" x14ac:dyDescent="0.3">
      <c r="C35" s="608" t="s">
        <v>515</v>
      </c>
      <c r="D35" s="609"/>
      <c r="E35" s="609"/>
      <c r="F35" s="609"/>
      <c r="G35" s="609"/>
      <c r="H35" s="609"/>
      <c r="I35" s="610"/>
      <c r="J35" s="210">
        <v>10</v>
      </c>
      <c r="K35" s="606">
        <f>K3</f>
        <v>150000</v>
      </c>
      <c r="L35" s="607"/>
      <c r="M35" s="606">
        <f>J35*K35</f>
        <v>1500000</v>
      </c>
      <c r="N35" s="607"/>
      <c r="O35" s="597">
        <f t="shared" si="0"/>
        <v>3.3504399350997451E-2</v>
      </c>
      <c r="P35" s="598"/>
    </row>
    <row r="36" spans="3:16" ht="14.4" customHeight="1" x14ac:dyDescent="0.3">
      <c r="C36" s="608" t="str">
        <f>C4</f>
        <v>Pressopiegatrici</v>
      </c>
      <c r="D36" s="609"/>
      <c r="E36" s="609"/>
      <c r="F36" s="609"/>
      <c r="G36" s="609"/>
      <c r="H36" s="609"/>
      <c r="I36" s="610"/>
      <c r="J36" s="210">
        <v>8</v>
      </c>
      <c r="K36" s="606">
        <f>K4</f>
        <v>60000</v>
      </c>
      <c r="L36" s="607"/>
      <c r="M36" s="606">
        <f t="shared" ref="M36:M38" si="1">J36*K36</f>
        <v>480000</v>
      </c>
      <c r="N36" s="607"/>
      <c r="O36" s="597">
        <f t="shared" si="0"/>
        <v>1.0721407792319183E-2</v>
      </c>
      <c r="P36" s="598"/>
    </row>
    <row r="37" spans="3:16" ht="15.75" customHeight="1" x14ac:dyDescent="0.3">
      <c r="C37" s="608" t="str">
        <f>C5</f>
        <v xml:space="preserve">Box di saldatura completi </v>
      </c>
      <c r="D37" s="609"/>
      <c r="E37" s="609"/>
      <c r="F37" s="609"/>
      <c r="G37" s="609"/>
      <c r="H37" s="609"/>
      <c r="I37" s="610"/>
      <c r="J37" s="210">
        <v>22</v>
      </c>
      <c r="K37" s="606">
        <f>K5</f>
        <v>30000</v>
      </c>
      <c r="L37" s="607"/>
      <c r="M37" s="606">
        <f t="shared" si="1"/>
        <v>660000</v>
      </c>
      <c r="N37" s="607"/>
      <c r="O37" s="597">
        <f t="shared" si="0"/>
        <v>1.4741935714438877E-2</v>
      </c>
      <c r="P37" s="598"/>
    </row>
    <row r="38" spans="3:16" ht="15.75" customHeight="1" x14ac:dyDescent="0.3">
      <c r="C38" s="608" t="str">
        <f>C8</f>
        <v>Banco di montaggio completo</v>
      </c>
      <c r="D38" s="609"/>
      <c r="E38" s="609"/>
      <c r="F38" s="609"/>
      <c r="G38" s="609"/>
      <c r="H38" s="609"/>
      <c r="I38" s="610"/>
      <c r="J38" s="210">
        <v>28</v>
      </c>
      <c r="K38" s="606">
        <f>K8</f>
        <v>10000</v>
      </c>
      <c r="L38" s="607"/>
      <c r="M38" s="606">
        <f t="shared" si="1"/>
        <v>280000</v>
      </c>
      <c r="N38" s="607"/>
      <c r="O38" s="597">
        <f t="shared" si="0"/>
        <v>6.2541545455195233E-3</v>
      </c>
      <c r="P38" s="598"/>
    </row>
    <row r="39" spans="3:16" ht="15.6" customHeight="1" x14ac:dyDescent="0.3">
      <c r="C39" s="608" t="str">
        <f>C11</f>
        <v>Edificio industriale</v>
      </c>
      <c r="D39" s="609"/>
      <c r="E39" s="609"/>
      <c r="F39" s="609"/>
      <c r="G39" s="609"/>
      <c r="H39" s="609"/>
      <c r="I39" s="610"/>
      <c r="J39" s="210">
        <v>24264</v>
      </c>
      <c r="K39" s="606">
        <f>K11</f>
        <v>1000</v>
      </c>
      <c r="L39" s="607"/>
      <c r="M39" s="606">
        <f t="shared" ref="M39:M45" si="2">J39*K39</f>
        <v>24264000</v>
      </c>
      <c r="N39" s="607"/>
      <c r="O39" s="597">
        <f t="shared" si="0"/>
        <v>0.54196716390173472</v>
      </c>
      <c r="P39" s="598"/>
    </row>
    <row r="40" spans="3:16" x14ac:dyDescent="0.3">
      <c r="C40" s="608" t="str">
        <f>C12</f>
        <v>Impianti generali</v>
      </c>
      <c r="D40" s="609"/>
      <c r="E40" s="609"/>
      <c r="F40" s="609"/>
      <c r="G40" s="609"/>
      <c r="H40" s="609"/>
      <c r="I40" s="610"/>
      <c r="J40" s="210">
        <v>24264</v>
      </c>
      <c r="K40" s="606">
        <f>K12</f>
        <v>410</v>
      </c>
      <c r="L40" s="607"/>
      <c r="M40" s="606">
        <f t="shared" si="2"/>
        <v>9948240</v>
      </c>
      <c r="N40" s="607"/>
      <c r="O40" s="597">
        <f t="shared" si="0"/>
        <v>0.22220653719971123</v>
      </c>
      <c r="P40" s="598"/>
    </row>
    <row r="41" spans="3:16" x14ac:dyDescent="0.3">
      <c r="C41" s="608" t="str">
        <f>C13</f>
        <v>Scaffalature tradizionali</v>
      </c>
      <c r="D41" s="609"/>
      <c r="E41" s="609"/>
      <c r="F41" s="609"/>
      <c r="G41" s="609"/>
      <c r="H41" s="609"/>
      <c r="I41" s="610"/>
      <c r="J41" s="210">
        <v>6988</v>
      </c>
      <c r="K41" s="606">
        <f>K13</f>
        <v>100</v>
      </c>
      <c r="L41" s="607"/>
      <c r="M41" s="606">
        <f t="shared" si="2"/>
        <v>698800</v>
      </c>
      <c r="N41" s="607"/>
      <c r="O41" s="597">
        <f t="shared" si="0"/>
        <v>1.5608582844318011E-2</v>
      </c>
      <c r="P41" s="598"/>
    </row>
    <row r="42" spans="3:16" x14ac:dyDescent="0.3">
      <c r="C42" s="608" t="s">
        <v>516</v>
      </c>
      <c r="D42" s="609"/>
      <c r="E42" s="609"/>
      <c r="F42" s="609"/>
      <c r="G42" s="609"/>
      <c r="H42" s="609"/>
      <c r="I42" s="610"/>
      <c r="J42" s="210">
        <v>30</v>
      </c>
      <c r="K42" s="606">
        <v>30000</v>
      </c>
      <c r="L42" s="607"/>
      <c r="M42" s="606">
        <f t="shared" si="2"/>
        <v>900000</v>
      </c>
      <c r="N42" s="607"/>
      <c r="O42" s="597">
        <f t="shared" si="0"/>
        <v>2.010263961059847E-2</v>
      </c>
      <c r="P42" s="598"/>
    </row>
    <row r="43" spans="3:16" x14ac:dyDescent="0.3">
      <c r="C43" s="608" t="str">
        <f>C22</f>
        <v>Portoni</v>
      </c>
      <c r="D43" s="609"/>
      <c r="E43" s="609"/>
      <c r="F43" s="609"/>
      <c r="G43" s="609"/>
      <c r="H43" s="609"/>
      <c r="I43" s="610"/>
      <c r="J43" s="210">
        <v>13</v>
      </c>
      <c r="K43" s="606">
        <f>K22</f>
        <v>9700</v>
      </c>
      <c r="L43" s="607"/>
      <c r="M43" s="606">
        <f t="shared" si="2"/>
        <v>126100</v>
      </c>
      <c r="N43" s="607"/>
      <c r="O43" s="597">
        <f t="shared" si="0"/>
        <v>2.8166031721071857E-3</v>
      </c>
      <c r="P43" s="598"/>
    </row>
    <row r="44" spans="3:16" x14ac:dyDescent="0.3">
      <c r="C44" s="608" t="s">
        <v>517</v>
      </c>
      <c r="D44" s="609"/>
      <c r="E44" s="609"/>
      <c r="F44" s="609"/>
      <c r="G44" s="609"/>
      <c r="H44" s="609"/>
      <c r="I44" s="610"/>
      <c r="J44" s="210">
        <v>9</v>
      </c>
      <c r="K44" s="606">
        <f>K23</f>
        <v>3500</v>
      </c>
      <c r="L44" s="607"/>
      <c r="M44" s="606">
        <f t="shared" si="2"/>
        <v>31500</v>
      </c>
      <c r="N44" s="607"/>
      <c r="O44" s="597">
        <f t="shared" si="0"/>
        <v>7.0359238637094637E-4</v>
      </c>
      <c r="P44" s="598"/>
    </row>
    <row r="45" spans="3:16" x14ac:dyDescent="0.3">
      <c r="C45" s="615" t="str">
        <f>C24</f>
        <v>Porte di sicurezza</v>
      </c>
      <c r="D45" s="616"/>
      <c r="E45" s="616"/>
      <c r="F45" s="616"/>
      <c r="G45" s="616"/>
      <c r="H45" s="616"/>
      <c r="I45" s="617"/>
      <c r="J45" s="207">
        <v>22</v>
      </c>
      <c r="K45" s="625">
        <f>K24</f>
        <v>2800</v>
      </c>
      <c r="L45" s="626"/>
      <c r="M45" s="625">
        <f t="shared" si="2"/>
        <v>61600</v>
      </c>
      <c r="N45" s="626"/>
      <c r="O45" s="620">
        <f t="shared" si="0"/>
        <v>1.3759140000142952E-3</v>
      </c>
      <c r="P45" s="621"/>
    </row>
    <row r="46" spans="3:16" ht="15" thickBot="1" x14ac:dyDescent="0.35">
      <c r="C46" s="627" t="s">
        <v>518</v>
      </c>
      <c r="D46" s="547"/>
      <c r="E46" s="547"/>
      <c r="F46" s="547"/>
      <c r="G46" s="547"/>
      <c r="H46" s="547"/>
      <c r="I46" s="547"/>
      <c r="J46" s="299">
        <v>68</v>
      </c>
      <c r="K46" s="628">
        <v>15000</v>
      </c>
      <c r="L46" s="628"/>
      <c r="M46" s="628">
        <f>K46*J46</f>
        <v>1020000</v>
      </c>
      <c r="N46" s="628"/>
      <c r="O46" s="629">
        <f t="shared" si="0"/>
        <v>2.2782991558678266E-2</v>
      </c>
      <c r="P46" s="630"/>
    </row>
    <row r="47" spans="3:16" ht="15" thickBot="1" x14ac:dyDescent="0.35">
      <c r="C47" s="623" t="s">
        <v>225</v>
      </c>
      <c r="D47" s="624"/>
      <c r="E47" s="624"/>
      <c r="F47" s="624"/>
      <c r="G47" s="624"/>
      <c r="H47" s="624"/>
      <c r="I47" s="624"/>
      <c r="J47" s="624"/>
      <c r="K47" s="624"/>
      <c r="L47" s="624"/>
      <c r="M47" s="622">
        <f>SUM(M34:N46)</f>
        <v>44770240</v>
      </c>
      <c r="N47" s="622"/>
      <c r="O47" s="618">
        <f>SUM(O34:P46)</f>
        <v>0.99999999999999989</v>
      </c>
      <c r="P47" s="619"/>
    </row>
  </sheetData>
  <mergeCells count="126">
    <mergeCell ref="O47:P47"/>
    <mergeCell ref="O45:P45"/>
    <mergeCell ref="O44:P44"/>
    <mergeCell ref="O43:P43"/>
    <mergeCell ref="O42:P42"/>
    <mergeCell ref="O41:P41"/>
    <mergeCell ref="O40:P40"/>
    <mergeCell ref="M47:N47"/>
    <mergeCell ref="C47:L47"/>
    <mergeCell ref="K44:L44"/>
    <mergeCell ref="K45:L45"/>
    <mergeCell ref="K42:L42"/>
    <mergeCell ref="M45:N45"/>
    <mergeCell ref="C46:I46"/>
    <mergeCell ref="K46:L46"/>
    <mergeCell ref="M46:N46"/>
    <mergeCell ref="O46:P46"/>
    <mergeCell ref="M36:N36"/>
    <mergeCell ref="M37:N37"/>
    <mergeCell ref="K40:L40"/>
    <mergeCell ref="C43:I43"/>
    <mergeCell ref="C44:I44"/>
    <mergeCell ref="C45:I45"/>
    <mergeCell ref="C42:I42"/>
    <mergeCell ref="M44:N44"/>
    <mergeCell ref="M43:N43"/>
    <mergeCell ref="M42:N42"/>
    <mergeCell ref="M41:N41"/>
    <mergeCell ref="M40:N40"/>
    <mergeCell ref="K43:L43"/>
    <mergeCell ref="K41:L41"/>
    <mergeCell ref="C41:I41"/>
    <mergeCell ref="C40:I40"/>
    <mergeCell ref="M38:N38"/>
    <mergeCell ref="M39:N39"/>
    <mergeCell ref="C3:I3"/>
    <mergeCell ref="K3:L3"/>
    <mergeCell ref="C4:I4"/>
    <mergeCell ref="K4:L4"/>
    <mergeCell ref="C5:I5"/>
    <mergeCell ref="K5:L5"/>
    <mergeCell ref="C6:I6"/>
    <mergeCell ref="K6:L6"/>
    <mergeCell ref="C7:I7"/>
    <mergeCell ref="K7:L7"/>
    <mergeCell ref="C8:I8"/>
    <mergeCell ref="K8:L8"/>
    <mergeCell ref="C9:I9"/>
    <mergeCell ref="K9:L9"/>
    <mergeCell ref="C10:I10"/>
    <mergeCell ref="K10:L10"/>
    <mergeCell ref="C11:I11"/>
    <mergeCell ref="K11:L11"/>
    <mergeCell ref="C12:I12"/>
    <mergeCell ref="K12:L12"/>
    <mergeCell ref="K22:L22"/>
    <mergeCell ref="C23:I23"/>
    <mergeCell ref="K23:L23"/>
    <mergeCell ref="C13:I13"/>
    <mergeCell ref="K13:L13"/>
    <mergeCell ref="C14:I14"/>
    <mergeCell ref="K14:L14"/>
    <mergeCell ref="C15:I15"/>
    <mergeCell ref="K15:L15"/>
    <mergeCell ref="C16:I16"/>
    <mergeCell ref="K16:L16"/>
    <mergeCell ref="C17:I17"/>
    <mergeCell ref="K17:L17"/>
    <mergeCell ref="O3:T4"/>
    <mergeCell ref="U3:W4"/>
    <mergeCell ref="O5:T6"/>
    <mergeCell ref="U5:W6"/>
    <mergeCell ref="O7:T8"/>
    <mergeCell ref="U7:W8"/>
    <mergeCell ref="O9:T10"/>
    <mergeCell ref="U9:W10"/>
    <mergeCell ref="O11:T12"/>
    <mergeCell ref="U11:W12"/>
    <mergeCell ref="C37:I37"/>
    <mergeCell ref="O13:T14"/>
    <mergeCell ref="U13:W14"/>
    <mergeCell ref="O21:T22"/>
    <mergeCell ref="U21:W22"/>
    <mergeCell ref="O23:T24"/>
    <mergeCell ref="U23:W24"/>
    <mergeCell ref="O15:T16"/>
    <mergeCell ref="U15:W16"/>
    <mergeCell ref="O17:T18"/>
    <mergeCell ref="U17:W18"/>
    <mergeCell ref="O19:T20"/>
    <mergeCell ref="U19:W20"/>
    <mergeCell ref="C18:I18"/>
    <mergeCell ref="K18:L18"/>
    <mergeCell ref="C19:I19"/>
    <mergeCell ref="K19:L19"/>
    <mergeCell ref="C20:I20"/>
    <mergeCell ref="K20:L20"/>
    <mergeCell ref="C24:I24"/>
    <mergeCell ref="K24:L24"/>
    <mergeCell ref="C21:I21"/>
    <mergeCell ref="K21:L21"/>
    <mergeCell ref="C22:I22"/>
    <mergeCell ref="C30:P31"/>
    <mergeCell ref="O34:P34"/>
    <mergeCell ref="O39:P39"/>
    <mergeCell ref="O38:P38"/>
    <mergeCell ref="O37:P37"/>
    <mergeCell ref="O36:P36"/>
    <mergeCell ref="C33:I33"/>
    <mergeCell ref="K33:L33"/>
    <mergeCell ref="M33:N33"/>
    <mergeCell ref="O33:P33"/>
    <mergeCell ref="O35:P35"/>
    <mergeCell ref="M35:N35"/>
    <mergeCell ref="C34:I34"/>
    <mergeCell ref="K34:L34"/>
    <mergeCell ref="M34:N34"/>
    <mergeCell ref="C39:I39"/>
    <mergeCell ref="C38:I38"/>
    <mergeCell ref="K36:L36"/>
    <mergeCell ref="K37:L37"/>
    <mergeCell ref="K38:L38"/>
    <mergeCell ref="C35:I35"/>
    <mergeCell ref="K35:L35"/>
    <mergeCell ref="K39:L39"/>
    <mergeCell ref="C36:I3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$_DATI_BASE</vt:lpstr>
      <vt:lpstr>$_DB_CICLI</vt:lpstr>
      <vt:lpstr>$_FABB_PARTI_LOTTI</vt:lpstr>
      <vt:lpstr>OP_MONTAGGIO</vt:lpstr>
      <vt:lpstr>$_MAG_BUFFER</vt:lpstr>
      <vt:lpstr>DIM_Magazzini</vt:lpstr>
      <vt:lpstr>$_MOV_MATERIALI</vt:lpstr>
      <vt:lpstr>DIMENSIONI E PESI</vt:lpstr>
      <vt:lpstr>ALTRI_DATI</vt:lpstr>
    </vt:vector>
  </TitlesOfParts>
  <Manager/>
  <Company>Comau S.p.A.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Pier Franco Luciani</dc:creator>
  <cp:keywords/>
  <dc:description/>
  <cp:lastModifiedBy>PULVIRENTI LUCA</cp:lastModifiedBy>
  <cp:revision/>
  <dcterms:created xsi:type="dcterms:W3CDTF">2022-10-07T13:38:05Z</dcterms:created>
  <dcterms:modified xsi:type="dcterms:W3CDTF">2024-01-21T20:51:59Z</dcterms:modified>
  <cp:category/>
  <cp:contentStatus/>
</cp:coreProperties>
</file>