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updateLinks="never"/>
  <mc:AlternateContent xmlns:mc="http://schemas.openxmlformats.org/markup-compatibility/2006">
    <mc:Choice Requires="x15">
      <x15ac:absPath xmlns:x15ac="http://schemas.microsoft.com/office/spreadsheetml/2010/11/ac" url="C:\Users\Luca\Downloads\"/>
    </mc:Choice>
  </mc:AlternateContent>
  <xr:revisionPtr revIDLastSave="0" documentId="13_ncr:1_{7D3FF0F3-52F5-4B5E-A37D-29C6E09A275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. Rdos Proyec" sheetId="2" r:id="rId1"/>
  </sheets>
  <externalReferences>
    <externalReference r:id="rId2"/>
  </externalReferences>
  <definedNames>
    <definedName name="CategoríasDeGastos" localSheetId="0">'[1]C.Fijos'!$B$75:$B$85</definedName>
    <definedName name="CategoríasDeGastos">'[1]C.Fijos'!$B$75:$B$85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27" i="2" l="1"/>
  <c r="CA27" i="2"/>
  <c r="BZ27" i="2"/>
  <c r="BY27" i="2"/>
  <c r="BX27" i="2"/>
  <c r="BW27" i="2"/>
  <c r="BV27" i="2"/>
  <c r="BU27" i="2"/>
  <c r="BT27" i="2"/>
  <c r="BS27" i="2"/>
  <c r="BR27" i="2"/>
  <c r="BQ27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CD25" i="2" s="1"/>
  <c r="CB24" i="2"/>
  <c r="CA24" i="2"/>
  <c r="BZ24" i="2"/>
  <c r="BY24" i="2"/>
  <c r="BX24" i="2"/>
  <c r="BW24" i="2"/>
  <c r="BV24" i="2"/>
  <c r="BU24" i="2"/>
  <c r="BT24" i="2"/>
  <c r="BS24" i="2"/>
  <c r="BR24" i="2"/>
  <c r="BQ24" i="2"/>
  <c r="CD24" i="2" s="1"/>
  <c r="CB23" i="2"/>
  <c r="CA23" i="2"/>
  <c r="BZ23" i="2"/>
  <c r="BY23" i="2"/>
  <c r="BX23" i="2"/>
  <c r="BW23" i="2"/>
  <c r="BV23" i="2"/>
  <c r="BU23" i="2"/>
  <c r="BT23" i="2"/>
  <c r="BS23" i="2"/>
  <c r="BR23" i="2"/>
  <c r="BQ23" i="2"/>
  <c r="CD23" i="2" s="1"/>
  <c r="CB22" i="2"/>
  <c r="CA22" i="2"/>
  <c r="BZ22" i="2"/>
  <c r="BY22" i="2"/>
  <c r="BX22" i="2"/>
  <c r="BW22" i="2"/>
  <c r="BV22" i="2"/>
  <c r="BU22" i="2"/>
  <c r="BT22" i="2"/>
  <c r="BS22" i="2"/>
  <c r="BR22" i="2"/>
  <c r="CG22" i="2" s="1"/>
  <c r="BQ22" i="2"/>
  <c r="CF22" i="2" s="1"/>
  <c r="CB21" i="2"/>
  <c r="CA21" i="2"/>
  <c r="BZ21" i="2"/>
  <c r="BY21" i="2"/>
  <c r="BX21" i="2"/>
  <c r="BW21" i="2"/>
  <c r="BV21" i="2"/>
  <c r="BU21" i="2"/>
  <c r="BT21" i="2"/>
  <c r="BS21" i="2"/>
  <c r="BR21" i="2"/>
  <c r="CG21" i="2" s="1"/>
  <c r="BQ21" i="2"/>
  <c r="CF21" i="2" s="1"/>
  <c r="CB20" i="2"/>
  <c r="CA20" i="2"/>
  <c r="BZ20" i="2"/>
  <c r="BY20" i="2"/>
  <c r="BX20" i="2"/>
  <c r="BW20" i="2"/>
  <c r="BV20" i="2"/>
  <c r="BU20" i="2"/>
  <c r="BT20" i="2"/>
  <c r="BS20" i="2"/>
  <c r="BR20" i="2"/>
  <c r="CG20" i="2" s="1"/>
  <c r="BQ20" i="2"/>
  <c r="CF20" i="2" s="1"/>
  <c r="CB19" i="2"/>
  <c r="CA19" i="2"/>
  <c r="BZ19" i="2"/>
  <c r="BY19" i="2"/>
  <c r="BX19" i="2"/>
  <c r="BW19" i="2"/>
  <c r="BV19" i="2"/>
  <c r="BU19" i="2"/>
  <c r="BT19" i="2"/>
  <c r="BS19" i="2"/>
  <c r="CH19" i="2" s="1"/>
  <c r="BR19" i="2"/>
  <c r="BQ19" i="2"/>
  <c r="CF19" i="2" s="1"/>
  <c r="CB18" i="2"/>
  <c r="CA18" i="2"/>
  <c r="BZ18" i="2"/>
  <c r="BY18" i="2"/>
  <c r="BX18" i="2"/>
  <c r="BW18" i="2"/>
  <c r="BV18" i="2"/>
  <c r="BU18" i="2"/>
  <c r="BT18" i="2"/>
  <c r="BS18" i="2"/>
  <c r="CH18" i="2" s="1"/>
  <c r="BR18" i="2"/>
  <c r="BQ18" i="2"/>
  <c r="CF18" i="2" s="1"/>
  <c r="CB17" i="2"/>
  <c r="CA17" i="2"/>
  <c r="BZ17" i="2"/>
  <c r="BY17" i="2"/>
  <c r="BX17" i="2"/>
  <c r="BW17" i="2"/>
  <c r="BV17" i="2"/>
  <c r="BU17" i="2"/>
  <c r="BT17" i="2"/>
  <c r="BS17" i="2"/>
  <c r="CH17" i="2" s="1"/>
  <c r="BR17" i="2"/>
  <c r="BQ17" i="2"/>
  <c r="CF17" i="2" s="1"/>
  <c r="CB16" i="2"/>
  <c r="CA16" i="2"/>
  <c r="BZ16" i="2"/>
  <c r="BY16" i="2"/>
  <c r="BX16" i="2"/>
  <c r="BW16" i="2"/>
  <c r="BV16" i="2"/>
  <c r="BU16" i="2"/>
  <c r="BT16" i="2"/>
  <c r="BS16" i="2"/>
  <c r="CH16" i="2" s="1"/>
  <c r="BR16" i="2"/>
  <c r="CG16" i="2" s="1"/>
  <c r="BQ16" i="2"/>
  <c r="CF16" i="2" s="1"/>
  <c r="CB15" i="2"/>
  <c r="CA15" i="2"/>
  <c r="BZ15" i="2"/>
  <c r="BY15" i="2"/>
  <c r="BX15" i="2"/>
  <c r="BW15" i="2"/>
  <c r="BV15" i="2"/>
  <c r="BU15" i="2"/>
  <c r="BT15" i="2"/>
  <c r="BS15" i="2"/>
  <c r="CH15" i="2" s="1"/>
  <c r="BR15" i="2"/>
  <c r="CG15" i="2" s="1"/>
  <c r="BQ15" i="2"/>
  <c r="CF15" i="2" s="1"/>
  <c r="CB14" i="2"/>
  <c r="CA14" i="2"/>
  <c r="BZ14" i="2"/>
  <c r="BY14" i="2"/>
  <c r="BX14" i="2"/>
  <c r="BW14" i="2"/>
  <c r="BV14" i="2"/>
  <c r="BU14" i="2"/>
  <c r="BT14" i="2"/>
  <c r="BS14" i="2"/>
  <c r="BR14" i="2"/>
  <c r="CG14" i="2" s="1"/>
  <c r="BQ14" i="2"/>
  <c r="CF14" i="2" s="1"/>
  <c r="CB13" i="2"/>
  <c r="CA13" i="2"/>
  <c r="BZ13" i="2"/>
  <c r="BY13" i="2"/>
  <c r="BX13" i="2"/>
  <c r="BW13" i="2"/>
  <c r="BV13" i="2"/>
  <c r="BU13" i="2"/>
  <c r="BT13" i="2"/>
  <c r="BS13" i="2"/>
  <c r="BR13" i="2"/>
  <c r="BQ13" i="2"/>
  <c r="CF13" i="2" s="1"/>
  <c r="CB12" i="2"/>
  <c r="CA12" i="2"/>
  <c r="BZ12" i="2"/>
  <c r="BZ29" i="2" s="1"/>
  <c r="BY12" i="2"/>
  <c r="BX12" i="2"/>
  <c r="BW12" i="2"/>
  <c r="BV12" i="2"/>
  <c r="BU12" i="2"/>
  <c r="BU29" i="2" s="1"/>
  <c r="BT12" i="2"/>
  <c r="BS12" i="2"/>
  <c r="BR12" i="2"/>
  <c r="CG12" i="2" s="1"/>
  <c r="CH12" i="2"/>
  <c r="BQ12" i="2"/>
  <c r="Z55" i="2"/>
  <c r="Z52" i="2"/>
  <c r="Z56" i="2" s="1"/>
  <c r="AI44" i="2"/>
  <c r="AG44" i="2"/>
  <c r="AG42" i="2"/>
  <c r="AI42" i="2" s="1"/>
  <c r="AI38" i="2"/>
  <c r="AL37" i="2"/>
  <c r="AY37" i="2" s="1"/>
  <c r="BN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X36" i="2"/>
  <c r="T36" i="2"/>
  <c r="AH36" i="2" s="1"/>
  <c r="AY35" i="2"/>
  <c r="AF35" i="2"/>
  <c r="AF36" i="2" s="1"/>
  <c r="AE35" i="2"/>
  <c r="AD35" i="2"/>
  <c r="AC35" i="2"/>
  <c r="AB35" i="2"/>
  <c r="AB36" i="2" s="1"/>
  <c r="AY34" i="2"/>
  <c r="AD36" i="2"/>
  <c r="AA36" i="2"/>
  <c r="Z36" i="2"/>
  <c r="W36" i="2"/>
  <c r="V36" i="2"/>
  <c r="AI33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C29" i="2"/>
  <c r="Q29" i="2"/>
  <c r="Q39" i="2" s="1"/>
  <c r="P29" i="2"/>
  <c r="P39" i="2" s="1"/>
  <c r="O29" i="2"/>
  <c r="O39" i="2" s="1"/>
  <c r="N29" i="2"/>
  <c r="N39" i="2" s="1"/>
  <c r="M29" i="2"/>
  <c r="M39" i="2" s="1"/>
  <c r="L29" i="2"/>
  <c r="L39" i="2" s="1"/>
  <c r="K29" i="2"/>
  <c r="K39" i="2" s="1"/>
  <c r="J29" i="2"/>
  <c r="J39" i="2" s="1"/>
  <c r="I29" i="2"/>
  <c r="I39" i="2" s="1"/>
  <c r="H29" i="2"/>
  <c r="H39" i="2" s="1"/>
  <c r="G29" i="2"/>
  <c r="G39" i="2" s="1"/>
  <c r="F29" i="2"/>
  <c r="F39" i="2" s="1"/>
  <c r="E29" i="2"/>
  <c r="E39" i="2" s="1"/>
  <c r="D29" i="2"/>
  <c r="D39" i="2" s="1"/>
  <c r="C29" i="2"/>
  <c r="C39" i="2" s="1"/>
  <c r="C40" i="2" s="1"/>
  <c r="BN28" i="2"/>
  <c r="AH28" i="2"/>
  <c r="BN27" i="2"/>
  <c r="BN26" i="2"/>
  <c r="AY26" i="2"/>
  <c r="BN25" i="2"/>
  <c r="BN23" i="2"/>
  <c r="AY23" i="2"/>
  <c r="AI23" i="2"/>
  <c r="AJ23" i="2" s="1"/>
  <c r="CH22" i="2"/>
  <c r="AY22" i="2"/>
  <c r="S29" i="2"/>
  <c r="S39" i="2" s="1"/>
  <c r="CH21" i="2"/>
  <c r="BN21" i="2"/>
  <c r="AH21" i="2"/>
  <c r="AI21" i="2"/>
  <c r="AJ21" i="2" s="1"/>
  <c r="CH20" i="2"/>
  <c r="BN20" i="2"/>
  <c r="AJ20" i="2"/>
  <c r="AI20" i="2"/>
  <c r="AH20" i="2"/>
  <c r="CG19" i="2"/>
  <c r="BN19" i="2"/>
  <c r="AY19" i="2"/>
  <c r="AH19" i="2"/>
  <c r="CG18" i="2"/>
  <c r="BN18" i="2"/>
  <c r="AY18" i="2"/>
  <c r="AI18" i="2"/>
  <c r="AH18" i="2"/>
  <c r="CG17" i="2"/>
  <c r="BN17" i="2"/>
  <c r="AY17" i="2"/>
  <c r="AI17" i="2"/>
  <c r="AH17" i="2"/>
  <c r="BN16" i="2"/>
  <c r="AY16" i="2"/>
  <c r="AI16" i="2"/>
  <c r="AH16" i="2"/>
  <c r="BN15" i="2"/>
  <c r="AY28" i="2"/>
  <c r="CH14" i="2"/>
  <c r="BN14" i="2"/>
  <c r="AY14" i="2"/>
  <c r="AI14" i="2"/>
  <c r="AH14" i="2"/>
  <c r="CH13" i="2"/>
  <c r="CG13" i="2"/>
  <c r="BN13" i="2"/>
  <c r="AY13" i="2"/>
  <c r="AI13" i="2"/>
  <c r="AH13" i="2"/>
  <c r="CF12" i="2"/>
  <c r="BL29" i="2"/>
  <c r="BK29" i="2"/>
  <c r="BH29" i="2"/>
  <c r="BD29" i="2"/>
  <c r="AW29" i="2"/>
  <c r="AU29" i="2"/>
  <c r="AT29" i="2"/>
  <c r="AS29" i="2"/>
  <c r="AQ29" i="2"/>
  <c r="AP29" i="2"/>
  <c r="AO29" i="2"/>
  <c r="AM29" i="2"/>
  <c r="AL29" i="2"/>
  <c r="AF29" i="2"/>
  <c r="AB29" i="2"/>
  <c r="AA29" i="2"/>
  <c r="X29" i="2"/>
  <c r="W29" i="2"/>
  <c r="T29" i="2"/>
  <c r="AH12" i="2"/>
  <c r="BF10" i="2"/>
  <c r="BE10" i="2"/>
  <c r="BD10" i="2"/>
  <c r="BC10" i="2"/>
  <c r="BB10" i="2"/>
  <c r="BA10" i="2"/>
  <c r="AW10" i="2"/>
  <c r="AV10" i="2"/>
  <c r="AU10" i="2"/>
  <c r="AU31" i="2" s="1"/>
  <c r="AT10" i="2"/>
  <c r="AS10" i="2"/>
  <c r="AQ10" i="2"/>
  <c r="AO10" i="2"/>
  <c r="AN10" i="2"/>
  <c r="AM10" i="2"/>
  <c r="AL10" i="2"/>
  <c r="AH10" i="2"/>
  <c r="Z10" i="2"/>
  <c r="Y10" i="2"/>
  <c r="X10" i="2"/>
  <c r="W10" i="2"/>
  <c r="V10" i="2"/>
  <c r="U10" i="2"/>
  <c r="BN9" i="2"/>
  <c r="BW8" i="2"/>
  <c r="BN8" i="2"/>
  <c r="AY8" i="2"/>
  <c r="AF8" i="2"/>
  <c r="AF10" i="2" s="1"/>
  <c r="AE8" i="2"/>
  <c r="AE10" i="2" s="1"/>
  <c r="AD8" i="2"/>
  <c r="AD10" i="2" s="1"/>
  <c r="AC8" i="2"/>
  <c r="AB8" i="2"/>
  <c r="AB10" i="2" s="1"/>
  <c r="AA8" i="2"/>
  <c r="AA10" i="2" s="1"/>
  <c r="CB7" i="2"/>
  <c r="CA7" i="2"/>
  <c r="BZ7" i="2"/>
  <c r="BY7" i="2"/>
  <c r="BX7" i="2"/>
  <c r="BW7" i="2"/>
  <c r="BW10" i="2" s="1"/>
  <c r="BV7" i="2"/>
  <c r="BV10" i="2" s="1"/>
  <c r="BU7" i="2"/>
  <c r="BT7" i="2"/>
  <c r="BS7" i="2"/>
  <c r="BS10" i="2" s="1"/>
  <c r="CD6" i="2"/>
  <c r="BU10" i="2"/>
  <c r="BT10" i="2"/>
  <c r="BR10" i="2"/>
  <c r="BQ10" i="2"/>
  <c r="BL10" i="2"/>
  <c r="BK10" i="2"/>
  <c r="BJ10" i="2"/>
  <c r="BN5" i="2"/>
  <c r="BN10" i="2" s="1"/>
  <c r="BH10" i="2"/>
  <c r="BG10" i="2"/>
  <c r="AP5" i="2"/>
  <c r="AP10" i="2" s="1"/>
  <c r="AC5" i="2"/>
  <c r="AI5" i="2" s="1"/>
  <c r="AI8" i="2" l="1"/>
  <c r="AM31" i="2"/>
  <c r="AC10" i="2"/>
  <c r="AQ31" i="2"/>
  <c r="CD7" i="2"/>
  <c r="AY36" i="2"/>
  <c r="CD18" i="2"/>
  <c r="CD21" i="2"/>
  <c r="CD14" i="2"/>
  <c r="BU31" i="2"/>
  <c r="BS29" i="2"/>
  <c r="BS31" i="2" s="1"/>
  <c r="BT29" i="2"/>
  <c r="BT31" i="2" s="1"/>
  <c r="AP39" i="2"/>
  <c r="AP31" i="2"/>
  <c r="AE29" i="2"/>
  <c r="BW29" i="2"/>
  <c r="BW31" i="2" s="1"/>
  <c r="CD17" i="2"/>
  <c r="AJ16" i="2"/>
  <c r="BK31" i="2"/>
  <c r="AA39" i="2"/>
  <c r="AA31" i="2"/>
  <c r="AE31" i="2"/>
  <c r="CD13" i="2"/>
  <c r="AJ17" i="2"/>
  <c r="AJ18" i="2"/>
  <c r="BH39" i="2"/>
  <c r="BH31" i="2"/>
  <c r="BL39" i="2"/>
  <c r="BL31" i="2"/>
  <c r="BX10" i="2"/>
  <c r="AB39" i="2"/>
  <c r="AB31" i="2"/>
  <c r="AF31" i="2"/>
  <c r="AI10" i="2"/>
  <c r="BY29" i="2"/>
  <c r="AJ13" i="2"/>
  <c r="AJ14" i="2"/>
  <c r="CD15" i="2"/>
  <c r="CD16" i="2"/>
  <c r="BI10" i="2"/>
  <c r="AY12" i="2"/>
  <c r="AM39" i="2"/>
  <c r="AY5" i="2"/>
  <c r="AY10" i="2" s="1"/>
  <c r="CD5" i="2"/>
  <c r="BX8" i="2"/>
  <c r="BY8" i="2" s="1"/>
  <c r="BZ8" i="2" s="1"/>
  <c r="CA8" i="2" s="1"/>
  <c r="CB8" i="2" s="1"/>
  <c r="CB10" i="2" s="1"/>
  <c r="AR10" i="2"/>
  <c r="U29" i="2"/>
  <c r="U31" i="2" s="1"/>
  <c r="BA29" i="2"/>
  <c r="BA31" i="2" s="1"/>
  <c r="BE29" i="2"/>
  <c r="BE39" i="2" s="1"/>
  <c r="BI29" i="2"/>
  <c r="BN12" i="2"/>
  <c r="AY20" i="2"/>
  <c r="BV29" i="2"/>
  <c r="BV31" i="2" s="1"/>
  <c r="AY25" i="2"/>
  <c r="BG29" i="2"/>
  <c r="BG31" i="2" s="1"/>
  <c r="AI34" i="2"/>
  <c r="AJ36" i="2" s="1"/>
  <c r="U36" i="2"/>
  <c r="Y29" i="2"/>
  <c r="Y36" i="2"/>
  <c r="AC29" i="2"/>
  <c r="AC36" i="2"/>
  <c r="AI35" i="2"/>
  <c r="AQ39" i="2"/>
  <c r="BE31" i="2"/>
  <c r="W39" i="2"/>
  <c r="W31" i="2"/>
  <c r="AO39" i="2"/>
  <c r="AO31" i="2"/>
  <c r="AS39" i="2"/>
  <c r="AS31" i="2"/>
  <c r="AW39" i="2"/>
  <c r="AW31" i="2"/>
  <c r="BC39" i="2"/>
  <c r="BC31" i="2"/>
  <c r="R29" i="2"/>
  <c r="R39" i="2" s="1"/>
  <c r="V29" i="2"/>
  <c r="V31" i="2" s="1"/>
  <c r="Z29" i="2"/>
  <c r="Z39" i="2" s="1"/>
  <c r="AD29" i="2"/>
  <c r="AD39" i="2" s="1"/>
  <c r="AI12" i="2"/>
  <c r="AJ12" i="2" s="1"/>
  <c r="AN29" i="2"/>
  <c r="AN31" i="2" s="1"/>
  <c r="AR29" i="2"/>
  <c r="AV29" i="2"/>
  <c r="AV31" i="2" s="1"/>
  <c r="BB29" i="2"/>
  <c r="BB39" i="2" s="1"/>
  <c r="BF29" i="2"/>
  <c r="BF31" i="2" s="1"/>
  <c r="BJ29" i="2"/>
  <c r="BJ39" i="2" s="1"/>
  <c r="CA29" i="2"/>
  <c r="R31" i="2"/>
  <c r="AY15" i="2"/>
  <c r="CD19" i="2"/>
  <c r="AY21" i="2"/>
  <c r="BR29" i="2"/>
  <c r="BR31" i="2" s="1"/>
  <c r="CD26" i="2"/>
  <c r="D40" i="2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AU39" i="2"/>
  <c r="T39" i="2"/>
  <c r="T31" i="2"/>
  <c r="X39" i="2"/>
  <c r="X31" i="2"/>
  <c r="AL39" i="2"/>
  <c r="AL40" i="2" s="1"/>
  <c r="AL31" i="2"/>
  <c r="AT39" i="2"/>
  <c r="AT31" i="2"/>
  <c r="BD39" i="2"/>
  <c r="BD31" i="2"/>
  <c r="BX29" i="2"/>
  <c r="CB29" i="2"/>
  <c r="S31" i="2"/>
  <c r="AI19" i="2"/>
  <c r="AJ19" i="2" s="1"/>
  <c r="CD20" i="2"/>
  <c r="AH22" i="2"/>
  <c r="BN22" i="2"/>
  <c r="CD22" i="2"/>
  <c r="CD27" i="2"/>
  <c r="AH29" i="2"/>
  <c r="AH39" i="2" s="1"/>
  <c r="AH41" i="2" s="1"/>
  <c r="BQ29" i="2"/>
  <c r="BQ31" i="2" s="1"/>
  <c r="AE36" i="2"/>
  <c r="AE39" i="2" s="1"/>
  <c r="AH31" i="2" l="1"/>
  <c r="BY10" i="2"/>
  <c r="AD31" i="2"/>
  <c r="CB31" i="2"/>
  <c r="BB31" i="2"/>
  <c r="BX31" i="2"/>
  <c r="BG39" i="2"/>
  <c r="BB40" i="2"/>
  <c r="BC40" i="2" s="1"/>
  <c r="BD40" i="2" s="1"/>
  <c r="BE40" i="2" s="1"/>
  <c r="AC39" i="2"/>
  <c r="AC31" i="2"/>
  <c r="Y31" i="2"/>
  <c r="Y39" i="2"/>
  <c r="AI36" i="2"/>
  <c r="BF39" i="2"/>
  <c r="AN39" i="2"/>
  <c r="V39" i="2"/>
  <c r="AI29" i="2"/>
  <c r="AJ29" i="2" s="1"/>
  <c r="BA39" i="2"/>
  <c r="BA40" i="2" s="1"/>
  <c r="AI22" i="2"/>
  <c r="AJ22" i="2" s="1"/>
  <c r="R40" i="2"/>
  <c r="S40" i="2" s="1"/>
  <c r="T40" i="2" s="1"/>
  <c r="BN29" i="2"/>
  <c r="BN31" i="2" s="1"/>
  <c r="Z31" i="2"/>
  <c r="U39" i="2"/>
  <c r="U40" i="2" s="1"/>
  <c r="BI31" i="2"/>
  <c r="BI39" i="2"/>
  <c r="CD8" i="2"/>
  <c r="CD10" i="2" s="1"/>
  <c r="BJ31" i="2"/>
  <c r="AM40" i="2"/>
  <c r="AV39" i="2"/>
  <c r="AI37" i="2"/>
  <c r="AF37" i="2" s="1"/>
  <c r="AF39" i="2" s="1"/>
  <c r="AJ10" i="2"/>
  <c r="CA10" i="2"/>
  <c r="CA31" i="2" s="1"/>
  <c r="BZ10" i="2"/>
  <c r="BZ31" i="2" s="1"/>
  <c r="AR39" i="2"/>
  <c r="AR31" i="2"/>
  <c r="AY29" i="2"/>
  <c r="AY31" i="2" s="1"/>
  <c r="AY39" i="2" s="1"/>
  <c r="AI31" i="2"/>
  <c r="BY31" i="2"/>
  <c r="CD12" i="2"/>
  <c r="CD29" i="2" s="1"/>
  <c r="BO29" i="2" s="1"/>
  <c r="BO30" i="2" s="1"/>
  <c r="AN40" i="2" l="1"/>
  <c r="AO40" i="2" s="1"/>
  <c r="AP40" i="2" s="1"/>
  <c r="AQ40" i="2" s="1"/>
  <c r="AR40" i="2" s="1"/>
  <c r="AS40" i="2" s="1"/>
  <c r="AT40" i="2" s="1"/>
  <c r="AU40" i="2" s="1"/>
  <c r="AV40" i="2" s="1"/>
  <c r="AW40" i="2" s="1"/>
  <c r="CD31" i="2"/>
  <c r="CD37" i="2" s="1"/>
  <c r="BF40" i="2"/>
  <c r="BG40" i="2" s="1"/>
  <c r="BH40" i="2" s="1"/>
  <c r="BI40" i="2" s="1"/>
  <c r="BJ40" i="2" s="1"/>
  <c r="BK37" i="2"/>
  <c r="BN32" i="2"/>
  <c r="BN52" i="2"/>
  <c r="Y40" i="2"/>
  <c r="Z40" i="2" s="1"/>
  <c r="AA40" i="2" s="1"/>
  <c r="AB40" i="2" s="1"/>
  <c r="AC40" i="2" s="1"/>
  <c r="AD40" i="2" s="1"/>
  <c r="AE40" i="2" s="1"/>
  <c r="AF40" i="2" s="1"/>
  <c r="V40" i="2"/>
  <c r="W40" i="2" s="1"/>
  <c r="X40" i="2" s="1"/>
  <c r="AI39" i="2"/>
  <c r="CE31" i="2" l="1"/>
  <c r="AI40" i="2"/>
  <c r="AJ39" i="2"/>
  <c r="AI41" i="2"/>
  <c r="BN37" i="2"/>
  <c r="BN39" i="2" s="1"/>
  <c r="BN50" i="2" s="1"/>
  <c r="BN54" i="2" s="1"/>
  <c r="BK39" i="2"/>
  <c r="BK40" i="2" s="1"/>
  <c r="BL40" i="2" s="1"/>
  <c r="AI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X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Chimeno</t>
        </r>
      </text>
    </comment>
    <comment ref="Y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Kura</t>
        </r>
      </text>
    </comment>
    <comment ref="Z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Foi terruños</t>
        </r>
      </text>
    </comment>
    <comment ref="AA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Vdos Don Antonio</t>
        </r>
      </text>
    </comment>
    <comment ref="AF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Remonta</t>
        </r>
      </text>
    </comment>
    <comment ref="AP2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Kura</t>
        </r>
      </text>
    </comment>
    <comment ref="AR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Vdos Don Antonio</t>
        </r>
      </text>
    </comment>
    <comment ref="AS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Remonta</t>
        </r>
      </text>
    </comment>
    <comment ref="AD3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$290.000 Kangoo
</t>
        </r>
      </text>
    </comment>
    <comment ref="AO3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 postes $200.000 fact
</t>
        </r>
      </text>
    </comment>
    <comment ref="AQ3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fact riego $900.000
</t>
        </r>
      </text>
    </comment>
  </commentList>
</comments>
</file>

<file path=xl/sharedStrings.xml><?xml version="1.0" encoding="utf-8"?>
<sst xmlns="http://schemas.openxmlformats.org/spreadsheetml/2006/main" count="126" uniqueCount="73">
  <si>
    <t>PRESUPUESTO ECONOMICO 2019</t>
  </si>
  <si>
    <t>Variacion dólar mensual</t>
  </si>
  <si>
    <t>DATOS REALES</t>
  </si>
  <si>
    <t>DATOS PRESUPUESTADOS</t>
  </si>
  <si>
    <t>TC Dólar</t>
  </si>
  <si>
    <t>Año</t>
  </si>
  <si>
    <t>Inflación proyectada</t>
  </si>
  <si>
    <t>Inflación 2020</t>
  </si>
  <si>
    <t>Mes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</si>
  <si>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</si>
  <si>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</si>
  <si>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</si>
  <si>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</si>
  <si>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</si>
  <si>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</si>
  <si>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</si>
  <si>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</si>
  <si>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</si>
  <si>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</si>
  <si>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</si>
  <si>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</si>
  <si>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sep</t>
  </si>
  <si>
    <t>oct</t>
  </si>
  <si>
    <t>ANUAL</t>
  </si>
  <si>
    <t>Vta Nac</t>
  </si>
  <si>
    <t>Vta Exterior</t>
  </si>
  <si>
    <t>Vino a Granel</t>
  </si>
  <si>
    <t>Venta de UVA</t>
  </si>
  <si>
    <t>Diferencia de cambio</t>
  </si>
  <si>
    <t>Total ingreso</t>
  </si>
  <si>
    <t>Administracion</t>
  </si>
  <si>
    <t>Bodega</t>
  </si>
  <si>
    <t>Comercializacion</t>
  </si>
  <si>
    <t>Distribuidora</t>
  </si>
  <si>
    <t>Financiero</t>
  </si>
  <si>
    <t>Finca</t>
  </si>
  <si>
    <t>Logistica</t>
  </si>
  <si>
    <t>Marketing</t>
  </si>
  <si>
    <t>Rancho</t>
  </si>
  <si>
    <t>Turismo</t>
  </si>
  <si>
    <t>Insumos</t>
  </si>
  <si>
    <t>Compra UVA</t>
  </si>
  <si>
    <t>Elaboración Viñedos</t>
  </si>
  <si>
    <t>Derechos de exportación</t>
  </si>
  <si>
    <t>Insumos enológicos</t>
  </si>
  <si>
    <t xml:space="preserve">Diferencia Alquiler </t>
  </si>
  <si>
    <t>Costo distribución</t>
  </si>
  <si>
    <t>Total Erogaciones</t>
  </si>
  <si>
    <t>Rdo Neto</t>
  </si>
  <si>
    <t>Inversión en vinos</t>
  </si>
  <si>
    <t>Barricas y otros</t>
  </si>
  <si>
    <t>Renovación viñedos</t>
  </si>
  <si>
    <t>Inversiones</t>
  </si>
  <si>
    <t>Impuesto Ganancias</t>
  </si>
  <si>
    <t>Recupero IG</t>
  </si>
  <si>
    <t>Perdida / Ganancia</t>
  </si>
  <si>
    <t>Acumulado</t>
  </si>
  <si>
    <t>T. Cambio</t>
  </si>
  <si>
    <t>Caja Promedio Expo</t>
  </si>
  <si>
    <t>Caja Promedio Ars</t>
  </si>
  <si>
    <t>% Expo</t>
  </si>
  <si>
    <t>% Locales</t>
  </si>
  <si>
    <t>Cj. Exportación</t>
  </si>
  <si>
    <t>Cj. Locales</t>
  </si>
  <si>
    <t>Total Caja x 12 Ars</t>
  </si>
  <si>
    <t>Resulado en USD</t>
  </si>
  <si>
    <t>Kg ingresados</t>
  </si>
  <si>
    <t>Rdo USD sin compra UVA VDDA</t>
  </si>
  <si>
    <t>Litros elaborados</t>
  </si>
  <si>
    <t>Diferencia</t>
  </si>
  <si>
    <t>Cajas vendidas</t>
  </si>
  <si>
    <t>Litros vendidos</t>
  </si>
  <si>
    <t>Litros invertidos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</si>
</sst>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 * #,##0.00_ ;_ * \-#,##0.00_ ;_ * &quot;-&quot;??_ ;_ @_ "/>
    <numFmt numFmtId="166" formatCode="_ * #,##0_ ;_ * \-#,##0_ ;_ * &quot;-&quot;??_ ;_ @_ "/>
    <numFmt numFmtId="167" formatCode="_ &quot;$&quot;\ * #,##0_ ;_ &quot;$&quot;\ * \-#,##0_ ;_ &quot;$&quot;\ * &quot;-&quot;??_ ;_ @_ "/>
    <numFmt numFmtId="168" formatCode="_ &quot;$&quot;\ * #,##0.00_ ;_ &quot;$&quot;\ * \-#,##0.00_ ;_ &quot;$&quot;\ * &quot;-&quot;??_ ;_ @_ "/>
    <numFmt numFmtId="169" formatCode="_ [$USD]\ * #,##0.00_ ;_ [$USD]\ * \-#,##0.00_ ;_ [$USD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3" applyFont="1"/>
    <xf numFmtId="0" fontId="3" fillId="0" borderId="0" xfId="3"/>
    <xf numFmtId="0" fontId="8" fillId="0" borderId="0" xfId="3" applyFont="1" applyFill="1"/>
    <xf numFmtId="166" fontId="8" fillId="0" borderId="0" xfId="5" applyNumberFormat="1" applyFont="1" applyFill="1"/>
    <xf numFmtId="0" fontId="8" fillId="0" borderId="0" xfId="3" applyFont="1" applyFill="1" applyAlignment="1">
      <alignment horizontal="center"/>
    </xf>
    <xf numFmtId="0" fontId="9" fillId="0" borderId="0" xfId="3" applyFont="1" applyFill="1"/>
    <xf numFmtId="0" fontId="7" fillId="0" borderId="0" xfId="3" applyFont="1" applyFill="1"/>
    <xf numFmtId="0" fontId="8" fillId="0" borderId="18" xfId="3" applyFont="1" applyFill="1" applyBorder="1"/>
    <xf numFmtId="166" fontId="8" fillId="0" borderId="19" xfId="5" applyNumberFormat="1" applyFont="1" applyFill="1" applyBorder="1"/>
    <xf numFmtId="0" fontId="8" fillId="0" borderId="17" xfId="3" applyFont="1" applyFill="1" applyBorder="1"/>
    <xf numFmtId="0" fontId="10" fillId="0" borderId="0" xfId="3" applyFont="1" applyFill="1"/>
    <xf numFmtId="0" fontId="11" fillId="0" borderId="0" xfId="3" applyFont="1" applyFill="1"/>
    <xf numFmtId="0" fontId="12" fillId="0" borderId="0" xfId="3" applyFont="1" applyFill="1"/>
    <xf numFmtId="14" fontId="13" fillId="0" borderId="0" xfId="3" applyNumberFormat="1" applyFont="1" applyFill="1"/>
    <xf numFmtId="0" fontId="14" fillId="0" borderId="0" xfId="3" applyFont="1"/>
    <xf numFmtId="0" fontId="13" fillId="0" borderId="1" xfId="1" applyFont="1" applyFill="1" applyBorder="1" applyAlignment="1"/>
    <xf numFmtId="0" fontId="13" fillId="0" borderId="2" xfId="1" applyFont="1" applyFill="1" applyBorder="1" applyAlignment="1"/>
    <xf numFmtId="0" fontId="13" fillId="0" borderId="3" xfId="1" applyFont="1" applyFill="1" applyBorder="1" applyAlignment="1"/>
    <xf numFmtId="0" fontId="13" fillId="0" borderId="0" xfId="1" applyFont="1" applyFill="1" applyBorder="1" applyAlignment="1">
      <alignment horizontal="center"/>
    </xf>
    <xf numFmtId="164" fontId="12" fillId="0" borderId="4" xfId="3" applyNumberFormat="1" applyFont="1" applyFill="1" applyBorder="1"/>
    <xf numFmtId="0" fontId="13" fillId="0" borderId="1" xfId="3" applyFont="1" applyFill="1" applyBorder="1" applyAlignment="1">
      <alignment horizontal="center"/>
    </xf>
    <xf numFmtId="0" fontId="13" fillId="0" borderId="2" xfId="3" applyFont="1" applyFill="1" applyBorder="1" applyAlignment="1">
      <alignment horizontal="center"/>
    </xf>
    <xf numFmtId="0" fontId="13" fillId="0" borderId="3" xfId="3" applyFont="1" applyFill="1" applyBorder="1" applyAlignment="1">
      <alignment horizontal="center"/>
    </xf>
    <xf numFmtId="0" fontId="13" fillId="0" borderId="1" xfId="3" applyFont="1" applyFill="1" applyBorder="1" applyAlignment="1">
      <alignment wrapText="1"/>
    </xf>
    <xf numFmtId="0" fontId="12" fillId="0" borderId="1" xfId="3" applyFont="1" applyFill="1" applyBorder="1"/>
    <xf numFmtId="0" fontId="12" fillId="0" borderId="3" xfId="3" applyFont="1" applyFill="1" applyBorder="1"/>
    <xf numFmtId="0" fontId="12" fillId="0" borderId="0" xfId="3" applyFont="1" applyFill="1" applyBorder="1"/>
    <xf numFmtId="0" fontId="12" fillId="0" borderId="5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6" xfId="1" applyFont="1" applyFill="1" applyBorder="1" applyAlignment="1">
      <alignment horizontal="center"/>
    </xf>
    <xf numFmtId="0" fontId="12" fillId="0" borderId="0" xfId="3" applyFont="1" applyFill="1" applyAlignment="1">
      <alignment horizontal="center"/>
    </xf>
    <xf numFmtId="0" fontId="15" fillId="0" borderId="7" xfId="2" applyFont="1" applyFill="1" applyBorder="1" applyAlignment="1">
      <alignment horizontal="center"/>
    </xf>
    <xf numFmtId="0" fontId="15" fillId="0" borderId="8" xfId="2" applyFont="1" applyFill="1" applyBorder="1" applyAlignment="1">
      <alignment horizontal="center"/>
    </xf>
    <xf numFmtId="9" fontId="12" fillId="0" borderId="0" xfId="3" applyNumberFormat="1" applyFont="1" applyFill="1" applyAlignment="1">
      <alignment horizontal="center"/>
    </xf>
    <xf numFmtId="0" fontId="13" fillId="0" borderId="6" xfId="1" applyFont="1" applyFill="1" applyBorder="1" applyAlignment="1">
      <alignment horizontal="center"/>
    </xf>
    <xf numFmtId="0" fontId="14" fillId="0" borderId="0" xfId="3" applyFont="1" applyAlignment="1">
      <alignment horizontal="center"/>
    </xf>
    <xf numFmtId="0" fontId="12" fillId="0" borderId="9" xfId="1" applyFont="1" applyFill="1" applyBorder="1" applyAlignment="1">
      <alignment horizontal="center"/>
    </xf>
    <xf numFmtId="0" fontId="12" fillId="0" borderId="10" xfId="1" applyFont="1" applyFill="1" applyBorder="1" applyAlignment="1">
      <alignment horizontal="center"/>
    </xf>
    <xf numFmtId="0" fontId="12" fillId="0" borderId="11" xfId="1" applyFont="1" applyFill="1" applyBorder="1" applyAlignment="1">
      <alignment horizontal="center"/>
    </xf>
    <xf numFmtId="0" fontId="15" fillId="0" borderId="12" xfId="2" applyFont="1" applyFill="1" applyBorder="1" applyAlignment="1">
      <alignment horizontal="center"/>
    </xf>
    <xf numFmtId="0" fontId="15" fillId="0" borderId="11" xfId="2" applyFont="1" applyFill="1" applyBorder="1" applyAlignment="1">
      <alignment horizontal="center"/>
    </xf>
    <xf numFmtId="0" fontId="13" fillId="0" borderId="11" xfId="1" applyFont="1" applyFill="1" applyBorder="1" applyAlignment="1">
      <alignment horizontal="center"/>
    </xf>
    <xf numFmtId="166" fontId="12" fillId="0" borderId="0" xfId="4" applyNumberFormat="1" applyFont="1" applyFill="1" applyBorder="1"/>
    <xf numFmtId="167" fontId="10" fillId="0" borderId="0" xfId="3" applyNumberFormat="1" applyFont="1" applyFill="1" applyBorder="1"/>
    <xf numFmtId="167" fontId="10" fillId="0" borderId="13" xfId="3" applyNumberFormat="1" applyFont="1" applyFill="1" applyBorder="1"/>
    <xf numFmtId="167" fontId="12" fillId="0" borderId="0" xfId="3" applyNumberFormat="1" applyFont="1" applyFill="1"/>
    <xf numFmtId="166" fontId="12" fillId="0" borderId="0" xfId="5" applyNumberFormat="1" applyFont="1" applyFill="1"/>
    <xf numFmtId="166" fontId="12" fillId="0" borderId="0" xfId="3" applyNumberFormat="1" applyFont="1" applyFill="1"/>
    <xf numFmtId="165" fontId="12" fillId="0" borderId="0" xfId="5" applyFont="1" applyFill="1"/>
    <xf numFmtId="0" fontId="16" fillId="0" borderId="13" xfId="3" applyFont="1" applyFill="1" applyBorder="1"/>
    <xf numFmtId="9" fontId="12" fillId="0" borderId="0" xfId="6" applyFont="1" applyFill="1"/>
    <xf numFmtId="3" fontId="11" fillId="0" borderId="0" xfId="3" applyNumberFormat="1" applyFont="1" applyFill="1"/>
    <xf numFmtId="3" fontId="12" fillId="0" borderId="0" xfId="3" applyNumberFormat="1" applyFont="1" applyFill="1"/>
    <xf numFmtId="3" fontId="10" fillId="0" borderId="14" xfId="3" applyNumberFormat="1" applyFont="1" applyFill="1" applyBorder="1"/>
    <xf numFmtId="0" fontId="13" fillId="0" borderId="0" xfId="3" applyFont="1" applyFill="1"/>
    <xf numFmtId="3" fontId="10" fillId="0" borderId="0" xfId="3" applyNumberFormat="1" applyFont="1" applyFill="1" applyBorder="1"/>
    <xf numFmtId="0" fontId="17" fillId="0" borderId="0" xfId="3" applyFont="1"/>
    <xf numFmtId="165" fontId="13" fillId="0" borderId="0" xfId="5" applyFont="1" applyFill="1"/>
    <xf numFmtId="9" fontId="12" fillId="0" borderId="0" xfId="6" applyNumberFormat="1" applyFont="1" applyFill="1"/>
    <xf numFmtId="3" fontId="11" fillId="0" borderId="0" xfId="3" applyNumberFormat="1" applyFont="1" applyFill="1" applyBorder="1"/>
    <xf numFmtId="166" fontId="13" fillId="0" borderId="0" xfId="5" applyNumberFormat="1" applyFont="1" applyFill="1"/>
    <xf numFmtId="10" fontId="12" fillId="0" borderId="0" xfId="6" applyNumberFormat="1" applyFont="1" applyFill="1"/>
    <xf numFmtId="0" fontId="18" fillId="0" borderId="13" xfId="3" applyFont="1" applyFill="1" applyBorder="1" applyAlignment="1">
      <alignment vertical="top"/>
    </xf>
    <xf numFmtId="168" fontId="11" fillId="0" borderId="13" xfId="7" applyFont="1" applyFill="1" applyBorder="1" applyAlignment="1">
      <alignment vertical="top"/>
    </xf>
    <xf numFmtId="165" fontId="11" fillId="0" borderId="13" xfId="5" applyFont="1" applyFill="1" applyBorder="1" applyAlignment="1">
      <alignment vertical="top"/>
    </xf>
    <xf numFmtId="165" fontId="11" fillId="0" borderId="0" xfId="5" applyFont="1" applyFill="1" applyBorder="1" applyAlignment="1">
      <alignment vertical="top"/>
    </xf>
    <xf numFmtId="168" fontId="12" fillId="0" borderId="0" xfId="3" applyNumberFormat="1" applyFont="1" applyFill="1"/>
    <xf numFmtId="0" fontId="18" fillId="0" borderId="15" xfId="3" applyFont="1" applyFill="1" applyBorder="1" applyAlignment="1">
      <alignment vertical="center"/>
    </xf>
    <xf numFmtId="169" fontId="10" fillId="0" borderId="15" xfId="3" applyNumberFormat="1" applyFont="1" applyFill="1" applyBorder="1" applyAlignment="1">
      <alignment vertical="center"/>
    </xf>
    <xf numFmtId="169" fontId="10" fillId="0" borderId="0" xfId="3" applyNumberFormat="1" applyFont="1" applyFill="1" applyBorder="1" applyAlignment="1">
      <alignment vertical="center"/>
    </xf>
    <xf numFmtId="0" fontId="10" fillId="0" borderId="13" xfId="3" applyFont="1" applyFill="1" applyBorder="1"/>
    <xf numFmtId="168" fontId="10" fillId="0" borderId="16" xfId="7" applyFont="1" applyFill="1" applyBorder="1"/>
    <xf numFmtId="168" fontId="10" fillId="0" borderId="0" xfId="7" applyFont="1" applyFill="1" applyBorder="1"/>
    <xf numFmtId="9" fontId="11" fillId="0" borderId="13" xfId="7" applyNumberFormat="1" applyFont="1" applyFill="1" applyBorder="1"/>
    <xf numFmtId="9" fontId="11" fillId="0" borderId="13" xfId="3" applyNumberFormat="1" applyFont="1" applyFill="1" applyBorder="1"/>
    <xf numFmtId="9" fontId="11" fillId="0" borderId="0" xfId="7" applyNumberFormat="1" applyFont="1" applyFill="1" applyBorder="1"/>
    <xf numFmtId="166" fontId="11" fillId="0" borderId="13" xfId="5" applyNumberFormat="1" applyFont="1" applyFill="1" applyBorder="1"/>
    <xf numFmtId="166" fontId="11" fillId="0" borderId="0" xfId="5" applyNumberFormat="1" applyFont="1" applyFill="1" applyBorder="1"/>
    <xf numFmtId="0" fontId="18" fillId="0" borderId="16" xfId="3" applyFont="1" applyFill="1" applyBorder="1"/>
    <xf numFmtId="167" fontId="10" fillId="0" borderId="16" xfId="7" applyNumberFormat="1" applyFont="1" applyFill="1" applyBorder="1"/>
    <xf numFmtId="167" fontId="10" fillId="0" borderId="0" xfId="7" applyNumberFormat="1" applyFont="1" applyFill="1" applyBorder="1"/>
    <xf numFmtId="0" fontId="11" fillId="0" borderId="17" xfId="3" applyFont="1" applyFill="1" applyBorder="1"/>
    <xf numFmtId="0" fontId="11" fillId="0" borderId="18" xfId="3" applyFont="1" applyFill="1" applyBorder="1"/>
    <xf numFmtId="0" fontId="12" fillId="0" borderId="18" xfId="3" applyFont="1" applyFill="1" applyBorder="1"/>
    <xf numFmtId="166" fontId="12" fillId="0" borderId="19" xfId="5" applyNumberFormat="1" applyFont="1" applyFill="1" applyBorder="1"/>
    <xf numFmtId="166" fontId="12" fillId="0" borderId="0" xfId="5" applyNumberFormat="1" applyFont="1" applyFill="1" applyBorder="1"/>
    <xf numFmtId="166" fontId="12" fillId="0" borderId="18" xfId="5" applyNumberFormat="1" applyFont="1" applyFill="1" applyBorder="1"/>
    <xf numFmtId="167" fontId="12" fillId="0" borderId="19" xfId="3" applyNumberFormat="1" applyFont="1" applyFill="1" applyBorder="1"/>
    <xf numFmtId="167" fontId="12" fillId="0" borderId="0" xfId="3" applyNumberFormat="1" applyFont="1" applyFill="1" applyBorder="1"/>
  </cellXfs>
  <cellStyles count="8">
    <cellStyle name="Énfasis1" xfId="1" builtinId="29"/>
    <cellStyle name="Énfasis3" xfId="2" builtinId="37"/>
    <cellStyle name="Millares 2" xfId="4" xr:uid="{00000000-0005-0000-0000-000002000000}"/>
    <cellStyle name="Millares 3" xfId="5" xr:uid="{00000000-0005-0000-0000-000003000000}"/>
    <cellStyle name="Moneda 2" xfId="7" xr:uid="{00000000-0005-0000-0000-000004000000}"/>
    <cellStyle name="Normal" xfId="0" builtinId="0"/>
    <cellStyle name="Normal 2" xfId="3" xr:uid="{00000000-0005-0000-0000-000006000000}"/>
    <cellStyle name="Porcentaje 2" xfId="6" xr:uid="{00000000-0005-0000-0000-000007000000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abilidad\Bodegas\EBITDA\ebitda\2020\EBITDA%2012-2020\Gastos%20x%20Ceco%20-DIC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ryec."/>
      <sheetName val="Pryec. (2)"/>
      <sheetName val="TOTAL 2020"/>
      <sheetName val="E. Rdos Proyec"/>
      <sheetName val="Fraccionamiento"/>
      <sheetName val="Costo 11-2019"/>
      <sheetName val="Proyectado"/>
      <sheetName val="Proy Bce"/>
      <sheetName val="C.Fijos"/>
      <sheetName val="Hoja3"/>
      <sheetName val="C.Var"/>
      <sheetName val="Total 2019"/>
      <sheetName val="Cobranzas Ext"/>
      <sheetName val="Lista Precios"/>
      <sheetName val="Compra UVA 2019"/>
      <sheetName val="Estimac Distrib Ventas -costos"/>
      <sheetName val="Total 2018"/>
      <sheetName val="Ch Grand cru y cobranzas"/>
      <sheetName val="UVA 2018"/>
      <sheetName val="Ingreso UVA"/>
      <sheetName val="Compra UVA"/>
      <sheetName val="et -frr"/>
      <sheetName val="Total 2017"/>
      <sheetName val="Ventas s. Sueldos"/>
      <sheetName val="Proyección de ventas"/>
      <sheetName val="Hoja2"/>
      <sheetName val="Eq Cj x 12"/>
      <sheetName val="Ranking"/>
      <sheetName val="Proyecc Financiera"/>
      <sheetName val="E. Resultado (2)"/>
      <sheetName val="Gtos Comparativo"/>
      <sheetName val="Financiero"/>
      <sheetName val="Total 2016"/>
      <sheetName val="Total 2015-16"/>
      <sheetName val="Comparativo an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5">
          <cell r="B75" t="str">
            <v>Financiero</v>
          </cell>
        </row>
        <row r="76">
          <cell r="B76" t="str">
            <v>Bodega</v>
          </cell>
        </row>
        <row r="77">
          <cell r="B77" t="str">
            <v>Finca</v>
          </cell>
        </row>
        <row r="78">
          <cell r="B78" t="str">
            <v>Comercializacion</v>
          </cell>
        </row>
        <row r="79">
          <cell r="B79" t="str">
            <v>Logistica</v>
          </cell>
        </row>
        <row r="80">
          <cell r="B80" t="str">
            <v>Administracion</v>
          </cell>
        </row>
        <row r="81">
          <cell r="B81" t="str">
            <v>Turismo</v>
          </cell>
        </row>
        <row r="82">
          <cell r="B82" t="str">
            <v>Marketing</v>
          </cell>
        </row>
        <row r="83">
          <cell r="B83" t="str">
            <v>Rancho</v>
          </cell>
        </row>
        <row r="84">
          <cell r="B84" t="str">
            <v>Insumos Secos</v>
          </cell>
        </row>
        <row r="85">
          <cell r="B85" t="str">
            <v>Insumos Secos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CK66"/>
  <sheetViews>
    <sheetView showGridLines="0" tabSelected="1" zoomScaleNormal="100" workbookViewId="0">
      <pane xSplit="2" ySplit="11" topLeftCell="C37" activePane="bottomRight" state="frozen"/>
      <selection pane="topRight" activeCell="C1" sqref="C1"/>
      <selection pane="bottomLeft" activeCell="A11" sqref="A11"/>
      <selection pane="bottomRight" activeCell="E6" sqref="E6"/>
    </sheetView>
  </sheetViews>
  <sheetFormatPr baseColWidth="10" defaultRowHeight="12.75" outlineLevelCol="1" x14ac:dyDescent="0.2"/>
  <cols>
    <col min="1" max="1" width="0.85546875" style="2" customWidth="1"/>
    <col min="2" max="2" width="15.140625" style="1" bestFit="1" customWidth="1"/>
    <col min="3" max="3" width="12.42578125" style="1" customWidth="1" outlineLevel="1"/>
    <col min="4" max="5" width="12.7109375" style="1" customWidth="1" outlineLevel="1"/>
    <col min="6" max="6" width="13.5703125" style="1" customWidth="1" outlineLevel="1"/>
    <col min="7" max="7" width="12.7109375" style="1" customWidth="1" outlineLevel="1"/>
    <col min="8" max="8" width="13" style="2" customWidth="1" outlineLevel="1"/>
    <col min="9" max="9" width="12.7109375" style="2" customWidth="1" outlineLevel="1"/>
    <col min="10" max="13" width="13" style="2" customWidth="1" outlineLevel="1"/>
    <col min="14" max="14" width="13.5703125" style="2" customWidth="1" outlineLevel="1"/>
    <col min="15" max="15" width="12.7109375" style="2" customWidth="1" outlineLevel="1"/>
    <col min="16" max="16" width="13" style="2" customWidth="1" outlineLevel="1"/>
    <col min="17" max="17" width="12.7109375" style="2" customWidth="1" outlineLevel="1"/>
    <col min="18" max="19" width="13.5703125" style="2" customWidth="1" outlineLevel="1"/>
    <col min="20" max="21" width="9.5703125" style="2" customWidth="1" outlineLevel="1"/>
    <col min="22" max="22" width="10" style="2" customWidth="1" outlineLevel="1"/>
    <col min="23" max="23" width="9.5703125" style="2" customWidth="1" outlineLevel="1"/>
    <col min="24" max="24" width="10.42578125" style="2" customWidth="1" outlineLevel="1"/>
    <col min="25" max="25" width="9.5703125" style="2" customWidth="1" outlineLevel="1"/>
    <col min="26" max="26" width="12.140625" style="2" customWidth="1" outlineLevel="1"/>
    <col min="27" max="27" width="10.7109375" style="2" customWidth="1" outlineLevel="1"/>
    <col min="28" max="28" width="10" style="2" customWidth="1" outlineLevel="1"/>
    <col min="29" max="29" width="10.42578125" style="2" customWidth="1" outlineLevel="1"/>
    <col min="30" max="30" width="12.42578125" style="2" customWidth="1" outlineLevel="1"/>
    <col min="31" max="31" width="10" style="2" customWidth="1" outlineLevel="1"/>
    <col min="32" max="32" width="10.42578125" style="2" customWidth="1" outlineLevel="1"/>
    <col min="33" max="33" width="5.140625" style="2" customWidth="1" outlineLevel="1"/>
    <col min="34" max="35" width="10.42578125" style="2" customWidth="1"/>
    <col min="36" max="36" width="5.85546875" style="2" customWidth="1"/>
    <col min="37" max="37" width="4.7109375" style="2" customWidth="1"/>
    <col min="38" max="38" width="12.140625" style="2" hidden="1" customWidth="1" outlineLevel="1"/>
    <col min="39" max="43" width="11.42578125" style="2" hidden="1" customWidth="1" outlineLevel="1"/>
    <col min="44" max="49" width="12.140625" style="2" hidden="1" customWidth="1" outlineLevel="1"/>
    <col min="50" max="50" width="11.42578125" style="2" customWidth="1" collapsed="1"/>
    <col min="51" max="51" width="13.140625" style="2" customWidth="1"/>
    <col min="52" max="52" width="11.42578125" style="2" customWidth="1"/>
    <col min="53" max="53" width="11.5703125" style="2" customWidth="1" outlineLevel="1"/>
    <col min="54" max="54" width="12.140625" style="2" customWidth="1" outlineLevel="1"/>
    <col min="55" max="55" width="11.5703125" style="2" customWidth="1" outlineLevel="1"/>
    <col min="56" max="56" width="12.140625" style="2" customWidth="1" outlineLevel="1"/>
    <col min="57" max="57" width="11.5703125" style="2" customWidth="1" outlineLevel="1"/>
    <col min="58" max="58" width="12.140625" style="2" customWidth="1" outlineLevel="1"/>
    <col min="59" max="59" width="11.42578125" style="2" customWidth="1" outlineLevel="1"/>
    <col min="60" max="60" width="13.140625" style="2" customWidth="1" outlineLevel="1"/>
    <col min="61" max="61" width="12.140625" style="2" customWidth="1" outlineLevel="1"/>
    <col min="62" max="62" width="11.42578125" style="2" customWidth="1" outlineLevel="1"/>
    <col min="63" max="63" width="13.140625" style="2" customWidth="1" outlineLevel="1"/>
    <col min="64" max="64" width="15" style="2" customWidth="1" outlineLevel="1"/>
    <col min="65" max="65" width="7.5703125" style="2" customWidth="1"/>
    <col min="66" max="66" width="13.85546875" style="2" bestFit="1" customWidth="1"/>
    <col min="67" max="68" width="13.140625" style="2" customWidth="1"/>
    <col min="69" max="74" width="11.28515625" style="2" bestFit="1" customWidth="1"/>
    <col min="75" max="75" width="12.28515625" style="2" bestFit="1" customWidth="1"/>
    <col min="76" max="80" width="11.28515625" style="2" bestFit="1" customWidth="1"/>
    <col min="81" max="81" width="11.42578125" style="2"/>
    <col min="82" max="82" width="13.28515625" style="2" bestFit="1" customWidth="1"/>
    <col min="83" max="86" width="11.5703125" style="2" bestFit="1" customWidth="1"/>
    <col min="87" max="256" width="11.42578125" style="2"/>
    <col min="257" max="257" width="0.85546875" style="2" customWidth="1"/>
    <col min="258" max="258" width="15.140625" style="2" bestFit="1" customWidth="1"/>
    <col min="259" max="289" width="0" style="2" hidden="1" customWidth="1"/>
    <col min="290" max="291" width="10.42578125" style="2" customWidth="1"/>
    <col min="292" max="292" width="5.85546875" style="2" customWidth="1"/>
    <col min="293" max="293" width="4.7109375" style="2" customWidth="1"/>
    <col min="294" max="305" width="0" style="2" hidden="1" customWidth="1"/>
    <col min="306" max="306" width="11.42578125" style="2" customWidth="1"/>
    <col min="307" max="307" width="13.140625" style="2" customWidth="1"/>
    <col min="308" max="308" width="11.42578125" style="2" customWidth="1"/>
    <col min="309" max="309" width="11.5703125" style="2" customWidth="1"/>
    <col min="310" max="310" width="12.140625" style="2" customWidth="1"/>
    <col min="311" max="311" width="11.5703125" style="2" customWidth="1"/>
    <col min="312" max="312" width="12.140625" style="2" customWidth="1"/>
    <col min="313" max="313" width="11.5703125" style="2" customWidth="1"/>
    <col min="314" max="314" width="12.140625" style="2" customWidth="1"/>
    <col min="315" max="315" width="11.42578125" style="2" customWidth="1"/>
    <col min="316" max="316" width="13.140625" style="2" customWidth="1"/>
    <col min="317" max="317" width="12.140625" style="2" customWidth="1"/>
    <col min="318" max="318" width="11.42578125" style="2" customWidth="1"/>
    <col min="319" max="319" width="13.140625" style="2" customWidth="1"/>
    <col min="320" max="320" width="15" style="2" customWidth="1"/>
    <col min="321" max="321" width="7.5703125" style="2" customWidth="1"/>
    <col min="322" max="322" width="13.140625" style="2" bestFit="1" customWidth="1"/>
    <col min="323" max="324" width="13.140625" style="2" customWidth="1"/>
    <col min="325" max="330" width="10.7109375" style="2" bestFit="1" customWidth="1"/>
    <col min="331" max="331" width="12.140625" style="2" bestFit="1" customWidth="1"/>
    <col min="332" max="336" width="10.7109375" style="2" bestFit="1" customWidth="1"/>
    <col min="337" max="337" width="11.42578125" style="2"/>
    <col min="338" max="338" width="13.140625" style="2" bestFit="1" customWidth="1"/>
    <col min="339" max="512" width="11.42578125" style="2"/>
    <col min="513" max="513" width="0.85546875" style="2" customWidth="1"/>
    <col min="514" max="514" width="15.140625" style="2" bestFit="1" customWidth="1"/>
    <col min="515" max="545" width="0" style="2" hidden="1" customWidth="1"/>
    <col min="546" max="547" width="10.42578125" style="2" customWidth="1"/>
    <col min="548" max="548" width="5.85546875" style="2" customWidth="1"/>
    <col min="549" max="549" width="4.7109375" style="2" customWidth="1"/>
    <col min="550" max="561" width="0" style="2" hidden="1" customWidth="1"/>
    <col min="562" max="562" width="11.42578125" style="2" customWidth="1"/>
    <col min="563" max="563" width="13.140625" style="2" customWidth="1"/>
    <col min="564" max="564" width="11.42578125" style="2" customWidth="1"/>
    <col min="565" max="565" width="11.5703125" style="2" customWidth="1"/>
    <col min="566" max="566" width="12.140625" style="2" customWidth="1"/>
    <col min="567" max="567" width="11.5703125" style="2" customWidth="1"/>
    <col min="568" max="568" width="12.140625" style="2" customWidth="1"/>
    <col min="569" max="569" width="11.5703125" style="2" customWidth="1"/>
    <col min="570" max="570" width="12.140625" style="2" customWidth="1"/>
    <col min="571" max="571" width="11.42578125" style="2" customWidth="1"/>
    <col min="572" max="572" width="13.140625" style="2" customWidth="1"/>
    <col min="573" max="573" width="12.140625" style="2" customWidth="1"/>
    <col min="574" max="574" width="11.42578125" style="2" customWidth="1"/>
    <col min="575" max="575" width="13.140625" style="2" customWidth="1"/>
    <col min="576" max="576" width="15" style="2" customWidth="1"/>
    <col min="577" max="577" width="7.5703125" style="2" customWidth="1"/>
    <col min="578" max="578" width="13.140625" style="2" bestFit="1" customWidth="1"/>
    <col min="579" max="580" width="13.140625" style="2" customWidth="1"/>
    <col min="581" max="586" width="10.7109375" style="2" bestFit="1" customWidth="1"/>
    <col min="587" max="587" width="12.140625" style="2" bestFit="1" customWidth="1"/>
    <col min="588" max="592" width="10.7109375" style="2" bestFit="1" customWidth="1"/>
    <col min="593" max="593" width="11.42578125" style="2"/>
    <col min="594" max="594" width="13.140625" style="2" bestFit="1" customWidth="1"/>
    <col min="595" max="768" width="11.42578125" style="2"/>
    <col min="769" max="769" width="0.85546875" style="2" customWidth="1"/>
    <col min="770" max="770" width="15.140625" style="2" bestFit="1" customWidth="1"/>
    <col min="771" max="801" width="0" style="2" hidden="1" customWidth="1"/>
    <col min="802" max="803" width="10.42578125" style="2" customWidth="1"/>
    <col min="804" max="804" width="5.85546875" style="2" customWidth="1"/>
    <col min="805" max="805" width="4.7109375" style="2" customWidth="1"/>
    <col min="806" max="817" width="0" style="2" hidden="1" customWidth="1"/>
    <col min="818" max="818" width="11.42578125" style="2" customWidth="1"/>
    <col min="819" max="819" width="13.140625" style="2" customWidth="1"/>
    <col min="820" max="820" width="11.42578125" style="2" customWidth="1"/>
    <col min="821" max="821" width="11.5703125" style="2" customWidth="1"/>
    <col min="822" max="822" width="12.140625" style="2" customWidth="1"/>
    <col min="823" max="823" width="11.5703125" style="2" customWidth="1"/>
    <col min="824" max="824" width="12.140625" style="2" customWidth="1"/>
    <col min="825" max="825" width="11.5703125" style="2" customWidth="1"/>
    <col min="826" max="826" width="12.140625" style="2" customWidth="1"/>
    <col min="827" max="827" width="11.42578125" style="2" customWidth="1"/>
    <col min="828" max="828" width="13.140625" style="2" customWidth="1"/>
    <col min="829" max="829" width="12.140625" style="2" customWidth="1"/>
    <col min="830" max="830" width="11.42578125" style="2" customWidth="1"/>
    <col min="831" max="831" width="13.140625" style="2" customWidth="1"/>
    <col min="832" max="832" width="15" style="2" customWidth="1"/>
    <col min="833" max="833" width="7.5703125" style="2" customWidth="1"/>
    <col min="834" max="834" width="13.140625" style="2" bestFit="1" customWidth="1"/>
    <col min="835" max="836" width="13.140625" style="2" customWidth="1"/>
    <col min="837" max="842" width="10.7109375" style="2" bestFit="1" customWidth="1"/>
    <col min="843" max="843" width="12.140625" style="2" bestFit="1" customWidth="1"/>
    <col min="844" max="848" width="10.7109375" style="2" bestFit="1" customWidth="1"/>
    <col min="849" max="849" width="11.42578125" style="2"/>
    <col min="850" max="850" width="13.140625" style="2" bestFit="1" customWidth="1"/>
    <col min="851" max="1024" width="11.42578125" style="2"/>
    <col min="1025" max="1025" width="0.85546875" style="2" customWidth="1"/>
    <col min="1026" max="1026" width="15.140625" style="2" bestFit="1" customWidth="1"/>
    <col min="1027" max="1057" width="0" style="2" hidden="1" customWidth="1"/>
    <col min="1058" max="1059" width="10.42578125" style="2" customWidth="1"/>
    <col min="1060" max="1060" width="5.85546875" style="2" customWidth="1"/>
    <col min="1061" max="1061" width="4.7109375" style="2" customWidth="1"/>
    <col min="1062" max="1073" width="0" style="2" hidden="1" customWidth="1"/>
    <col min="1074" max="1074" width="11.42578125" style="2" customWidth="1"/>
    <col min="1075" max="1075" width="13.140625" style="2" customWidth="1"/>
    <col min="1076" max="1076" width="11.42578125" style="2" customWidth="1"/>
    <col min="1077" max="1077" width="11.5703125" style="2" customWidth="1"/>
    <col min="1078" max="1078" width="12.140625" style="2" customWidth="1"/>
    <col min="1079" max="1079" width="11.5703125" style="2" customWidth="1"/>
    <col min="1080" max="1080" width="12.140625" style="2" customWidth="1"/>
    <col min="1081" max="1081" width="11.5703125" style="2" customWidth="1"/>
    <col min="1082" max="1082" width="12.140625" style="2" customWidth="1"/>
    <col min="1083" max="1083" width="11.42578125" style="2" customWidth="1"/>
    <col min="1084" max="1084" width="13.140625" style="2" customWidth="1"/>
    <col min="1085" max="1085" width="12.140625" style="2" customWidth="1"/>
    <col min="1086" max="1086" width="11.42578125" style="2" customWidth="1"/>
    <col min="1087" max="1087" width="13.140625" style="2" customWidth="1"/>
    <col min="1088" max="1088" width="15" style="2" customWidth="1"/>
    <col min="1089" max="1089" width="7.5703125" style="2" customWidth="1"/>
    <col min="1090" max="1090" width="13.140625" style="2" bestFit="1" customWidth="1"/>
    <col min="1091" max="1092" width="13.140625" style="2" customWidth="1"/>
    <col min="1093" max="1098" width="10.7109375" style="2" bestFit="1" customWidth="1"/>
    <col min="1099" max="1099" width="12.140625" style="2" bestFit="1" customWidth="1"/>
    <col min="1100" max="1104" width="10.7109375" style="2" bestFit="1" customWidth="1"/>
    <col min="1105" max="1105" width="11.42578125" style="2"/>
    <col min="1106" max="1106" width="13.140625" style="2" bestFit="1" customWidth="1"/>
    <col min="1107" max="1280" width="11.42578125" style="2"/>
    <col min="1281" max="1281" width="0.85546875" style="2" customWidth="1"/>
    <col min="1282" max="1282" width="15.140625" style="2" bestFit="1" customWidth="1"/>
    <col min="1283" max="1313" width="0" style="2" hidden="1" customWidth="1"/>
    <col min="1314" max="1315" width="10.42578125" style="2" customWidth="1"/>
    <col min="1316" max="1316" width="5.85546875" style="2" customWidth="1"/>
    <col min="1317" max="1317" width="4.7109375" style="2" customWidth="1"/>
    <col min="1318" max="1329" width="0" style="2" hidden="1" customWidth="1"/>
    <col min="1330" max="1330" width="11.42578125" style="2" customWidth="1"/>
    <col min="1331" max="1331" width="13.140625" style="2" customWidth="1"/>
    <col min="1332" max="1332" width="11.42578125" style="2" customWidth="1"/>
    <col min="1333" max="1333" width="11.5703125" style="2" customWidth="1"/>
    <col min="1334" max="1334" width="12.140625" style="2" customWidth="1"/>
    <col min="1335" max="1335" width="11.5703125" style="2" customWidth="1"/>
    <col min="1336" max="1336" width="12.140625" style="2" customWidth="1"/>
    <col min="1337" max="1337" width="11.5703125" style="2" customWidth="1"/>
    <col min="1338" max="1338" width="12.140625" style="2" customWidth="1"/>
    <col min="1339" max="1339" width="11.42578125" style="2" customWidth="1"/>
    <col min="1340" max="1340" width="13.140625" style="2" customWidth="1"/>
    <col min="1341" max="1341" width="12.140625" style="2" customWidth="1"/>
    <col min="1342" max="1342" width="11.42578125" style="2" customWidth="1"/>
    <col min="1343" max="1343" width="13.140625" style="2" customWidth="1"/>
    <col min="1344" max="1344" width="15" style="2" customWidth="1"/>
    <col min="1345" max="1345" width="7.5703125" style="2" customWidth="1"/>
    <col min="1346" max="1346" width="13.140625" style="2" bestFit="1" customWidth="1"/>
    <col min="1347" max="1348" width="13.140625" style="2" customWidth="1"/>
    <col min="1349" max="1354" width="10.7109375" style="2" bestFit="1" customWidth="1"/>
    <col min="1355" max="1355" width="12.140625" style="2" bestFit="1" customWidth="1"/>
    <col min="1356" max="1360" width="10.7109375" style="2" bestFit="1" customWidth="1"/>
    <col min="1361" max="1361" width="11.42578125" style="2"/>
    <col min="1362" max="1362" width="13.140625" style="2" bestFit="1" customWidth="1"/>
    <col min="1363" max="1536" width="11.42578125" style="2"/>
    <col min="1537" max="1537" width="0.85546875" style="2" customWidth="1"/>
    <col min="1538" max="1538" width="15.140625" style="2" bestFit="1" customWidth="1"/>
    <col min="1539" max="1569" width="0" style="2" hidden="1" customWidth="1"/>
    <col min="1570" max="1571" width="10.42578125" style="2" customWidth="1"/>
    <col min="1572" max="1572" width="5.85546875" style="2" customWidth="1"/>
    <col min="1573" max="1573" width="4.7109375" style="2" customWidth="1"/>
    <col min="1574" max="1585" width="0" style="2" hidden="1" customWidth="1"/>
    <col min="1586" max="1586" width="11.42578125" style="2" customWidth="1"/>
    <col min="1587" max="1587" width="13.140625" style="2" customWidth="1"/>
    <col min="1588" max="1588" width="11.42578125" style="2" customWidth="1"/>
    <col min="1589" max="1589" width="11.5703125" style="2" customWidth="1"/>
    <col min="1590" max="1590" width="12.140625" style="2" customWidth="1"/>
    <col min="1591" max="1591" width="11.5703125" style="2" customWidth="1"/>
    <col min="1592" max="1592" width="12.140625" style="2" customWidth="1"/>
    <col min="1593" max="1593" width="11.5703125" style="2" customWidth="1"/>
    <col min="1594" max="1594" width="12.140625" style="2" customWidth="1"/>
    <col min="1595" max="1595" width="11.42578125" style="2" customWidth="1"/>
    <col min="1596" max="1596" width="13.140625" style="2" customWidth="1"/>
    <col min="1597" max="1597" width="12.140625" style="2" customWidth="1"/>
    <col min="1598" max="1598" width="11.42578125" style="2" customWidth="1"/>
    <col min="1599" max="1599" width="13.140625" style="2" customWidth="1"/>
    <col min="1600" max="1600" width="15" style="2" customWidth="1"/>
    <col min="1601" max="1601" width="7.5703125" style="2" customWidth="1"/>
    <col min="1602" max="1602" width="13.140625" style="2" bestFit="1" customWidth="1"/>
    <col min="1603" max="1604" width="13.140625" style="2" customWidth="1"/>
    <col min="1605" max="1610" width="10.7109375" style="2" bestFit="1" customWidth="1"/>
    <col min="1611" max="1611" width="12.140625" style="2" bestFit="1" customWidth="1"/>
    <col min="1612" max="1616" width="10.7109375" style="2" bestFit="1" customWidth="1"/>
    <col min="1617" max="1617" width="11.42578125" style="2"/>
    <col min="1618" max="1618" width="13.140625" style="2" bestFit="1" customWidth="1"/>
    <col min="1619" max="1792" width="11.42578125" style="2"/>
    <col min="1793" max="1793" width="0.85546875" style="2" customWidth="1"/>
    <col min="1794" max="1794" width="15.140625" style="2" bestFit="1" customWidth="1"/>
    <col min="1795" max="1825" width="0" style="2" hidden="1" customWidth="1"/>
    <col min="1826" max="1827" width="10.42578125" style="2" customWidth="1"/>
    <col min="1828" max="1828" width="5.85546875" style="2" customWidth="1"/>
    <col min="1829" max="1829" width="4.7109375" style="2" customWidth="1"/>
    <col min="1830" max="1841" width="0" style="2" hidden="1" customWidth="1"/>
    <col min="1842" max="1842" width="11.42578125" style="2" customWidth="1"/>
    <col min="1843" max="1843" width="13.140625" style="2" customWidth="1"/>
    <col min="1844" max="1844" width="11.42578125" style="2" customWidth="1"/>
    <col min="1845" max="1845" width="11.5703125" style="2" customWidth="1"/>
    <col min="1846" max="1846" width="12.140625" style="2" customWidth="1"/>
    <col min="1847" max="1847" width="11.5703125" style="2" customWidth="1"/>
    <col min="1848" max="1848" width="12.140625" style="2" customWidth="1"/>
    <col min="1849" max="1849" width="11.5703125" style="2" customWidth="1"/>
    <col min="1850" max="1850" width="12.140625" style="2" customWidth="1"/>
    <col min="1851" max="1851" width="11.42578125" style="2" customWidth="1"/>
    <col min="1852" max="1852" width="13.140625" style="2" customWidth="1"/>
    <col min="1853" max="1853" width="12.140625" style="2" customWidth="1"/>
    <col min="1854" max="1854" width="11.42578125" style="2" customWidth="1"/>
    <col min="1855" max="1855" width="13.140625" style="2" customWidth="1"/>
    <col min="1856" max="1856" width="15" style="2" customWidth="1"/>
    <col min="1857" max="1857" width="7.5703125" style="2" customWidth="1"/>
    <col min="1858" max="1858" width="13.140625" style="2" bestFit="1" customWidth="1"/>
    <col min="1859" max="1860" width="13.140625" style="2" customWidth="1"/>
    <col min="1861" max="1866" width="10.7109375" style="2" bestFit="1" customWidth="1"/>
    <col min="1867" max="1867" width="12.140625" style="2" bestFit="1" customWidth="1"/>
    <col min="1868" max="1872" width="10.7109375" style="2" bestFit="1" customWidth="1"/>
    <col min="1873" max="1873" width="11.42578125" style="2"/>
    <col min="1874" max="1874" width="13.140625" style="2" bestFit="1" customWidth="1"/>
    <col min="1875" max="2048" width="11.42578125" style="2"/>
    <col min="2049" max="2049" width="0.85546875" style="2" customWidth="1"/>
    <col min="2050" max="2050" width="15.140625" style="2" bestFit="1" customWidth="1"/>
    <col min="2051" max="2081" width="0" style="2" hidden="1" customWidth="1"/>
    <col min="2082" max="2083" width="10.42578125" style="2" customWidth="1"/>
    <col min="2084" max="2084" width="5.85546875" style="2" customWidth="1"/>
    <col min="2085" max="2085" width="4.7109375" style="2" customWidth="1"/>
    <col min="2086" max="2097" width="0" style="2" hidden="1" customWidth="1"/>
    <col min="2098" max="2098" width="11.42578125" style="2" customWidth="1"/>
    <col min="2099" max="2099" width="13.140625" style="2" customWidth="1"/>
    <col min="2100" max="2100" width="11.42578125" style="2" customWidth="1"/>
    <col min="2101" max="2101" width="11.5703125" style="2" customWidth="1"/>
    <col min="2102" max="2102" width="12.140625" style="2" customWidth="1"/>
    <col min="2103" max="2103" width="11.5703125" style="2" customWidth="1"/>
    <col min="2104" max="2104" width="12.140625" style="2" customWidth="1"/>
    <col min="2105" max="2105" width="11.5703125" style="2" customWidth="1"/>
    <col min="2106" max="2106" width="12.140625" style="2" customWidth="1"/>
    <col min="2107" max="2107" width="11.42578125" style="2" customWidth="1"/>
    <col min="2108" max="2108" width="13.140625" style="2" customWidth="1"/>
    <col min="2109" max="2109" width="12.140625" style="2" customWidth="1"/>
    <col min="2110" max="2110" width="11.42578125" style="2" customWidth="1"/>
    <col min="2111" max="2111" width="13.140625" style="2" customWidth="1"/>
    <col min="2112" max="2112" width="15" style="2" customWidth="1"/>
    <col min="2113" max="2113" width="7.5703125" style="2" customWidth="1"/>
    <col min="2114" max="2114" width="13.140625" style="2" bestFit="1" customWidth="1"/>
    <col min="2115" max="2116" width="13.140625" style="2" customWidth="1"/>
    <col min="2117" max="2122" width="10.7109375" style="2" bestFit="1" customWidth="1"/>
    <col min="2123" max="2123" width="12.140625" style="2" bestFit="1" customWidth="1"/>
    <col min="2124" max="2128" width="10.7109375" style="2" bestFit="1" customWidth="1"/>
    <col min="2129" max="2129" width="11.42578125" style="2"/>
    <col min="2130" max="2130" width="13.140625" style="2" bestFit="1" customWidth="1"/>
    <col min="2131" max="2304" width="11.42578125" style="2"/>
    <col min="2305" max="2305" width="0.85546875" style="2" customWidth="1"/>
    <col min="2306" max="2306" width="15.140625" style="2" bestFit="1" customWidth="1"/>
    <col min="2307" max="2337" width="0" style="2" hidden="1" customWidth="1"/>
    <col min="2338" max="2339" width="10.42578125" style="2" customWidth="1"/>
    <col min="2340" max="2340" width="5.85546875" style="2" customWidth="1"/>
    <col min="2341" max="2341" width="4.7109375" style="2" customWidth="1"/>
    <col min="2342" max="2353" width="0" style="2" hidden="1" customWidth="1"/>
    <col min="2354" max="2354" width="11.42578125" style="2" customWidth="1"/>
    <col min="2355" max="2355" width="13.140625" style="2" customWidth="1"/>
    <col min="2356" max="2356" width="11.42578125" style="2" customWidth="1"/>
    <col min="2357" max="2357" width="11.5703125" style="2" customWidth="1"/>
    <col min="2358" max="2358" width="12.140625" style="2" customWidth="1"/>
    <col min="2359" max="2359" width="11.5703125" style="2" customWidth="1"/>
    <col min="2360" max="2360" width="12.140625" style="2" customWidth="1"/>
    <col min="2361" max="2361" width="11.5703125" style="2" customWidth="1"/>
    <col min="2362" max="2362" width="12.140625" style="2" customWidth="1"/>
    <col min="2363" max="2363" width="11.42578125" style="2" customWidth="1"/>
    <col min="2364" max="2364" width="13.140625" style="2" customWidth="1"/>
    <col min="2365" max="2365" width="12.140625" style="2" customWidth="1"/>
    <col min="2366" max="2366" width="11.42578125" style="2" customWidth="1"/>
    <col min="2367" max="2367" width="13.140625" style="2" customWidth="1"/>
    <col min="2368" max="2368" width="15" style="2" customWidth="1"/>
    <col min="2369" max="2369" width="7.5703125" style="2" customWidth="1"/>
    <col min="2370" max="2370" width="13.140625" style="2" bestFit="1" customWidth="1"/>
    <col min="2371" max="2372" width="13.140625" style="2" customWidth="1"/>
    <col min="2373" max="2378" width="10.7109375" style="2" bestFit="1" customWidth="1"/>
    <col min="2379" max="2379" width="12.140625" style="2" bestFit="1" customWidth="1"/>
    <col min="2380" max="2384" width="10.7109375" style="2" bestFit="1" customWidth="1"/>
    <col min="2385" max="2385" width="11.42578125" style="2"/>
    <col min="2386" max="2386" width="13.140625" style="2" bestFit="1" customWidth="1"/>
    <col min="2387" max="2560" width="11.42578125" style="2"/>
    <col min="2561" max="2561" width="0.85546875" style="2" customWidth="1"/>
    <col min="2562" max="2562" width="15.140625" style="2" bestFit="1" customWidth="1"/>
    <col min="2563" max="2593" width="0" style="2" hidden="1" customWidth="1"/>
    <col min="2594" max="2595" width="10.42578125" style="2" customWidth="1"/>
    <col min="2596" max="2596" width="5.85546875" style="2" customWidth="1"/>
    <col min="2597" max="2597" width="4.7109375" style="2" customWidth="1"/>
    <col min="2598" max="2609" width="0" style="2" hidden="1" customWidth="1"/>
    <col min="2610" max="2610" width="11.42578125" style="2" customWidth="1"/>
    <col min="2611" max="2611" width="13.140625" style="2" customWidth="1"/>
    <col min="2612" max="2612" width="11.42578125" style="2" customWidth="1"/>
    <col min="2613" max="2613" width="11.5703125" style="2" customWidth="1"/>
    <col min="2614" max="2614" width="12.140625" style="2" customWidth="1"/>
    <col min="2615" max="2615" width="11.5703125" style="2" customWidth="1"/>
    <col min="2616" max="2616" width="12.140625" style="2" customWidth="1"/>
    <col min="2617" max="2617" width="11.5703125" style="2" customWidth="1"/>
    <col min="2618" max="2618" width="12.140625" style="2" customWidth="1"/>
    <col min="2619" max="2619" width="11.42578125" style="2" customWidth="1"/>
    <col min="2620" max="2620" width="13.140625" style="2" customWidth="1"/>
    <col min="2621" max="2621" width="12.140625" style="2" customWidth="1"/>
    <col min="2622" max="2622" width="11.42578125" style="2" customWidth="1"/>
    <col min="2623" max="2623" width="13.140625" style="2" customWidth="1"/>
    <col min="2624" max="2624" width="15" style="2" customWidth="1"/>
    <col min="2625" max="2625" width="7.5703125" style="2" customWidth="1"/>
    <col min="2626" max="2626" width="13.140625" style="2" bestFit="1" customWidth="1"/>
    <col min="2627" max="2628" width="13.140625" style="2" customWidth="1"/>
    <col min="2629" max="2634" width="10.7109375" style="2" bestFit="1" customWidth="1"/>
    <col min="2635" max="2635" width="12.140625" style="2" bestFit="1" customWidth="1"/>
    <col min="2636" max="2640" width="10.7109375" style="2" bestFit="1" customWidth="1"/>
    <col min="2641" max="2641" width="11.42578125" style="2"/>
    <col min="2642" max="2642" width="13.140625" style="2" bestFit="1" customWidth="1"/>
    <col min="2643" max="2816" width="11.42578125" style="2"/>
    <col min="2817" max="2817" width="0.85546875" style="2" customWidth="1"/>
    <col min="2818" max="2818" width="15.140625" style="2" bestFit="1" customWidth="1"/>
    <col min="2819" max="2849" width="0" style="2" hidden="1" customWidth="1"/>
    <col min="2850" max="2851" width="10.42578125" style="2" customWidth="1"/>
    <col min="2852" max="2852" width="5.85546875" style="2" customWidth="1"/>
    <col min="2853" max="2853" width="4.7109375" style="2" customWidth="1"/>
    <col min="2854" max="2865" width="0" style="2" hidden="1" customWidth="1"/>
    <col min="2866" max="2866" width="11.42578125" style="2" customWidth="1"/>
    <col min="2867" max="2867" width="13.140625" style="2" customWidth="1"/>
    <col min="2868" max="2868" width="11.42578125" style="2" customWidth="1"/>
    <col min="2869" max="2869" width="11.5703125" style="2" customWidth="1"/>
    <col min="2870" max="2870" width="12.140625" style="2" customWidth="1"/>
    <col min="2871" max="2871" width="11.5703125" style="2" customWidth="1"/>
    <col min="2872" max="2872" width="12.140625" style="2" customWidth="1"/>
    <col min="2873" max="2873" width="11.5703125" style="2" customWidth="1"/>
    <col min="2874" max="2874" width="12.140625" style="2" customWidth="1"/>
    <col min="2875" max="2875" width="11.42578125" style="2" customWidth="1"/>
    <col min="2876" max="2876" width="13.140625" style="2" customWidth="1"/>
    <col min="2877" max="2877" width="12.140625" style="2" customWidth="1"/>
    <col min="2878" max="2878" width="11.42578125" style="2" customWidth="1"/>
    <col min="2879" max="2879" width="13.140625" style="2" customWidth="1"/>
    <col min="2880" max="2880" width="15" style="2" customWidth="1"/>
    <col min="2881" max="2881" width="7.5703125" style="2" customWidth="1"/>
    <col min="2882" max="2882" width="13.140625" style="2" bestFit="1" customWidth="1"/>
    <col min="2883" max="2884" width="13.140625" style="2" customWidth="1"/>
    <col min="2885" max="2890" width="10.7109375" style="2" bestFit="1" customWidth="1"/>
    <col min="2891" max="2891" width="12.140625" style="2" bestFit="1" customWidth="1"/>
    <col min="2892" max="2896" width="10.7109375" style="2" bestFit="1" customWidth="1"/>
    <col min="2897" max="2897" width="11.42578125" style="2"/>
    <col min="2898" max="2898" width="13.140625" style="2" bestFit="1" customWidth="1"/>
    <col min="2899" max="3072" width="11.42578125" style="2"/>
    <col min="3073" max="3073" width="0.85546875" style="2" customWidth="1"/>
    <col min="3074" max="3074" width="15.140625" style="2" bestFit="1" customWidth="1"/>
    <col min="3075" max="3105" width="0" style="2" hidden="1" customWidth="1"/>
    <col min="3106" max="3107" width="10.42578125" style="2" customWidth="1"/>
    <col min="3108" max="3108" width="5.85546875" style="2" customWidth="1"/>
    <col min="3109" max="3109" width="4.7109375" style="2" customWidth="1"/>
    <col min="3110" max="3121" width="0" style="2" hidden="1" customWidth="1"/>
    <col min="3122" max="3122" width="11.42578125" style="2" customWidth="1"/>
    <col min="3123" max="3123" width="13.140625" style="2" customWidth="1"/>
    <col min="3124" max="3124" width="11.42578125" style="2" customWidth="1"/>
    <col min="3125" max="3125" width="11.5703125" style="2" customWidth="1"/>
    <col min="3126" max="3126" width="12.140625" style="2" customWidth="1"/>
    <col min="3127" max="3127" width="11.5703125" style="2" customWidth="1"/>
    <col min="3128" max="3128" width="12.140625" style="2" customWidth="1"/>
    <col min="3129" max="3129" width="11.5703125" style="2" customWidth="1"/>
    <col min="3130" max="3130" width="12.140625" style="2" customWidth="1"/>
    <col min="3131" max="3131" width="11.42578125" style="2" customWidth="1"/>
    <col min="3132" max="3132" width="13.140625" style="2" customWidth="1"/>
    <col min="3133" max="3133" width="12.140625" style="2" customWidth="1"/>
    <col min="3134" max="3134" width="11.42578125" style="2" customWidth="1"/>
    <col min="3135" max="3135" width="13.140625" style="2" customWidth="1"/>
    <col min="3136" max="3136" width="15" style="2" customWidth="1"/>
    <col min="3137" max="3137" width="7.5703125" style="2" customWidth="1"/>
    <col min="3138" max="3138" width="13.140625" style="2" bestFit="1" customWidth="1"/>
    <col min="3139" max="3140" width="13.140625" style="2" customWidth="1"/>
    <col min="3141" max="3146" width="10.7109375" style="2" bestFit="1" customWidth="1"/>
    <col min="3147" max="3147" width="12.140625" style="2" bestFit="1" customWidth="1"/>
    <col min="3148" max="3152" width="10.7109375" style="2" bestFit="1" customWidth="1"/>
    <col min="3153" max="3153" width="11.42578125" style="2"/>
    <col min="3154" max="3154" width="13.140625" style="2" bestFit="1" customWidth="1"/>
    <col min="3155" max="3328" width="11.42578125" style="2"/>
    <col min="3329" max="3329" width="0.85546875" style="2" customWidth="1"/>
    <col min="3330" max="3330" width="15.140625" style="2" bestFit="1" customWidth="1"/>
    <col min="3331" max="3361" width="0" style="2" hidden="1" customWidth="1"/>
    <col min="3362" max="3363" width="10.42578125" style="2" customWidth="1"/>
    <col min="3364" max="3364" width="5.85546875" style="2" customWidth="1"/>
    <col min="3365" max="3365" width="4.7109375" style="2" customWidth="1"/>
    <col min="3366" max="3377" width="0" style="2" hidden="1" customWidth="1"/>
    <col min="3378" max="3378" width="11.42578125" style="2" customWidth="1"/>
    <col min="3379" max="3379" width="13.140625" style="2" customWidth="1"/>
    <col min="3380" max="3380" width="11.42578125" style="2" customWidth="1"/>
    <col min="3381" max="3381" width="11.5703125" style="2" customWidth="1"/>
    <col min="3382" max="3382" width="12.140625" style="2" customWidth="1"/>
    <col min="3383" max="3383" width="11.5703125" style="2" customWidth="1"/>
    <col min="3384" max="3384" width="12.140625" style="2" customWidth="1"/>
    <col min="3385" max="3385" width="11.5703125" style="2" customWidth="1"/>
    <col min="3386" max="3386" width="12.140625" style="2" customWidth="1"/>
    <col min="3387" max="3387" width="11.42578125" style="2" customWidth="1"/>
    <col min="3388" max="3388" width="13.140625" style="2" customWidth="1"/>
    <col min="3389" max="3389" width="12.140625" style="2" customWidth="1"/>
    <col min="3390" max="3390" width="11.42578125" style="2" customWidth="1"/>
    <col min="3391" max="3391" width="13.140625" style="2" customWidth="1"/>
    <col min="3392" max="3392" width="15" style="2" customWidth="1"/>
    <col min="3393" max="3393" width="7.5703125" style="2" customWidth="1"/>
    <col min="3394" max="3394" width="13.140625" style="2" bestFit="1" customWidth="1"/>
    <col min="3395" max="3396" width="13.140625" style="2" customWidth="1"/>
    <col min="3397" max="3402" width="10.7109375" style="2" bestFit="1" customWidth="1"/>
    <col min="3403" max="3403" width="12.140625" style="2" bestFit="1" customWidth="1"/>
    <col min="3404" max="3408" width="10.7109375" style="2" bestFit="1" customWidth="1"/>
    <col min="3409" max="3409" width="11.42578125" style="2"/>
    <col min="3410" max="3410" width="13.140625" style="2" bestFit="1" customWidth="1"/>
    <col min="3411" max="3584" width="11.42578125" style="2"/>
    <col min="3585" max="3585" width="0.85546875" style="2" customWidth="1"/>
    <col min="3586" max="3586" width="15.140625" style="2" bestFit="1" customWidth="1"/>
    <col min="3587" max="3617" width="0" style="2" hidden="1" customWidth="1"/>
    <col min="3618" max="3619" width="10.42578125" style="2" customWidth="1"/>
    <col min="3620" max="3620" width="5.85546875" style="2" customWidth="1"/>
    <col min="3621" max="3621" width="4.7109375" style="2" customWidth="1"/>
    <col min="3622" max="3633" width="0" style="2" hidden="1" customWidth="1"/>
    <col min="3634" max="3634" width="11.42578125" style="2" customWidth="1"/>
    <col min="3635" max="3635" width="13.140625" style="2" customWidth="1"/>
    <col min="3636" max="3636" width="11.42578125" style="2" customWidth="1"/>
    <col min="3637" max="3637" width="11.5703125" style="2" customWidth="1"/>
    <col min="3638" max="3638" width="12.140625" style="2" customWidth="1"/>
    <col min="3639" max="3639" width="11.5703125" style="2" customWidth="1"/>
    <col min="3640" max="3640" width="12.140625" style="2" customWidth="1"/>
    <col min="3641" max="3641" width="11.5703125" style="2" customWidth="1"/>
    <col min="3642" max="3642" width="12.140625" style="2" customWidth="1"/>
    <col min="3643" max="3643" width="11.42578125" style="2" customWidth="1"/>
    <col min="3644" max="3644" width="13.140625" style="2" customWidth="1"/>
    <col min="3645" max="3645" width="12.140625" style="2" customWidth="1"/>
    <col min="3646" max="3646" width="11.42578125" style="2" customWidth="1"/>
    <col min="3647" max="3647" width="13.140625" style="2" customWidth="1"/>
    <col min="3648" max="3648" width="15" style="2" customWidth="1"/>
    <col min="3649" max="3649" width="7.5703125" style="2" customWidth="1"/>
    <col min="3650" max="3650" width="13.140625" style="2" bestFit="1" customWidth="1"/>
    <col min="3651" max="3652" width="13.140625" style="2" customWidth="1"/>
    <col min="3653" max="3658" width="10.7109375" style="2" bestFit="1" customWidth="1"/>
    <col min="3659" max="3659" width="12.140625" style="2" bestFit="1" customWidth="1"/>
    <col min="3660" max="3664" width="10.7109375" style="2" bestFit="1" customWidth="1"/>
    <col min="3665" max="3665" width="11.42578125" style="2"/>
    <col min="3666" max="3666" width="13.140625" style="2" bestFit="1" customWidth="1"/>
    <col min="3667" max="3840" width="11.42578125" style="2"/>
    <col min="3841" max="3841" width="0.85546875" style="2" customWidth="1"/>
    <col min="3842" max="3842" width="15.140625" style="2" bestFit="1" customWidth="1"/>
    <col min="3843" max="3873" width="0" style="2" hidden="1" customWidth="1"/>
    <col min="3874" max="3875" width="10.42578125" style="2" customWidth="1"/>
    <col min="3876" max="3876" width="5.85546875" style="2" customWidth="1"/>
    <col min="3877" max="3877" width="4.7109375" style="2" customWidth="1"/>
    <col min="3878" max="3889" width="0" style="2" hidden="1" customWidth="1"/>
    <col min="3890" max="3890" width="11.42578125" style="2" customWidth="1"/>
    <col min="3891" max="3891" width="13.140625" style="2" customWidth="1"/>
    <col min="3892" max="3892" width="11.42578125" style="2" customWidth="1"/>
    <col min="3893" max="3893" width="11.5703125" style="2" customWidth="1"/>
    <col min="3894" max="3894" width="12.140625" style="2" customWidth="1"/>
    <col min="3895" max="3895" width="11.5703125" style="2" customWidth="1"/>
    <col min="3896" max="3896" width="12.140625" style="2" customWidth="1"/>
    <col min="3897" max="3897" width="11.5703125" style="2" customWidth="1"/>
    <col min="3898" max="3898" width="12.140625" style="2" customWidth="1"/>
    <col min="3899" max="3899" width="11.42578125" style="2" customWidth="1"/>
    <col min="3900" max="3900" width="13.140625" style="2" customWidth="1"/>
    <col min="3901" max="3901" width="12.140625" style="2" customWidth="1"/>
    <col min="3902" max="3902" width="11.42578125" style="2" customWidth="1"/>
    <col min="3903" max="3903" width="13.140625" style="2" customWidth="1"/>
    <col min="3904" max="3904" width="15" style="2" customWidth="1"/>
    <col min="3905" max="3905" width="7.5703125" style="2" customWidth="1"/>
    <col min="3906" max="3906" width="13.140625" style="2" bestFit="1" customWidth="1"/>
    <col min="3907" max="3908" width="13.140625" style="2" customWidth="1"/>
    <col min="3909" max="3914" width="10.7109375" style="2" bestFit="1" customWidth="1"/>
    <col min="3915" max="3915" width="12.140625" style="2" bestFit="1" customWidth="1"/>
    <col min="3916" max="3920" width="10.7109375" style="2" bestFit="1" customWidth="1"/>
    <col min="3921" max="3921" width="11.42578125" style="2"/>
    <col min="3922" max="3922" width="13.140625" style="2" bestFit="1" customWidth="1"/>
    <col min="3923" max="4096" width="11.42578125" style="2"/>
    <col min="4097" max="4097" width="0.85546875" style="2" customWidth="1"/>
    <col min="4098" max="4098" width="15.140625" style="2" bestFit="1" customWidth="1"/>
    <col min="4099" max="4129" width="0" style="2" hidden="1" customWidth="1"/>
    <col min="4130" max="4131" width="10.42578125" style="2" customWidth="1"/>
    <col min="4132" max="4132" width="5.85546875" style="2" customWidth="1"/>
    <col min="4133" max="4133" width="4.7109375" style="2" customWidth="1"/>
    <col min="4134" max="4145" width="0" style="2" hidden="1" customWidth="1"/>
    <col min="4146" max="4146" width="11.42578125" style="2" customWidth="1"/>
    <col min="4147" max="4147" width="13.140625" style="2" customWidth="1"/>
    <col min="4148" max="4148" width="11.42578125" style="2" customWidth="1"/>
    <col min="4149" max="4149" width="11.5703125" style="2" customWidth="1"/>
    <col min="4150" max="4150" width="12.140625" style="2" customWidth="1"/>
    <col min="4151" max="4151" width="11.5703125" style="2" customWidth="1"/>
    <col min="4152" max="4152" width="12.140625" style="2" customWidth="1"/>
    <col min="4153" max="4153" width="11.5703125" style="2" customWidth="1"/>
    <col min="4154" max="4154" width="12.140625" style="2" customWidth="1"/>
    <col min="4155" max="4155" width="11.42578125" style="2" customWidth="1"/>
    <col min="4156" max="4156" width="13.140625" style="2" customWidth="1"/>
    <col min="4157" max="4157" width="12.140625" style="2" customWidth="1"/>
    <col min="4158" max="4158" width="11.42578125" style="2" customWidth="1"/>
    <col min="4159" max="4159" width="13.140625" style="2" customWidth="1"/>
    <col min="4160" max="4160" width="15" style="2" customWidth="1"/>
    <col min="4161" max="4161" width="7.5703125" style="2" customWidth="1"/>
    <col min="4162" max="4162" width="13.140625" style="2" bestFit="1" customWidth="1"/>
    <col min="4163" max="4164" width="13.140625" style="2" customWidth="1"/>
    <col min="4165" max="4170" width="10.7109375" style="2" bestFit="1" customWidth="1"/>
    <col min="4171" max="4171" width="12.140625" style="2" bestFit="1" customWidth="1"/>
    <col min="4172" max="4176" width="10.7109375" style="2" bestFit="1" customWidth="1"/>
    <col min="4177" max="4177" width="11.42578125" style="2"/>
    <col min="4178" max="4178" width="13.140625" style="2" bestFit="1" customWidth="1"/>
    <col min="4179" max="4352" width="11.42578125" style="2"/>
    <col min="4353" max="4353" width="0.85546875" style="2" customWidth="1"/>
    <col min="4354" max="4354" width="15.140625" style="2" bestFit="1" customWidth="1"/>
    <col min="4355" max="4385" width="0" style="2" hidden="1" customWidth="1"/>
    <col min="4386" max="4387" width="10.42578125" style="2" customWidth="1"/>
    <col min="4388" max="4388" width="5.85546875" style="2" customWidth="1"/>
    <col min="4389" max="4389" width="4.7109375" style="2" customWidth="1"/>
    <col min="4390" max="4401" width="0" style="2" hidden="1" customWidth="1"/>
    <col min="4402" max="4402" width="11.42578125" style="2" customWidth="1"/>
    <col min="4403" max="4403" width="13.140625" style="2" customWidth="1"/>
    <col min="4404" max="4404" width="11.42578125" style="2" customWidth="1"/>
    <col min="4405" max="4405" width="11.5703125" style="2" customWidth="1"/>
    <col min="4406" max="4406" width="12.140625" style="2" customWidth="1"/>
    <col min="4407" max="4407" width="11.5703125" style="2" customWidth="1"/>
    <col min="4408" max="4408" width="12.140625" style="2" customWidth="1"/>
    <col min="4409" max="4409" width="11.5703125" style="2" customWidth="1"/>
    <col min="4410" max="4410" width="12.140625" style="2" customWidth="1"/>
    <col min="4411" max="4411" width="11.42578125" style="2" customWidth="1"/>
    <col min="4412" max="4412" width="13.140625" style="2" customWidth="1"/>
    <col min="4413" max="4413" width="12.140625" style="2" customWidth="1"/>
    <col min="4414" max="4414" width="11.42578125" style="2" customWidth="1"/>
    <col min="4415" max="4415" width="13.140625" style="2" customWidth="1"/>
    <col min="4416" max="4416" width="15" style="2" customWidth="1"/>
    <col min="4417" max="4417" width="7.5703125" style="2" customWidth="1"/>
    <col min="4418" max="4418" width="13.140625" style="2" bestFit="1" customWidth="1"/>
    <col min="4419" max="4420" width="13.140625" style="2" customWidth="1"/>
    <col min="4421" max="4426" width="10.7109375" style="2" bestFit="1" customWidth="1"/>
    <col min="4427" max="4427" width="12.140625" style="2" bestFit="1" customWidth="1"/>
    <col min="4428" max="4432" width="10.7109375" style="2" bestFit="1" customWidth="1"/>
    <col min="4433" max="4433" width="11.42578125" style="2"/>
    <col min="4434" max="4434" width="13.140625" style="2" bestFit="1" customWidth="1"/>
    <col min="4435" max="4608" width="11.42578125" style="2"/>
    <col min="4609" max="4609" width="0.85546875" style="2" customWidth="1"/>
    <col min="4610" max="4610" width="15.140625" style="2" bestFit="1" customWidth="1"/>
    <col min="4611" max="4641" width="0" style="2" hidden="1" customWidth="1"/>
    <col min="4642" max="4643" width="10.42578125" style="2" customWidth="1"/>
    <col min="4644" max="4644" width="5.85546875" style="2" customWidth="1"/>
    <col min="4645" max="4645" width="4.7109375" style="2" customWidth="1"/>
    <col min="4646" max="4657" width="0" style="2" hidden="1" customWidth="1"/>
    <col min="4658" max="4658" width="11.42578125" style="2" customWidth="1"/>
    <col min="4659" max="4659" width="13.140625" style="2" customWidth="1"/>
    <col min="4660" max="4660" width="11.42578125" style="2" customWidth="1"/>
    <col min="4661" max="4661" width="11.5703125" style="2" customWidth="1"/>
    <col min="4662" max="4662" width="12.140625" style="2" customWidth="1"/>
    <col min="4663" max="4663" width="11.5703125" style="2" customWidth="1"/>
    <col min="4664" max="4664" width="12.140625" style="2" customWidth="1"/>
    <col min="4665" max="4665" width="11.5703125" style="2" customWidth="1"/>
    <col min="4666" max="4666" width="12.140625" style="2" customWidth="1"/>
    <col min="4667" max="4667" width="11.42578125" style="2" customWidth="1"/>
    <col min="4668" max="4668" width="13.140625" style="2" customWidth="1"/>
    <col min="4669" max="4669" width="12.140625" style="2" customWidth="1"/>
    <col min="4670" max="4670" width="11.42578125" style="2" customWidth="1"/>
    <col min="4671" max="4671" width="13.140625" style="2" customWidth="1"/>
    <col min="4672" max="4672" width="15" style="2" customWidth="1"/>
    <col min="4673" max="4673" width="7.5703125" style="2" customWidth="1"/>
    <col min="4674" max="4674" width="13.140625" style="2" bestFit="1" customWidth="1"/>
    <col min="4675" max="4676" width="13.140625" style="2" customWidth="1"/>
    <col min="4677" max="4682" width="10.7109375" style="2" bestFit="1" customWidth="1"/>
    <col min="4683" max="4683" width="12.140625" style="2" bestFit="1" customWidth="1"/>
    <col min="4684" max="4688" width="10.7109375" style="2" bestFit="1" customWidth="1"/>
    <col min="4689" max="4689" width="11.42578125" style="2"/>
    <col min="4690" max="4690" width="13.140625" style="2" bestFit="1" customWidth="1"/>
    <col min="4691" max="4864" width="11.42578125" style="2"/>
    <col min="4865" max="4865" width="0.85546875" style="2" customWidth="1"/>
    <col min="4866" max="4866" width="15.140625" style="2" bestFit="1" customWidth="1"/>
    <col min="4867" max="4897" width="0" style="2" hidden="1" customWidth="1"/>
    <col min="4898" max="4899" width="10.42578125" style="2" customWidth="1"/>
    <col min="4900" max="4900" width="5.85546875" style="2" customWidth="1"/>
    <col min="4901" max="4901" width="4.7109375" style="2" customWidth="1"/>
    <col min="4902" max="4913" width="0" style="2" hidden="1" customWidth="1"/>
    <col min="4914" max="4914" width="11.42578125" style="2" customWidth="1"/>
    <col min="4915" max="4915" width="13.140625" style="2" customWidth="1"/>
    <col min="4916" max="4916" width="11.42578125" style="2" customWidth="1"/>
    <col min="4917" max="4917" width="11.5703125" style="2" customWidth="1"/>
    <col min="4918" max="4918" width="12.140625" style="2" customWidth="1"/>
    <col min="4919" max="4919" width="11.5703125" style="2" customWidth="1"/>
    <col min="4920" max="4920" width="12.140625" style="2" customWidth="1"/>
    <col min="4921" max="4921" width="11.5703125" style="2" customWidth="1"/>
    <col min="4922" max="4922" width="12.140625" style="2" customWidth="1"/>
    <col min="4923" max="4923" width="11.42578125" style="2" customWidth="1"/>
    <col min="4924" max="4924" width="13.140625" style="2" customWidth="1"/>
    <col min="4925" max="4925" width="12.140625" style="2" customWidth="1"/>
    <col min="4926" max="4926" width="11.42578125" style="2" customWidth="1"/>
    <col min="4927" max="4927" width="13.140625" style="2" customWidth="1"/>
    <col min="4928" max="4928" width="15" style="2" customWidth="1"/>
    <col min="4929" max="4929" width="7.5703125" style="2" customWidth="1"/>
    <col min="4930" max="4930" width="13.140625" style="2" bestFit="1" customWidth="1"/>
    <col min="4931" max="4932" width="13.140625" style="2" customWidth="1"/>
    <col min="4933" max="4938" width="10.7109375" style="2" bestFit="1" customWidth="1"/>
    <col min="4939" max="4939" width="12.140625" style="2" bestFit="1" customWidth="1"/>
    <col min="4940" max="4944" width="10.7109375" style="2" bestFit="1" customWidth="1"/>
    <col min="4945" max="4945" width="11.42578125" style="2"/>
    <col min="4946" max="4946" width="13.140625" style="2" bestFit="1" customWidth="1"/>
    <col min="4947" max="5120" width="11.42578125" style="2"/>
    <col min="5121" max="5121" width="0.85546875" style="2" customWidth="1"/>
    <col min="5122" max="5122" width="15.140625" style="2" bestFit="1" customWidth="1"/>
    <col min="5123" max="5153" width="0" style="2" hidden="1" customWidth="1"/>
    <col min="5154" max="5155" width="10.42578125" style="2" customWidth="1"/>
    <col min="5156" max="5156" width="5.85546875" style="2" customWidth="1"/>
    <col min="5157" max="5157" width="4.7109375" style="2" customWidth="1"/>
    <col min="5158" max="5169" width="0" style="2" hidden="1" customWidth="1"/>
    <col min="5170" max="5170" width="11.42578125" style="2" customWidth="1"/>
    <col min="5171" max="5171" width="13.140625" style="2" customWidth="1"/>
    <col min="5172" max="5172" width="11.42578125" style="2" customWidth="1"/>
    <col min="5173" max="5173" width="11.5703125" style="2" customWidth="1"/>
    <col min="5174" max="5174" width="12.140625" style="2" customWidth="1"/>
    <col min="5175" max="5175" width="11.5703125" style="2" customWidth="1"/>
    <col min="5176" max="5176" width="12.140625" style="2" customWidth="1"/>
    <col min="5177" max="5177" width="11.5703125" style="2" customWidth="1"/>
    <col min="5178" max="5178" width="12.140625" style="2" customWidth="1"/>
    <col min="5179" max="5179" width="11.42578125" style="2" customWidth="1"/>
    <col min="5180" max="5180" width="13.140625" style="2" customWidth="1"/>
    <col min="5181" max="5181" width="12.140625" style="2" customWidth="1"/>
    <col min="5182" max="5182" width="11.42578125" style="2" customWidth="1"/>
    <col min="5183" max="5183" width="13.140625" style="2" customWidth="1"/>
    <col min="5184" max="5184" width="15" style="2" customWidth="1"/>
    <col min="5185" max="5185" width="7.5703125" style="2" customWidth="1"/>
    <col min="5186" max="5186" width="13.140625" style="2" bestFit="1" customWidth="1"/>
    <col min="5187" max="5188" width="13.140625" style="2" customWidth="1"/>
    <col min="5189" max="5194" width="10.7109375" style="2" bestFit="1" customWidth="1"/>
    <col min="5195" max="5195" width="12.140625" style="2" bestFit="1" customWidth="1"/>
    <col min="5196" max="5200" width="10.7109375" style="2" bestFit="1" customWidth="1"/>
    <col min="5201" max="5201" width="11.42578125" style="2"/>
    <col min="5202" max="5202" width="13.140625" style="2" bestFit="1" customWidth="1"/>
    <col min="5203" max="5376" width="11.42578125" style="2"/>
    <col min="5377" max="5377" width="0.85546875" style="2" customWidth="1"/>
    <col min="5378" max="5378" width="15.140625" style="2" bestFit="1" customWidth="1"/>
    <col min="5379" max="5409" width="0" style="2" hidden="1" customWidth="1"/>
    <col min="5410" max="5411" width="10.42578125" style="2" customWidth="1"/>
    <col min="5412" max="5412" width="5.85546875" style="2" customWidth="1"/>
    <col min="5413" max="5413" width="4.7109375" style="2" customWidth="1"/>
    <col min="5414" max="5425" width="0" style="2" hidden="1" customWidth="1"/>
    <col min="5426" max="5426" width="11.42578125" style="2" customWidth="1"/>
    <col min="5427" max="5427" width="13.140625" style="2" customWidth="1"/>
    <col min="5428" max="5428" width="11.42578125" style="2" customWidth="1"/>
    <col min="5429" max="5429" width="11.5703125" style="2" customWidth="1"/>
    <col min="5430" max="5430" width="12.140625" style="2" customWidth="1"/>
    <col min="5431" max="5431" width="11.5703125" style="2" customWidth="1"/>
    <col min="5432" max="5432" width="12.140625" style="2" customWidth="1"/>
    <col min="5433" max="5433" width="11.5703125" style="2" customWidth="1"/>
    <col min="5434" max="5434" width="12.140625" style="2" customWidth="1"/>
    <col min="5435" max="5435" width="11.42578125" style="2" customWidth="1"/>
    <col min="5436" max="5436" width="13.140625" style="2" customWidth="1"/>
    <col min="5437" max="5437" width="12.140625" style="2" customWidth="1"/>
    <col min="5438" max="5438" width="11.42578125" style="2" customWidth="1"/>
    <col min="5439" max="5439" width="13.140625" style="2" customWidth="1"/>
    <col min="5440" max="5440" width="15" style="2" customWidth="1"/>
    <col min="5441" max="5441" width="7.5703125" style="2" customWidth="1"/>
    <col min="5442" max="5442" width="13.140625" style="2" bestFit="1" customWidth="1"/>
    <col min="5443" max="5444" width="13.140625" style="2" customWidth="1"/>
    <col min="5445" max="5450" width="10.7109375" style="2" bestFit="1" customWidth="1"/>
    <col min="5451" max="5451" width="12.140625" style="2" bestFit="1" customWidth="1"/>
    <col min="5452" max="5456" width="10.7109375" style="2" bestFit="1" customWidth="1"/>
    <col min="5457" max="5457" width="11.42578125" style="2"/>
    <col min="5458" max="5458" width="13.140625" style="2" bestFit="1" customWidth="1"/>
    <col min="5459" max="5632" width="11.42578125" style="2"/>
    <col min="5633" max="5633" width="0.85546875" style="2" customWidth="1"/>
    <col min="5634" max="5634" width="15.140625" style="2" bestFit="1" customWidth="1"/>
    <col min="5635" max="5665" width="0" style="2" hidden="1" customWidth="1"/>
    <col min="5666" max="5667" width="10.42578125" style="2" customWidth="1"/>
    <col min="5668" max="5668" width="5.85546875" style="2" customWidth="1"/>
    <col min="5669" max="5669" width="4.7109375" style="2" customWidth="1"/>
    <col min="5670" max="5681" width="0" style="2" hidden="1" customWidth="1"/>
    <col min="5682" max="5682" width="11.42578125" style="2" customWidth="1"/>
    <col min="5683" max="5683" width="13.140625" style="2" customWidth="1"/>
    <col min="5684" max="5684" width="11.42578125" style="2" customWidth="1"/>
    <col min="5685" max="5685" width="11.5703125" style="2" customWidth="1"/>
    <col min="5686" max="5686" width="12.140625" style="2" customWidth="1"/>
    <col min="5687" max="5687" width="11.5703125" style="2" customWidth="1"/>
    <col min="5688" max="5688" width="12.140625" style="2" customWidth="1"/>
    <col min="5689" max="5689" width="11.5703125" style="2" customWidth="1"/>
    <col min="5690" max="5690" width="12.140625" style="2" customWidth="1"/>
    <col min="5691" max="5691" width="11.42578125" style="2" customWidth="1"/>
    <col min="5692" max="5692" width="13.140625" style="2" customWidth="1"/>
    <col min="5693" max="5693" width="12.140625" style="2" customWidth="1"/>
    <col min="5694" max="5694" width="11.42578125" style="2" customWidth="1"/>
    <col min="5695" max="5695" width="13.140625" style="2" customWidth="1"/>
    <col min="5696" max="5696" width="15" style="2" customWidth="1"/>
    <col min="5697" max="5697" width="7.5703125" style="2" customWidth="1"/>
    <col min="5698" max="5698" width="13.140625" style="2" bestFit="1" customWidth="1"/>
    <col min="5699" max="5700" width="13.140625" style="2" customWidth="1"/>
    <col min="5701" max="5706" width="10.7109375" style="2" bestFit="1" customWidth="1"/>
    <col min="5707" max="5707" width="12.140625" style="2" bestFit="1" customWidth="1"/>
    <col min="5708" max="5712" width="10.7109375" style="2" bestFit="1" customWidth="1"/>
    <col min="5713" max="5713" width="11.42578125" style="2"/>
    <col min="5714" max="5714" width="13.140625" style="2" bestFit="1" customWidth="1"/>
    <col min="5715" max="5888" width="11.42578125" style="2"/>
    <col min="5889" max="5889" width="0.85546875" style="2" customWidth="1"/>
    <col min="5890" max="5890" width="15.140625" style="2" bestFit="1" customWidth="1"/>
    <col min="5891" max="5921" width="0" style="2" hidden="1" customWidth="1"/>
    <col min="5922" max="5923" width="10.42578125" style="2" customWidth="1"/>
    <col min="5924" max="5924" width="5.85546875" style="2" customWidth="1"/>
    <col min="5925" max="5925" width="4.7109375" style="2" customWidth="1"/>
    <col min="5926" max="5937" width="0" style="2" hidden="1" customWidth="1"/>
    <col min="5938" max="5938" width="11.42578125" style="2" customWidth="1"/>
    <col min="5939" max="5939" width="13.140625" style="2" customWidth="1"/>
    <col min="5940" max="5940" width="11.42578125" style="2" customWidth="1"/>
    <col min="5941" max="5941" width="11.5703125" style="2" customWidth="1"/>
    <col min="5942" max="5942" width="12.140625" style="2" customWidth="1"/>
    <col min="5943" max="5943" width="11.5703125" style="2" customWidth="1"/>
    <col min="5944" max="5944" width="12.140625" style="2" customWidth="1"/>
    <col min="5945" max="5945" width="11.5703125" style="2" customWidth="1"/>
    <col min="5946" max="5946" width="12.140625" style="2" customWidth="1"/>
    <col min="5947" max="5947" width="11.42578125" style="2" customWidth="1"/>
    <col min="5948" max="5948" width="13.140625" style="2" customWidth="1"/>
    <col min="5949" max="5949" width="12.140625" style="2" customWidth="1"/>
    <col min="5950" max="5950" width="11.42578125" style="2" customWidth="1"/>
    <col min="5951" max="5951" width="13.140625" style="2" customWidth="1"/>
    <col min="5952" max="5952" width="15" style="2" customWidth="1"/>
    <col min="5953" max="5953" width="7.5703125" style="2" customWidth="1"/>
    <col min="5954" max="5954" width="13.140625" style="2" bestFit="1" customWidth="1"/>
    <col min="5955" max="5956" width="13.140625" style="2" customWidth="1"/>
    <col min="5957" max="5962" width="10.7109375" style="2" bestFit="1" customWidth="1"/>
    <col min="5963" max="5963" width="12.140625" style="2" bestFit="1" customWidth="1"/>
    <col min="5964" max="5968" width="10.7109375" style="2" bestFit="1" customWidth="1"/>
    <col min="5969" max="5969" width="11.42578125" style="2"/>
    <col min="5970" max="5970" width="13.140625" style="2" bestFit="1" customWidth="1"/>
    <col min="5971" max="6144" width="11.42578125" style="2"/>
    <col min="6145" max="6145" width="0.85546875" style="2" customWidth="1"/>
    <col min="6146" max="6146" width="15.140625" style="2" bestFit="1" customWidth="1"/>
    <col min="6147" max="6177" width="0" style="2" hidden="1" customWidth="1"/>
    <col min="6178" max="6179" width="10.42578125" style="2" customWidth="1"/>
    <col min="6180" max="6180" width="5.85546875" style="2" customWidth="1"/>
    <col min="6181" max="6181" width="4.7109375" style="2" customWidth="1"/>
    <col min="6182" max="6193" width="0" style="2" hidden="1" customWidth="1"/>
    <col min="6194" max="6194" width="11.42578125" style="2" customWidth="1"/>
    <col min="6195" max="6195" width="13.140625" style="2" customWidth="1"/>
    <col min="6196" max="6196" width="11.42578125" style="2" customWidth="1"/>
    <col min="6197" max="6197" width="11.5703125" style="2" customWidth="1"/>
    <col min="6198" max="6198" width="12.140625" style="2" customWidth="1"/>
    <col min="6199" max="6199" width="11.5703125" style="2" customWidth="1"/>
    <col min="6200" max="6200" width="12.140625" style="2" customWidth="1"/>
    <col min="6201" max="6201" width="11.5703125" style="2" customWidth="1"/>
    <col min="6202" max="6202" width="12.140625" style="2" customWidth="1"/>
    <col min="6203" max="6203" width="11.42578125" style="2" customWidth="1"/>
    <col min="6204" max="6204" width="13.140625" style="2" customWidth="1"/>
    <col min="6205" max="6205" width="12.140625" style="2" customWidth="1"/>
    <col min="6206" max="6206" width="11.42578125" style="2" customWidth="1"/>
    <col min="6207" max="6207" width="13.140625" style="2" customWidth="1"/>
    <col min="6208" max="6208" width="15" style="2" customWidth="1"/>
    <col min="6209" max="6209" width="7.5703125" style="2" customWidth="1"/>
    <col min="6210" max="6210" width="13.140625" style="2" bestFit="1" customWidth="1"/>
    <col min="6211" max="6212" width="13.140625" style="2" customWidth="1"/>
    <col min="6213" max="6218" width="10.7109375" style="2" bestFit="1" customWidth="1"/>
    <col min="6219" max="6219" width="12.140625" style="2" bestFit="1" customWidth="1"/>
    <col min="6220" max="6224" width="10.7109375" style="2" bestFit="1" customWidth="1"/>
    <col min="6225" max="6225" width="11.42578125" style="2"/>
    <col min="6226" max="6226" width="13.140625" style="2" bestFit="1" customWidth="1"/>
    <col min="6227" max="6400" width="11.42578125" style="2"/>
    <col min="6401" max="6401" width="0.85546875" style="2" customWidth="1"/>
    <col min="6402" max="6402" width="15.140625" style="2" bestFit="1" customWidth="1"/>
    <col min="6403" max="6433" width="0" style="2" hidden="1" customWidth="1"/>
    <col min="6434" max="6435" width="10.42578125" style="2" customWidth="1"/>
    <col min="6436" max="6436" width="5.85546875" style="2" customWidth="1"/>
    <col min="6437" max="6437" width="4.7109375" style="2" customWidth="1"/>
    <col min="6438" max="6449" width="0" style="2" hidden="1" customWidth="1"/>
    <col min="6450" max="6450" width="11.42578125" style="2" customWidth="1"/>
    <col min="6451" max="6451" width="13.140625" style="2" customWidth="1"/>
    <col min="6452" max="6452" width="11.42578125" style="2" customWidth="1"/>
    <col min="6453" max="6453" width="11.5703125" style="2" customWidth="1"/>
    <col min="6454" max="6454" width="12.140625" style="2" customWidth="1"/>
    <col min="6455" max="6455" width="11.5703125" style="2" customWidth="1"/>
    <col min="6456" max="6456" width="12.140625" style="2" customWidth="1"/>
    <col min="6457" max="6457" width="11.5703125" style="2" customWidth="1"/>
    <col min="6458" max="6458" width="12.140625" style="2" customWidth="1"/>
    <col min="6459" max="6459" width="11.42578125" style="2" customWidth="1"/>
    <col min="6460" max="6460" width="13.140625" style="2" customWidth="1"/>
    <col min="6461" max="6461" width="12.140625" style="2" customWidth="1"/>
    <col min="6462" max="6462" width="11.42578125" style="2" customWidth="1"/>
    <col min="6463" max="6463" width="13.140625" style="2" customWidth="1"/>
    <col min="6464" max="6464" width="15" style="2" customWidth="1"/>
    <col min="6465" max="6465" width="7.5703125" style="2" customWidth="1"/>
    <col min="6466" max="6466" width="13.140625" style="2" bestFit="1" customWidth="1"/>
    <col min="6467" max="6468" width="13.140625" style="2" customWidth="1"/>
    <col min="6469" max="6474" width="10.7109375" style="2" bestFit="1" customWidth="1"/>
    <col min="6475" max="6475" width="12.140625" style="2" bestFit="1" customWidth="1"/>
    <col min="6476" max="6480" width="10.7109375" style="2" bestFit="1" customWidth="1"/>
    <col min="6481" max="6481" width="11.42578125" style="2"/>
    <col min="6482" max="6482" width="13.140625" style="2" bestFit="1" customWidth="1"/>
    <col min="6483" max="6656" width="11.42578125" style="2"/>
    <col min="6657" max="6657" width="0.85546875" style="2" customWidth="1"/>
    <col min="6658" max="6658" width="15.140625" style="2" bestFit="1" customWidth="1"/>
    <col min="6659" max="6689" width="0" style="2" hidden="1" customWidth="1"/>
    <col min="6690" max="6691" width="10.42578125" style="2" customWidth="1"/>
    <col min="6692" max="6692" width="5.85546875" style="2" customWidth="1"/>
    <col min="6693" max="6693" width="4.7109375" style="2" customWidth="1"/>
    <col min="6694" max="6705" width="0" style="2" hidden="1" customWidth="1"/>
    <col min="6706" max="6706" width="11.42578125" style="2" customWidth="1"/>
    <col min="6707" max="6707" width="13.140625" style="2" customWidth="1"/>
    <col min="6708" max="6708" width="11.42578125" style="2" customWidth="1"/>
    <col min="6709" max="6709" width="11.5703125" style="2" customWidth="1"/>
    <col min="6710" max="6710" width="12.140625" style="2" customWidth="1"/>
    <col min="6711" max="6711" width="11.5703125" style="2" customWidth="1"/>
    <col min="6712" max="6712" width="12.140625" style="2" customWidth="1"/>
    <col min="6713" max="6713" width="11.5703125" style="2" customWidth="1"/>
    <col min="6714" max="6714" width="12.140625" style="2" customWidth="1"/>
    <col min="6715" max="6715" width="11.42578125" style="2" customWidth="1"/>
    <col min="6716" max="6716" width="13.140625" style="2" customWidth="1"/>
    <col min="6717" max="6717" width="12.140625" style="2" customWidth="1"/>
    <col min="6718" max="6718" width="11.42578125" style="2" customWidth="1"/>
    <col min="6719" max="6719" width="13.140625" style="2" customWidth="1"/>
    <col min="6720" max="6720" width="15" style="2" customWidth="1"/>
    <col min="6721" max="6721" width="7.5703125" style="2" customWidth="1"/>
    <col min="6722" max="6722" width="13.140625" style="2" bestFit="1" customWidth="1"/>
    <col min="6723" max="6724" width="13.140625" style="2" customWidth="1"/>
    <col min="6725" max="6730" width="10.7109375" style="2" bestFit="1" customWidth="1"/>
    <col min="6731" max="6731" width="12.140625" style="2" bestFit="1" customWidth="1"/>
    <col min="6732" max="6736" width="10.7109375" style="2" bestFit="1" customWidth="1"/>
    <col min="6737" max="6737" width="11.42578125" style="2"/>
    <col min="6738" max="6738" width="13.140625" style="2" bestFit="1" customWidth="1"/>
    <col min="6739" max="6912" width="11.42578125" style="2"/>
    <col min="6913" max="6913" width="0.85546875" style="2" customWidth="1"/>
    <col min="6914" max="6914" width="15.140625" style="2" bestFit="1" customWidth="1"/>
    <col min="6915" max="6945" width="0" style="2" hidden="1" customWidth="1"/>
    <col min="6946" max="6947" width="10.42578125" style="2" customWidth="1"/>
    <col min="6948" max="6948" width="5.85546875" style="2" customWidth="1"/>
    <col min="6949" max="6949" width="4.7109375" style="2" customWidth="1"/>
    <col min="6950" max="6961" width="0" style="2" hidden="1" customWidth="1"/>
    <col min="6962" max="6962" width="11.42578125" style="2" customWidth="1"/>
    <col min="6963" max="6963" width="13.140625" style="2" customWidth="1"/>
    <col min="6964" max="6964" width="11.42578125" style="2" customWidth="1"/>
    <col min="6965" max="6965" width="11.5703125" style="2" customWidth="1"/>
    <col min="6966" max="6966" width="12.140625" style="2" customWidth="1"/>
    <col min="6967" max="6967" width="11.5703125" style="2" customWidth="1"/>
    <col min="6968" max="6968" width="12.140625" style="2" customWidth="1"/>
    <col min="6969" max="6969" width="11.5703125" style="2" customWidth="1"/>
    <col min="6970" max="6970" width="12.140625" style="2" customWidth="1"/>
    <col min="6971" max="6971" width="11.42578125" style="2" customWidth="1"/>
    <col min="6972" max="6972" width="13.140625" style="2" customWidth="1"/>
    <col min="6973" max="6973" width="12.140625" style="2" customWidth="1"/>
    <col min="6974" max="6974" width="11.42578125" style="2" customWidth="1"/>
    <col min="6975" max="6975" width="13.140625" style="2" customWidth="1"/>
    <col min="6976" max="6976" width="15" style="2" customWidth="1"/>
    <col min="6977" max="6977" width="7.5703125" style="2" customWidth="1"/>
    <col min="6978" max="6978" width="13.140625" style="2" bestFit="1" customWidth="1"/>
    <col min="6979" max="6980" width="13.140625" style="2" customWidth="1"/>
    <col min="6981" max="6986" width="10.7109375" style="2" bestFit="1" customWidth="1"/>
    <col min="6987" max="6987" width="12.140625" style="2" bestFit="1" customWidth="1"/>
    <col min="6988" max="6992" width="10.7109375" style="2" bestFit="1" customWidth="1"/>
    <col min="6993" max="6993" width="11.42578125" style="2"/>
    <col min="6994" max="6994" width="13.140625" style="2" bestFit="1" customWidth="1"/>
    <col min="6995" max="7168" width="11.42578125" style="2"/>
    <col min="7169" max="7169" width="0.85546875" style="2" customWidth="1"/>
    <col min="7170" max="7170" width="15.140625" style="2" bestFit="1" customWidth="1"/>
    <col min="7171" max="7201" width="0" style="2" hidden="1" customWidth="1"/>
    <col min="7202" max="7203" width="10.42578125" style="2" customWidth="1"/>
    <col min="7204" max="7204" width="5.85546875" style="2" customWidth="1"/>
    <col min="7205" max="7205" width="4.7109375" style="2" customWidth="1"/>
    <col min="7206" max="7217" width="0" style="2" hidden="1" customWidth="1"/>
    <col min="7218" max="7218" width="11.42578125" style="2" customWidth="1"/>
    <col min="7219" max="7219" width="13.140625" style="2" customWidth="1"/>
    <col min="7220" max="7220" width="11.42578125" style="2" customWidth="1"/>
    <col min="7221" max="7221" width="11.5703125" style="2" customWidth="1"/>
    <col min="7222" max="7222" width="12.140625" style="2" customWidth="1"/>
    <col min="7223" max="7223" width="11.5703125" style="2" customWidth="1"/>
    <col min="7224" max="7224" width="12.140625" style="2" customWidth="1"/>
    <col min="7225" max="7225" width="11.5703125" style="2" customWidth="1"/>
    <col min="7226" max="7226" width="12.140625" style="2" customWidth="1"/>
    <col min="7227" max="7227" width="11.42578125" style="2" customWidth="1"/>
    <col min="7228" max="7228" width="13.140625" style="2" customWidth="1"/>
    <col min="7229" max="7229" width="12.140625" style="2" customWidth="1"/>
    <col min="7230" max="7230" width="11.42578125" style="2" customWidth="1"/>
    <col min="7231" max="7231" width="13.140625" style="2" customWidth="1"/>
    <col min="7232" max="7232" width="15" style="2" customWidth="1"/>
    <col min="7233" max="7233" width="7.5703125" style="2" customWidth="1"/>
    <col min="7234" max="7234" width="13.140625" style="2" bestFit="1" customWidth="1"/>
    <col min="7235" max="7236" width="13.140625" style="2" customWidth="1"/>
    <col min="7237" max="7242" width="10.7109375" style="2" bestFit="1" customWidth="1"/>
    <col min="7243" max="7243" width="12.140625" style="2" bestFit="1" customWidth="1"/>
    <col min="7244" max="7248" width="10.7109375" style="2" bestFit="1" customWidth="1"/>
    <col min="7249" max="7249" width="11.42578125" style="2"/>
    <col min="7250" max="7250" width="13.140625" style="2" bestFit="1" customWidth="1"/>
    <col min="7251" max="7424" width="11.42578125" style="2"/>
    <col min="7425" max="7425" width="0.85546875" style="2" customWidth="1"/>
    <col min="7426" max="7426" width="15.140625" style="2" bestFit="1" customWidth="1"/>
    <col min="7427" max="7457" width="0" style="2" hidden="1" customWidth="1"/>
    <col min="7458" max="7459" width="10.42578125" style="2" customWidth="1"/>
    <col min="7460" max="7460" width="5.85546875" style="2" customWidth="1"/>
    <col min="7461" max="7461" width="4.7109375" style="2" customWidth="1"/>
    <col min="7462" max="7473" width="0" style="2" hidden="1" customWidth="1"/>
    <col min="7474" max="7474" width="11.42578125" style="2" customWidth="1"/>
    <col min="7475" max="7475" width="13.140625" style="2" customWidth="1"/>
    <col min="7476" max="7476" width="11.42578125" style="2" customWidth="1"/>
    <col min="7477" max="7477" width="11.5703125" style="2" customWidth="1"/>
    <col min="7478" max="7478" width="12.140625" style="2" customWidth="1"/>
    <col min="7479" max="7479" width="11.5703125" style="2" customWidth="1"/>
    <col min="7480" max="7480" width="12.140625" style="2" customWidth="1"/>
    <col min="7481" max="7481" width="11.5703125" style="2" customWidth="1"/>
    <col min="7482" max="7482" width="12.140625" style="2" customWidth="1"/>
    <col min="7483" max="7483" width="11.42578125" style="2" customWidth="1"/>
    <col min="7484" max="7484" width="13.140625" style="2" customWidth="1"/>
    <col min="7485" max="7485" width="12.140625" style="2" customWidth="1"/>
    <col min="7486" max="7486" width="11.42578125" style="2" customWidth="1"/>
    <col min="7487" max="7487" width="13.140625" style="2" customWidth="1"/>
    <col min="7488" max="7488" width="15" style="2" customWidth="1"/>
    <col min="7489" max="7489" width="7.5703125" style="2" customWidth="1"/>
    <col min="7490" max="7490" width="13.140625" style="2" bestFit="1" customWidth="1"/>
    <col min="7491" max="7492" width="13.140625" style="2" customWidth="1"/>
    <col min="7493" max="7498" width="10.7109375" style="2" bestFit="1" customWidth="1"/>
    <col min="7499" max="7499" width="12.140625" style="2" bestFit="1" customWidth="1"/>
    <col min="7500" max="7504" width="10.7109375" style="2" bestFit="1" customWidth="1"/>
    <col min="7505" max="7505" width="11.42578125" style="2"/>
    <col min="7506" max="7506" width="13.140625" style="2" bestFit="1" customWidth="1"/>
    <col min="7507" max="7680" width="11.42578125" style="2"/>
    <col min="7681" max="7681" width="0.85546875" style="2" customWidth="1"/>
    <col min="7682" max="7682" width="15.140625" style="2" bestFit="1" customWidth="1"/>
    <col min="7683" max="7713" width="0" style="2" hidden="1" customWidth="1"/>
    <col min="7714" max="7715" width="10.42578125" style="2" customWidth="1"/>
    <col min="7716" max="7716" width="5.85546875" style="2" customWidth="1"/>
    <col min="7717" max="7717" width="4.7109375" style="2" customWidth="1"/>
    <col min="7718" max="7729" width="0" style="2" hidden="1" customWidth="1"/>
    <col min="7730" max="7730" width="11.42578125" style="2" customWidth="1"/>
    <col min="7731" max="7731" width="13.140625" style="2" customWidth="1"/>
    <col min="7732" max="7732" width="11.42578125" style="2" customWidth="1"/>
    <col min="7733" max="7733" width="11.5703125" style="2" customWidth="1"/>
    <col min="7734" max="7734" width="12.140625" style="2" customWidth="1"/>
    <col min="7735" max="7735" width="11.5703125" style="2" customWidth="1"/>
    <col min="7736" max="7736" width="12.140625" style="2" customWidth="1"/>
    <col min="7737" max="7737" width="11.5703125" style="2" customWidth="1"/>
    <col min="7738" max="7738" width="12.140625" style="2" customWidth="1"/>
    <col min="7739" max="7739" width="11.42578125" style="2" customWidth="1"/>
    <col min="7740" max="7740" width="13.140625" style="2" customWidth="1"/>
    <col min="7741" max="7741" width="12.140625" style="2" customWidth="1"/>
    <col min="7742" max="7742" width="11.42578125" style="2" customWidth="1"/>
    <col min="7743" max="7743" width="13.140625" style="2" customWidth="1"/>
    <col min="7744" max="7744" width="15" style="2" customWidth="1"/>
    <col min="7745" max="7745" width="7.5703125" style="2" customWidth="1"/>
    <col min="7746" max="7746" width="13.140625" style="2" bestFit="1" customWidth="1"/>
    <col min="7747" max="7748" width="13.140625" style="2" customWidth="1"/>
    <col min="7749" max="7754" width="10.7109375" style="2" bestFit="1" customWidth="1"/>
    <col min="7755" max="7755" width="12.140625" style="2" bestFit="1" customWidth="1"/>
    <col min="7756" max="7760" width="10.7109375" style="2" bestFit="1" customWidth="1"/>
    <col min="7761" max="7761" width="11.42578125" style="2"/>
    <col min="7762" max="7762" width="13.140625" style="2" bestFit="1" customWidth="1"/>
    <col min="7763" max="7936" width="11.42578125" style="2"/>
    <col min="7937" max="7937" width="0.85546875" style="2" customWidth="1"/>
    <col min="7938" max="7938" width="15.140625" style="2" bestFit="1" customWidth="1"/>
    <col min="7939" max="7969" width="0" style="2" hidden="1" customWidth="1"/>
    <col min="7970" max="7971" width="10.42578125" style="2" customWidth="1"/>
    <col min="7972" max="7972" width="5.85546875" style="2" customWidth="1"/>
    <col min="7973" max="7973" width="4.7109375" style="2" customWidth="1"/>
    <col min="7974" max="7985" width="0" style="2" hidden="1" customWidth="1"/>
    <col min="7986" max="7986" width="11.42578125" style="2" customWidth="1"/>
    <col min="7987" max="7987" width="13.140625" style="2" customWidth="1"/>
    <col min="7988" max="7988" width="11.42578125" style="2" customWidth="1"/>
    <col min="7989" max="7989" width="11.5703125" style="2" customWidth="1"/>
    <col min="7990" max="7990" width="12.140625" style="2" customWidth="1"/>
    <col min="7991" max="7991" width="11.5703125" style="2" customWidth="1"/>
    <col min="7992" max="7992" width="12.140625" style="2" customWidth="1"/>
    <col min="7993" max="7993" width="11.5703125" style="2" customWidth="1"/>
    <col min="7994" max="7994" width="12.140625" style="2" customWidth="1"/>
    <col min="7995" max="7995" width="11.42578125" style="2" customWidth="1"/>
    <col min="7996" max="7996" width="13.140625" style="2" customWidth="1"/>
    <col min="7997" max="7997" width="12.140625" style="2" customWidth="1"/>
    <col min="7998" max="7998" width="11.42578125" style="2" customWidth="1"/>
    <col min="7999" max="7999" width="13.140625" style="2" customWidth="1"/>
    <col min="8000" max="8000" width="15" style="2" customWidth="1"/>
    <col min="8001" max="8001" width="7.5703125" style="2" customWidth="1"/>
    <col min="8002" max="8002" width="13.140625" style="2" bestFit="1" customWidth="1"/>
    <col min="8003" max="8004" width="13.140625" style="2" customWidth="1"/>
    <col min="8005" max="8010" width="10.7109375" style="2" bestFit="1" customWidth="1"/>
    <col min="8011" max="8011" width="12.140625" style="2" bestFit="1" customWidth="1"/>
    <col min="8012" max="8016" width="10.7109375" style="2" bestFit="1" customWidth="1"/>
    <col min="8017" max="8017" width="11.42578125" style="2"/>
    <col min="8018" max="8018" width="13.140625" style="2" bestFit="1" customWidth="1"/>
    <col min="8019" max="8192" width="11.42578125" style="2"/>
    <col min="8193" max="8193" width="0.85546875" style="2" customWidth="1"/>
    <col min="8194" max="8194" width="15.140625" style="2" bestFit="1" customWidth="1"/>
    <col min="8195" max="8225" width="0" style="2" hidden="1" customWidth="1"/>
    <col min="8226" max="8227" width="10.42578125" style="2" customWidth="1"/>
    <col min="8228" max="8228" width="5.85546875" style="2" customWidth="1"/>
    <col min="8229" max="8229" width="4.7109375" style="2" customWidth="1"/>
    <col min="8230" max="8241" width="0" style="2" hidden="1" customWidth="1"/>
    <col min="8242" max="8242" width="11.42578125" style="2" customWidth="1"/>
    <col min="8243" max="8243" width="13.140625" style="2" customWidth="1"/>
    <col min="8244" max="8244" width="11.42578125" style="2" customWidth="1"/>
    <col min="8245" max="8245" width="11.5703125" style="2" customWidth="1"/>
    <col min="8246" max="8246" width="12.140625" style="2" customWidth="1"/>
    <col min="8247" max="8247" width="11.5703125" style="2" customWidth="1"/>
    <col min="8248" max="8248" width="12.140625" style="2" customWidth="1"/>
    <col min="8249" max="8249" width="11.5703125" style="2" customWidth="1"/>
    <col min="8250" max="8250" width="12.140625" style="2" customWidth="1"/>
    <col min="8251" max="8251" width="11.42578125" style="2" customWidth="1"/>
    <col min="8252" max="8252" width="13.140625" style="2" customWidth="1"/>
    <col min="8253" max="8253" width="12.140625" style="2" customWidth="1"/>
    <col min="8254" max="8254" width="11.42578125" style="2" customWidth="1"/>
    <col min="8255" max="8255" width="13.140625" style="2" customWidth="1"/>
    <col min="8256" max="8256" width="15" style="2" customWidth="1"/>
    <col min="8257" max="8257" width="7.5703125" style="2" customWidth="1"/>
    <col min="8258" max="8258" width="13.140625" style="2" bestFit="1" customWidth="1"/>
    <col min="8259" max="8260" width="13.140625" style="2" customWidth="1"/>
    <col min="8261" max="8266" width="10.7109375" style="2" bestFit="1" customWidth="1"/>
    <col min="8267" max="8267" width="12.140625" style="2" bestFit="1" customWidth="1"/>
    <col min="8268" max="8272" width="10.7109375" style="2" bestFit="1" customWidth="1"/>
    <col min="8273" max="8273" width="11.42578125" style="2"/>
    <col min="8274" max="8274" width="13.140625" style="2" bestFit="1" customWidth="1"/>
    <col min="8275" max="8448" width="11.42578125" style="2"/>
    <col min="8449" max="8449" width="0.85546875" style="2" customWidth="1"/>
    <col min="8450" max="8450" width="15.140625" style="2" bestFit="1" customWidth="1"/>
    <col min="8451" max="8481" width="0" style="2" hidden="1" customWidth="1"/>
    <col min="8482" max="8483" width="10.42578125" style="2" customWidth="1"/>
    <col min="8484" max="8484" width="5.85546875" style="2" customWidth="1"/>
    <col min="8485" max="8485" width="4.7109375" style="2" customWidth="1"/>
    <col min="8486" max="8497" width="0" style="2" hidden="1" customWidth="1"/>
    <col min="8498" max="8498" width="11.42578125" style="2" customWidth="1"/>
    <col min="8499" max="8499" width="13.140625" style="2" customWidth="1"/>
    <col min="8500" max="8500" width="11.42578125" style="2" customWidth="1"/>
    <col min="8501" max="8501" width="11.5703125" style="2" customWidth="1"/>
    <col min="8502" max="8502" width="12.140625" style="2" customWidth="1"/>
    <col min="8503" max="8503" width="11.5703125" style="2" customWidth="1"/>
    <col min="8504" max="8504" width="12.140625" style="2" customWidth="1"/>
    <col min="8505" max="8505" width="11.5703125" style="2" customWidth="1"/>
    <col min="8506" max="8506" width="12.140625" style="2" customWidth="1"/>
    <col min="8507" max="8507" width="11.42578125" style="2" customWidth="1"/>
    <col min="8508" max="8508" width="13.140625" style="2" customWidth="1"/>
    <col min="8509" max="8509" width="12.140625" style="2" customWidth="1"/>
    <col min="8510" max="8510" width="11.42578125" style="2" customWidth="1"/>
    <col min="8511" max="8511" width="13.140625" style="2" customWidth="1"/>
    <col min="8512" max="8512" width="15" style="2" customWidth="1"/>
    <col min="8513" max="8513" width="7.5703125" style="2" customWidth="1"/>
    <col min="8514" max="8514" width="13.140625" style="2" bestFit="1" customWidth="1"/>
    <col min="8515" max="8516" width="13.140625" style="2" customWidth="1"/>
    <col min="8517" max="8522" width="10.7109375" style="2" bestFit="1" customWidth="1"/>
    <col min="8523" max="8523" width="12.140625" style="2" bestFit="1" customWidth="1"/>
    <col min="8524" max="8528" width="10.7109375" style="2" bestFit="1" customWidth="1"/>
    <col min="8529" max="8529" width="11.42578125" style="2"/>
    <col min="8530" max="8530" width="13.140625" style="2" bestFit="1" customWidth="1"/>
    <col min="8531" max="8704" width="11.42578125" style="2"/>
    <col min="8705" max="8705" width="0.85546875" style="2" customWidth="1"/>
    <col min="8706" max="8706" width="15.140625" style="2" bestFit="1" customWidth="1"/>
    <col min="8707" max="8737" width="0" style="2" hidden="1" customWidth="1"/>
    <col min="8738" max="8739" width="10.42578125" style="2" customWidth="1"/>
    <col min="8740" max="8740" width="5.85546875" style="2" customWidth="1"/>
    <col min="8741" max="8741" width="4.7109375" style="2" customWidth="1"/>
    <col min="8742" max="8753" width="0" style="2" hidden="1" customWidth="1"/>
    <col min="8754" max="8754" width="11.42578125" style="2" customWidth="1"/>
    <col min="8755" max="8755" width="13.140625" style="2" customWidth="1"/>
    <col min="8756" max="8756" width="11.42578125" style="2" customWidth="1"/>
    <col min="8757" max="8757" width="11.5703125" style="2" customWidth="1"/>
    <col min="8758" max="8758" width="12.140625" style="2" customWidth="1"/>
    <col min="8759" max="8759" width="11.5703125" style="2" customWidth="1"/>
    <col min="8760" max="8760" width="12.140625" style="2" customWidth="1"/>
    <col min="8761" max="8761" width="11.5703125" style="2" customWidth="1"/>
    <col min="8762" max="8762" width="12.140625" style="2" customWidth="1"/>
    <col min="8763" max="8763" width="11.42578125" style="2" customWidth="1"/>
    <col min="8764" max="8764" width="13.140625" style="2" customWidth="1"/>
    <col min="8765" max="8765" width="12.140625" style="2" customWidth="1"/>
    <col min="8766" max="8766" width="11.42578125" style="2" customWidth="1"/>
    <col min="8767" max="8767" width="13.140625" style="2" customWidth="1"/>
    <col min="8768" max="8768" width="15" style="2" customWidth="1"/>
    <col min="8769" max="8769" width="7.5703125" style="2" customWidth="1"/>
    <col min="8770" max="8770" width="13.140625" style="2" bestFit="1" customWidth="1"/>
    <col min="8771" max="8772" width="13.140625" style="2" customWidth="1"/>
    <col min="8773" max="8778" width="10.7109375" style="2" bestFit="1" customWidth="1"/>
    <col min="8779" max="8779" width="12.140625" style="2" bestFit="1" customWidth="1"/>
    <col min="8780" max="8784" width="10.7109375" style="2" bestFit="1" customWidth="1"/>
    <col min="8785" max="8785" width="11.42578125" style="2"/>
    <col min="8786" max="8786" width="13.140625" style="2" bestFit="1" customWidth="1"/>
    <col min="8787" max="8960" width="11.42578125" style="2"/>
    <col min="8961" max="8961" width="0.85546875" style="2" customWidth="1"/>
    <col min="8962" max="8962" width="15.140625" style="2" bestFit="1" customWidth="1"/>
    <col min="8963" max="8993" width="0" style="2" hidden="1" customWidth="1"/>
    <col min="8994" max="8995" width="10.42578125" style="2" customWidth="1"/>
    <col min="8996" max="8996" width="5.85546875" style="2" customWidth="1"/>
    <col min="8997" max="8997" width="4.7109375" style="2" customWidth="1"/>
    <col min="8998" max="9009" width="0" style="2" hidden="1" customWidth="1"/>
    <col min="9010" max="9010" width="11.42578125" style="2" customWidth="1"/>
    <col min="9011" max="9011" width="13.140625" style="2" customWidth="1"/>
    <col min="9012" max="9012" width="11.42578125" style="2" customWidth="1"/>
    <col min="9013" max="9013" width="11.5703125" style="2" customWidth="1"/>
    <col min="9014" max="9014" width="12.140625" style="2" customWidth="1"/>
    <col min="9015" max="9015" width="11.5703125" style="2" customWidth="1"/>
    <col min="9016" max="9016" width="12.140625" style="2" customWidth="1"/>
    <col min="9017" max="9017" width="11.5703125" style="2" customWidth="1"/>
    <col min="9018" max="9018" width="12.140625" style="2" customWidth="1"/>
    <col min="9019" max="9019" width="11.42578125" style="2" customWidth="1"/>
    <col min="9020" max="9020" width="13.140625" style="2" customWidth="1"/>
    <col min="9021" max="9021" width="12.140625" style="2" customWidth="1"/>
    <col min="9022" max="9022" width="11.42578125" style="2" customWidth="1"/>
    <col min="9023" max="9023" width="13.140625" style="2" customWidth="1"/>
    <col min="9024" max="9024" width="15" style="2" customWidth="1"/>
    <col min="9025" max="9025" width="7.5703125" style="2" customWidth="1"/>
    <col min="9026" max="9026" width="13.140625" style="2" bestFit="1" customWidth="1"/>
    <col min="9027" max="9028" width="13.140625" style="2" customWidth="1"/>
    <col min="9029" max="9034" width="10.7109375" style="2" bestFit="1" customWidth="1"/>
    <col min="9035" max="9035" width="12.140625" style="2" bestFit="1" customWidth="1"/>
    <col min="9036" max="9040" width="10.7109375" style="2" bestFit="1" customWidth="1"/>
    <col min="9041" max="9041" width="11.42578125" style="2"/>
    <col min="9042" max="9042" width="13.140625" style="2" bestFit="1" customWidth="1"/>
    <col min="9043" max="9216" width="11.42578125" style="2"/>
    <col min="9217" max="9217" width="0.85546875" style="2" customWidth="1"/>
    <col min="9218" max="9218" width="15.140625" style="2" bestFit="1" customWidth="1"/>
    <col min="9219" max="9249" width="0" style="2" hidden="1" customWidth="1"/>
    <col min="9250" max="9251" width="10.42578125" style="2" customWidth="1"/>
    <col min="9252" max="9252" width="5.85546875" style="2" customWidth="1"/>
    <col min="9253" max="9253" width="4.7109375" style="2" customWidth="1"/>
    <col min="9254" max="9265" width="0" style="2" hidden="1" customWidth="1"/>
    <col min="9266" max="9266" width="11.42578125" style="2" customWidth="1"/>
    <col min="9267" max="9267" width="13.140625" style="2" customWidth="1"/>
    <col min="9268" max="9268" width="11.42578125" style="2" customWidth="1"/>
    <col min="9269" max="9269" width="11.5703125" style="2" customWidth="1"/>
    <col min="9270" max="9270" width="12.140625" style="2" customWidth="1"/>
    <col min="9271" max="9271" width="11.5703125" style="2" customWidth="1"/>
    <col min="9272" max="9272" width="12.140625" style="2" customWidth="1"/>
    <col min="9273" max="9273" width="11.5703125" style="2" customWidth="1"/>
    <col min="9274" max="9274" width="12.140625" style="2" customWidth="1"/>
    <col min="9275" max="9275" width="11.42578125" style="2" customWidth="1"/>
    <col min="9276" max="9276" width="13.140625" style="2" customWidth="1"/>
    <col min="9277" max="9277" width="12.140625" style="2" customWidth="1"/>
    <col min="9278" max="9278" width="11.42578125" style="2" customWidth="1"/>
    <col min="9279" max="9279" width="13.140625" style="2" customWidth="1"/>
    <col min="9280" max="9280" width="15" style="2" customWidth="1"/>
    <col min="9281" max="9281" width="7.5703125" style="2" customWidth="1"/>
    <col min="9282" max="9282" width="13.140625" style="2" bestFit="1" customWidth="1"/>
    <col min="9283" max="9284" width="13.140625" style="2" customWidth="1"/>
    <col min="9285" max="9290" width="10.7109375" style="2" bestFit="1" customWidth="1"/>
    <col min="9291" max="9291" width="12.140625" style="2" bestFit="1" customWidth="1"/>
    <col min="9292" max="9296" width="10.7109375" style="2" bestFit="1" customWidth="1"/>
    <col min="9297" max="9297" width="11.42578125" style="2"/>
    <col min="9298" max="9298" width="13.140625" style="2" bestFit="1" customWidth="1"/>
    <col min="9299" max="9472" width="11.42578125" style="2"/>
    <col min="9473" max="9473" width="0.85546875" style="2" customWidth="1"/>
    <col min="9474" max="9474" width="15.140625" style="2" bestFit="1" customWidth="1"/>
    <col min="9475" max="9505" width="0" style="2" hidden="1" customWidth="1"/>
    <col min="9506" max="9507" width="10.42578125" style="2" customWidth="1"/>
    <col min="9508" max="9508" width="5.85546875" style="2" customWidth="1"/>
    <col min="9509" max="9509" width="4.7109375" style="2" customWidth="1"/>
    <col min="9510" max="9521" width="0" style="2" hidden="1" customWidth="1"/>
    <col min="9522" max="9522" width="11.42578125" style="2" customWidth="1"/>
    <col min="9523" max="9523" width="13.140625" style="2" customWidth="1"/>
    <col min="9524" max="9524" width="11.42578125" style="2" customWidth="1"/>
    <col min="9525" max="9525" width="11.5703125" style="2" customWidth="1"/>
    <col min="9526" max="9526" width="12.140625" style="2" customWidth="1"/>
    <col min="9527" max="9527" width="11.5703125" style="2" customWidth="1"/>
    <col min="9528" max="9528" width="12.140625" style="2" customWidth="1"/>
    <col min="9529" max="9529" width="11.5703125" style="2" customWidth="1"/>
    <col min="9530" max="9530" width="12.140625" style="2" customWidth="1"/>
    <col min="9531" max="9531" width="11.42578125" style="2" customWidth="1"/>
    <col min="9532" max="9532" width="13.140625" style="2" customWidth="1"/>
    <col min="9533" max="9533" width="12.140625" style="2" customWidth="1"/>
    <col min="9534" max="9534" width="11.42578125" style="2" customWidth="1"/>
    <col min="9535" max="9535" width="13.140625" style="2" customWidth="1"/>
    <col min="9536" max="9536" width="15" style="2" customWidth="1"/>
    <col min="9537" max="9537" width="7.5703125" style="2" customWidth="1"/>
    <col min="9538" max="9538" width="13.140625" style="2" bestFit="1" customWidth="1"/>
    <col min="9539" max="9540" width="13.140625" style="2" customWidth="1"/>
    <col min="9541" max="9546" width="10.7109375" style="2" bestFit="1" customWidth="1"/>
    <col min="9547" max="9547" width="12.140625" style="2" bestFit="1" customWidth="1"/>
    <col min="9548" max="9552" width="10.7109375" style="2" bestFit="1" customWidth="1"/>
    <col min="9553" max="9553" width="11.42578125" style="2"/>
    <col min="9554" max="9554" width="13.140625" style="2" bestFit="1" customWidth="1"/>
    <col min="9555" max="9728" width="11.42578125" style="2"/>
    <col min="9729" max="9729" width="0.85546875" style="2" customWidth="1"/>
    <col min="9730" max="9730" width="15.140625" style="2" bestFit="1" customWidth="1"/>
    <col min="9731" max="9761" width="0" style="2" hidden="1" customWidth="1"/>
    <col min="9762" max="9763" width="10.42578125" style="2" customWidth="1"/>
    <col min="9764" max="9764" width="5.85546875" style="2" customWidth="1"/>
    <col min="9765" max="9765" width="4.7109375" style="2" customWidth="1"/>
    <col min="9766" max="9777" width="0" style="2" hidden="1" customWidth="1"/>
    <col min="9778" max="9778" width="11.42578125" style="2" customWidth="1"/>
    <col min="9779" max="9779" width="13.140625" style="2" customWidth="1"/>
    <col min="9780" max="9780" width="11.42578125" style="2" customWidth="1"/>
    <col min="9781" max="9781" width="11.5703125" style="2" customWidth="1"/>
    <col min="9782" max="9782" width="12.140625" style="2" customWidth="1"/>
    <col min="9783" max="9783" width="11.5703125" style="2" customWidth="1"/>
    <col min="9784" max="9784" width="12.140625" style="2" customWidth="1"/>
    <col min="9785" max="9785" width="11.5703125" style="2" customWidth="1"/>
    <col min="9786" max="9786" width="12.140625" style="2" customWidth="1"/>
    <col min="9787" max="9787" width="11.42578125" style="2" customWidth="1"/>
    <col min="9788" max="9788" width="13.140625" style="2" customWidth="1"/>
    <col min="9789" max="9789" width="12.140625" style="2" customWidth="1"/>
    <col min="9790" max="9790" width="11.42578125" style="2" customWidth="1"/>
    <col min="9791" max="9791" width="13.140625" style="2" customWidth="1"/>
    <col min="9792" max="9792" width="15" style="2" customWidth="1"/>
    <col min="9793" max="9793" width="7.5703125" style="2" customWidth="1"/>
    <col min="9794" max="9794" width="13.140625" style="2" bestFit="1" customWidth="1"/>
    <col min="9795" max="9796" width="13.140625" style="2" customWidth="1"/>
    <col min="9797" max="9802" width="10.7109375" style="2" bestFit="1" customWidth="1"/>
    <col min="9803" max="9803" width="12.140625" style="2" bestFit="1" customWidth="1"/>
    <col min="9804" max="9808" width="10.7109375" style="2" bestFit="1" customWidth="1"/>
    <col min="9809" max="9809" width="11.42578125" style="2"/>
    <col min="9810" max="9810" width="13.140625" style="2" bestFit="1" customWidth="1"/>
    <col min="9811" max="9984" width="11.42578125" style="2"/>
    <col min="9985" max="9985" width="0.85546875" style="2" customWidth="1"/>
    <col min="9986" max="9986" width="15.140625" style="2" bestFit="1" customWidth="1"/>
    <col min="9987" max="10017" width="0" style="2" hidden="1" customWidth="1"/>
    <col min="10018" max="10019" width="10.42578125" style="2" customWidth="1"/>
    <col min="10020" max="10020" width="5.85546875" style="2" customWidth="1"/>
    <col min="10021" max="10021" width="4.7109375" style="2" customWidth="1"/>
    <col min="10022" max="10033" width="0" style="2" hidden="1" customWidth="1"/>
    <col min="10034" max="10034" width="11.42578125" style="2" customWidth="1"/>
    <col min="10035" max="10035" width="13.140625" style="2" customWidth="1"/>
    <col min="10036" max="10036" width="11.42578125" style="2" customWidth="1"/>
    <col min="10037" max="10037" width="11.5703125" style="2" customWidth="1"/>
    <col min="10038" max="10038" width="12.140625" style="2" customWidth="1"/>
    <col min="10039" max="10039" width="11.5703125" style="2" customWidth="1"/>
    <col min="10040" max="10040" width="12.140625" style="2" customWidth="1"/>
    <col min="10041" max="10041" width="11.5703125" style="2" customWidth="1"/>
    <col min="10042" max="10042" width="12.140625" style="2" customWidth="1"/>
    <col min="10043" max="10043" width="11.42578125" style="2" customWidth="1"/>
    <col min="10044" max="10044" width="13.140625" style="2" customWidth="1"/>
    <col min="10045" max="10045" width="12.140625" style="2" customWidth="1"/>
    <col min="10046" max="10046" width="11.42578125" style="2" customWidth="1"/>
    <col min="10047" max="10047" width="13.140625" style="2" customWidth="1"/>
    <col min="10048" max="10048" width="15" style="2" customWidth="1"/>
    <col min="10049" max="10049" width="7.5703125" style="2" customWidth="1"/>
    <col min="10050" max="10050" width="13.140625" style="2" bestFit="1" customWidth="1"/>
    <col min="10051" max="10052" width="13.140625" style="2" customWidth="1"/>
    <col min="10053" max="10058" width="10.7109375" style="2" bestFit="1" customWidth="1"/>
    <col min="10059" max="10059" width="12.140625" style="2" bestFit="1" customWidth="1"/>
    <col min="10060" max="10064" width="10.7109375" style="2" bestFit="1" customWidth="1"/>
    <col min="10065" max="10065" width="11.42578125" style="2"/>
    <col min="10066" max="10066" width="13.140625" style="2" bestFit="1" customWidth="1"/>
    <col min="10067" max="10240" width="11.42578125" style="2"/>
    <col min="10241" max="10241" width="0.85546875" style="2" customWidth="1"/>
    <col min="10242" max="10242" width="15.140625" style="2" bestFit="1" customWidth="1"/>
    <col min="10243" max="10273" width="0" style="2" hidden="1" customWidth="1"/>
    <col min="10274" max="10275" width="10.42578125" style="2" customWidth="1"/>
    <col min="10276" max="10276" width="5.85546875" style="2" customWidth="1"/>
    <col min="10277" max="10277" width="4.7109375" style="2" customWidth="1"/>
    <col min="10278" max="10289" width="0" style="2" hidden="1" customWidth="1"/>
    <col min="10290" max="10290" width="11.42578125" style="2" customWidth="1"/>
    <col min="10291" max="10291" width="13.140625" style="2" customWidth="1"/>
    <col min="10292" max="10292" width="11.42578125" style="2" customWidth="1"/>
    <col min="10293" max="10293" width="11.5703125" style="2" customWidth="1"/>
    <col min="10294" max="10294" width="12.140625" style="2" customWidth="1"/>
    <col min="10295" max="10295" width="11.5703125" style="2" customWidth="1"/>
    <col min="10296" max="10296" width="12.140625" style="2" customWidth="1"/>
    <col min="10297" max="10297" width="11.5703125" style="2" customWidth="1"/>
    <col min="10298" max="10298" width="12.140625" style="2" customWidth="1"/>
    <col min="10299" max="10299" width="11.42578125" style="2" customWidth="1"/>
    <col min="10300" max="10300" width="13.140625" style="2" customWidth="1"/>
    <col min="10301" max="10301" width="12.140625" style="2" customWidth="1"/>
    <col min="10302" max="10302" width="11.42578125" style="2" customWidth="1"/>
    <col min="10303" max="10303" width="13.140625" style="2" customWidth="1"/>
    <col min="10304" max="10304" width="15" style="2" customWidth="1"/>
    <col min="10305" max="10305" width="7.5703125" style="2" customWidth="1"/>
    <col min="10306" max="10306" width="13.140625" style="2" bestFit="1" customWidth="1"/>
    <col min="10307" max="10308" width="13.140625" style="2" customWidth="1"/>
    <col min="10309" max="10314" width="10.7109375" style="2" bestFit="1" customWidth="1"/>
    <col min="10315" max="10315" width="12.140625" style="2" bestFit="1" customWidth="1"/>
    <col min="10316" max="10320" width="10.7109375" style="2" bestFit="1" customWidth="1"/>
    <col min="10321" max="10321" width="11.42578125" style="2"/>
    <col min="10322" max="10322" width="13.140625" style="2" bestFit="1" customWidth="1"/>
    <col min="10323" max="10496" width="11.42578125" style="2"/>
    <col min="10497" max="10497" width="0.85546875" style="2" customWidth="1"/>
    <col min="10498" max="10498" width="15.140625" style="2" bestFit="1" customWidth="1"/>
    <col min="10499" max="10529" width="0" style="2" hidden="1" customWidth="1"/>
    <col min="10530" max="10531" width="10.42578125" style="2" customWidth="1"/>
    <col min="10532" max="10532" width="5.85546875" style="2" customWidth="1"/>
    <col min="10533" max="10533" width="4.7109375" style="2" customWidth="1"/>
    <col min="10534" max="10545" width="0" style="2" hidden="1" customWidth="1"/>
    <col min="10546" max="10546" width="11.42578125" style="2" customWidth="1"/>
    <col min="10547" max="10547" width="13.140625" style="2" customWidth="1"/>
    <col min="10548" max="10548" width="11.42578125" style="2" customWidth="1"/>
    <col min="10549" max="10549" width="11.5703125" style="2" customWidth="1"/>
    <col min="10550" max="10550" width="12.140625" style="2" customWidth="1"/>
    <col min="10551" max="10551" width="11.5703125" style="2" customWidth="1"/>
    <col min="10552" max="10552" width="12.140625" style="2" customWidth="1"/>
    <col min="10553" max="10553" width="11.5703125" style="2" customWidth="1"/>
    <col min="10554" max="10554" width="12.140625" style="2" customWidth="1"/>
    <col min="10555" max="10555" width="11.42578125" style="2" customWidth="1"/>
    <col min="10556" max="10556" width="13.140625" style="2" customWidth="1"/>
    <col min="10557" max="10557" width="12.140625" style="2" customWidth="1"/>
    <col min="10558" max="10558" width="11.42578125" style="2" customWidth="1"/>
    <col min="10559" max="10559" width="13.140625" style="2" customWidth="1"/>
    <col min="10560" max="10560" width="15" style="2" customWidth="1"/>
    <col min="10561" max="10561" width="7.5703125" style="2" customWidth="1"/>
    <col min="10562" max="10562" width="13.140625" style="2" bestFit="1" customWidth="1"/>
    <col min="10563" max="10564" width="13.140625" style="2" customWidth="1"/>
    <col min="10565" max="10570" width="10.7109375" style="2" bestFit="1" customWidth="1"/>
    <col min="10571" max="10571" width="12.140625" style="2" bestFit="1" customWidth="1"/>
    <col min="10572" max="10576" width="10.7109375" style="2" bestFit="1" customWidth="1"/>
    <col min="10577" max="10577" width="11.42578125" style="2"/>
    <col min="10578" max="10578" width="13.140625" style="2" bestFit="1" customWidth="1"/>
    <col min="10579" max="10752" width="11.42578125" style="2"/>
    <col min="10753" max="10753" width="0.85546875" style="2" customWidth="1"/>
    <col min="10754" max="10754" width="15.140625" style="2" bestFit="1" customWidth="1"/>
    <col min="10755" max="10785" width="0" style="2" hidden="1" customWidth="1"/>
    <col min="10786" max="10787" width="10.42578125" style="2" customWidth="1"/>
    <col min="10788" max="10788" width="5.85546875" style="2" customWidth="1"/>
    <col min="10789" max="10789" width="4.7109375" style="2" customWidth="1"/>
    <col min="10790" max="10801" width="0" style="2" hidden="1" customWidth="1"/>
    <col min="10802" max="10802" width="11.42578125" style="2" customWidth="1"/>
    <col min="10803" max="10803" width="13.140625" style="2" customWidth="1"/>
    <col min="10804" max="10804" width="11.42578125" style="2" customWidth="1"/>
    <col min="10805" max="10805" width="11.5703125" style="2" customWidth="1"/>
    <col min="10806" max="10806" width="12.140625" style="2" customWidth="1"/>
    <col min="10807" max="10807" width="11.5703125" style="2" customWidth="1"/>
    <col min="10808" max="10808" width="12.140625" style="2" customWidth="1"/>
    <col min="10809" max="10809" width="11.5703125" style="2" customWidth="1"/>
    <col min="10810" max="10810" width="12.140625" style="2" customWidth="1"/>
    <col min="10811" max="10811" width="11.42578125" style="2" customWidth="1"/>
    <col min="10812" max="10812" width="13.140625" style="2" customWidth="1"/>
    <col min="10813" max="10813" width="12.140625" style="2" customWidth="1"/>
    <col min="10814" max="10814" width="11.42578125" style="2" customWidth="1"/>
    <col min="10815" max="10815" width="13.140625" style="2" customWidth="1"/>
    <col min="10816" max="10816" width="15" style="2" customWidth="1"/>
    <col min="10817" max="10817" width="7.5703125" style="2" customWidth="1"/>
    <col min="10818" max="10818" width="13.140625" style="2" bestFit="1" customWidth="1"/>
    <col min="10819" max="10820" width="13.140625" style="2" customWidth="1"/>
    <col min="10821" max="10826" width="10.7109375" style="2" bestFit="1" customWidth="1"/>
    <col min="10827" max="10827" width="12.140625" style="2" bestFit="1" customWidth="1"/>
    <col min="10828" max="10832" width="10.7109375" style="2" bestFit="1" customWidth="1"/>
    <col min="10833" max="10833" width="11.42578125" style="2"/>
    <col min="10834" max="10834" width="13.140625" style="2" bestFit="1" customWidth="1"/>
    <col min="10835" max="11008" width="11.42578125" style="2"/>
    <col min="11009" max="11009" width="0.85546875" style="2" customWidth="1"/>
    <col min="11010" max="11010" width="15.140625" style="2" bestFit="1" customWidth="1"/>
    <col min="11011" max="11041" width="0" style="2" hidden="1" customWidth="1"/>
    <col min="11042" max="11043" width="10.42578125" style="2" customWidth="1"/>
    <col min="11044" max="11044" width="5.85546875" style="2" customWidth="1"/>
    <col min="11045" max="11045" width="4.7109375" style="2" customWidth="1"/>
    <col min="11046" max="11057" width="0" style="2" hidden="1" customWidth="1"/>
    <col min="11058" max="11058" width="11.42578125" style="2" customWidth="1"/>
    <col min="11059" max="11059" width="13.140625" style="2" customWidth="1"/>
    <col min="11060" max="11060" width="11.42578125" style="2" customWidth="1"/>
    <col min="11061" max="11061" width="11.5703125" style="2" customWidth="1"/>
    <col min="11062" max="11062" width="12.140625" style="2" customWidth="1"/>
    <col min="11063" max="11063" width="11.5703125" style="2" customWidth="1"/>
    <col min="11064" max="11064" width="12.140625" style="2" customWidth="1"/>
    <col min="11065" max="11065" width="11.5703125" style="2" customWidth="1"/>
    <col min="11066" max="11066" width="12.140625" style="2" customWidth="1"/>
    <col min="11067" max="11067" width="11.42578125" style="2" customWidth="1"/>
    <col min="11068" max="11068" width="13.140625" style="2" customWidth="1"/>
    <col min="11069" max="11069" width="12.140625" style="2" customWidth="1"/>
    <col min="11070" max="11070" width="11.42578125" style="2" customWidth="1"/>
    <col min="11071" max="11071" width="13.140625" style="2" customWidth="1"/>
    <col min="11072" max="11072" width="15" style="2" customWidth="1"/>
    <col min="11073" max="11073" width="7.5703125" style="2" customWidth="1"/>
    <col min="11074" max="11074" width="13.140625" style="2" bestFit="1" customWidth="1"/>
    <col min="11075" max="11076" width="13.140625" style="2" customWidth="1"/>
    <col min="11077" max="11082" width="10.7109375" style="2" bestFit="1" customWidth="1"/>
    <col min="11083" max="11083" width="12.140625" style="2" bestFit="1" customWidth="1"/>
    <col min="11084" max="11088" width="10.7109375" style="2" bestFit="1" customWidth="1"/>
    <col min="11089" max="11089" width="11.42578125" style="2"/>
    <col min="11090" max="11090" width="13.140625" style="2" bestFit="1" customWidth="1"/>
    <col min="11091" max="11264" width="11.42578125" style="2"/>
    <col min="11265" max="11265" width="0.85546875" style="2" customWidth="1"/>
    <col min="11266" max="11266" width="15.140625" style="2" bestFit="1" customWidth="1"/>
    <col min="11267" max="11297" width="0" style="2" hidden="1" customWidth="1"/>
    <col min="11298" max="11299" width="10.42578125" style="2" customWidth="1"/>
    <col min="11300" max="11300" width="5.85546875" style="2" customWidth="1"/>
    <col min="11301" max="11301" width="4.7109375" style="2" customWidth="1"/>
    <col min="11302" max="11313" width="0" style="2" hidden="1" customWidth="1"/>
    <col min="11314" max="11314" width="11.42578125" style="2" customWidth="1"/>
    <col min="11315" max="11315" width="13.140625" style="2" customWidth="1"/>
    <col min="11316" max="11316" width="11.42578125" style="2" customWidth="1"/>
    <col min="11317" max="11317" width="11.5703125" style="2" customWidth="1"/>
    <col min="11318" max="11318" width="12.140625" style="2" customWidth="1"/>
    <col min="11319" max="11319" width="11.5703125" style="2" customWidth="1"/>
    <col min="11320" max="11320" width="12.140625" style="2" customWidth="1"/>
    <col min="11321" max="11321" width="11.5703125" style="2" customWidth="1"/>
    <col min="11322" max="11322" width="12.140625" style="2" customWidth="1"/>
    <col min="11323" max="11323" width="11.42578125" style="2" customWidth="1"/>
    <col min="11324" max="11324" width="13.140625" style="2" customWidth="1"/>
    <col min="11325" max="11325" width="12.140625" style="2" customWidth="1"/>
    <col min="11326" max="11326" width="11.42578125" style="2" customWidth="1"/>
    <col min="11327" max="11327" width="13.140625" style="2" customWidth="1"/>
    <col min="11328" max="11328" width="15" style="2" customWidth="1"/>
    <col min="11329" max="11329" width="7.5703125" style="2" customWidth="1"/>
    <col min="11330" max="11330" width="13.140625" style="2" bestFit="1" customWidth="1"/>
    <col min="11331" max="11332" width="13.140625" style="2" customWidth="1"/>
    <col min="11333" max="11338" width="10.7109375" style="2" bestFit="1" customWidth="1"/>
    <col min="11339" max="11339" width="12.140625" style="2" bestFit="1" customWidth="1"/>
    <col min="11340" max="11344" width="10.7109375" style="2" bestFit="1" customWidth="1"/>
    <col min="11345" max="11345" width="11.42578125" style="2"/>
    <col min="11346" max="11346" width="13.140625" style="2" bestFit="1" customWidth="1"/>
    <col min="11347" max="11520" width="11.42578125" style="2"/>
    <col min="11521" max="11521" width="0.85546875" style="2" customWidth="1"/>
    <col min="11522" max="11522" width="15.140625" style="2" bestFit="1" customWidth="1"/>
    <col min="11523" max="11553" width="0" style="2" hidden="1" customWidth="1"/>
    <col min="11554" max="11555" width="10.42578125" style="2" customWidth="1"/>
    <col min="11556" max="11556" width="5.85546875" style="2" customWidth="1"/>
    <col min="11557" max="11557" width="4.7109375" style="2" customWidth="1"/>
    <col min="11558" max="11569" width="0" style="2" hidden="1" customWidth="1"/>
    <col min="11570" max="11570" width="11.42578125" style="2" customWidth="1"/>
    <col min="11571" max="11571" width="13.140625" style="2" customWidth="1"/>
    <col min="11572" max="11572" width="11.42578125" style="2" customWidth="1"/>
    <col min="11573" max="11573" width="11.5703125" style="2" customWidth="1"/>
    <col min="11574" max="11574" width="12.140625" style="2" customWidth="1"/>
    <col min="11575" max="11575" width="11.5703125" style="2" customWidth="1"/>
    <col min="11576" max="11576" width="12.140625" style="2" customWidth="1"/>
    <col min="11577" max="11577" width="11.5703125" style="2" customWidth="1"/>
    <col min="11578" max="11578" width="12.140625" style="2" customWidth="1"/>
    <col min="11579" max="11579" width="11.42578125" style="2" customWidth="1"/>
    <col min="11580" max="11580" width="13.140625" style="2" customWidth="1"/>
    <col min="11581" max="11581" width="12.140625" style="2" customWidth="1"/>
    <col min="11582" max="11582" width="11.42578125" style="2" customWidth="1"/>
    <col min="11583" max="11583" width="13.140625" style="2" customWidth="1"/>
    <col min="11584" max="11584" width="15" style="2" customWidth="1"/>
    <col min="11585" max="11585" width="7.5703125" style="2" customWidth="1"/>
    <col min="11586" max="11586" width="13.140625" style="2" bestFit="1" customWidth="1"/>
    <col min="11587" max="11588" width="13.140625" style="2" customWidth="1"/>
    <col min="11589" max="11594" width="10.7109375" style="2" bestFit="1" customWidth="1"/>
    <col min="11595" max="11595" width="12.140625" style="2" bestFit="1" customWidth="1"/>
    <col min="11596" max="11600" width="10.7109375" style="2" bestFit="1" customWidth="1"/>
    <col min="11601" max="11601" width="11.42578125" style="2"/>
    <col min="11602" max="11602" width="13.140625" style="2" bestFit="1" customWidth="1"/>
    <col min="11603" max="11776" width="11.42578125" style="2"/>
    <col min="11777" max="11777" width="0.85546875" style="2" customWidth="1"/>
    <col min="11778" max="11778" width="15.140625" style="2" bestFit="1" customWidth="1"/>
    <col min="11779" max="11809" width="0" style="2" hidden="1" customWidth="1"/>
    <col min="11810" max="11811" width="10.42578125" style="2" customWidth="1"/>
    <col min="11812" max="11812" width="5.85546875" style="2" customWidth="1"/>
    <col min="11813" max="11813" width="4.7109375" style="2" customWidth="1"/>
    <col min="11814" max="11825" width="0" style="2" hidden="1" customWidth="1"/>
    <col min="11826" max="11826" width="11.42578125" style="2" customWidth="1"/>
    <col min="11827" max="11827" width="13.140625" style="2" customWidth="1"/>
    <col min="11828" max="11828" width="11.42578125" style="2" customWidth="1"/>
    <col min="11829" max="11829" width="11.5703125" style="2" customWidth="1"/>
    <col min="11830" max="11830" width="12.140625" style="2" customWidth="1"/>
    <col min="11831" max="11831" width="11.5703125" style="2" customWidth="1"/>
    <col min="11832" max="11832" width="12.140625" style="2" customWidth="1"/>
    <col min="11833" max="11833" width="11.5703125" style="2" customWidth="1"/>
    <col min="11834" max="11834" width="12.140625" style="2" customWidth="1"/>
    <col min="11835" max="11835" width="11.42578125" style="2" customWidth="1"/>
    <col min="11836" max="11836" width="13.140625" style="2" customWidth="1"/>
    <col min="11837" max="11837" width="12.140625" style="2" customWidth="1"/>
    <col min="11838" max="11838" width="11.42578125" style="2" customWidth="1"/>
    <col min="11839" max="11839" width="13.140625" style="2" customWidth="1"/>
    <col min="11840" max="11840" width="15" style="2" customWidth="1"/>
    <col min="11841" max="11841" width="7.5703125" style="2" customWidth="1"/>
    <col min="11842" max="11842" width="13.140625" style="2" bestFit="1" customWidth="1"/>
    <col min="11843" max="11844" width="13.140625" style="2" customWidth="1"/>
    <col min="11845" max="11850" width="10.7109375" style="2" bestFit="1" customWidth="1"/>
    <col min="11851" max="11851" width="12.140625" style="2" bestFit="1" customWidth="1"/>
    <col min="11852" max="11856" width="10.7109375" style="2" bestFit="1" customWidth="1"/>
    <col min="11857" max="11857" width="11.42578125" style="2"/>
    <col min="11858" max="11858" width="13.140625" style="2" bestFit="1" customWidth="1"/>
    <col min="11859" max="12032" width="11.42578125" style="2"/>
    <col min="12033" max="12033" width="0.85546875" style="2" customWidth="1"/>
    <col min="12034" max="12034" width="15.140625" style="2" bestFit="1" customWidth="1"/>
    <col min="12035" max="12065" width="0" style="2" hidden="1" customWidth="1"/>
    <col min="12066" max="12067" width="10.42578125" style="2" customWidth="1"/>
    <col min="12068" max="12068" width="5.85546875" style="2" customWidth="1"/>
    <col min="12069" max="12069" width="4.7109375" style="2" customWidth="1"/>
    <col min="12070" max="12081" width="0" style="2" hidden="1" customWidth="1"/>
    <col min="12082" max="12082" width="11.42578125" style="2" customWidth="1"/>
    <col min="12083" max="12083" width="13.140625" style="2" customWidth="1"/>
    <col min="12084" max="12084" width="11.42578125" style="2" customWidth="1"/>
    <col min="12085" max="12085" width="11.5703125" style="2" customWidth="1"/>
    <col min="12086" max="12086" width="12.140625" style="2" customWidth="1"/>
    <col min="12087" max="12087" width="11.5703125" style="2" customWidth="1"/>
    <col min="12088" max="12088" width="12.140625" style="2" customWidth="1"/>
    <col min="12089" max="12089" width="11.5703125" style="2" customWidth="1"/>
    <col min="12090" max="12090" width="12.140625" style="2" customWidth="1"/>
    <col min="12091" max="12091" width="11.42578125" style="2" customWidth="1"/>
    <col min="12092" max="12092" width="13.140625" style="2" customWidth="1"/>
    <col min="12093" max="12093" width="12.140625" style="2" customWidth="1"/>
    <col min="12094" max="12094" width="11.42578125" style="2" customWidth="1"/>
    <col min="12095" max="12095" width="13.140625" style="2" customWidth="1"/>
    <col min="12096" max="12096" width="15" style="2" customWidth="1"/>
    <col min="12097" max="12097" width="7.5703125" style="2" customWidth="1"/>
    <col min="12098" max="12098" width="13.140625" style="2" bestFit="1" customWidth="1"/>
    <col min="12099" max="12100" width="13.140625" style="2" customWidth="1"/>
    <col min="12101" max="12106" width="10.7109375" style="2" bestFit="1" customWidth="1"/>
    <col min="12107" max="12107" width="12.140625" style="2" bestFit="1" customWidth="1"/>
    <col min="12108" max="12112" width="10.7109375" style="2" bestFit="1" customWidth="1"/>
    <col min="12113" max="12113" width="11.42578125" style="2"/>
    <col min="12114" max="12114" width="13.140625" style="2" bestFit="1" customWidth="1"/>
    <col min="12115" max="12288" width="11.42578125" style="2"/>
    <col min="12289" max="12289" width="0.85546875" style="2" customWidth="1"/>
    <col min="12290" max="12290" width="15.140625" style="2" bestFit="1" customWidth="1"/>
    <col min="12291" max="12321" width="0" style="2" hidden="1" customWidth="1"/>
    <col min="12322" max="12323" width="10.42578125" style="2" customWidth="1"/>
    <col min="12324" max="12324" width="5.85546875" style="2" customWidth="1"/>
    <col min="12325" max="12325" width="4.7109375" style="2" customWidth="1"/>
    <col min="12326" max="12337" width="0" style="2" hidden="1" customWidth="1"/>
    <col min="12338" max="12338" width="11.42578125" style="2" customWidth="1"/>
    <col min="12339" max="12339" width="13.140625" style="2" customWidth="1"/>
    <col min="12340" max="12340" width="11.42578125" style="2" customWidth="1"/>
    <col min="12341" max="12341" width="11.5703125" style="2" customWidth="1"/>
    <col min="12342" max="12342" width="12.140625" style="2" customWidth="1"/>
    <col min="12343" max="12343" width="11.5703125" style="2" customWidth="1"/>
    <col min="12344" max="12344" width="12.140625" style="2" customWidth="1"/>
    <col min="12345" max="12345" width="11.5703125" style="2" customWidth="1"/>
    <col min="12346" max="12346" width="12.140625" style="2" customWidth="1"/>
    <col min="12347" max="12347" width="11.42578125" style="2" customWidth="1"/>
    <col min="12348" max="12348" width="13.140625" style="2" customWidth="1"/>
    <col min="12349" max="12349" width="12.140625" style="2" customWidth="1"/>
    <col min="12350" max="12350" width="11.42578125" style="2" customWidth="1"/>
    <col min="12351" max="12351" width="13.140625" style="2" customWidth="1"/>
    <col min="12352" max="12352" width="15" style="2" customWidth="1"/>
    <col min="12353" max="12353" width="7.5703125" style="2" customWidth="1"/>
    <col min="12354" max="12354" width="13.140625" style="2" bestFit="1" customWidth="1"/>
    <col min="12355" max="12356" width="13.140625" style="2" customWidth="1"/>
    <col min="12357" max="12362" width="10.7109375" style="2" bestFit="1" customWidth="1"/>
    <col min="12363" max="12363" width="12.140625" style="2" bestFit="1" customWidth="1"/>
    <col min="12364" max="12368" width="10.7109375" style="2" bestFit="1" customWidth="1"/>
    <col min="12369" max="12369" width="11.42578125" style="2"/>
    <col min="12370" max="12370" width="13.140625" style="2" bestFit="1" customWidth="1"/>
    <col min="12371" max="12544" width="11.42578125" style="2"/>
    <col min="12545" max="12545" width="0.85546875" style="2" customWidth="1"/>
    <col min="12546" max="12546" width="15.140625" style="2" bestFit="1" customWidth="1"/>
    <col min="12547" max="12577" width="0" style="2" hidden="1" customWidth="1"/>
    <col min="12578" max="12579" width="10.42578125" style="2" customWidth="1"/>
    <col min="12580" max="12580" width="5.85546875" style="2" customWidth="1"/>
    <col min="12581" max="12581" width="4.7109375" style="2" customWidth="1"/>
    <col min="12582" max="12593" width="0" style="2" hidden="1" customWidth="1"/>
    <col min="12594" max="12594" width="11.42578125" style="2" customWidth="1"/>
    <col min="12595" max="12595" width="13.140625" style="2" customWidth="1"/>
    <col min="12596" max="12596" width="11.42578125" style="2" customWidth="1"/>
    <col min="12597" max="12597" width="11.5703125" style="2" customWidth="1"/>
    <col min="12598" max="12598" width="12.140625" style="2" customWidth="1"/>
    <col min="12599" max="12599" width="11.5703125" style="2" customWidth="1"/>
    <col min="12600" max="12600" width="12.140625" style="2" customWidth="1"/>
    <col min="12601" max="12601" width="11.5703125" style="2" customWidth="1"/>
    <col min="12602" max="12602" width="12.140625" style="2" customWidth="1"/>
    <col min="12603" max="12603" width="11.42578125" style="2" customWidth="1"/>
    <col min="12604" max="12604" width="13.140625" style="2" customWidth="1"/>
    <col min="12605" max="12605" width="12.140625" style="2" customWidth="1"/>
    <col min="12606" max="12606" width="11.42578125" style="2" customWidth="1"/>
    <col min="12607" max="12607" width="13.140625" style="2" customWidth="1"/>
    <col min="12608" max="12608" width="15" style="2" customWidth="1"/>
    <col min="12609" max="12609" width="7.5703125" style="2" customWidth="1"/>
    <col min="12610" max="12610" width="13.140625" style="2" bestFit="1" customWidth="1"/>
    <col min="12611" max="12612" width="13.140625" style="2" customWidth="1"/>
    <col min="12613" max="12618" width="10.7109375" style="2" bestFit="1" customWidth="1"/>
    <col min="12619" max="12619" width="12.140625" style="2" bestFit="1" customWidth="1"/>
    <col min="12620" max="12624" width="10.7109375" style="2" bestFit="1" customWidth="1"/>
    <col min="12625" max="12625" width="11.42578125" style="2"/>
    <col min="12626" max="12626" width="13.140625" style="2" bestFit="1" customWidth="1"/>
    <col min="12627" max="12800" width="11.42578125" style="2"/>
    <col min="12801" max="12801" width="0.85546875" style="2" customWidth="1"/>
    <col min="12802" max="12802" width="15.140625" style="2" bestFit="1" customWidth="1"/>
    <col min="12803" max="12833" width="0" style="2" hidden="1" customWidth="1"/>
    <col min="12834" max="12835" width="10.42578125" style="2" customWidth="1"/>
    <col min="12836" max="12836" width="5.85546875" style="2" customWidth="1"/>
    <col min="12837" max="12837" width="4.7109375" style="2" customWidth="1"/>
    <col min="12838" max="12849" width="0" style="2" hidden="1" customWidth="1"/>
    <col min="12850" max="12850" width="11.42578125" style="2" customWidth="1"/>
    <col min="12851" max="12851" width="13.140625" style="2" customWidth="1"/>
    <col min="12852" max="12852" width="11.42578125" style="2" customWidth="1"/>
    <col min="12853" max="12853" width="11.5703125" style="2" customWidth="1"/>
    <col min="12854" max="12854" width="12.140625" style="2" customWidth="1"/>
    <col min="12855" max="12855" width="11.5703125" style="2" customWidth="1"/>
    <col min="12856" max="12856" width="12.140625" style="2" customWidth="1"/>
    <col min="12857" max="12857" width="11.5703125" style="2" customWidth="1"/>
    <col min="12858" max="12858" width="12.140625" style="2" customWidth="1"/>
    <col min="12859" max="12859" width="11.42578125" style="2" customWidth="1"/>
    <col min="12860" max="12860" width="13.140625" style="2" customWidth="1"/>
    <col min="12861" max="12861" width="12.140625" style="2" customWidth="1"/>
    <col min="12862" max="12862" width="11.42578125" style="2" customWidth="1"/>
    <col min="12863" max="12863" width="13.140625" style="2" customWidth="1"/>
    <col min="12864" max="12864" width="15" style="2" customWidth="1"/>
    <col min="12865" max="12865" width="7.5703125" style="2" customWidth="1"/>
    <col min="12866" max="12866" width="13.140625" style="2" bestFit="1" customWidth="1"/>
    <col min="12867" max="12868" width="13.140625" style="2" customWidth="1"/>
    <col min="12869" max="12874" width="10.7109375" style="2" bestFit="1" customWidth="1"/>
    <col min="12875" max="12875" width="12.140625" style="2" bestFit="1" customWidth="1"/>
    <col min="12876" max="12880" width="10.7109375" style="2" bestFit="1" customWidth="1"/>
    <col min="12881" max="12881" width="11.42578125" style="2"/>
    <col min="12882" max="12882" width="13.140625" style="2" bestFit="1" customWidth="1"/>
    <col min="12883" max="13056" width="11.42578125" style="2"/>
    <col min="13057" max="13057" width="0.85546875" style="2" customWidth="1"/>
    <col min="13058" max="13058" width="15.140625" style="2" bestFit="1" customWidth="1"/>
    <col min="13059" max="13089" width="0" style="2" hidden="1" customWidth="1"/>
    <col min="13090" max="13091" width="10.42578125" style="2" customWidth="1"/>
    <col min="13092" max="13092" width="5.85546875" style="2" customWidth="1"/>
    <col min="13093" max="13093" width="4.7109375" style="2" customWidth="1"/>
    <col min="13094" max="13105" width="0" style="2" hidden="1" customWidth="1"/>
    <col min="13106" max="13106" width="11.42578125" style="2" customWidth="1"/>
    <col min="13107" max="13107" width="13.140625" style="2" customWidth="1"/>
    <col min="13108" max="13108" width="11.42578125" style="2" customWidth="1"/>
    <col min="13109" max="13109" width="11.5703125" style="2" customWidth="1"/>
    <col min="13110" max="13110" width="12.140625" style="2" customWidth="1"/>
    <col min="13111" max="13111" width="11.5703125" style="2" customWidth="1"/>
    <col min="13112" max="13112" width="12.140625" style="2" customWidth="1"/>
    <col min="13113" max="13113" width="11.5703125" style="2" customWidth="1"/>
    <col min="13114" max="13114" width="12.140625" style="2" customWidth="1"/>
    <col min="13115" max="13115" width="11.42578125" style="2" customWidth="1"/>
    <col min="13116" max="13116" width="13.140625" style="2" customWidth="1"/>
    <col min="13117" max="13117" width="12.140625" style="2" customWidth="1"/>
    <col min="13118" max="13118" width="11.42578125" style="2" customWidth="1"/>
    <col min="13119" max="13119" width="13.140625" style="2" customWidth="1"/>
    <col min="13120" max="13120" width="15" style="2" customWidth="1"/>
    <col min="13121" max="13121" width="7.5703125" style="2" customWidth="1"/>
    <col min="13122" max="13122" width="13.140625" style="2" bestFit="1" customWidth="1"/>
    <col min="13123" max="13124" width="13.140625" style="2" customWidth="1"/>
    <col min="13125" max="13130" width="10.7109375" style="2" bestFit="1" customWidth="1"/>
    <col min="13131" max="13131" width="12.140625" style="2" bestFit="1" customWidth="1"/>
    <col min="13132" max="13136" width="10.7109375" style="2" bestFit="1" customWidth="1"/>
    <col min="13137" max="13137" width="11.42578125" style="2"/>
    <col min="13138" max="13138" width="13.140625" style="2" bestFit="1" customWidth="1"/>
    <col min="13139" max="13312" width="11.42578125" style="2"/>
    <col min="13313" max="13313" width="0.85546875" style="2" customWidth="1"/>
    <col min="13314" max="13314" width="15.140625" style="2" bestFit="1" customWidth="1"/>
    <col min="13315" max="13345" width="0" style="2" hidden="1" customWidth="1"/>
    <col min="13346" max="13347" width="10.42578125" style="2" customWidth="1"/>
    <col min="13348" max="13348" width="5.85546875" style="2" customWidth="1"/>
    <col min="13349" max="13349" width="4.7109375" style="2" customWidth="1"/>
    <col min="13350" max="13361" width="0" style="2" hidden="1" customWidth="1"/>
    <col min="13362" max="13362" width="11.42578125" style="2" customWidth="1"/>
    <col min="13363" max="13363" width="13.140625" style="2" customWidth="1"/>
    <col min="13364" max="13364" width="11.42578125" style="2" customWidth="1"/>
    <col min="13365" max="13365" width="11.5703125" style="2" customWidth="1"/>
    <col min="13366" max="13366" width="12.140625" style="2" customWidth="1"/>
    <col min="13367" max="13367" width="11.5703125" style="2" customWidth="1"/>
    <col min="13368" max="13368" width="12.140625" style="2" customWidth="1"/>
    <col min="13369" max="13369" width="11.5703125" style="2" customWidth="1"/>
    <col min="13370" max="13370" width="12.140625" style="2" customWidth="1"/>
    <col min="13371" max="13371" width="11.42578125" style="2" customWidth="1"/>
    <col min="13372" max="13372" width="13.140625" style="2" customWidth="1"/>
    <col min="13373" max="13373" width="12.140625" style="2" customWidth="1"/>
    <col min="13374" max="13374" width="11.42578125" style="2" customWidth="1"/>
    <col min="13375" max="13375" width="13.140625" style="2" customWidth="1"/>
    <col min="13376" max="13376" width="15" style="2" customWidth="1"/>
    <col min="13377" max="13377" width="7.5703125" style="2" customWidth="1"/>
    <col min="13378" max="13378" width="13.140625" style="2" bestFit="1" customWidth="1"/>
    <col min="13379" max="13380" width="13.140625" style="2" customWidth="1"/>
    <col min="13381" max="13386" width="10.7109375" style="2" bestFit="1" customWidth="1"/>
    <col min="13387" max="13387" width="12.140625" style="2" bestFit="1" customWidth="1"/>
    <col min="13388" max="13392" width="10.7109375" style="2" bestFit="1" customWidth="1"/>
    <col min="13393" max="13393" width="11.42578125" style="2"/>
    <col min="13394" max="13394" width="13.140625" style="2" bestFit="1" customWidth="1"/>
    <col min="13395" max="13568" width="11.42578125" style="2"/>
    <col min="13569" max="13569" width="0.85546875" style="2" customWidth="1"/>
    <col min="13570" max="13570" width="15.140625" style="2" bestFit="1" customWidth="1"/>
    <col min="13571" max="13601" width="0" style="2" hidden="1" customWidth="1"/>
    <col min="13602" max="13603" width="10.42578125" style="2" customWidth="1"/>
    <col min="13604" max="13604" width="5.85546875" style="2" customWidth="1"/>
    <col min="13605" max="13605" width="4.7109375" style="2" customWidth="1"/>
    <col min="13606" max="13617" width="0" style="2" hidden="1" customWidth="1"/>
    <col min="13618" max="13618" width="11.42578125" style="2" customWidth="1"/>
    <col min="13619" max="13619" width="13.140625" style="2" customWidth="1"/>
    <col min="13620" max="13620" width="11.42578125" style="2" customWidth="1"/>
    <col min="13621" max="13621" width="11.5703125" style="2" customWidth="1"/>
    <col min="13622" max="13622" width="12.140625" style="2" customWidth="1"/>
    <col min="13623" max="13623" width="11.5703125" style="2" customWidth="1"/>
    <col min="13624" max="13624" width="12.140625" style="2" customWidth="1"/>
    <col min="13625" max="13625" width="11.5703125" style="2" customWidth="1"/>
    <col min="13626" max="13626" width="12.140625" style="2" customWidth="1"/>
    <col min="13627" max="13627" width="11.42578125" style="2" customWidth="1"/>
    <col min="13628" max="13628" width="13.140625" style="2" customWidth="1"/>
    <col min="13629" max="13629" width="12.140625" style="2" customWidth="1"/>
    <col min="13630" max="13630" width="11.42578125" style="2" customWidth="1"/>
    <col min="13631" max="13631" width="13.140625" style="2" customWidth="1"/>
    <col min="13632" max="13632" width="15" style="2" customWidth="1"/>
    <col min="13633" max="13633" width="7.5703125" style="2" customWidth="1"/>
    <col min="13634" max="13634" width="13.140625" style="2" bestFit="1" customWidth="1"/>
    <col min="13635" max="13636" width="13.140625" style="2" customWidth="1"/>
    <col min="13637" max="13642" width="10.7109375" style="2" bestFit="1" customWidth="1"/>
    <col min="13643" max="13643" width="12.140625" style="2" bestFit="1" customWidth="1"/>
    <col min="13644" max="13648" width="10.7109375" style="2" bestFit="1" customWidth="1"/>
    <col min="13649" max="13649" width="11.42578125" style="2"/>
    <col min="13650" max="13650" width="13.140625" style="2" bestFit="1" customWidth="1"/>
    <col min="13651" max="13824" width="11.42578125" style="2"/>
    <col min="13825" max="13825" width="0.85546875" style="2" customWidth="1"/>
    <col min="13826" max="13826" width="15.140625" style="2" bestFit="1" customWidth="1"/>
    <col min="13827" max="13857" width="0" style="2" hidden="1" customWidth="1"/>
    <col min="13858" max="13859" width="10.42578125" style="2" customWidth="1"/>
    <col min="13860" max="13860" width="5.85546875" style="2" customWidth="1"/>
    <col min="13861" max="13861" width="4.7109375" style="2" customWidth="1"/>
    <col min="13862" max="13873" width="0" style="2" hidden="1" customWidth="1"/>
    <col min="13874" max="13874" width="11.42578125" style="2" customWidth="1"/>
    <col min="13875" max="13875" width="13.140625" style="2" customWidth="1"/>
    <col min="13876" max="13876" width="11.42578125" style="2" customWidth="1"/>
    <col min="13877" max="13877" width="11.5703125" style="2" customWidth="1"/>
    <col min="13878" max="13878" width="12.140625" style="2" customWidth="1"/>
    <col min="13879" max="13879" width="11.5703125" style="2" customWidth="1"/>
    <col min="13880" max="13880" width="12.140625" style="2" customWidth="1"/>
    <col min="13881" max="13881" width="11.5703125" style="2" customWidth="1"/>
    <col min="13882" max="13882" width="12.140625" style="2" customWidth="1"/>
    <col min="13883" max="13883" width="11.42578125" style="2" customWidth="1"/>
    <col min="13884" max="13884" width="13.140625" style="2" customWidth="1"/>
    <col min="13885" max="13885" width="12.140625" style="2" customWidth="1"/>
    <col min="13886" max="13886" width="11.42578125" style="2" customWidth="1"/>
    <col min="13887" max="13887" width="13.140625" style="2" customWidth="1"/>
    <col min="13888" max="13888" width="15" style="2" customWidth="1"/>
    <col min="13889" max="13889" width="7.5703125" style="2" customWidth="1"/>
    <col min="13890" max="13890" width="13.140625" style="2" bestFit="1" customWidth="1"/>
    <col min="13891" max="13892" width="13.140625" style="2" customWidth="1"/>
    <col min="13893" max="13898" width="10.7109375" style="2" bestFit="1" customWidth="1"/>
    <col min="13899" max="13899" width="12.140625" style="2" bestFit="1" customWidth="1"/>
    <col min="13900" max="13904" width="10.7109375" style="2" bestFit="1" customWidth="1"/>
    <col min="13905" max="13905" width="11.42578125" style="2"/>
    <col min="13906" max="13906" width="13.140625" style="2" bestFit="1" customWidth="1"/>
    <col min="13907" max="14080" width="11.42578125" style="2"/>
    <col min="14081" max="14081" width="0.85546875" style="2" customWidth="1"/>
    <col min="14082" max="14082" width="15.140625" style="2" bestFit="1" customWidth="1"/>
    <col min="14083" max="14113" width="0" style="2" hidden="1" customWidth="1"/>
    <col min="14114" max="14115" width="10.42578125" style="2" customWidth="1"/>
    <col min="14116" max="14116" width="5.85546875" style="2" customWidth="1"/>
    <col min="14117" max="14117" width="4.7109375" style="2" customWidth="1"/>
    <col min="14118" max="14129" width="0" style="2" hidden="1" customWidth="1"/>
    <col min="14130" max="14130" width="11.42578125" style="2" customWidth="1"/>
    <col min="14131" max="14131" width="13.140625" style="2" customWidth="1"/>
    <col min="14132" max="14132" width="11.42578125" style="2" customWidth="1"/>
    <col min="14133" max="14133" width="11.5703125" style="2" customWidth="1"/>
    <col min="14134" max="14134" width="12.140625" style="2" customWidth="1"/>
    <col min="14135" max="14135" width="11.5703125" style="2" customWidth="1"/>
    <col min="14136" max="14136" width="12.140625" style="2" customWidth="1"/>
    <col min="14137" max="14137" width="11.5703125" style="2" customWidth="1"/>
    <col min="14138" max="14138" width="12.140625" style="2" customWidth="1"/>
    <col min="14139" max="14139" width="11.42578125" style="2" customWidth="1"/>
    <col min="14140" max="14140" width="13.140625" style="2" customWidth="1"/>
    <col min="14141" max="14141" width="12.140625" style="2" customWidth="1"/>
    <col min="14142" max="14142" width="11.42578125" style="2" customWidth="1"/>
    <col min="14143" max="14143" width="13.140625" style="2" customWidth="1"/>
    <col min="14144" max="14144" width="15" style="2" customWidth="1"/>
    <col min="14145" max="14145" width="7.5703125" style="2" customWidth="1"/>
    <col min="14146" max="14146" width="13.140625" style="2" bestFit="1" customWidth="1"/>
    <col min="14147" max="14148" width="13.140625" style="2" customWidth="1"/>
    <col min="14149" max="14154" width="10.7109375" style="2" bestFit="1" customWidth="1"/>
    <col min="14155" max="14155" width="12.140625" style="2" bestFit="1" customWidth="1"/>
    <col min="14156" max="14160" width="10.7109375" style="2" bestFit="1" customWidth="1"/>
    <col min="14161" max="14161" width="11.42578125" style="2"/>
    <col min="14162" max="14162" width="13.140625" style="2" bestFit="1" customWidth="1"/>
    <col min="14163" max="14336" width="11.42578125" style="2"/>
    <col min="14337" max="14337" width="0.85546875" style="2" customWidth="1"/>
    <col min="14338" max="14338" width="15.140625" style="2" bestFit="1" customWidth="1"/>
    <col min="14339" max="14369" width="0" style="2" hidden="1" customWidth="1"/>
    <col min="14370" max="14371" width="10.42578125" style="2" customWidth="1"/>
    <col min="14372" max="14372" width="5.85546875" style="2" customWidth="1"/>
    <col min="14373" max="14373" width="4.7109375" style="2" customWidth="1"/>
    <col min="14374" max="14385" width="0" style="2" hidden="1" customWidth="1"/>
    <col min="14386" max="14386" width="11.42578125" style="2" customWidth="1"/>
    <col min="14387" max="14387" width="13.140625" style="2" customWidth="1"/>
    <col min="14388" max="14388" width="11.42578125" style="2" customWidth="1"/>
    <col min="14389" max="14389" width="11.5703125" style="2" customWidth="1"/>
    <col min="14390" max="14390" width="12.140625" style="2" customWidth="1"/>
    <col min="14391" max="14391" width="11.5703125" style="2" customWidth="1"/>
    <col min="14392" max="14392" width="12.140625" style="2" customWidth="1"/>
    <col min="14393" max="14393" width="11.5703125" style="2" customWidth="1"/>
    <col min="14394" max="14394" width="12.140625" style="2" customWidth="1"/>
    <col min="14395" max="14395" width="11.42578125" style="2" customWidth="1"/>
    <col min="14396" max="14396" width="13.140625" style="2" customWidth="1"/>
    <col min="14397" max="14397" width="12.140625" style="2" customWidth="1"/>
    <col min="14398" max="14398" width="11.42578125" style="2" customWidth="1"/>
    <col min="14399" max="14399" width="13.140625" style="2" customWidth="1"/>
    <col min="14400" max="14400" width="15" style="2" customWidth="1"/>
    <col min="14401" max="14401" width="7.5703125" style="2" customWidth="1"/>
    <col min="14402" max="14402" width="13.140625" style="2" bestFit="1" customWidth="1"/>
    <col min="14403" max="14404" width="13.140625" style="2" customWidth="1"/>
    <col min="14405" max="14410" width="10.7109375" style="2" bestFit="1" customWidth="1"/>
    <col min="14411" max="14411" width="12.140625" style="2" bestFit="1" customWidth="1"/>
    <col min="14412" max="14416" width="10.7109375" style="2" bestFit="1" customWidth="1"/>
    <col min="14417" max="14417" width="11.42578125" style="2"/>
    <col min="14418" max="14418" width="13.140625" style="2" bestFit="1" customWidth="1"/>
    <col min="14419" max="14592" width="11.42578125" style="2"/>
    <col min="14593" max="14593" width="0.85546875" style="2" customWidth="1"/>
    <col min="14594" max="14594" width="15.140625" style="2" bestFit="1" customWidth="1"/>
    <col min="14595" max="14625" width="0" style="2" hidden="1" customWidth="1"/>
    <col min="14626" max="14627" width="10.42578125" style="2" customWidth="1"/>
    <col min="14628" max="14628" width="5.85546875" style="2" customWidth="1"/>
    <col min="14629" max="14629" width="4.7109375" style="2" customWidth="1"/>
    <col min="14630" max="14641" width="0" style="2" hidden="1" customWidth="1"/>
    <col min="14642" max="14642" width="11.42578125" style="2" customWidth="1"/>
    <col min="14643" max="14643" width="13.140625" style="2" customWidth="1"/>
    <col min="14644" max="14644" width="11.42578125" style="2" customWidth="1"/>
    <col min="14645" max="14645" width="11.5703125" style="2" customWidth="1"/>
    <col min="14646" max="14646" width="12.140625" style="2" customWidth="1"/>
    <col min="14647" max="14647" width="11.5703125" style="2" customWidth="1"/>
    <col min="14648" max="14648" width="12.140625" style="2" customWidth="1"/>
    <col min="14649" max="14649" width="11.5703125" style="2" customWidth="1"/>
    <col min="14650" max="14650" width="12.140625" style="2" customWidth="1"/>
    <col min="14651" max="14651" width="11.42578125" style="2" customWidth="1"/>
    <col min="14652" max="14652" width="13.140625" style="2" customWidth="1"/>
    <col min="14653" max="14653" width="12.140625" style="2" customWidth="1"/>
    <col min="14654" max="14654" width="11.42578125" style="2" customWidth="1"/>
    <col min="14655" max="14655" width="13.140625" style="2" customWidth="1"/>
    <col min="14656" max="14656" width="15" style="2" customWidth="1"/>
    <col min="14657" max="14657" width="7.5703125" style="2" customWidth="1"/>
    <col min="14658" max="14658" width="13.140625" style="2" bestFit="1" customWidth="1"/>
    <col min="14659" max="14660" width="13.140625" style="2" customWidth="1"/>
    <col min="14661" max="14666" width="10.7109375" style="2" bestFit="1" customWidth="1"/>
    <col min="14667" max="14667" width="12.140625" style="2" bestFit="1" customWidth="1"/>
    <col min="14668" max="14672" width="10.7109375" style="2" bestFit="1" customWidth="1"/>
    <col min="14673" max="14673" width="11.42578125" style="2"/>
    <col min="14674" max="14674" width="13.140625" style="2" bestFit="1" customWidth="1"/>
    <col min="14675" max="14848" width="11.42578125" style="2"/>
    <col min="14849" max="14849" width="0.85546875" style="2" customWidth="1"/>
    <col min="14850" max="14850" width="15.140625" style="2" bestFit="1" customWidth="1"/>
    <col min="14851" max="14881" width="0" style="2" hidden="1" customWidth="1"/>
    <col min="14882" max="14883" width="10.42578125" style="2" customWidth="1"/>
    <col min="14884" max="14884" width="5.85546875" style="2" customWidth="1"/>
    <col min="14885" max="14885" width="4.7109375" style="2" customWidth="1"/>
    <col min="14886" max="14897" width="0" style="2" hidden="1" customWidth="1"/>
    <col min="14898" max="14898" width="11.42578125" style="2" customWidth="1"/>
    <col min="14899" max="14899" width="13.140625" style="2" customWidth="1"/>
    <col min="14900" max="14900" width="11.42578125" style="2" customWidth="1"/>
    <col min="14901" max="14901" width="11.5703125" style="2" customWidth="1"/>
    <col min="14902" max="14902" width="12.140625" style="2" customWidth="1"/>
    <col min="14903" max="14903" width="11.5703125" style="2" customWidth="1"/>
    <col min="14904" max="14904" width="12.140625" style="2" customWidth="1"/>
    <col min="14905" max="14905" width="11.5703125" style="2" customWidth="1"/>
    <col min="14906" max="14906" width="12.140625" style="2" customWidth="1"/>
    <col min="14907" max="14907" width="11.42578125" style="2" customWidth="1"/>
    <col min="14908" max="14908" width="13.140625" style="2" customWidth="1"/>
    <col min="14909" max="14909" width="12.140625" style="2" customWidth="1"/>
    <col min="14910" max="14910" width="11.42578125" style="2" customWidth="1"/>
    <col min="14911" max="14911" width="13.140625" style="2" customWidth="1"/>
    <col min="14912" max="14912" width="15" style="2" customWidth="1"/>
    <col min="14913" max="14913" width="7.5703125" style="2" customWidth="1"/>
    <col min="14914" max="14914" width="13.140625" style="2" bestFit="1" customWidth="1"/>
    <col min="14915" max="14916" width="13.140625" style="2" customWidth="1"/>
    <col min="14917" max="14922" width="10.7109375" style="2" bestFit="1" customWidth="1"/>
    <col min="14923" max="14923" width="12.140625" style="2" bestFit="1" customWidth="1"/>
    <col min="14924" max="14928" width="10.7109375" style="2" bestFit="1" customWidth="1"/>
    <col min="14929" max="14929" width="11.42578125" style="2"/>
    <col min="14930" max="14930" width="13.140625" style="2" bestFit="1" customWidth="1"/>
    <col min="14931" max="15104" width="11.42578125" style="2"/>
    <col min="15105" max="15105" width="0.85546875" style="2" customWidth="1"/>
    <col min="15106" max="15106" width="15.140625" style="2" bestFit="1" customWidth="1"/>
    <col min="15107" max="15137" width="0" style="2" hidden="1" customWidth="1"/>
    <col min="15138" max="15139" width="10.42578125" style="2" customWidth="1"/>
    <col min="15140" max="15140" width="5.85546875" style="2" customWidth="1"/>
    <col min="15141" max="15141" width="4.7109375" style="2" customWidth="1"/>
    <col min="15142" max="15153" width="0" style="2" hidden="1" customWidth="1"/>
    <col min="15154" max="15154" width="11.42578125" style="2" customWidth="1"/>
    <col min="15155" max="15155" width="13.140625" style="2" customWidth="1"/>
    <col min="15156" max="15156" width="11.42578125" style="2" customWidth="1"/>
    <col min="15157" max="15157" width="11.5703125" style="2" customWidth="1"/>
    <col min="15158" max="15158" width="12.140625" style="2" customWidth="1"/>
    <col min="15159" max="15159" width="11.5703125" style="2" customWidth="1"/>
    <col min="15160" max="15160" width="12.140625" style="2" customWidth="1"/>
    <col min="15161" max="15161" width="11.5703125" style="2" customWidth="1"/>
    <col min="15162" max="15162" width="12.140625" style="2" customWidth="1"/>
    <col min="15163" max="15163" width="11.42578125" style="2" customWidth="1"/>
    <col min="15164" max="15164" width="13.140625" style="2" customWidth="1"/>
    <col min="15165" max="15165" width="12.140625" style="2" customWidth="1"/>
    <col min="15166" max="15166" width="11.42578125" style="2" customWidth="1"/>
    <col min="15167" max="15167" width="13.140625" style="2" customWidth="1"/>
    <col min="15168" max="15168" width="15" style="2" customWidth="1"/>
    <col min="15169" max="15169" width="7.5703125" style="2" customWidth="1"/>
    <col min="15170" max="15170" width="13.140625" style="2" bestFit="1" customWidth="1"/>
    <col min="15171" max="15172" width="13.140625" style="2" customWidth="1"/>
    <col min="15173" max="15178" width="10.7109375" style="2" bestFit="1" customWidth="1"/>
    <col min="15179" max="15179" width="12.140625" style="2" bestFit="1" customWidth="1"/>
    <col min="15180" max="15184" width="10.7109375" style="2" bestFit="1" customWidth="1"/>
    <col min="15185" max="15185" width="11.42578125" style="2"/>
    <col min="15186" max="15186" width="13.140625" style="2" bestFit="1" customWidth="1"/>
    <col min="15187" max="15360" width="11.42578125" style="2"/>
    <col min="15361" max="15361" width="0.85546875" style="2" customWidth="1"/>
    <col min="15362" max="15362" width="15.140625" style="2" bestFit="1" customWidth="1"/>
    <col min="15363" max="15393" width="0" style="2" hidden="1" customWidth="1"/>
    <col min="15394" max="15395" width="10.42578125" style="2" customWidth="1"/>
    <col min="15396" max="15396" width="5.85546875" style="2" customWidth="1"/>
    <col min="15397" max="15397" width="4.7109375" style="2" customWidth="1"/>
    <col min="15398" max="15409" width="0" style="2" hidden="1" customWidth="1"/>
    <col min="15410" max="15410" width="11.42578125" style="2" customWidth="1"/>
    <col min="15411" max="15411" width="13.140625" style="2" customWidth="1"/>
    <col min="15412" max="15412" width="11.42578125" style="2" customWidth="1"/>
    <col min="15413" max="15413" width="11.5703125" style="2" customWidth="1"/>
    <col min="15414" max="15414" width="12.140625" style="2" customWidth="1"/>
    <col min="15415" max="15415" width="11.5703125" style="2" customWidth="1"/>
    <col min="15416" max="15416" width="12.140625" style="2" customWidth="1"/>
    <col min="15417" max="15417" width="11.5703125" style="2" customWidth="1"/>
    <col min="15418" max="15418" width="12.140625" style="2" customWidth="1"/>
    <col min="15419" max="15419" width="11.42578125" style="2" customWidth="1"/>
    <col min="15420" max="15420" width="13.140625" style="2" customWidth="1"/>
    <col min="15421" max="15421" width="12.140625" style="2" customWidth="1"/>
    <col min="15422" max="15422" width="11.42578125" style="2" customWidth="1"/>
    <col min="15423" max="15423" width="13.140625" style="2" customWidth="1"/>
    <col min="15424" max="15424" width="15" style="2" customWidth="1"/>
    <col min="15425" max="15425" width="7.5703125" style="2" customWidth="1"/>
    <col min="15426" max="15426" width="13.140625" style="2" bestFit="1" customWidth="1"/>
    <col min="15427" max="15428" width="13.140625" style="2" customWidth="1"/>
    <col min="15429" max="15434" width="10.7109375" style="2" bestFit="1" customWidth="1"/>
    <col min="15435" max="15435" width="12.140625" style="2" bestFit="1" customWidth="1"/>
    <col min="15436" max="15440" width="10.7109375" style="2" bestFit="1" customWidth="1"/>
    <col min="15441" max="15441" width="11.42578125" style="2"/>
    <col min="15442" max="15442" width="13.140625" style="2" bestFit="1" customWidth="1"/>
    <col min="15443" max="15616" width="11.42578125" style="2"/>
    <col min="15617" max="15617" width="0.85546875" style="2" customWidth="1"/>
    <col min="15618" max="15618" width="15.140625" style="2" bestFit="1" customWidth="1"/>
    <col min="15619" max="15649" width="0" style="2" hidden="1" customWidth="1"/>
    <col min="15650" max="15651" width="10.42578125" style="2" customWidth="1"/>
    <col min="15652" max="15652" width="5.85546875" style="2" customWidth="1"/>
    <col min="15653" max="15653" width="4.7109375" style="2" customWidth="1"/>
    <col min="15654" max="15665" width="0" style="2" hidden="1" customWidth="1"/>
    <col min="15666" max="15666" width="11.42578125" style="2" customWidth="1"/>
    <col min="15667" max="15667" width="13.140625" style="2" customWidth="1"/>
    <col min="15668" max="15668" width="11.42578125" style="2" customWidth="1"/>
    <col min="15669" max="15669" width="11.5703125" style="2" customWidth="1"/>
    <col min="15670" max="15670" width="12.140625" style="2" customWidth="1"/>
    <col min="15671" max="15671" width="11.5703125" style="2" customWidth="1"/>
    <col min="15672" max="15672" width="12.140625" style="2" customWidth="1"/>
    <col min="15673" max="15673" width="11.5703125" style="2" customWidth="1"/>
    <col min="15674" max="15674" width="12.140625" style="2" customWidth="1"/>
    <col min="15675" max="15675" width="11.42578125" style="2" customWidth="1"/>
    <col min="15676" max="15676" width="13.140625" style="2" customWidth="1"/>
    <col min="15677" max="15677" width="12.140625" style="2" customWidth="1"/>
    <col min="15678" max="15678" width="11.42578125" style="2" customWidth="1"/>
    <col min="15679" max="15679" width="13.140625" style="2" customWidth="1"/>
    <col min="15680" max="15680" width="15" style="2" customWidth="1"/>
    <col min="15681" max="15681" width="7.5703125" style="2" customWidth="1"/>
    <col min="15682" max="15682" width="13.140625" style="2" bestFit="1" customWidth="1"/>
    <col min="15683" max="15684" width="13.140625" style="2" customWidth="1"/>
    <col min="15685" max="15690" width="10.7109375" style="2" bestFit="1" customWidth="1"/>
    <col min="15691" max="15691" width="12.140625" style="2" bestFit="1" customWidth="1"/>
    <col min="15692" max="15696" width="10.7109375" style="2" bestFit="1" customWidth="1"/>
    <col min="15697" max="15697" width="11.42578125" style="2"/>
    <col min="15698" max="15698" width="13.140625" style="2" bestFit="1" customWidth="1"/>
    <col min="15699" max="15872" width="11.42578125" style="2"/>
    <col min="15873" max="15873" width="0.85546875" style="2" customWidth="1"/>
    <col min="15874" max="15874" width="15.140625" style="2" bestFit="1" customWidth="1"/>
    <col min="15875" max="15905" width="0" style="2" hidden="1" customWidth="1"/>
    <col min="15906" max="15907" width="10.42578125" style="2" customWidth="1"/>
    <col min="15908" max="15908" width="5.85546875" style="2" customWidth="1"/>
    <col min="15909" max="15909" width="4.7109375" style="2" customWidth="1"/>
    <col min="15910" max="15921" width="0" style="2" hidden="1" customWidth="1"/>
    <col min="15922" max="15922" width="11.42578125" style="2" customWidth="1"/>
    <col min="15923" max="15923" width="13.140625" style="2" customWidth="1"/>
    <col min="15924" max="15924" width="11.42578125" style="2" customWidth="1"/>
    <col min="15925" max="15925" width="11.5703125" style="2" customWidth="1"/>
    <col min="15926" max="15926" width="12.140625" style="2" customWidth="1"/>
    <col min="15927" max="15927" width="11.5703125" style="2" customWidth="1"/>
    <col min="15928" max="15928" width="12.140625" style="2" customWidth="1"/>
    <col min="15929" max="15929" width="11.5703125" style="2" customWidth="1"/>
    <col min="15930" max="15930" width="12.140625" style="2" customWidth="1"/>
    <col min="15931" max="15931" width="11.42578125" style="2" customWidth="1"/>
    <col min="15932" max="15932" width="13.140625" style="2" customWidth="1"/>
    <col min="15933" max="15933" width="12.140625" style="2" customWidth="1"/>
    <col min="15934" max="15934" width="11.42578125" style="2" customWidth="1"/>
    <col min="15935" max="15935" width="13.140625" style="2" customWidth="1"/>
    <col min="15936" max="15936" width="15" style="2" customWidth="1"/>
    <col min="15937" max="15937" width="7.5703125" style="2" customWidth="1"/>
    <col min="15938" max="15938" width="13.140625" style="2" bestFit="1" customWidth="1"/>
    <col min="15939" max="15940" width="13.140625" style="2" customWidth="1"/>
    <col min="15941" max="15946" width="10.7109375" style="2" bestFit="1" customWidth="1"/>
    <col min="15947" max="15947" width="12.140625" style="2" bestFit="1" customWidth="1"/>
    <col min="15948" max="15952" width="10.7109375" style="2" bestFit="1" customWidth="1"/>
    <col min="15953" max="15953" width="11.42578125" style="2"/>
    <col min="15954" max="15954" width="13.140625" style="2" bestFit="1" customWidth="1"/>
    <col min="15955" max="16128" width="11.42578125" style="2"/>
    <col min="16129" max="16129" width="0.85546875" style="2" customWidth="1"/>
    <col min="16130" max="16130" width="15.140625" style="2" bestFit="1" customWidth="1"/>
    <col min="16131" max="16161" width="0" style="2" hidden="1" customWidth="1"/>
    <col min="16162" max="16163" width="10.42578125" style="2" customWidth="1"/>
    <col min="16164" max="16164" width="5.85546875" style="2" customWidth="1"/>
    <col min="16165" max="16165" width="4.7109375" style="2" customWidth="1"/>
    <col min="16166" max="16177" width="0" style="2" hidden="1" customWidth="1"/>
    <col min="16178" max="16178" width="11.42578125" style="2" customWidth="1"/>
    <col min="16179" max="16179" width="13.140625" style="2" customWidth="1"/>
    <col min="16180" max="16180" width="11.42578125" style="2" customWidth="1"/>
    <col min="16181" max="16181" width="11.5703125" style="2" customWidth="1"/>
    <col min="16182" max="16182" width="12.140625" style="2" customWidth="1"/>
    <col min="16183" max="16183" width="11.5703125" style="2" customWidth="1"/>
    <col min="16184" max="16184" width="12.140625" style="2" customWidth="1"/>
    <col min="16185" max="16185" width="11.5703125" style="2" customWidth="1"/>
    <col min="16186" max="16186" width="12.140625" style="2" customWidth="1"/>
    <col min="16187" max="16187" width="11.42578125" style="2" customWidth="1"/>
    <col min="16188" max="16188" width="13.140625" style="2" customWidth="1"/>
    <col min="16189" max="16189" width="12.140625" style="2" customWidth="1"/>
    <col min="16190" max="16190" width="11.42578125" style="2" customWidth="1"/>
    <col min="16191" max="16191" width="13.140625" style="2" customWidth="1"/>
    <col min="16192" max="16192" width="15" style="2" customWidth="1"/>
    <col min="16193" max="16193" width="7.5703125" style="2" customWidth="1"/>
    <col min="16194" max="16194" width="13.140625" style="2" bestFit="1" customWidth="1"/>
    <col min="16195" max="16196" width="13.140625" style="2" customWidth="1"/>
    <col min="16197" max="16202" width="10.7109375" style="2" bestFit="1" customWidth="1"/>
    <col min="16203" max="16203" width="12.140625" style="2" bestFit="1" customWidth="1"/>
    <col min="16204" max="16208" width="10.7109375" style="2" bestFit="1" customWidth="1"/>
    <col min="16209" max="16209" width="11.42578125" style="2"/>
    <col min="16210" max="16210" width="13.140625" style="2" bestFit="1" customWidth="1"/>
    <col min="16211" max="16384" width="11.42578125" style="2"/>
  </cols>
  <sheetData>
    <row r="1" spans="1:89" s="15" customFormat="1" ht="13.5" thickBot="1" x14ac:dyDescent="0.25">
      <c r="A1" s="3"/>
      <c r="B1" s="11" t="s">
        <v>0</v>
      </c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4">
        <v>43664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</row>
    <row r="2" spans="1:89" s="15" customFormat="1" ht="39" thickBot="1" x14ac:dyDescent="0.25">
      <c r="A2" s="3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20"/>
      <c r="AY2" s="13" t="s">
        <v>1</v>
      </c>
      <c r="AZ2" s="13"/>
      <c r="BA2" s="21" t="s">
        <v>2</v>
      </c>
      <c r="BB2" s="22"/>
      <c r="BC2" s="22"/>
      <c r="BD2" s="22"/>
      <c r="BE2" s="22"/>
      <c r="BF2" s="22"/>
      <c r="BG2" s="22"/>
      <c r="BH2" s="22"/>
      <c r="BI2" s="22"/>
      <c r="BJ2" s="22"/>
      <c r="BK2" s="23"/>
      <c r="BL2" s="24" t="s">
        <v>3</v>
      </c>
      <c r="BM2" s="25" t="s">
        <v>4</v>
      </c>
      <c r="BN2" s="26">
        <v>43</v>
      </c>
      <c r="BO2" s="27"/>
      <c r="BP2" s="27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89" s="36" customFormat="1" ht="15" thickBot="1" x14ac:dyDescent="0.25">
      <c r="A3" s="5"/>
      <c r="B3" s="28" t="s">
        <v>5</v>
      </c>
      <c r="C3" s="29">
        <v>2015</v>
      </c>
      <c r="D3" s="29">
        <v>2015</v>
      </c>
      <c r="E3" s="29">
        <v>2015</v>
      </c>
      <c r="F3" s="29">
        <v>2015</v>
      </c>
      <c r="G3" s="29">
        <v>2015</v>
      </c>
      <c r="H3" s="29">
        <v>2015</v>
      </c>
      <c r="I3" s="29">
        <v>2016</v>
      </c>
      <c r="J3" s="29">
        <v>2016</v>
      </c>
      <c r="K3" s="29">
        <v>2016</v>
      </c>
      <c r="L3" s="29">
        <v>2016</v>
      </c>
      <c r="M3" s="29">
        <v>2016</v>
      </c>
      <c r="N3" s="29">
        <v>2016</v>
      </c>
      <c r="O3" s="29">
        <v>2016</v>
      </c>
      <c r="P3" s="29">
        <v>2016</v>
      </c>
      <c r="Q3" s="29">
        <v>2016</v>
      </c>
      <c r="R3" s="30">
        <v>2016</v>
      </c>
      <c r="S3" s="30">
        <v>2016</v>
      </c>
      <c r="T3" s="30">
        <v>2016</v>
      </c>
      <c r="U3" s="30">
        <v>2017</v>
      </c>
      <c r="V3" s="30">
        <v>2017</v>
      </c>
      <c r="W3" s="30">
        <v>2017</v>
      </c>
      <c r="X3" s="30">
        <v>2017</v>
      </c>
      <c r="Y3" s="30">
        <v>2017</v>
      </c>
      <c r="Z3" s="30">
        <v>2017</v>
      </c>
      <c r="AA3" s="30">
        <v>2017</v>
      </c>
      <c r="AB3" s="30">
        <v>2017</v>
      </c>
      <c r="AC3" s="30">
        <v>2017</v>
      </c>
      <c r="AD3" s="30">
        <v>2017</v>
      </c>
      <c r="AE3" s="30">
        <v>2017</v>
      </c>
      <c r="AF3" s="30">
        <v>2017</v>
      </c>
      <c r="AG3" s="31"/>
      <c r="AH3" s="32">
        <v>2016</v>
      </c>
      <c r="AI3" s="33">
        <v>2017</v>
      </c>
      <c r="AJ3" s="31"/>
      <c r="AK3" s="31"/>
      <c r="AL3" s="30">
        <v>2018</v>
      </c>
      <c r="AM3" s="30">
        <v>2018</v>
      </c>
      <c r="AN3" s="30">
        <v>2018</v>
      </c>
      <c r="AO3" s="30">
        <v>2018</v>
      </c>
      <c r="AP3" s="30">
        <v>2018</v>
      </c>
      <c r="AQ3" s="30">
        <v>2018</v>
      </c>
      <c r="AR3" s="30">
        <v>2018</v>
      </c>
      <c r="AS3" s="30">
        <v>2018</v>
      </c>
      <c r="AT3" s="30">
        <v>2018</v>
      </c>
      <c r="AU3" s="30">
        <v>2018</v>
      </c>
      <c r="AV3" s="30">
        <v>2018</v>
      </c>
      <c r="AW3" s="30">
        <v>2018</v>
      </c>
      <c r="AX3" s="20">
        <v>0.42</v>
      </c>
      <c r="AY3" s="34" t="s">
        <v>6</v>
      </c>
      <c r="AZ3" s="31"/>
      <c r="BA3" s="35">
        <v>2019</v>
      </c>
      <c r="BB3" s="35">
        <v>2019</v>
      </c>
      <c r="BC3" s="35">
        <v>2019</v>
      </c>
      <c r="BD3" s="35">
        <v>2019</v>
      </c>
      <c r="BE3" s="35">
        <v>2019</v>
      </c>
      <c r="BF3" s="35">
        <v>2019</v>
      </c>
      <c r="BG3" s="35">
        <v>2019</v>
      </c>
      <c r="BH3" s="35">
        <v>2019</v>
      </c>
      <c r="BI3" s="35">
        <v>2019</v>
      </c>
      <c r="BJ3" s="35">
        <v>2019</v>
      </c>
      <c r="BK3" s="35">
        <v>2019</v>
      </c>
      <c r="BL3" s="35">
        <v>2019</v>
      </c>
      <c r="BM3" s="31"/>
      <c r="BN3" s="31"/>
      <c r="BO3" s="31" t="s">
        <v>7</v>
      </c>
      <c r="BP3" s="34">
        <v>0.46</v>
      </c>
      <c r="BQ3" s="35">
        <v>2020</v>
      </c>
      <c r="BR3" s="35">
        <v>2020</v>
      </c>
      <c r="BS3" s="35">
        <v>2020</v>
      </c>
      <c r="BT3" s="35">
        <v>2020</v>
      </c>
      <c r="BU3" s="35">
        <v>2020</v>
      </c>
      <c r="BV3" s="35">
        <v>2020</v>
      </c>
      <c r="BW3" s="35">
        <v>2020</v>
      </c>
      <c r="BX3" s="35">
        <v>2020</v>
      </c>
      <c r="BY3" s="35">
        <v>2020</v>
      </c>
      <c r="BZ3" s="35">
        <v>2020</v>
      </c>
      <c r="CA3" s="35">
        <v>2020</v>
      </c>
      <c r="CB3" s="35">
        <v>2020</v>
      </c>
      <c r="CC3" s="31"/>
      <c r="CD3" s="31"/>
      <c r="CE3" s="31"/>
      <c r="CF3" s="31"/>
      <c r="CG3" s="31"/>
      <c r="CH3" s="31"/>
      <c r="CI3" s="31"/>
      <c r="CJ3" s="31"/>
      <c r="CK3" s="31"/>
    </row>
    <row r="4" spans="1:89" s="36" customFormat="1" ht="15" thickBot="1" x14ac:dyDescent="0.25">
      <c r="A4" s="5"/>
      <c r="B4" s="37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H4" s="38" t="s">
        <v>14</v>
      </c>
      <c r="I4" s="38" t="s">
        <v>15</v>
      </c>
      <c r="J4" s="38" t="s">
        <v>16</v>
      </c>
      <c r="K4" s="38" t="s">
        <v>17</v>
      </c>
      <c r="L4" s="38" t="s">
        <v>18</v>
      </c>
      <c r="M4" s="38" t="s">
        <v>19</v>
      </c>
      <c r="N4" s="38" t="s">
        <v>20</v>
      </c>
      <c r="O4" s="38" t="s">
        <v>9</v>
      </c>
      <c r="P4" s="38" t="s">
        <v>10</v>
      </c>
      <c r="Q4" s="38" t="s">
        <v>11</v>
      </c>
      <c r="R4" s="39" t="s">
        <v>12</v>
      </c>
      <c r="S4" s="39" t="s">
        <v>13</v>
      </c>
      <c r="T4" s="39" t="s">
        <v>14</v>
      </c>
      <c r="U4" s="39" t="s">
        <v>15</v>
      </c>
      <c r="V4" s="39" t="s">
        <v>16</v>
      </c>
      <c r="W4" s="39" t="s">
        <v>17</v>
      </c>
      <c r="X4" s="39" t="s">
        <v>18</v>
      </c>
      <c r="Y4" s="39" t="s">
        <v>19</v>
      </c>
      <c r="Z4" s="39" t="s">
        <v>20</v>
      </c>
      <c r="AA4" s="39" t="s">
        <v>9</v>
      </c>
      <c r="AB4" s="39" t="s">
        <v>10</v>
      </c>
      <c r="AC4" s="39" t="s">
        <v>21</v>
      </c>
      <c r="AD4" s="39" t="s">
        <v>22</v>
      </c>
      <c r="AE4" s="39" t="s">
        <v>13</v>
      </c>
      <c r="AF4" s="39" t="s">
        <v>14</v>
      </c>
      <c r="AG4" s="31"/>
      <c r="AH4" s="40" t="s">
        <v>23</v>
      </c>
      <c r="AI4" s="41" t="s">
        <v>23</v>
      </c>
      <c r="AJ4" s="31"/>
      <c r="AK4" s="31"/>
      <c r="AL4" s="39" t="s">
        <v>15</v>
      </c>
      <c r="AM4" s="39" t="s">
        <v>16</v>
      </c>
      <c r="AN4" s="39" t="s">
        <v>17</v>
      </c>
      <c r="AO4" s="39" t="s">
        <v>18</v>
      </c>
      <c r="AP4" s="39" t="s">
        <v>19</v>
      </c>
      <c r="AQ4" s="39" t="s">
        <v>20</v>
      </c>
      <c r="AR4" s="39" t="s">
        <v>9</v>
      </c>
      <c r="AS4" s="39" t="s">
        <v>10</v>
      </c>
      <c r="AT4" s="39" t="s">
        <v>21</v>
      </c>
      <c r="AU4" s="39" t="s">
        <v>22</v>
      </c>
      <c r="AV4" s="39" t="s">
        <v>13</v>
      </c>
      <c r="AW4" s="39" t="s">
        <v>14</v>
      </c>
      <c r="AX4" s="31"/>
      <c r="AY4" s="31"/>
      <c r="AZ4" s="31"/>
      <c r="BA4" s="42" t="s">
        <v>15</v>
      </c>
      <c r="BB4" s="42" t="s">
        <v>16</v>
      </c>
      <c r="BC4" s="42" t="s">
        <v>17</v>
      </c>
      <c r="BD4" s="42" t="s">
        <v>18</v>
      </c>
      <c r="BE4" s="42" t="s">
        <v>19</v>
      </c>
      <c r="BF4" s="42" t="s">
        <v>20</v>
      </c>
      <c r="BG4" s="42" t="s">
        <v>9</v>
      </c>
      <c r="BH4" s="42" t="s">
        <v>10</v>
      </c>
      <c r="BI4" s="42" t="s">
        <v>21</v>
      </c>
      <c r="BJ4" s="42" t="s">
        <v>22</v>
      </c>
      <c r="BK4" s="42" t="s">
        <v>13</v>
      </c>
      <c r="BL4" s="42" t="s">
        <v>14</v>
      </c>
      <c r="BM4" s="31"/>
      <c r="BN4" s="31"/>
      <c r="BO4" s="31"/>
      <c r="BP4" s="31"/>
      <c r="BQ4" s="42" t="s">
        <v>15</v>
      </c>
      <c r="BR4" s="42" t="s">
        <v>16</v>
      </c>
      <c r="BS4" s="42" t="s">
        <v>17</v>
      </c>
      <c r="BT4" s="42" t="s">
        <v>18</v>
      </c>
      <c r="BU4" s="42" t="s">
        <v>19</v>
      </c>
      <c r="BV4" s="42" t="s">
        <v>20</v>
      </c>
      <c r="BW4" s="42" t="s">
        <v>9</v>
      </c>
      <c r="BX4" s="42" t="s">
        <v>10</v>
      </c>
      <c r="BY4" s="42" t="s">
        <v>21</v>
      </c>
      <c r="BZ4" s="42" t="s">
        <v>22</v>
      </c>
      <c r="CA4" s="42" t="s">
        <v>13</v>
      </c>
      <c r="CB4" s="42" t="s">
        <v>14</v>
      </c>
      <c r="CC4" s="31"/>
      <c r="CD4" s="31"/>
      <c r="CE4" s="31"/>
      <c r="CF4" s="31"/>
      <c r="CG4" s="31"/>
      <c r="CH4" s="31"/>
      <c r="CI4" s="31"/>
      <c r="CJ4" s="31"/>
      <c r="CK4" s="31"/>
    </row>
    <row r="5" spans="1:89" s="15" customFormat="1" x14ac:dyDescent="0.2">
      <c r="A5" s="3"/>
      <c r="B5" s="43" t="s">
        <v>24</v>
      </c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44">
        <v>6445119.1000000061</v>
      </c>
      <c r="V5" s="44">
        <v>5039849.459999999</v>
      </c>
      <c r="W5" s="44">
        <v>9510011.9100000206</v>
      </c>
      <c r="X5" s="44">
        <v>5646661.7800000068</v>
      </c>
      <c r="Y5" s="44">
        <v>8155397.8200000143</v>
      </c>
      <c r="Z5" s="44">
        <v>2235847.6999999979</v>
      </c>
      <c r="AA5" s="44">
        <v>9443628.0400000233</v>
      </c>
      <c r="AB5" s="44">
        <v>4480686.6200000122</v>
      </c>
      <c r="AC5" s="44">
        <f>9755903.49000003+34650*17.3*0</f>
        <v>9755903.49000003</v>
      </c>
      <c r="AD5" s="44">
        <v>8503111.8400000036</v>
      </c>
      <c r="AE5" s="44">
        <v>7890573.8000000296</v>
      </c>
      <c r="AF5" s="45">
        <v>10602850</v>
      </c>
      <c r="AG5" s="13"/>
      <c r="AH5" s="13"/>
      <c r="AI5" s="45">
        <f>SUM(AF5:AF5)+SUM(U5:AE5)</f>
        <v>87709641.560000136</v>
      </c>
      <c r="AJ5" s="13"/>
      <c r="AK5" s="13"/>
      <c r="AL5" s="44">
        <v>1093629</v>
      </c>
      <c r="AM5" s="44">
        <v>5902485</v>
      </c>
      <c r="AN5" s="44">
        <v>8775910</v>
      </c>
      <c r="AO5" s="44">
        <v>9690910</v>
      </c>
      <c r="AP5" s="44">
        <f>11117223-AP8</f>
        <v>9878275</v>
      </c>
      <c r="AQ5" s="44">
        <v>5273535</v>
      </c>
      <c r="AR5" s="44">
        <v>11858231.439999992</v>
      </c>
      <c r="AS5" s="44">
        <v>14294738.600000024</v>
      </c>
      <c r="AT5" s="44">
        <v>16657743.280000029</v>
      </c>
      <c r="AU5" s="44">
        <v>18327182.250000015</v>
      </c>
      <c r="AV5" s="44">
        <v>22352280.349999946</v>
      </c>
      <c r="AW5" s="44">
        <v>15354501.919999978</v>
      </c>
      <c r="AX5" s="13"/>
      <c r="AY5" s="46">
        <f>SUM(AL5:AW5)</f>
        <v>139459421.83999997</v>
      </c>
      <c r="AZ5" s="13"/>
      <c r="BA5" s="44">
        <v>13012550.340000013</v>
      </c>
      <c r="BB5" s="44">
        <v>19879735.609999966</v>
      </c>
      <c r="BC5" s="44">
        <v>25228391</v>
      </c>
      <c r="BD5" s="44">
        <v>17520904</v>
      </c>
      <c r="BE5" s="44">
        <v>23628015</v>
      </c>
      <c r="BF5" s="44">
        <v>12648155</v>
      </c>
      <c r="BG5" s="44">
        <v>40707146.000000104</v>
      </c>
      <c r="BH5" s="44">
        <v>18883357.700000029</v>
      </c>
      <c r="BI5" s="44">
        <v>22845759.566666692</v>
      </c>
      <c r="BJ5" s="44">
        <v>17557133.850000046</v>
      </c>
      <c r="BK5" s="44">
        <v>15733235.900000021</v>
      </c>
      <c r="BL5" s="44">
        <v>28976296.700000025</v>
      </c>
      <c r="BM5" s="13"/>
      <c r="BN5" s="46">
        <f>SUM(BA5:BM5)</f>
        <v>256620680.6666669</v>
      </c>
      <c r="BO5" s="46"/>
      <c r="BP5" s="46"/>
      <c r="BQ5" s="47">
        <v>8073513.2500000326</v>
      </c>
      <c r="BR5" s="47">
        <v>8150447.0208333572</v>
      </c>
      <c r="BS5" s="47">
        <v>18442906.739583403</v>
      </c>
      <c r="BT5" s="47">
        <v>7844653.4604166998</v>
      </c>
      <c r="BU5" s="47">
        <v>11090980.79375004</v>
      </c>
      <c r="BV5" s="47">
        <v>11302278.487500021</v>
      </c>
      <c r="BW5" s="47">
        <v>27725508.654479329</v>
      </c>
      <c r="BX5" s="47">
        <v>13474057.553229207</v>
      </c>
      <c r="BY5" s="47">
        <v>11807880.249687538</v>
      </c>
      <c r="BZ5" s="47">
        <v>20159697.922546946</v>
      </c>
      <c r="CA5" s="47">
        <v>13096175.602869822</v>
      </c>
      <c r="CB5" s="47">
        <v>16394055.908140665</v>
      </c>
      <c r="CC5" s="47"/>
      <c r="CD5" s="47">
        <f>SUM(BQ5:CC5)</f>
        <v>167562155.64303705</v>
      </c>
      <c r="CE5" s="13"/>
      <c r="CF5" s="13"/>
      <c r="CG5" s="13"/>
      <c r="CH5" s="13"/>
      <c r="CI5" s="13"/>
      <c r="CJ5" s="13"/>
      <c r="CK5" s="13"/>
    </row>
    <row r="6" spans="1:89" s="15" customFormat="1" x14ac:dyDescent="0.2">
      <c r="A6" s="3"/>
      <c r="B6" s="43" t="s">
        <v>25</v>
      </c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13"/>
      <c r="AH6" s="13"/>
      <c r="AI6" s="45"/>
      <c r="AJ6" s="13"/>
      <c r="AK6" s="1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13"/>
      <c r="AY6" s="46"/>
      <c r="AZ6" s="13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13"/>
      <c r="BN6" s="46"/>
      <c r="BO6" s="46"/>
      <c r="BP6" s="46"/>
      <c r="BQ6" s="47">
        <v>13104000</v>
      </c>
      <c r="BR6" s="47">
        <v>21668400</v>
      </c>
      <c r="BS6" s="47">
        <v>18562050</v>
      </c>
      <c r="BT6" s="47">
        <v>15182700</v>
      </c>
      <c r="BU6" s="47">
        <v>19964100</v>
      </c>
      <c r="BV6" s="47">
        <v>1064700</v>
      </c>
      <c r="BW6" s="47">
        <v>33286500</v>
      </c>
      <c r="BX6" s="47">
        <v>13778700</v>
      </c>
      <c r="BY6" s="47">
        <v>20387900</v>
      </c>
      <c r="BZ6" s="47">
        <v>7782177</v>
      </c>
      <c r="CA6" s="47">
        <v>10590450</v>
      </c>
      <c r="CB6" s="47">
        <v>24823500</v>
      </c>
      <c r="CC6" s="47"/>
      <c r="CD6" s="47">
        <f>SUM(BQ6:CC6)</f>
        <v>200195177</v>
      </c>
      <c r="CE6" s="13"/>
      <c r="CF6" s="13"/>
      <c r="CG6" s="13"/>
      <c r="CH6" s="13"/>
      <c r="CI6" s="13"/>
      <c r="CJ6" s="13"/>
      <c r="CK6" s="13"/>
    </row>
    <row r="7" spans="1:89" s="15" customFormat="1" x14ac:dyDescent="0.2">
      <c r="A7" s="3"/>
      <c r="B7" s="12" t="s">
        <v>26</v>
      </c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13"/>
      <c r="AH7" s="13"/>
      <c r="AI7" s="45"/>
      <c r="AJ7" s="13"/>
      <c r="AK7" s="1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13"/>
      <c r="AY7" s="46"/>
      <c r="AZ7" s="13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13"/>
      <c r="BN7" s="46"/>
      <c r="BO7" s="46"/>
      <c r="BP7" s="46"/>
      <c r="BQ7" s="47"/>
      <c r="BR7" s="47"/>
      <c r="BS7" s="47">
        <f>165000*30/12</f>
        <v>412500</v>
      </c>
      <c r="BT7" s="47">
        <f t="shared" ref="BT7:CB7" si="0">165000*30/12</f>
        <v>412500</v>
      </c>
      <c r="BU7" s="47">
        <f t="shared" si="0"/>
        <v>412500</v>
      </c>
      <c r="BV7" s="47">
        <f t="shared" si="0"/>
        <v>412500</v>
      </c>
      <c r="BW7" s="47">
        <f t="shared" si="0"/>
        <v>412500</v>
      </c>
      <c r="BX7" s="47">
        <f t="shared" si="0"/>
        <v>412500</v>
      </c>
      <c r="BY7" s="47">
        <f t="shared" si="0"/>
        <v>412500</v>
      </c>
      <c r="BZ7" s="47">
        <f t="shared" si="0"/>
        <v>412500</v>
      </c>
      <c r="CA7" s="47">
        <f t="shared" si="0"/>
        <v>412500</v>
      </c>
      <c r="CB7" s="47">
        <f t="shared" si="0"/>
        <v>412500</v>
      </c>
      <c r="CC7" s="47"/>
      <c r="CD7" s="47">
        <f>SUM(BQ7:CC7)</f>
        <v>4125000</v>
      </c>
      <c r="CE7" s="13"/>
      <c r="CF7" s="13"/>
      <c r="CG7" s="13"/>
      <c r="CH7" s="13"/>
      <c r="CI7" s="13"/>
      <c r="CJ7" s="13"/>
      <c r="CK7" s="13"/>
    </row>
    <row r="8" spans="1:89" s="15" customFormat="1" x14ac:dyDescent="0.2">
      <c r="A8" s="3"/>
      <c r="B8" s="12" t="s">
        <v>27</v>
      </c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47">
        <f t="shared" ref="AA8:AF8" si="1">5492366/6</f>
        <v>915394.33333333337</v>
      </c>
      <c r="AB8" s="47">
        <f t="shared" si="1"/>
        <v>915394.33333333337</v>
      </c>
      <c r="AC8" s="47">
        <f t="shared" si="1"/>
        <v>915394.33333333337</v>
      </c>
      <c r="AD8" s="47">
        <f t="shared" si="1"/>
        <v>915394.33333333337</v>
      </c>
      <c r="AE8" s="47">
        <f t="shared" si="1"/>
        <v>915394.33333333337</v>
      </c>
      <c r="AF8" s="47">
        <f t="shared" si="1"/>
        <v>915394.33333333337</v>
      </c>
      <c r="AG8" s="13"/>
      <c r="AH8" s="13"/>
      <c r="AI8" s="45">
        <f>SUM(AF8:AF8)+SUM(U8:AE8)</f>
        <v>5492366</v>
      </c>
      <c r="AJ8" s="13"/>
      <c r="AK8" s="13"/>
      <c r="AL8" s="13"/>
      <c r="AM8" s="13"/>
      <c r="AN8" s="13"/>
      <c r="AO8" s="13"/>
      <c r="AP8" s="13">
        <v>1238948</v>
      </c>
      <c r="AQ8" s="13">
        <v>2588840</v>
      </c>
      <c r="AR8" s="47">
        <v>2552250.5999999996</v>
      </c>
      <c r="AS8" s="47"/>
      <c r="AT8" s="47"/>
      <c r="AU8" s="47"/>
      <c r="AV8" s="47"/>
      <c r="AW8" s="47"/>
      <c r="AX8" s="13"/>
      <c r="AY8" s="46">
        <f>SUM(AL8:AW8)</f>
        <v>6380038.5999999996</v>
      </c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46">
        <f>SUM(BA8:BM8)</f>
        <v>0</v>
      </c>
      <c r="BO8" s="46"/>
      <c r="BP8" s="46"/>
      <c r="BQ8" s="13"/>
      <c r="BR8" s="13"/>
      <c r="BS8" s="13"/>
      <c r="BT8" s="13"/>
      <c r="BU8" s="13"/>
      <c r="BV8" s="13"/>
      <c r="BW8" s="47">
        <f>17*300000/6</f>
        <v>850000</v>
      </c>
      <c r="BX8" s="48">
        <f>+BW8</f>
        <v>850000</v>
      </c>
      <c r="BY8" s="48">
        <f>+BX8</f>
        <v>850000</v>
      </c>
      <c r="BZ8" s="48">
        <f>+BY8</f>
        <v>850000</v>
      </c>
      <c r="CA8" s="48">
        <f>+BZ8</f>
        <v>850000</v>
      </c>
      <c r="CB8" s="48">
        <f>+CA8</f>
        <v>850000</v>
      </c>
      <c r="CC8" s="13"/>
      <c r="CD8" s="47">
        <f>SUM(BQ8:CC8)</f>
        <v>5100000</v>
      </c>
      <c r="CE8" s="13"/>
      <c r="CF8" s="13"/>
      <c r="CG8" s="13"/>
      <c r="CH8" s="13"/>
      <c r="CI8" s="13"/>
      <c r="CJ8" s="13"/>
      <c r="CK8" s="13"/>
    </row>
    <row r="9" spans="1:89" s="15" customFormat="1" x14ac:dyDescent="0.2">
      <c r="A9" s="3"/>
      <c r="B9" s="12" t="s">
        <v>28</v>
      </c>
      <c r="C9" s="12"/>
      <c r="D9" s="12"/>
      <c r="E9" s="12"/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47"/>
      <c r="AB9" s="47"/>
      <c r="AC9" s="47"/>
      <c r="AD9" s="47"/>
      <c r="AE9" s="47"/>
      <c r="AF9" s="47"/>
      <c r="AG9" s="13"/>
      <c r="AH9" s="13"/>
      <c r="AI9" s="45"/>
      <c r="AJ9" s="13"/>
      <c r="AK9" s="13"/>
      <c r="AL9" s="13"/>
      <c r="AM9" s="13"/>
      <c r="AN9" s="13"/>
      <c r="AO9" s="13"/>
      <c r="AP9" s="13"/>
      <c r="AQ9" s="13"/>
      <c r="AR9" s="47"/>
      <c r="AS9" s="47"/>
      <c r="AT9" s="47"/>
      <c r="AU9" s="47"/>
      <c r="AV9" s="47"/>
      <c r="AW9" s="47"/>
      <c r="AX9" s="13"/>
      <c r="AY9" s="46"/>
      <c r="AZ9" s="13"/>
      <c r="BA9" s="49">
        <v>303183.03000000003</v>
      </c>
      <c r="BB9" s="49">
        <v>1662274.13</v>
      </c>
      <c r="BC9" s="49">
        <v>768836</v>
      </c>
      <c r="BD9" s="49">
        <v>1087166.7</v>
      </c>
      <c r="BE9" s="49">
        <v>291368</v>
      </c>
      <c r="BF9" s="49">
        <v>4871249.12</v>
      </c>
      <c r="BG9" s="13"/>
      <c r="BH9" s="13"/>
      <c r="BI9" s="13"/>
      <c r="BJ9" s="13"/>
      <c r="BK9" s="13"/>
      <c r="BL9" s="13"/>
      <c r="BM9" s="13"/>
      <c r="BN9" s="46">
        <f>SUM(BA9:BM9)</f>
        <v>8984076.9800000004</v>
      </c>
      <c r="BO9" s="46"/>
      <c r="BP9" s="46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1:89" s="15" customFormat="1" x14ac:dyDescent="0.2">
      <c r="A10" s="3"/>
      <c r="B10" s="50" t="s">
        <v>29</v>
      </c>
      <c r="C10" s="45">
        <v>4821309.6799999848</v>
      </c>
      <c r="D10" s="45">
        <v>3915453.0000000047</v>
      </c>
      <c r="E10" s="45">
        <v>5588102.5000000047</v>
      </c>
      <c r="F10" s="45">
        <v>2976657.4099999988</v>
      </c>
      <c r="G10" s="45">
        <v>4208671.1700000092</v>
      </c>
      <c r="H10" s="45">
        <v>4326092.2700000079</v>
      </c>
      <c r="I10" s="45">
        <v>3872221.15</v>
      </c>
      <c r="J10" s="45">
        <v>4709680.0299999947</v>
      </c>
      <c r="K10" s="45">
        <v>6229400.530000004</v>
      </c>
      <c r="L10" s="45">
        <v>5993846.890000009</v>
      </c>
      <c r="M10" s="45">
        <v>7557491.9699999942</v>
      </c>
      <c r="N10" s="45">
        <v>3212018.3600000078</v>
      </c>
      <c r="O10" s="45">
        <v>7589480.5399999861</v>
      </c>
      <c r="P10" s="45">
        <v>6536919.6600000048</v>
      </c>
      <c r="Q10" s="45">
        <v>7812941.0999999959</v>
      </c>
      <c r="R10" s="45">
        <v>4805544.1199999945</v>
      </c>
      <c r="S10" s="44">
        <v>5862699.0299999919</v>
      </c>
      <c r="T10" s="44">
        <v>8442769.9399999902</v>
      </c>
      <c r="U10" s="45">
        <f t="shared" ref="U10:AC10" si="2">SUM(U5:U8)</f>
        <v>6445119.1000000061</v>
      </c>
      <c r="V10" s="45">
        <f t="shared" si="2"/>
        <v>5039849.459999999</v>
      </c>
      <c r="W10" s="45">
        <f t="shared" si="2"/>
        <v>9510011.9100000206</v>
      </c>
      <c r="X10" s="45">
        <f t="shared" si="2"/>
        <v>5646661.7800000068</v>
      </c>
      <c r="Y10" s="45">
        <f t="shared" si="2"/>
        <v>8155397.8200000143</v>
      </c>
      <c r="Z10" s="45">
        <f t="shared" si="2"/>
        <v>2235847.6999999979</v>
      </c>
      <c r="AA10" s="45">
        <f t="shared" si="2"/>
        <v>10359022.373333357</v>
      </c>
      <c r="AB10" s="45">
        <f t="shared" si="2"/>
        <v>5396080.9533333452</v>
      </c>
      <c r="AC10" s="45">
        <f t="shared" si="2"/>
        <v>10671297.823333364</v>
      </c>
      <c r="AD10" s="45">
        <f>SUM(AD5:AD8)</f>
        <v>9418506.1733333375</v>
      </c>
      <c r="AE10" s="45">
        <f>SUM(AE5:AE8)</f>
        <v>8805968.1333333626</v>
      </c>
      <c r="AF10" s="45">
        <f>SUM(AF5:AF8)</f>
        <v>11518244.333333334</v>
      </c>
      <c r="AG10" s="13"/>
      <c r="AH10" s="45">
        <f>SUM(I10:T10)</f>
        <v>72625013.319999963</v>
      </c>
      <c r="AI10" s="45">
        <f>SUM(AF10:AF10)+SUM(U10:AE10)</f>
        <v>93202007.560000136</v>
      </c>
      <c r="AJ10" s="51">
        <f>+AI10/AH10-1</f>
        <v>0.28333205460953148</v>
      </c>
      <c r="AK10" s="13"/>
      <c r="AL10" s="45">
        <f t="shared" ref="AL10:AY10" si="3">SUM(AL5:AL8)</f>
        <v>1093629</v>
      </c>
      <c r="AM10" s="45">
        <f t="shared" si="3"/>
        <v>5902485</v>
      </c>
      <c r="AN10" s="45">
        <f t="shared" si="3"/>
        <v>8775910</v>
      </c>
      <c r="AO10" s="45">
        <f t="shared" si="3"/>
        <v>9690910</v>
      </c>
      <c r="AP10" s="45">
        <f t="shared" si="3"/>
        <v>11117223</v>
      </c>
      <c r="AQ10" s="45">
        <f t="shared" si="3"/>
        <v>7862375</v>
      </c>
      <c r="AR10" s="45">
        <f t="shared" si="3"/>
        <v>14410482.039999992</v>
      </c>
      <c r="AS10" s="45">
        <f t="shared" si="3"/>
        <v>14294738.600000024</v>
      </c>
      <c r="AT10" s="45">
        <f t="shared" si="3"/>
        <v>16657743.280000029</v>
      </c>
      <c r="AU10" s="45">
        <f t="shared" si="3"/>
        <v>18327182.250000015</v>
      </c>
      <c r="AV10" s="45">
        <f t="shared" si="3"/>
        <v>22352280.349999946</v>
      </c>
      <c r="AW10" s="45">
        <f t="shared" si="3"/>
        <v>15354501.919999978</v>
      </c>
      <c r="AX10" s="13"/>
      <c r="AY10" s="45">
        <f t="shared" si="3"/>
        <v>145839460.43999997</v>
      </c>
      <c r="AZ10" s="13"/>
      <c r="BA10" s="45">
        <f>SUM(BA5:BA9)</f>
        <v>13315733.370000012</v>
      </c>
      <c r="BB10" s="45">
        <f t="shared" ref="BB10:BN10" si="4">SUM(BB5:BB9)</f>
        <v>21542009.739999965</v>
      </c>
      <c r="BC10" s="45">
        <f t="shared" si="4"/>
        <v>25997227</v>
      </c>
      <c r="BD10" s="45">
        <f t="shared" si="4"/>
        <v>18608070.699999999</v>
      </c>
      <c r="BE10" s="45">
        <f t="shared" si="4"/>
        <v>23919383</v>
      </c>
      <c r="BF10" s="45">
        <f t="shared" si="4"/>
        <v>17519404.120000001</v>
      </c>
      <c r="BG10" s="45">
        <f t="shared" si="4"/>
        <v>40707146.000000104</v>
      </c>
      <c r="BH10" s="45">
        <f t="shared" si="4"/>
        <v>18883357.700000029</v>
      </c>
      <c r="BI10" s="45">
        <f t="shared" si="4"/>
        <v>22845759.566666692</v>
      </c>
      <c r="BJ10" s="45">
        <f t="shared" si="4"/>
        <v>17557133.850000046</v>
      </c>
      <c r="BK10" s="45">
        <f t="shared" si="4"/>
        <v>15733235.900000021</v>
      </c>
      <c r="BL10" s="45">
        <f t="shared" si="4"/>
        <v>28976296.700000025</v>
      </c>
      <c r="BM10" s="13"/>
      <c r="BN10" s="45">
        <f t="shared" si="4"/>
        <v>265604757.64666688</v>
      </c>
      <c r="BO10" s="44"/>
      <c r="BP10" s="44"/>
      <c r="BQ10" s="45">
        <f t="shared" ref="BQ10:CD10" si="5">SUM(BQ5:BQ9)</f>
        <v>21177513.250000034</v>
      </c>
      <c r="BR10" s="45">
        <f t="shared" si="5"/>
        <v>29818847.020833358</v>
      </c>
      <c r="BS10" s="45">
        <f t="shared" si="5"/>
        <v>37417456.739583403</v>
      </c>
      <c r="BT10" s="45">
        <f t="shared" si="5"/>
        <v>23439853.460416701</v>
      </c>
      <c r="BU10" s="45">
        <f t="shared" si="5"/>
        <v>31467580.79375004</v>
      </c>
      <c r="BV10" s="45">
        <f t="shared" si="5"/>
        <v>12779478.487500021</v>
      </c>
      <c r="BW10" s="45">
        <f t="shared" si="5"/>
        <v>62274508.654479325</v>
      </c>
      <c r="BX10" s="45">
        <f t="shared" si="5"/>
        <v>28515257.553229205</v>
      </c>
      <c r="BY10" s="45">
        <f t="shared" si="5"/>
        <v>33458280.249687538</v>
      </c>
      <c r="BZ10" s="45">
        <f t="shared" si="5"/>
        <v>29204374.922546946</v>
      </c>
      <c r="CA10" s="45">
        <f t="shared" si="5"/>
        <v>24949125.602869824</v>
      </c>
      <c r="CB10" s="45">
        <f t="shared" si="5"/>
        <v>42480055.908140667</v>
      </c>
      <c r="CC10" s="13"/>
      <c r="CD10" s="45">
        <f t="shared" si="5"/>
        <v>376982332.64303708</v>
      </c>
      <c r="CE10" s="13"/>
      <c r="CF10" s="13"/>
      <c r="CG10" s="13"/>
      <c r="CH10" s="13"/>
      <c r="CI10" s="13"/>
      <c r="CJ10" s="13"/>
      <c r="CK10" s="13"/>
    </row>
    <row r="11" spans="1:89" s="15" customFormat="1" x14ac:dyDescent="0.2">
      <c r="A11" s="3"/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</row>
    <row r="12" spans="1:89" s="15" customFormat="1" x14ac:dyDescent="0.2">
      <c r="A12" s="3"/>
      <c r="B12" s="12" t="s">
        <v>30</v>
      </c>
      <c r="C12" s="52">
        <v>234504.56</v>
      </c>
      <c r="D12" s="52">
        <v>227179.22999999998</v>
      </c>
      <c r="E12" s="52">
        <v>217189.69</v>
      </c>
      <c r="F12" s="52">
        <v>307587.02</v>
      </c>
      <c r="G12" s="52">
        <v>235321.33</v>
      </c>
      <c r="H12" s="52">
        <v>331846.61</v>
      </c>
      <c r="I12" s="52">
        <v>269740.46999999997</v>
      </c>
      <c r="J12" s="52">
        <v>458640.24</v>
      </c>
      <c r="K12" s="52">
        <v>370207.26000000013</v>
      </c>
      <c r="L12" s="52">
        <v>311397.02999999997</v>
      </c>
      <c r="M12" s="52">
        <v>253399.91999999998</v>
      </c>
      <c r="N12" s="52">
        <v>450594.04999999993</v>
      </c>
      <c r="O12" s="52">
        <v>462720.04000000004</v>
      </c>
      <c r="P12" s="52">
        <v>308059.29000000004</v>
      </c>
      <c r="Q12" s="52">
        <v>286093.58</v>
      </c>
      <c r="R12" s="52">
        <v>317229.54000000004</v>
      </c>
      <c r="S12" s="52">
        <v>416326.39999999997</v>
      </c>
      <c r="T12" s="52">
        <v>525794.97</v>
      </c>
      <c r="U12" s="52">
        <v>708049.58900000004</v>
      </c>
      <c r="V12" s="52">
        <v>297551.86</v>
      </c>
      <c r="W12" s="52">
        <v>389730.46</v>
      </c>
      <c r="X12" s="52">
        <v>346127.54</v>
      </c>
      <c r="Y12" s="52">
        <v>397515.79000000004</v>
      </c>
      <c r="Z12" s="52">
        <v>522243.25999999995</v>
      </c>
      <c r="AA12" s="52">
        <v>407919.66999999993</v>
      </c>
      <c r="AB12" s="52">
        <v>456269.07</v>
      </c>
      <c r="AC12" s="52">
        <v>436137.93</v>
      </c>
      <c r="AD12" s="52">
        <v>499673</v>
      </c>
      <c r="AE12" s="52">
        <v>565285.1</v>
      </c>
      <c r="AF12" s="52">
        <v>715339.48</v>
      </c>
      <c r="AG12" s="13"/>
      <c r="AH12" s="52">
        <f t="shared" ref="AH12:AH21" si="6">SUM(I12:T12)</f>
        <v>4430202.79</v>
      </c>
      <c r="AI12" s="52">
        <f t="shared" ref="AI12:AI23" si="7">AF12+SUM(U12:AE12)</f>
        <v>5741842.7489999998</v>
      </c>
      <c r="AJ12" s="51">
        <f t="shared" ref="AJ12:AJ23" si="8">+AI12/AH12-1</f>
        <v>0.2960677019030995</v>
      </c>
      <c r="AK12" s="13"/>
      <c r="AL12" s="52">
        <v>646162.6</v>
      </c>
      <c r="AM12" s="52">
        <v>538989.8899999999</v>
      </c>
      <c r="AN12" s="52">
        <v>518303.0199999999</v>
      </c>
      <c r="AO12" s="52">
        <v>655762.93000000005</v>
      </c>
      <c r="AP12" s="52">
        <v>533399.06999999995</v>
      </c>
      <c r="AQ12" s="52">
        <v>684147.15</v>
      </c>
      <c r="AR12" s="53">
        <v>612521.19000000018</v>
      </c>
      <c r="AS12" s="53">
        <v>657716.38000000012</v>
      </c>
      <c r="AT12" s="53">
        <v>500992.64999999997</v>
      </c>
      <c r="AU12" s="53">
        <v>943998.49</v>
      </c>
      <c r="AV12" s="53">
        <v>714591.52999999991</v>
      </c>
      <c r="AW12" s="53">
        <v>1020011.328</v>
      </c>
      <c r="AX12" s="13"/>
      <c r="AY12" s="46">
        <f>SUM(AL12:AW12)</f>
        <v>8026596.2280000001</v>
      </c>
      <c r="AZ12" s="13"/>
      <c r="BA12" s="53">
        <v>667918.58000000007</v>
      </c>
      <c r="BB12" s="53">
        <v>669655.68999999994</v>
      </c>
      <c r="BC12" s="53">
        <v>677059.27</v>
      </c>
      <c r="BD12" s="53">
        <v>763338.23999999999</v>
      </c>
      <c r="BE12" s="53">
        <v>779641.84</v>
      </c>
      <c r="BF12" s="53">
        <v>1098703.01</v>
      </c>
      <c r="BG12" s="52">
        <v>963978.02999999991</v>
      </c>
      <c r="BH12" s="52">
        <v>821327.79999999993</v>
      </c>
      <c r="BI12" s="52">
        <v>999396.27</v>
      </c>
      <c r="BJ12" s="52">
        <v>877799.28</v>
      </c>
      <c r="BK12" s="52">
        <v>931601.07</v>
      </c>
      <c r="BL12" s="52">
        <v>1759711.7599999998</v>
      </c>
      <c r="BM12" s="13"/>
      <c r="BN12" s="46">
        <f t="shared" ref="BN12:BN28" si="9">SUM(BA12:BM12)</f>
        <v>11010130.84</v>
      </c>
      <c r="BO12" s="46"/>
      <c r="BP12" s="46"/>
      <c r="BQ12" s="52">
        <f>+'E. Rdos Proyec'!BA12*(1+$BP$3)</f>
        <v>975161.12680000009</v>
      </c>
      <c r="BR12" s="52">
        <f>+'E. Rdos Proyec'!BB12*(1+$BP$3)</f>
        <v>977697.30739999993</v>
      </c>
      <c r="BS12" s="52">
        <f>+'E. Rdos Proyec'!BC12*(1+$BP$3)</f>
        <v>988506.53419999999</v>
      </c>
      <c r="BT12" s="52">
        <f>+'E. Rdos Proyec'!BD12*(1+$BP$3)</f>
        <v>1114473.8303999999</v>
      </c>
      <c r="BU12" s="52">
        <f>+'E. Rdos Proyec'!BE12*(1+$BP$3)</f>
        <v>1138277.0863999999</v>
      </c>
      <c r="BV12" s="52">
        <f>+'E. Rdos Proyec'!BF12*(1+$BP$3)</f>
        <v>1604106.3946</v>
      </c>
      <c r="BW12" s="52">
        <f>+'E. Rdos Proyec'!BG12*(1+$BP$3)</f>
        <v>1407407.9237999998</v>
      </c>
      <c r="BX12" s="52">
        <f>+'E. Rdos Proyec'!BH12*(1+$BP$3)</f>
        <v>1199138.5879999998</v>
      </c>
      <c r="BY12" s="52">
        <f>+'E. Rdos Proyec'!BI12*(1+$BP$3)</f>
        <v>1459118.5541999999</v>
      </c>
      <c r="BZ12" s="52">
        <f>+'E. Rdos Proyec'!BJ12*(1+$BP$3)</f>
        <v>1281586.9487999999</v>
      </c>
      <c r="CA12" s="52">
        <f>+'E. Rdos Proyec'!BK12*(1+$BP$3)</f>
        <v>1360137.5621999998</v>
      </c>
      <c r="CB12" s="52">
        <f>+'E. Rdos Proyec'!BL12*(1+$BP$3)</f>
        <v>2569179.1695999997</v>
      </c>
      <c r="CC12" s="13"/>
      <c r="CD12" s="53">
        <f>SUM(BQ12:CC12)</f>
        <v>16074791.0264</v>
      </c>
      <c r="CE12" s="13"/>
      <c r="CF12" s="52">
        <f>+'E. Rdos Proyec'!BQ12*(1+$BP$3)</f>
        <v>1423735.2451280002</v>
      </c>
      <c r="CG12" s="52">
        <f>+'E. Rdos Proyec'!BR12*(1+$BP$3)</f>
        <v>1427438.0688039998</v>
      </c>
      <c r="CH12" s="52">
        <f>+'E. Rdos Proyec'!BS12*(1+$BP$3)</f>
        <v>1443219.539932</v>
      </c>
      <c r="CI12" s="13"/>
    </row>
    <row r="13" spans="1:89" s="15" customFormat="1" x14ac:dyDescent="0.2">
      <c r="A13" s="3"/>
      <c r="B13" s="12" t="s">
        <v>31</v>
      </c>
      <c r="C13" s="52">
        <v>268757.96000000002</v>
      </c>
      <c r="D13" s="52">
        <v>273491.52</v>
      </c>
      <c r="E13" s="52">
        <v>339705.05999999994</v>
      </c>
      <c r="F13" s="52">
        <v>397576.60460000002</v>
      </c>
      <c r="G13" s="52">
        <v>339582.38</v>
      </c>
      <c r="H13" s="52">
        <v>388648.75840000005</v>
      </c>
      <c r="I13" s="52">
        <v>355299.94919999997</v>
      </c>
      <c r="J13" s="52">
        <v>393632.04599999997</v>
      </c>
      <c r="K13" s="52">
        <v>423175.35</v>
      </c>
      <c r="L13" s="52">
        <v>517512.94640000013</v>
      </c>
      <c r="M13" s="52">
        <v>446540.38060000003</v>
      </c>
      <c r="N13" s="52">
        <v>482331.62319999986</v>
      </c>
      <c r="O13" s="52">
        <v>493883.45161999995</v>
      </c>
      <c r="P13" s="52">
        <v>616048.38734000002</v>
      </c>
      <c r="Q13" s="52">
        <v>563490.48700000008</v>
      </c>
      <c r="R13" s="52">
        <v>797479.97879999992</v>
      </c>
      <c r="S13" s="52">
        <v>553824.13434000011</v>
      </c>
      <c r="T13" s="52">
        <v>702867.64500000002</v>
      </c>
      <c r="U13" s="52">
        <v>389486.89</v>
      </c>
      <c r="V13" s="52">
        <v>664926.40249999997</v>
      </c>
      <c r="W13" s="52">
        <v>967064.41</v>
      </c>
      <c r="X13" s="52">
        <v>732179.95</v>
      </c>
      <c r="Y13" s="52">
        <v>572028.84</v>
      </c>
      <c r="Z13" s="52">
        <v>732455.74</v>
      </c>
      <c r="AA13" s="52">
        <v>557890.77</v>
      </c>
      <c r="AB13" s="52">
        <v>983947.79999999993</v>
      </c>
      <c r="AC13" s="52">
        <v>602347.73</v>
      </c>
      <c r="AD13" s="52">
        <v>593023.16999999993</v>
      </c>
      <c r="AE13" s="52">
        <v>549128.76</v>
      </c>
      <c r="AF13" s="52">
        <v>706804.8</v>
      </c>
      <c r="AG13" s="13"/>
      <c r="AH13" s="52">
        <f t="shared" si="6"/>
        <v>6346086.3794999998</v>
      </c>
      <c r="AI13" s="52">
        <f t="shared" si="7"/>
        <v>8051285.2624999983</v>
      </c>
      <c r="AJ13" s="51">
        <f t="shared" si="8"/>
        <v>0.26870086239424129</v>
      </c>
      <c r="AK13" s="13"/>
      <c r="AL13" s="52">
        <v>891653.62</v>
      </c>
      <c r="AM13" s="52">
        <v>770806.31799999997</v>
      </c>
      <c r="AN13" s="52">
        <v>1061306.3500000001</v>
      </c>
      <c r="AO13" s="52">
        <v>1143474.8799999999</v>
      </c>
      <c r="AP13" s="52">
        <v>940557.39500000002</v>
      </c>
      <c r="AQ13" s="52">
        <v>1032337.378</v>
      </c>
      <c r="AR13" s="53">
        <v>1013274.47</v>
      </c>
      <c r="AS13" s="53">
        <v>973241.27999999991</v>
      </c>
      <c r="AT13" s="53">
        <v>930682.83000000007</v>
      </c>
      <c r="AU13" s="53">
        <v>998082.96</v>
      </c>
      <c r="AV13" s="53">
        <v>1213620.1400000001</v>
      </c>
      <c r="AW13" s="53">
        <v>1719798.5899999999</v>
      </c>
      <c r="AX13" s="13"/>
      <c r="AY13" s="46">
        <f t="shared" ref="AY13:AY28" si="10">SUM(AL13:AW13)</f>
        <v>12688836.210999999</v>
      </c>
      <c r="AZ13" s="13"/>
      <c r="BA13" s="53">
        <v>2908593.8</v>
      </c>
      <c r="BB13" s="53">
        <v>1273921.6660000002</v>
      </c>
      <c r="BC13" s="53">
        <v>1417094.24</v>
      </c>
      <c r="BD13" s="53">
        <v>1713008.98</v>
      </c>
      <c r="BE13" s="53">
        <v>1429777.9920000001</v>
      </c>
      <c r="BF13" s="53">
        <v>2562712.1794000003</v>
      </c>
      <c r="BG13" s="52">
        <v>1100154.9899999998</v>
      </c>
      <c r="BH13" s="52">
        <v>1658434.4600000004</v>
      </c>
      <c r="BI13" s="52">
        <v>1418475.0600000003</v>
      </c>
      <c r="BJ13" s="52">
        <v>2140389</v>
      </c>
      <c r="BK13" s="52">
        <v>1839294.78</v>
      </c>
      <c r="BL13" s="52">
        <v>1474233.73</v>
      </c>
      <c r="BM13" s="13"/>
      <c r="BN13" s="46">
        <f t="shared" si="9"/>
        <v>20936090.877400007</v>
      </c>
      <c r="BO13" s="46"/>
      <c r="BP13" s="46"/>
      <c r="BQ13" s="52">
        <f>+'E. Rdos Proyec'!BA13*(1+$BP$3)</f>
        <v>4246546.9479999999</v>
      </c>
      <c r="BR13" s="52">
        <f>+'E. Rdos Proyec'!BB13*(1+$BP$3)</f>
        <v>1859925.6323600002</v>
      </c>
      <c r="BS13" s="52">
        <f>+'E. Rdos Proyec'!BC13*(1+$BP$3)</f>
        <v>2068957.5903999999</v>
      </c>
      <c r="BT13" s="52">
        <f>+'E. Rdos Proyec'!BD13*(1+$BP$3)</f>
        <v>2500993.1107999999</v>
      </c>
      <c r="BU13" s="52">
        <f>+'E. Rdos Proyec'!BE13*(1+$BP$3)</f>
        <v>2087475.8683200001</v>
      </c>
      <c r="BV13" s="52">
        <f>+'E. Rdos Proyec'!BF13*(1+$BP$3)</f>
        <v>3741559.7819240005</v>
      </c>
      <c r="BW13" s="52">
        <f>+'E. Rdos Proyec'!BG13*(1+$BP$3)</f>
        <v>1606226.2853999997</v>
      </c>
      <c r="BX13" s="52">
        <f>+'E. Rdos Proyec'!BH13*(1+$BP$3)</f>
        <v>2421314.3116000006</v>
      </c>
      <c r="BY13" s="52">
        <f>+'E. Rdos Proyec'!BI13*(1+$BP$3)</f>
        <v>2070973.5876000004</v>
      </c>
      <c r="BZ13" s="52">
        <f>+'E. Rdos Proyec'!BJ13*(1+$BP$3)</f>
        <v>3124967.94</v>
      </c>
      <c r="CA13" s="52">
        <f>+'E. Rdos Proyec'!BK13*(1+$BP$3)</f>
        <v>2685370.3788000001</v>
      </c>
      <c r="CB13" s="52">
        <f>+'E. Rdos Proyec'!BL13*(1+$BP$3)</f>
        <v>2152381.2458000001</v>
      </c>
      <c r="CC13" s="13"/>
      <c r="CD13" s="53">
        <f t="shared" ref="CD13:CD27" si="11">SUM(BQ13:CC13)</f>
        <v>30566692.681004003</v>
      </c>
      <c r="CE13" s="13"/>
      <c r="CF13" s="52">
        <f>+'E. Rdos Proyec'!BQ13*(1+$BP$3)</f>
        <v>6199958.5440799994</v>
      </c>
      <c r="CG13" s="52">
        <f>+'E. Rdos Proyec'!BR13*(1+$BP$3)</f>
        <v>2715491.4232456</v>
      </c>
      <c r="CH13" s="52">
        <f>+'E. Rdos Proyec'!BS13*(1+$BP$3)</f>
        <v>3020678.0819839998</v>
      </c>
      <c r="CI13" s="13"/>
    </row>
    <row r="14" spans="1:89" s="15" customFormat="1" x14ac:dyDescent="0.2">
      <c r="A14" s="3"/>
      <c r="B14" s="12" t="s">
        <v>32</v>
      </c>
      <c r="C14" s="52">
        <v>208715.60800000001</v>
      </c>
      <c r="D14" s="52">
        <v>341717.59520000004</v>
      </c>
      <c r="E14" s="52">
        <v>345124.42620000005</v>
      </c>
      <c r="F14" s="52">
        <v>268203.43904000003</v>
      </c>
      <c r="G14" s="52">
        <v>333067.33375999995</v>
      </c>
      <c r="H14" s="52">
        <v>449718.5747</v>
      </c>
      <c r="I14" s="52">
        <v>571749.28872000007</v>
      </c>
      <c r="J14" s="52">
        <v>561310.12342000008</v>
      </c>
      <c r="K14" s="52">
        <v>534482.97100000014</v>
      </c>
      <c r="L14" s="52">
        <v>460743.35080000001</v>
      </c>
      <c r="M14" s="52">
        <v>489154.37484000006</v>
      </c>
      <c r="N14" s="52">
        <v>402210.48719999992</v>
      </c>
      <c r="O14" s="52">
        <v>237247.62479999999</v>
      </c>
      <c r="P14" s="52">
        <v>306134.97924000002</v>
      </c>
      <c r="Q14" s="52">
        <v>527108.53619999986</v>
      </c>
      <c r="R14" s="52">
        <v>435095.98968</v>
      </c>
      <c r="S14" s="52">
        <v>392439.97972000006</v>
      </c>
      <c r="T14" s="52">
        <v>395916.995</v>
      </c>
      <c r="U14" s="52">
        <v>344133.1</v>
      </c>
      <c r="V14" s="52">
        <v>381873.06</v>
      </c>
      <c r="W14" s="52">
        <v>574993.7300000001</v>
      </c>
      <c r="X14" s="52">
        <v>319091.33999999997</v>
      </c>
      <c r="Y14" s="52">
        <v>677328.6399999999</v>
      </c>
      <c r="Z14" s="52">
        <v>481549.31000000017</v>
      </c>
      <c r="AA14" s="52">
        <v>141160.15</v>
      </c>
      <c r="AB14" s="52">
        <v>209185.08000000002</v>
      </c>
      <c r="AC14" s="52">
        <v>81858.280000000028</v>
      </c>
      <c r="AD14" s="52">
        <v>301424.04499999998</v>
      </c>
      <c r="AE14" s="52">
        <v>387061.56999999995</v>
      </c>
      <c r="AF14" s="52">
        <v>753923.71</v>
      </c>
      <c r="AG14" s="13"/>
      <c r="AH14" s="52">
        <f t="shared" si="6"/>
        <v>5313594.7006200003</v>
      </c>
      <c r="AI14" s="52">
        <f t="shared" si="7"/>
        <v>4653582.0150000006</v>
      </c>
      <c r="AJ14" s="51">
        <f t="shared" si="8"/>
        <v>-0.12421208669584605</v>
      </c>
      <c r="AK14" s="13"/>
      <c r="AL14" s="52">
        <v>749551.97300000011</v>
      </c>
      <c r="AM14" s="52">
        <v>325264</v>
      </c>
      <c r="AN14" s="52">
        <v>486055.67</v>
      </c>
      <c r="AO14" s="52">
        <v>531301.14999999991</v>
      </c>
      <c r="AP14" s="52">
        <v>719938.94</v>
      </c>
      <c r="AQ14" s="52">
        <v>950011.51000000013</v>
      </c>
      <c r="AR14" s="53">
        <v>731643.75999999989</v>
      </c>
      <c r="AS14" s="53">
        <v>621601.94000000018</v>
      </c>
      <c r="AT14" s="53">
        <v>404912.07999999996</v>
      </c>
      <c r="AU14" s="53">
        <v>582742.77999999991</v>
      </c>
      <c r="AV14" s="53">
        <v>556471</v>
      </c>
      <c r="AW14" s="53">
        <v>854079.15599999996</v>
      </c>
      <c r="AX14" s="13"/>
      <c r="AY14" s="46">
        <f t="shared" si="10"/>
        <v>7513573.9590000007</v>
      </c>
      <c r="AZ14" s="13"/>
      <c r="BA14" s="53">
        <v>734873.43</v>
      </c>
      <c r="BB14" s="53">
        <v>324938.55000000005</v>
      </c>
      <c r="BC14" s="53">
        <v>1448705.5350000004</v>
      </c>
      <c r="BD14" s="53">
        <v>1867317.0620000004</v>
      </c>
      <c r="BE14" s="53">
        <v>1107739.4299999997</v>
      </c>
      <c r="BF14" s="53">
        <v>706627.7</v>
      </c>
      <c r="BG14" s="52">
        <v>992419.26</v>
      </c>
      <c r="BH14" s="52">
        <v>1075718.254</v>
      </c>
      <c r="BI14" s="52">
        <v>510273.72</v>
      </c>
      <c r="BJ14" s="52">
        <v>887277.61400000006</v>
      </c>
      <c r="BK14" s="52">
        <v>615587.13000000012</v>
      </c>
      <c r="BL14" s="52">
        <v>992624.53</v>
      </c>
      <c r="BM14" s="13"/>
      <c r="BN14" s="46">
        <f t="shared" si="9"/>
        <v>11264102.215000002</v>
      </c>
      <c r="BO14" s="46"/>
      <c r="BP14" s="46"/>
      <c r="BQ14" s="52">
        <f>+'E. Rdos Proyec'!BA14*(1+$BP$3)</f>
        <v>1072915.2078</v>
      </c>
      <c r="BR14" s="52">
        <f>+'E. Rdos Proyec'!BB14*(1+$BP$3)</f>
        <v>474410.28300000005</v>
      </c>
      <c r="BS14" s="52">
        <f>+'E. Rdos Proyec'!BC14*(1+$BP$3)</f>
        <v>2115110.0811000005</v>
      </c>
      <c r="BT14" s="52">
        <f>+'E. Rdos Proyec'!BD14*(1+$BP$3)</f>
        <v>2726282.9105200004</v>
      </c>
      <c r="BU14" s="52">
        <f>+'E. Rdos Proyec'!BE14*(1+$BP$3)</f>
        <v>1617299.5677999996</v>
      </c>
      <c r="BV14" s="52">
        <f>+'E. Rdos Proyec'!BF14*(1+$BP$3)</f>
        <v>1031676.4419999999</v>
      </c>
      <c r="BW14" s="52">
        <f>+'E. Rdos Proyec'!BG14*(1+$BP$3)</f>
        <v>1448932.1196000001</v>
      </c>
      <c r="BX14" s="52">
        <f>+'E. Rdos Proyec'!BH14*(1+$BP$3)</f>
        <v>1570548.6508399998</v>
      </c>
      <c r="BY14" s="52">
        <f>+'E. Rdos Proyec'!BI14*(1+$BP$3)</f>
        <v>744999.63119999995</v>
      </c>
      <c r="BZ14" s="52">
        <f>+'E. Rdos Proyec'!BJ14*(1+$BP$3)</f>
        <v>1295425.31644</v>
      </c>
      <c r="CA14" s="52">
        <f>+'E. Rdos Proyec'!BK14*(1+$BP$3)</f>
        <v>898757.20980000019</v>
      </c>
      <c r="CB14" s="52">
        <f>+'E. Rdos Proyec'!BL14*(1+$BP$3)</f>
        <v>1449231.8138000001</v>
      </c>
      <c r="CC14" s="13"/>
      <c r="CD14" s="53">
        <f t="shared" si="11"/>
        <v>16445589.233899999</v>
      </c>
      <c r="CE14" s="13"/>
      <c r="CF14" s="52">
        <f>+'E. Rdos Proyec'!BQ14*(1+$BP$3)</f>
        <v>1566456.2033879999</v>
      </c>
      <c r="CG14" s="52">
        <f>+'E. Rdos Proyec'!BR14*(1+$BP$3)</f>
        <v>692639.01318000001</v>
      </c>
      <c r="CH14" s="52">
        <f>+'E. Rdos Proyec'!BS14*(1+$BP$3)</f>
        <v>3088060.7184060006</v>
      </c>
      <c r="CI14" s="13"/>
    </row>
    <row r="15" spans="1:89" s="15" customFormat="1" x14ac:dyDescent="0.2">
      <c r="A15" s="3"/>
      <c r="B15" s="12" t="s">
        <v>33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13"/>
      <c r="AH15" s="52"/>
      <c r="AI15" s="52"/>
      <c r="AJ15" s="51"/>
      <c r="AK15" s="13"/>
      <c r="AL15" s="52"/>
      <c r="AM15" s="52"/>
      <c r="AN15" s="52"/>
      <c r="AO15" s="52"/>
      <c r="AP15" s="52"/>
      <c r="AQ15" s="52"/>
      <c r="AR15" s="53">
        <v>194216.69</v>
      </c>
      <c r="AS15" s="53">
        <v>227194.37</v>
      </c>
      <c r="AT15" s="53">
        <v>449088.83000000007</v>
      </c>
      <c r="AU15" s="53">
        <v>526327.06000000006</v>
      </c>
      <c r="AV15" s="53">
        <v>682791.34999999986</v>
      </c>
      <c r="AW15" s="53">
        <v>762920.47</v>
      </c>
      <c r="AX15" s="13"/>
      <c r="AY15" s="46">
        <f t="shared" si="10"/>
        <v>2842538.77</v>
      </c>
      <c r="AZ15" s="13"/>
      <c r="BA15" s="53">
        <v>951522.56</v>
      </c>
      <c r="BB15" s="53">
        <v>744012.79</v>
      </c>
      <c r="BC15" s="53">
        <v>1025541.2099999998</v>
      </c>
      <c r="BD15" s="53">
        <v>1027304.8799999999</v>
      </c>
      <c r="BE15" s="53">
        <v>970849.9</v>
      </c>
      <c r="BF15" s="53">
        <v>1709560.7800000003</v>
      </c>
      <c r="BG15" s="52">
        <v>1474480.8599999999</v>
      </c>
      <c r="BH15" s="52">
        <v>1269820.8600000001</v>
      </c>
      <c r="BI15" s="52">
        <v>1645393.0399999996</v>
      </c>
      <c r="BJ15" s="52">
        <v>1396482.8299999998</v>
      </c>
      <c r="BK15" s="52">
        <v>2300466.19</v>
      </c>
      <c r="BL15" s="52">
        <v>1702377.96</v>
      </c>
      <c r="BM15" s="13"/>
      <c r="BN15" s="46">
        <f t="shared" si="9"/>
        <v>16217813.859999999</v>
      </c>
      <c r="BO15" s="46"/>
      <c r="BP15" s="46"/>
      <c r="BQ15" s="52">
        <f>+'E. Rdos Proyec'!BA15*(1+$BP$3)</f>
        <v>1389222.9376000001</v>
      </c>
      <c r="BR15" s="52">
        <f>+'E. Rdos Proyec'!BB15*(1+$BP$3)</f>
        <v>1086258.6734</v>
      </c>
      <c r="BS15" s="52">
        <f>+'E. Rdos Proyec'!BC15*(1+$BP$3)</f>
        <v>1497290.1665999996</v>
      </c>
      <c r="BT15" s="52">
        <f>+'E. Rdos Proyec'!BD15*(1+$BP$3)</f>
        <v>1499865.1247999999</v>
      </c>
      <c r="BU15" s="52">
        <f>+'E. Rdos Proyec'!BE15*(1+$BP$3)</f>
        <v>1417440.8540000001</v>
      </c>
      <c r="BV15" s="52">
        <f>+'E. Rdos Proyec'!BF15*(1+$BP$3)</f>
        <v>2495958.7388000004</v>
      </c>
      <c r="BW15" s="52">
        <f>+'E. Rdos Proyec'!BG15*(1+$BP$3)</f>
        <v>2152742.0555999996</v>
      </c>
      <c r="BX15" s="52">
        <f>+'E. Rdos Proyec'!BH15*(1+$BP$3)</f>
        <v>1853938.4556000002</v>
      </c>
      <c r="BY15" s="52">
        <f>+'E. Rdos Proyec'!BI15*(1+$BP$3)</f>
        <v>2402273.8383999993</v>
      </c>
      <c r="BZ15" s="52">
        <f>+'E. Rdos Proyec'!BJ15*(1+$BP$3)</f>
        <v>2038864.9317999997</v>
      </c>
      <c r="CA15" s="52">
        <f>+'E. Rdos Proyec'!BK15*(1+$BP$3)</f>
        <v>3358680.6373999999</v>
      </c>
      <c r="CB15" s="52">
        <f>+'E. Rdos Proyec'!BL15*(1+$BP$3)</f>
        <v>2485471.8215999999</v>
      </c>
      <c r="CC15" s="13"/>
      <c r="CD15" s="53">
        <f t="shared" si="11"/>
        <v>23678008.235600002</v>
      </c>
      <c r="CE15" s="13"/>
      <c r="CF15" s="52">
        <f>+'E. Rdos Proyec'!BQ15*(1+$BP$3)</f>
        <v>2028265.488896</v>
      </c>
      <c r="CG15" s="52">
        <f>+'E. Rdos Proyec'!BR15*(1+$BP$3)</f>
        <v>1585937.663164</v>
      </c>
      <c r="CH15" s="52">
        <f>+'E. Rdos Proyec'!BS15*(1+$BP$3)</f>
        <v>2186043.6432359996</v>
      </c>
      <c r="CI15" s="13"/>
    </row>
    <row r="16" spans="1:89" s="15" customFormat="1" x14ac:dyDescent="0.2">
      <c r="A16" s="3"/>
      <c r="B16" s="12" t="s">
        <v>34</v>
      </c>
      <c r="C16" s="52">
        <v>884916.87000000011</v>
      </c>
      <c r="D16" s="52">
        <v>850544.25999999989</v>
      </c>
      <c r="E16" s="52">
        <v>662670.93580000009</v>
      </c>
      <c r="F16" s="52">
        <v>1019188.7</v>
      </c>
      <c r="G16" s="52">
        <v>525457.35000000009</v>
      </c>
      <c r="H16" s="52">
        <v>635731.87999999989</v>
      </c>
      <c r="I16" s="52">
        <v>723583.53999999992</v>
      </c>
      <c r="J16" s="52">
        <v>352255.26999999996</v>
      </c>
      <c r="K16" s="52">
        <v>626698.62</v>
      </c>
      <c r="L16" s="52">
        <v>700873.49</v>
      </c>
      <c r="M16" s="52">
        <v>357058.76999999996</v>
      </c>
      <c r="N16" s="52">
        <v>400420.53</v>
      </c>
      <c r="O16" s="52">
        <v>277555.98000000004</v>
      </c>
      <c r="P16" s="52">
        <v>397765.62000000011</v>
      </c>
      <c r="Q16" s="52">
        <v>222726.85</v>
      </c>
      <c r="R16" s="52">
        <v>1032250.9400000001</v>
      </c>
      <c r="S16" s="52">
        <v>250897.07</v>
      </c>
      <c r="T16" s="52">
        <v>114147.91999999998</v>
      </c>
      <c r="U16" s="52">
        <v>580780.05999999994</v>
      </c>
      <c r="V16" s="52">
        <v>168850.45999999996</v>
      </c>
      <c r="W16" s="52">
        <v>385799.81999999995</v>
      </c>
      <c r="X16" s="52">
        <v>420788.64</v>
      </c>
      <c r="Y16" s="52">
        <v>167954.01000000004</v>
      </c>
      <c r="Z16" s="52">
        <v>256057.83000000005</v>
      </c>
      <c r="AA16" s="52">
        <v>319089.91999999998</v>
      </c>
      <c r="AB16" s="52">
        <v>254344.79</v>
      </c>
      <c r="AC16" s="52">
        <v>189791.69999999998</v>
      </c>
      <c r="AD16" s="52">
        <v>386219.80999999994</v>
      </c>
      <c r="AE16" s="52">
        <v>270596.67</v>
      </c>
      <c r="AF16" s="52">
        <v>161651.07</v>
      </c>
      <c r="AG16" s="13"/>
      <c r="AH16" s="52">
        <f t="shared" si="6"/>
        <v>5456234.6000000006</v>
      </c>
      <c r="AI16" s="52">
        <f t="shared" si="7"/>
        <v>3561924.7800000003</v>
      </c>
      <c r="AJ16" s="51">
        <f t="shared" si="8"/>
        <v>-0.34718261931039407</v>
      </c>
      <c r="AK16" s="13"/>
      <c r="AL16" s="52">
        <v>450549.0552</v>
      </c>
      <c r="AM16" s="52">
        <v>463465.27000000008</v>
      </c>
      <c r="AN16" s="52">
        <v>422068.17999999993</v>
      </c>
      <c r="AO16" s="52">
        <v>264980.16000000003</v>
      </c>
      <c r="AP16" s="52">
        <v>375006.05780000007</v>
      </c>
      <c r="AQ16" s="52">
        <v>349970.47</v>
      </c>
      <c r="AR16" s="53">
        <v>259941.83</v>
      </c>
      <c r="AS16" s="53">
        <v>448971.53799999994</v>
      </c>
      <c r="AT16" s="53">
        <v>417637.23499999993</v>
      </c>
      <c r="AU16" s="53">
        <v>670646.57957000006</v>
      </c>
      <c r="AV16" s="53">
        <v>645078.01599999983</v>
      </c>
      <c r="AW16" s="53">
        <v>397651.136</v>
      </c>
      <c r="AX16" s="13"/>
      <c r="AY16" s="46">
        <f t="shared" si="10"/>
        <v>5165965.5275699999</v>
      </c>
      <c r="AZ16" s="13"/>
      <c r="BA16" s="53">
        <v>289195.85999999993</v>
      </c>
      <c r="BB16" s="53">
        <v>498987.81900000002</v>
      </c>
      <c r="BC16" s="53">
        <v>406771.54300000006</v>
      </c>
      <c r="BD16" s="53">
        <v>430102.18170000007</v>
      </c>
      <c r="BE16" s="53">
        <v>892151.43660000002</v>
      </c>
      <c r="BF16" s="53">
        <v>706744.88999999978</v>
      </c>
      <c r="BG16" s="52">
        <v>635351.01300000004</v>
      </c>
      <c r="BH16" s="52">
        <v>369799.44359999994</v>
      </c>
      <c r="BI16" s="52">
        <v>564253.37000000011</v>
      </c>
      <c r="BJ16" s="52">
        <v>477832.46000000008</v>
      </c>
      <c r="BK16" s="52">
        <v>577905.73999999987</v>
      </c>
      <c r="BL16" s="52">
        <v>472044.55000000005</v>
      </c>
      <c r="BM16" s="13"/>
      <c r="BN16" s="46">
        <f t="shared" si="9"/>
        <v>6321140.3069000002</v>
      </c>
      <c r="BO16" s="46"/>
      <c r="BP16" s="46"/>
      <c r="BQ16" s="52">
        <f>+'E. Rdos Proyec'!BA16*(1+$BP$3)</f>
        <v>422225.95559999987</v>
      </c>
      <c r="BR16" s="52">
        <f>+'E. Rdos Proyec'!BB16*(1+$BP$3)</f>
        <v>728522.21574000001</v>
      </c>
      <c r="BS16" s="52">
        <f>+'E. Rdos Proyec'!BC16*(1+$BP$3)</f>
        <v>593886.45278000005</v>
      </c>
      <c r="BT16" s="52">
        <f>+'E. Rdos Proyec'!BD16*(1+$BP$3)</f>
        <v>627949.18528200011</v>
      </c>
      <c r="BU16" s="52">
        <f>+'E. Rdos Proyec'!BE16*(1+$BP$3)</f>
        <v>1302541.0974359999</v>
      </c>
      <c r="BV16" s="52">
        <f>+'E. Rdos Proyec'!BF16*(1+$BP$3)</f>
        <v>1031847.5393999997</v>
      </c>
      <c r="BW16" s="52">
        <f>+'E. Rdos Proyec'!BG16*(1+$BP$3)</f>
        <v>927612.47898000001</v>
      </c>
      <c r="BX16" s="52">
        <f>+'E. Rdos Proyec'!BH16*(1+$BP$3)</f>
        <v>539907.18765599991</v>
      </c>
      <c r="BY16" s="52">
        <f>+'E. Rdos Proyec'!BI16*(1+$BP$3)</f>
        <v>823809.92020000017</v>
      </c>
      <c r="BZ16" s="52">
        <f>+'E. Rdos Proyec'!BJ16*(1+$BP$3)</f>
        <v>697635.39160000009</v>
      </c>
      <c r="CA16" s="52">
        <f>+'E. Rdos Proyec'!BK16*(1+$BP$3)</f>
        <v>843742.38039999979</v>
      </c>
      <c r="CB16" s="52">
        <f>+'E. Rdos Proyec'!BL16*(1+$BP$3)</f>
        <v>689185.04300000006</v>
      </c>
      <c r="CC16" s="13"/>
      <c r="CD16" s="53">
        <f t="shared" si="11"/>
        <v>9228864.8480740003</v>
      </c>
      <c r="CE16" s="13"/>
      <c r="CF16" s="52">
        <f>+'E. Rdos Proyec'!BQ16*(1+$BP$3)</f>
        <v>616449.89517599985</v>
      </c>
      <c r="CG16" s="52">
        <f>+'E. Rdos Proyec'!BR16*(1+$BP$3)</f>
        <v>1063642.4349803999</v>
      </c>
      <c r="CH16" s="52">
        <f>+'E. Rdos Proyec'!BS16*(1+$BP$3)</f>
        <v>867074.2210588</v>
      </c>
      <c r="CI16" s="13"/>
    </row>
    <row r="17" spans="1:87" s="15" customFormat="1" x14ac:dyDescent="0.2">
      <c r="A17" s="3"/>
      <c r="B17" s="12" t="s">
        <v>35</v>
      </c>
      <c r="C17" s="52">
        <v>360566.31</v>
      </c>
      <c r="D17" s="52">
        <v>353479.95</v>
      </c>
      <c r="E17" s="52">
        <v>417963.67999999993</v>
      </c>
      <c r="F17" s="52">
        <v>413809.38</v>
      </c>
      <c r="G17" s="52">
        <v>400272.47000000003</v>
      </c>
      <c r="H17" s="52">
        <v>565926.40999999992</v>
      </c>
      <c r="I17" s="52">
        <v>777827.32000000007</v>
      </c>
      <c r="J17" s="52">
        <v>459922.25999999989</v>
      </c>
      <c r="K17" s="52">
        <v>666390.07999999984</v>
      </c>
      <c r="L17" s="52">
        <v>722999.24999999988</v>
      </c>
      <c r="M17" s="52">
        <v>538531.36</v>
      </c>
      <c r="N17" s="52">
        <v>1391914.2100000004</v>
      </c>
      <c r="O17" s="52">
        <v>644271.87</v>
      </c>
      <c r="P17" s="52">
        <v>551269.75</v>
      </c>
      <c r="Q17" s="52">
        <v>596468.58999999985</v>
      </c>
      <c r="R17" s="52">
        <v>922149.81999999983</v>
      </c>
      <c r="S17" s="52">
        <v>431175.01</v>
      </c>
      <c r="T17" s="52">
        <v>903169.26500000013</v>
      </c>
      <c r="U17" s="52">
        <v>361157.07</v>
      </c>
      <c r="V17" s="52">
        <v>707036.8</v>
      </c>
      <c r="W17" s="52">
        <v>978136.97000000009</v>
      </c>
      <c r="X17" s="52">
        <v>1025526.64</v>
      </c>
      <c r="Y17" s="52">
        <v>465982.94</v>
      </c>
      <c r="Z17" s="52">
        <v>1356305.8800000001</v>
      </c>
      <c r="AA17" s="52">
        <v>2452229.7300000004</v>
      </c>
      <c r="AB17" s="52">
        <v>1089086.46</v>
      </c>
      <c r="AC17" s="52">
        <v>716975.21000000008</v>
      </c>
      <c r="AD17" s="52">
        <v>572198.52</v>
      </c>
      <c r="AE17" s="52">
        <v>768785.8600000001</v>
      </c>
      <c r="AF17" s="52">
        <v>937205.10999999987</v>
      </c>
      <c r="AG17" s="13"/>
      <c r="AH17" s="52">
        <f t="shared" si="6"/>
        <v>8606088.7850000001</v>
      </c>
      <c r="AI17" s="52">
        <f t="shared" si="7"/>
        <v>11430627.190000001</v>
      </c>
      <c r="AJ17" s="51">
        <f t="shared" si="8"/>
        <v>0.32820233157750311</v>
      </c>
      <c r="AK17" s="13"/>
      <c r="AL17" s="52">
        <v>547169.57999999996</v>
      </c>
      <c r="AM17" s="52">
        <v>1028178.8400000001</v>
      </c>
      <c r="AN17" s="52">
        <v>1028109.3499999999</v>
      </c>
      <c r="AO17" s="52">
        <v>1356428.4900000002</v>
      </c>
      <c r="AP17" s="52">
        <v>2379277.36</v>
      </c>
      <c r="AQ17" s="52">
        <v>3214919.4400000004</v>
      </c>
      <c r="AR17" s="53">
        <v>1596985.9</v>
      </c>
      <c r="AS17" s="53">
        <v>895425.152</v>
      </c>
      <c r="AT17" s="53">
        <v>1093177.82</v>
      </c>
      <c r="AU17" s="53">
        <v>1270891.2820000001</v>
      </c>
      <c r="AV17" s="53">
        <v>2075742.548</v>
      </c>
      <c r="AW17" s="53">
        <v>2257179.7309999997</v>
      </c>
      <c r="AX17" s="13"/>
      <c r="AY17" s="46">
        <f t="shared" si="10"/>
        <v>18743485.493000001</v>
      </c>
      <c r="AZ17" s="13"/>
      <c r="BA17" s="53">
        <v>920826.5</v>
      </c>
      <c r="BB17" s="53">
        <v>974265.69000000018</v>
      </c>
      <c r="BC17" s="53">
        <v>945990.99</v>
      </c>
      <c r="BD17" s="53">
        <v>1015914.21</v>
      </c>
      <c r="BE17" s="53">
        <v>941074.39</v>
      </c>
      <c r="BF17" s="53">
        <v>6146991.7780000009</v>
      </c>
      <c r="BG17" s="52">
        <v>1226870.22</v>
      </c>
      <c r="BH17" s="52">
        <v>1442090.1196000001</v>
      </c>
      <c r="BI17" s="52">
        <v>1922988.21</v>
      </c>
      <c r="BJ17" s="52">
        <v>3333176.1494999994</v>
      </c>
      <c r="BK17" s="52">
        <v>1743550.5400000003</v>
      </c>
      <c r="BL17" s="52">
        <v>1918214.2124999999</v>
      </c>
      <c r="BM17" s="13"/>
      <c r="BN17" s="46">
        <f t="shared" si="9"/>
        <v>22531953.009599999</v>
      </c>
      <c r="BO17" s="46"/>
      <c r="BP17" s="46"/>
      <c r="BQ17" s="52">
        <f>+'E. Rdos Proyec'!BA17*(1+$BP$3)</f>
        <v>1344406.69</v>
      </c>
      <c r="BR17" s="52">
        <f>+'E. Rdos Proyec'!BB17*(1+$BP$3)</f>
        <v>1422427.9074000001</v>
      </c>
      <c r="BS17" s="52">
        <f>+'E. Rdos Proyec'!BC17*(1+$BP$3)</f>
        <v>1381146.8454</v>
      </c>
      <c r="BT17" s="52">
        <f>+'E. Rdos Proyec'!BD17*(1+$BP$3)</f>
        <v>1483234.7466</v>
      </c>
      <c r="BU17" s="52">
        <f>+'E. Rdos Proyec'!BE17*(1+$BP$3)</f>
        <v>1373968.6094</v>
      </c>
      <c r="BV17" s="52">
        <f>+'E. Rdos Proyec'!BF17*(1+$BP$3)</f>
        <v>8974607.9958800003</v>
      </c>
      <c r="BW17" s="52">
        <f>+'E. Rdos Proyec'!BG17*(1+$BP$3)</f>
        <v>1791230.5211999998</v>
      </c>
      <c r="BX17" s="52">
        <f>+'E. Rdos Proyec'!BH17*(1+$BP$3)</f>
        <v>2105451.5746160001</v>
      </c>
      <c r="BY17" s="52">
        <f>+'E. Rdos Proyec'!BI17*(1+$BP$3)</f>
        <v>2807562.7865999998</v>
      </c>
      <c r="BZ17" s="52">
        <f>+'E. Rdos Proyec'!BJ17*(1+$BP$3)</f>
        <v>4866437.1782699991</v>
      </c>
      <c r="CA17" s="52">
        <f>+'E. Rdos Proyec'!BK17*(1+$BP$3)</f>
        <v>2545583.7884000004</v>
      </c>
      <c r="CB17" s="52">
        <f>+'E. Rdos Proyec'!BL17*(1+$BP$3)</f>
        <v>2800592.7502499996</v>
      </c>
      <c r="CC17" s="13"/>
      <c r="CD17" s="53">
        <f t="shared" si="11"/>
        <v>32896651.394016001</v>
      </c>
      <c r="CE17" s="13"/>
      <c r="CF17" s="52">
        <f>+'E. Rdos Proyec'!BQ17*(1+$BP$3)</f>
        <v>1962833.7673999998</v>
      </c>
      <c r="CG17" s="52">
        <f>+'E. Rdos Proyec'!BR17*(1+$BP$3)</f>
        <v>2076744.7448040002</v>
      </c>
      <c r="CH17" s="52">
        <f>+'E. Rdos Proyec'!BS17*(1+$BP$3)</f>
        <v>2016474.3942839999</v>
      </c>
      <c r="CI17" s="13"/>
    </row>
    <row r="18" spans="1:87" s="15" customFormat="1" x14ac:dyDescent="0.2">
      <c r="A18" s="3"/>
      <c r="B18" s="12" t="s">
        <v>36</v>
      </c>
      <c r="C18" s="52">
        <v>292546.94640000002</v>
      </c>
      <c r="D18" s="52">
        <v>239091.06904</v>
      </c>
      <c r="E18" s="52">
        <v>377182.36163999996</v>
      </c>
      <c r="F18" s="52">
        <v>253079.35308</v>
      </c>
      <c r="G18" s="52">
        <v>284537.79344000004</v>
      </c>
      <c r="H18" s="52">
        <v>250534.66063999996</v>
      </c>
      <c r="I18" s="52">
        <v>134405.28324000002</v>
      </c>
      <c r="J18" s="52">
        <v>178952.47175999996</v>
      </c>
      <c r="K18" s="52">
        <v>264654.83528</v>
      </c>
      <c r="L18" s="52">
        <v>183287.23152</v>
      </c>
      <c r="M18" s="52">
        <v>250467.93484</v>
      </c>
      <c r="N18" s="52">
        <v>171721.20488</v>
      </c>
      <c r="O18" s="52">
        <v>238573.29463999998</v>
      </c>
      <c r="P18" s="52">
        <v>187492.75763999997</v>
      </c>
      <c r="Q18" s="52">
        <v>266836.78988</v>
      </c>
      <c r="R18" s="52">
        <v>305849.97123999998</v>
      </c>
      <c r="S18" s="52">
        <v>178815.82743999996</v>
      </c>
      <c r="T18" s="52">
        <v>250705.32</v>
      </c>
      <c r="U18" s="52">
        <v>104399.59</v>
      </c>
      <c r="V18" s="52">
        <v>267318.09299999999</v>
      </c>
      <c r="W18" s="52">
        <v>432383.11</v>
      </c>
      <c r="X18" s="52">
        <v>226382.75</v>
      </c>
      <c r="Y18" s="52">
        <v>270037.18000000005</v>
      </c>
      <c r="Z18" s="52">
        <v>200904.21000000002</v>
      </c>
      <c r="AA18" s="52">
        <v>318671.75</v>
      </c>
      <c r="AB18" s="52">
        <v>244542.34</v>
      </c>
      <c r="AC18" s="52">
        <v>315328.01</v>
      </c>
      <c r="AD18" s="52">
        <v>266560.61</v>
      </c>
      <c r="AE18" s="52">
        <v>359732.62</v>
      </c>
      <c r="AF18" s="52">
        <v>269593.03999999998</v>
      </c>
      <c r="AG18" s="13"/>
      <c r="AH18" s="52">
        <f t="shared" si="6"/>
        <v>2611762.9223600002</v>
      </c>
      <c r="AI18" s="52">
        <f t="shared" si="7"/>
        <v>3275853.3029999998</v>
      </c>
      <c r="AJ18" s="51">
        <f t="shared" si="8"/>
        <v>0.25426901306950356</v>
      </c>
      <c r="AK18" s="13"/>
      <c r="AL18" s="52">
        <v>418529.74</v>
      </c>
      <c r="AM18" s="52">
        <v>231639.94</v>
      </c>
      <c r="AN18" s="52">
        <v>382968.32999999996</v>
      </c>
      <c r="AO18" s="52">
        <v>413972.67999999993</v>
      </c>
      <c r="AP18" s="52">
        <v>423894.62400000007</v>
      </c>
      <c r="AQ18" s="52">
        <v>573407.16</v>
      </c>
      <c r="AR18" s="53">
        <v>465194.22</v>
      </c>
      <c r="AS18" s="53">
        <v>347441.4</v>
      </c>
      <c r="AT18" s="53">
        <v>873610.2</v>
      </c>
      <c r="AU18" s="53">
        <v>1503190.7999999998</v>
      </c>
      <c r="AV18" s="53">
        <v>1762490.97</v>
      </c>
      <c r="AW18" s="53">
        <v>1204335.05</v>
      </c>
      <c r="AX18" s="13"/>
      <c r="AY18" s="46">
        <f t="shared" si="10"/>
        <v>8600675.1140000001</v>
      </c>
      <c r="AZ18" s="13"/>
      <c r="BA18" s="53">
        <v>1143291.504</v>
      </c>
      <c r="BB18" s="53">
        <v>793954.40999999992</v>
      </c>
      <c r="BC18" s="53">
        <v>969887.38000000012</v>
      </c>
      <c r="BD18" s="53">
        <v>1321470</v>
      </c>
      <c r="BE18" s="53">
        <v>1486176.52</v>
      </c>
      <c r="BF18" s="53">
        <v>719636.95519999997</v>
      </c>
      <c r="BG18" s="52">
        <v>1373691.83</v>
      </c>
      <c r="BH18" s="52">
        <v>1070843.0900000001</v>
      </c>
      <c r="BI18" s="52">
        <v>1564110.7437999998</v>
      </c>
      <c r="BJ18" s="52">
        <v>754262.02</v>
      </c>
      <c r="BK18" s="52">
        <v>1559053.9500000002</v>
      </c>
      <c r="BL18" s="52">
        <v>1231144.6500000001</v>
      </c>
      <c r="BM18" s="13"/>
      <c r="BN18" s="46">
        <f t="shared" si="9"/>
        <v>13987523.052999998</v>
      </c>
      <c r="BO18" s="46"/>
      <c r="BP18" s="46"/>
      <c r="BQ18" s="52">
        <f>+'E. Rdos Proyec'!BA18*(1+$BP$3)</f>
        <v>1669205.5958399998</v>
      </c>
      <c r="BR18" s="52">
        <f>+'E. Rdos Proyec'!BB18*(1+$BP$3)</f>
        <v>1159173.4385999998</v>
      </c>
      <c r="BS18" s="52">
        <f>+'E. Rdos Proyec'!BC18*(1+$BP$3)</f>
        <v>1416035.5748000001</v>
      </c>
      <c r="BT18" s="52">
        <f>+'E. Rdos Proyec'!BD18*(1+$BP$3)</f>
        <v>1929346.2</v>
      </c>
      <c r="BU18" s="52">
        <f>+'E. Rdos Proyec'!BE18*(1+$BP$3)</f>
        <v>2169817.7192000002</v>
      </c>
      <c r="BV18" s="52">
        <f>+'E. Rdos Proyec'!BF18*(1+$BP$3)</f>
        <v>1050669.954592</v>
      </c>
      <c r="BW18" s="52">
        <f>+'E. Rdos Proyec'!BG18*(1+$BP$3)</f>
        <v>2005590.0718</v>
      </c>
      <c r="BX18" s="52">
        <f>+'E. Rdos Proyec'!BH18*(1+$BP$3)</f>
        <v>1563430.9114000001</v>
      </c>
      <c r="BY18" s="52">
        <f>+'E. Rdos Proyec'!BI18*(1+$BP$3)</f>
        <v>2283601.6859479998</v>
      </c>
      <c r="BZ18" s="52">
        <f>+'E. Rdos Proyec'!BJ18*(1+$BP$3)</f>
        <v>1101222.5492</v>
      </c>
      <c r="CA18" s="52">
        <f>+'E. Rdos Proyec'!BK18*(1+$BP$3)</f>
        <v>2276218.767</v>
      </c>
      <c r="CB18" s="52">
        <f>+'E. Rdos Proyec'!BL18*(1+$BP$3)</f>
        <v>1797471.1890000002</v>
      </c>
      <c r="CC18" s="13"/>
      <c r="CD18" s="53">
        <f t="shared" si="11"/>
        <v>20421783.65738</v>
      </c>
      <c r="CE18" s="13"/>
      <c r="CF18" s="52">
        <f>+'E. Rdos Proyec'!BQ18*(1+$BP$3)</f>
        <v>2437040.1699263998</v>
      </c>
      <c r="CG18" s="52">
        <f>+'E. Rdos Proyec'!BR18*(1+$BP$3)</f>
        <v>1692393.2203559997</v>
      </c>
      <c r="CH18" s="52">
        <f>+'E. Rdos Proyec'!BS18*(1+$BP$3)</f>
        <v>2067411.939208</v>
      </c>
      <c r="CI18" s="13"/>
    </row>
    <row r="19" spans="1:87" s="15" customFormat="1" x14ac:dyDescent="0.2">
      <c r="A19" s="3"/>
      <c r="B19" s="12" t="s">
        <v>37</v>
      </c>
      <c r="C19" s="52">
        <v>56219.44028000001</v>
      </c>
      <c r="D19" s="52">
        <v>55171.47735999999</v>
      </c>
      <c r="E19" s="52">
        <v>147406.73900000003</v>
      </c>
      <c r="F19" s="52">
        <v>152806.62371999997</v>
      </c>
      <c r="G19" s="52">
        <v>76525.606199999995</v>
      </c>
      <c r="H19" s="52">
        <v>77697.675759999998</v>
      </c>
      <c r="I19" s="52">
        <v>97356.178919999977</v>
      </c>
      <c r="J19" s="52">
        <v>25352.821100000001</v>
      </c>
      <c r="K19" s="52">
        <v>46836.568639999998</v>
      </c>
      <c r="L19" s="52">
        <v>21709.518919999999</v>
      </c>
      <c r="M19" s="52">
        <v>34701.821119999993</v>
      </c>
      <c r="N19" s="52">
        <v>57136.320399999997</v>
      </c>
      <c r="O19" s="52">
        <v>82397.449359999999</v>
      </c>
      <c r="P19" s="52">
        <v>99112.41936</v>
      </c>
      <c r="Q19" s="52">
        <v>78920.723400000003</v>
      </c>
      <c r="R19" s="52">
        <v>146760.01566</v>
      </c>
      <c r="S19" s="52">
        <v>89988.028180000023</v>
      </c>
      <c r="T19" s="52">
        <v>27990.84</v>
      </c>
      <c r="U19" s="52">
        <v>68710</v>
      </c>
      <c r="V19" s="52">
        <v>45562.5</v>
      </c>
      <c r="W19" s="52">
        <v>264647.08</v>
      </c>
      <c r="X19" s="52">
        <v>40280.14</v>
      </c>
      <c r="Y19" s="52">
        <v>5132.13</v>
      </c>
      <c r="Z19" s="52">
        <v>152797.21999999997</v>
      </c>
      <c r="AA19" s="52">
        <v>160502.04999999999</v>
      </c>
      <c r="AB19" s="52">
        <v>124808.09</v>
      </c>
      <c r="AC19" s="52">
        <v>68137.392999999996</v>
      </c>
      <c r="AD19" s="52">
        <v>107929.55</v>
      </c>
      <c r="AE19" s="52">
        <v>95347.64</v>
      </c>
      <c r="AF19" s="52">
        <v>87964.97</v>
      </c>
      <c r="AG19" s="13"/>
      <c r="AH19" s="52">
        <f t="shared" si="6"/>
        <v>808262.70505999995</v>
      </c>
      <c r="AI19" s="52">
        <f t="shared" si="7"/>
        <v>1221818.763</v>
      </c>
      <c r="AJ19" s="51">
        <f t="shared" si="8"/>
        <v>0.51166044820699796</v>
      </c>
      <c r="AK19" s="13"/>
      <c r="AL19" s="52">
        <v>158684.71000000002</v>
      </c>
      <c r="AM19" s="52">
        <v>258680</v>
      </c>
      <c r="AN19" s="52">
        <v>128474.46</v>
      </c>
      <c r="AO19" s="52">
        <v>168916.84000000003</v>
      </c>
      <c r="AP19" s="52">
        <v>215279.62</v>
      </c>
      <c r="AQ19" s="52">
        <v>197472.95</v>
      </c>
      <c r="AR19" s="53">
        <v>62725.509999999995</v>
      </c>
      <c r="AS19" s="53">
        <v>500949.92</v>
      </c>
      <c r="AT19" s="53">
        <v>96893.84</v>
      </c>
      <c r="AU19" s="53">
        <v>145522.29999999999</v>
      </c>
      <c r="AV19" s="53">
        <v>111991.31</v>
      </c>
      <c r="AW19" s="53">
        <v>123805.45999999999</v>
      </c>
      <c r="AX19" s="13"/>
      <c r="AY19" s="46">
        <f t="shared" si="10"/>
        <v>2169396.9200000004</v>
      </c>
      <c r="AZ19" s="13"/>
      <c r="BA19" s="53">
        <v>49297.53</v>
      </c>
      <c r="BB19" s="53">
        <v>110682.4375</v>
      </c>
      <c r="BC19" s="53">
        <v>204665.46</v>
      </c>
      <c r="BD19" s="53">
        <v>151789.43</v>
      </c>
      <c r="BE19" s="53">
        <v>220834.628</v>
      </c>
      <c r="BF19" s="53">
        <v>652555.99999999988</v>
      </c>
      <c r="BG19" s="52">
        <v>160509.57</v>
      </c>
      <c r="BH19" s="52">
        <v>439465.29000000004</v>
      </c>
      <c r="BI19" s="52">
        <v>119520.61</v>
      </c>
      <c r="BJ19" s="52">
        <v>384808.86999999994</v>
      </c>
      <c r="BK19" s="52">
        <v>127231.93999999999</v>
      </c>
      <c r="BL19" s="52">
        <v>372419.82000000007</v>
      </c>
      <c r="BM19" s="13"/>
      <c r="BN19" s="46">
        <f t="shared" si="9"/>
        <v>2993781.5855</v>
      </c>
      <c r="BO19" s="46"/>
      <c r="BP19" s="46"/>
      <c r="BQ19" s="52">
        <f>+'E. Rdos Proyec'!BA19*(1+$BP$3)</f>
        <v>71974.393799999991</v>
      </c>
      <c r="BR19" s="52">
        <f>+'E. Rdos Proyec'!BB19*(1+$BP$3)</f>
        <v>161596.35874999998</v>
      </c>
      <c r="BS19" s="52">
        <f>+'E. Rdos Proyec'!BC19*(1+$BP$3)</f>
        <v>298811.57159999997</v>
      </c>
      <c r="BT19" s="52">
        <f>+'E. Rdos Proyec'!BD19*(1+$BP$3)</f>
        <v>221612.56779999999</v>
      </c>
      <c r="BU19" s="52">
        <f>+'E. Rdos Proyec'!BE19*(1+$BP$3)</f>
        <v>322418.55687999999</v>
      </c>
      <c r="BV19" s="52">
        <f>+'E. Rdos Proyec'!BF19*(1+$BP$3)</f>
        <v>952731.75999999978</v>
      </c>
      <c r="BW19" s="52">
        <f>+'E. Rdos Proyec'!BG19*(1+$BP$3)</f>
        <v>234343.97220000002</v>
      </c>
      <c r="BX19" s="52">
        <f>+'E. Rdos Proyec'!BH19*(1+$BP$3)</f>
        <v>641619.32339999999</v>
      </c>
      <c r="BY19" s="52">
        <f>+'E. Rdos Proyec'!BI19*(1+$BP$3)</f>
        <v>174500.0906</v>
      </c>
      <c r="BZ19" s="52">
        <f>+'E. Rdos Proyec'!BJ19*(1+$BP$3)</f>
        <v>561820.95019999985</v>
      </c>
      <c r="CA19" s="52">
        <f>+'E. Rdos Proyec'!BK19*(1+$BP$3)</f>
        <v>185758.63239999997</v>
      </c>
      <c r="CB19" s="52">
        <f>+'E. Rdos Proyec'!BL19*(1+$BP$3)</f>
        <v>543732.93720000004</v>
      </c>
      <c r="CC19" s="13"/>
      <c r="CD19" s="53">
        <f t="shared" si="11"/>
        <v>4370921.1148299994</v>
      </c>
      <c r="CE19" s="13"/>
      <c r="CF19" s="52">
        <f>+'E. Rdos Proyec'!BQ19*(1+$BP$3)</f>
        <v>105082.61494799999</v>
      </c>
      <c r="CG19" s="52">
        <f>+'E. Rdos Proyec'!BR19*(1+$BP$3)</f>
        <v>235930.68377499998</v>
      </c>
      <c r="CH19" s="52">
        <f>+'E. Rdos Proyec'!BS19*(1+$BP$3)</f>
        <v>436264.89453599992</v>
      </c>
      <c r="CI19" s="13"/>
    </row>
    <row r="20" spans="1:87" s="15" customFormat="1" x14ac:dyDescent="0.2">
      <c r="A20" s="3"/>
      <c r="B20" s="12" t="s">
        <v>38</v>
      </c>
      <c r="C20" s="52">
        <v>13757.31</v>
      </c>
      <c r="D20" s="52">
        <v>16120.54</v>
      </c>
      <c r="E20" s="52">
        <v>11931.199999999999</v>
      </c>
      <c r="F20" s="52">
        <v>13789.890000000001</v>
      </c>
      <c r="G20" s="52">
        <v>14641.08</v>
      </c>
      <c r="H20" s="52">
        <v>20900.399999999998</v>
      </c>
      <c r="I20" s="52">
        <v>14950.66</v>
      </c>
      <c r="J20" s="52">
        <v>7928.87</v>
      </c>
      <c r="K20" s="52">
        <v>19447.449999999997</v>
      </c>
      <c r="L20" s="52">
        <v>17705.59</v>
      </c>
      <c r="M20" s="52">
        <v>14864.6</v>
      </c>
      <c r="N20" s="52">
        <v>31578.77</v>
      </c>
      <c r="O20" s="52">
        <v>11635.42</v>
      </c>
      <c r="P20" s="52">
        <v>26426.609999999997</v>
      </c>
      <c r="Q20" s="52">
        <v>13241.28</v>
      </c>
      <c r="R20" s="52">
        <v>1654.56</v>
      </c>
      <c r="S20" s="52">
        <v>5485.5300000000007</v>
      </c>
      <c r="T20" s="52">
        <v>39815.150000000009</v>
      </c>
      <c r="U20" s="52">
        <v>35764.99</v>
      </c>
      <c r="V20" s="52">
        <v>57909.610000000008</v>
      </c>
      <c r="W20" s="52">
        <v>24408.68</v>
      </c>
      <c r="X20" s="52">
        <v>24211.29</v>
      </c>
      <c r="Y20" s="52">
        <v>22316.95</v>
      </c>
      <c r="Z20" s="52">
        <v>19862.829999999998</v>
      </c>
      <c r="AA20" s="52">
        <v>14960.689999999999</v>
      </c>
      <c r="AB20" s="52">
        <v>37051.910000000003</v>
      </c>
      <c r="AC20" s="52">
        <v>10759.65</v>
      </c>
      <c r="AD20" s="52">
        <v>14926.970000000001</v>
      </c>
      <c r="AE20" s="52">
        <v>6514.26</v>
      </c>
      <c r="AF20" s="52">
        <v>11467.39</v>
      </c>
      <c r="AG20" s="13"/>
      <c r="AH20" s="52">
        <f t="shared" si="6"/>
        <v>204734.49</v>
      </c>
      <c r="AI20" s="52">
        <f t="shared" si="7"/>
        <v>280155.22000000003</v>
      </c>
      <c r="AJ20" s="51">
        <f t="shared" si="8"/>
        <v>0.36838311903382781</v>
      </c>
      <c r="AK20" s="13"/>
      <c r="AL20" s="52">
        <v>41260.78</v>
      </c>
      <c r="AM20" s="52">
        <v>35813.449999999997</v>
      </c>
      <c r="AN20" s="52">
        <v>54154.219999999994</v>
      </c>
      <c r="AO20" s="52">
        <v>19038.660000000003</v>
      </c>
      <c r="AP20" s="52">
        <v>41004.850000000006</v>
      </c>
      <c r="AQ20" s="52">
        <v>43002.79</v>
      </c>
      <c r="AR20" s="53">
        <v>24460.13</v>
      </c>
      <c r="AS20" s="53">
        <v>21988.639999999999</v>
      </c>
      <c r="AT20" s="53">
        <v>22160.379999999997</v>
      </c>
      <c r="AU20" s="53">
        <v>29890.039999999997</v>
      </c>
      <c r="AV20" s="53">
        <v>39629.47</v>
      </c>
      <c r="AW20" s="53">
        <v>56838.04</v>
      </c>
      <c r="AX20" s="13"/>
      <c r="AY20" s="46">
        <f t="shared" si="10"/>
        <v>429241.45</v>
      </c>
      <c r="AZ20" s="13"/>
      <c r="BA20" s="53">
        <v>51580.369999999995</v>
      </c>
      <c r="BB20" s="53">
        <v>47092.229999999996</v>
      </c>
      <c r="BC20" s="53">
        <v>41421.560000000005</v>
      </c>
      <c r="BD20" s="53">
        <v>16050.79</v>
      </c>
      <c r="BE20" s="53">
        <v>115783.54000000002</v>
      </c>
      <c r="BF20" s="53">
        <v>37147</v>
      </c>
      <c r="BG20" s="52">
        <v>31074.25</v>
      </c>
      <c r="BH20" s="52">
        <v>58046.55000000001</v>
      </c>
      <c r="BI20" s="52">
        <v>38249.879999999997</v>
      </c>
      <c r="BJ20" s="52">
        <v>90254.01999999999</v>
      </c>
      <c r="BK20" s="52">
        <v>123691.19</v>
      </c>
      <c r="BL20" s="52">
        <v>490291.75</v>
      </c>
      <c r="BM20" s="13"/>
      <c r="BN20" s="46">
        <f t="shared" si="9"/>
        <v>1140683.1300000001</v>
      </c>
      <c r="BO20" s="46"/>
      <c r="BP20" s="46"/>
      <c r="BQ20" s="52">
        <f>+'E. Rdos Proyec'!BA20*(1+$BP$3)</f>
        <v>75307.340199999991</v>
      </c>
      <c r="BR20" s="52">
        <f>+'E. Rdos Proyec'!BB20*(1+$BP$3)</f>
        <v>68754.655799999993</v>
      </c>
      <c r="BS20" s="52">
        <f>+'E. Rdos Proyec'!BC20*(1+$BP$3)</f>
        <v>60475.477600000006</v>
      </c>
      <c r="BT20" s="52">
        <f>+'E. Rdos Proyec'!BD20*(1+$BP$3)</f>
        <v>23434.153399999999</v>
      </c>
      <c r="BU20" s="52">
        <f>+'E. Rdos Proyec'!BE20*(1+$BP$3)</f>
        <v>169043.96840000004</v>
      </c>
      <c r="BV20" s="52">
        <f>+'E. Rdos Proyec'!BF20*(1+$BP$3)</f>
        <v>54234.619999999995</v>
      </c>
      <c r="BW20" s="52">
        <f>+'E. Rdos Proyec'!BG20*(1+$BP$3)</f>
        <v>45368.404999999999</v>
      </c>
      <c r="BX20" s="52">
        <f>+'E. Rdos Proyec'!BH20*(1+$BP$3)</f>
        <v>84747.963000000018</v>
      </c>
      <c r="BY20" s="52">
        <f>+'E. Rdos Proyec'!BI20*(1+$BP$3)</f>
        <v>55844.824799999995</v>
      </c>
      <c r="BZ20" s="52">
        <f>+'E. Rdos Proyec'!BJ20*(1+$BP$3)</f>
        <v>131770.86919999999</v>
      </c>
      <c r="CA20" s="52">
        <f>+'E. Rdos Proyec'!BK20*(1+$BP$3)</f>
        <v>180589.13740000001</v>
      </c>
      <c r="CB20" s="52">
        <f>+'E. Rdos Proyec'!BL20*(1+$BP$3)</f>
        <v>715825.95499999996</v>
      </c>
      <c r="CC20" s="13"/>
      <c r="CD20" s="53">
        <f t="shared" si="11"/>
        <v>1665397.3698</v>
      </c>
      <c r="CE20" s="13"/>
      <c r="CF20" s="52">
        <f>+'E. Rdos Proyec'!BQ20*(1+$BP$3)</f>
        <v>109948.71669199999</v>
      </c>
      <c r="CG20" s="52">
        <f>+'E. Rdos Proyec'!BR20*(1+$BP$3)</f>
        <v>100381.79746799999</v>
      </c>
      <c r="CH20" s="52">
        <f>+'E. Rdos Proyec'!BS20*(1+$BP$3)</f>
        <v>88294.197296000013</v>
      </c>
      <c r="CI20" s="13"/>
    </row>
    <row r="21" spans="1:87" s="15" customFormat="1" x14ac:dyDescent="0.2">
      <c r="A21" s="3"/>
      <c r="B21" s="12" t="s">
        <v>39</v>
      </c>
      <c r="C21" s="52">
        <v>129501.58212000001</v>
      </c>
      <c r="D21" s="52">
        <v>113859.59224</v>
      </c>
      <c r="E21" s="52">
        <v>135701.21911999999</v>
      </c>
      <c r="F21" s="52">
        <v>148016.43888</v>
      </c>
      <c r="G21" s="52">
        <v>127132.6</v>
      </c>
      <c r="H21" s="52">
        <v>144966.90948</v>
      </c>
      <c r="I21" s="52">
        <v>145734.22124000001</v>
      </c>
      <c r="J21" s="52">
        <v>132438.62</v>
      </c>
      <c r="K21" s="52">
        <v>150453.31631999998</v>
      </c>
      <c r="L21" s="52">
        <v>144154.27080000003</v>
      </c>
      <c r="M21" s="52">
        <v>138467.49892000001</v>
      </c>
      <c r="N21" s="52">
        <v>176536.18292000002</v>
      </c>
      <c r="O21" s="52">
        <v>131555.80799999999</v>
      </c>
      <c r="P21" s="52">
        <v>214386.91272000002</v>
      </c>
      <c r="Q21" s="52">
        <v>143556.56</v>
      </c>
      <c r="R21" s="52">
        <v>143009.64320000002</v>
      </c>
      <c r="S21" s="52">
        <v>133407.76522</v>
      </c>
      <c r="T21" s="52">
        <v>172595.745</v>
      </c>
      <c r="U21" s="52">
        <v>82602.38</v>
      </c>
      <c r="V21" s="52">
        <v>131613.79999999999</v>
      </c>
      <c r="W21" s="52">
        <v>142371.04</v>
      </c>
      <c r="X21" s="52">
        <v>159969.41</v>
      </c>
      <c r="Y21" s="52">
        <v>215775.76</v>
      </c>
      <c r="Z21" s="52">
        <v>212673.22</v>
      </c>
      <c r="AA21" s="52">
        <v>182570.95</v>
      </c>
      <c r="AB21" s="52">
        <v>165052.1</v>
      </c>
      <c r="AC21" s="52">
        <v>183292.56</v>
      </c>
      <c r="AD21" s="52">
        <v>227778.87</v>
      </c>
      <c r="AE21" s="52">
        <v>254205.41000000003</v>
      </c>
      <c r="AF21" s="52">
        <v>283351.48</v>
      </c>
      <c r="AG21" s="13"/>
      <c r="AH21" s="52">
        <f t="shared" si="6"/>
        <v>1826296.54434</v>
      </c>
      <c r="AI21" s="52">
        <f t="shared" si="7"/>
        <v>2241256.9800000004</v>
      </c>
      <c r="AJ21" s="51">
        <f t="shared" si="8"/>
        <v>0.22721416023374319</v>
      </c>
      <c r="AK21" s="13"/>
      <c r="AL21" s="52">
        <v>208984.31</v>
      </c>
      <c r="AM21" s="52">
        <v>193767.40999999997</v>
      </c>
      <c r="AN21" s="52">
        <v>231460.92</v>
      </c>
      <c r="AO21" s="52">
        <v>222949.47999999998</v>
      </c>
      <c r="AP21" s="52">
        <v>278468.7</v>
      </c>
      <c r="AQ21" s="52">
        <v>290962.75</v>
      </c>
      <c r="AR21" s="53">
        <v>218056.08</v>
      </c>
      <c r="AS21" s="53">
        <v>303779.98</v>
      </c>
      <c r="AT21" s="53">
        <v>257890.41000000003</v>
      </c>
      <c r="AU21" s="53">
        <v>450227.31000000006</v>
      </c>
      <c r="AV21" s="53">
        <v>472259.04000000004</v>
      </c>
      <c r="AW21" s="53">
        <v>366864.08999999997</v>
      </c>
      <c r="AX21" s="13"/>
      <c r="AY21" s="46">
        <f t="shared" si="10"/>
        <v>3495670.48</v>
      </c>
      <c r="AZ21" s="13"/>
      <c r="BA21" s="53">
        <v>281773.46000000002</v>
      </c>
      <c r="BB21" s="53">
        <v>276786.89</v>
      </c>
      <c r="BC21" s="53">
        <v>370413.79000000004</v>
      </c>
      <c r="BD21" s="53">
        <v>703428.70999999985</v>
      </c>
      <c r="BE21" s="53">
        <v>245311.09000000003</v>
      </c>
      <c r="BF21" s="53">
        <v>429136.57</v>
      </c>
      <c r="BG21" s="52">
        <v>413316.04000000004</v>
      </c>
      <c r="BH21" s="52">
        <v>402941.53</v>
      </c>
      <c r="BI21" s="52">
        <v>359857.44</v>
      </c>
      <c r="BJ21" s="52">
        <v>1436017.69</v>
      </c>
      <c r="BK21" s="52">
        <v>725565.34000000008</v>
      </c>
      <c r="BL21" s="52">
        <v>639091.18000000005</v>
      </c>
      <c r="BM21" s="13"/>
      <c r="BN21" s="46">
        <f t="shared" si="9"/>
        <v>6283639.7299999995</v>
      </c>
      <c r="BO21" s="46"/>
      <c r="BP21" s="46"/>
      <c r="BQ21" s="52">
        <f>+'E. Rdos Proyec'!BA21*(1+$BP$3)</f>
        <v>411389.25160000002</v>
      </c>
      <c r="BR21" s="52">
        <f>+'E. Rdos Proyec'!BB21*(1+$BP$3)</f>
        <v>404108.85940000002</v>
      </c>
      <c r="BS21" s="52">
        <f>+'E. Rdos Proyec'!BC21*(1+$BP$3)</f>
        <v>540804.13340000005</v>
      </c>
      <c r="BT21" s="52">
        <f>+'E. Rdos Proyec'!BD21*(1+$BP$3)</f>
        <v>1027005.9165999998</v>
      </c>
      <c r="BU21" s="52">
        <f>+'E. Rdos Proyec'!BE21*(1+$BP$3)</f>
        <v>358154.19140000001</v>
      </c>
      <c r="BV21" s="52">
        <f>+'E. Rdos Proyec'!BF21*(1+$BP$3)</f>
        <v>626539.3922</v>
      </c>
      <c r="BW21" s="52">
        <f>+'E. Rdos Proyec'!BG21*(1+$BP$3)</f>
        <v>603441.41840000008</v>
      </c>
      <c r="BX21" s="52">
        <f>+'E. Rdos Proyec'!BH21*(1+$BP$3)</f>
        <v>588294.63380000007</v>
      </c>
      <c r="BY21" s="52">
        <f>+'E. Rdos Proyec'!BI21*(1+$BP$3)</f>
        <v>525391.86239999998</v>
      </c>
      <c r="BZ21" s="52">
        <f>+'E. Rdos Proyec'!BJ21*(1+$BP$3)</f>
        <v>2096585.8273999998</v>
      </c>
      <c r="CA21" s="52">
        <f>+'E. Rdos Proyec'!BK21*(1+$BP$3)</f>
        <v>1059325.3964000002</v>
      </c>
      <c r="CB21" s="52">
        <f>+'E. Rdos Proyec'!BL21*(1+$BP$3)</f>
        <v>933073.12280000001</v>
      </c>
      <c r="CC21" s="13"/>
      <c r="CD21" s="53">
        <f t="shared" si="11"/>
        <v>9174114.0057999995</v>
      </c>
      <c r="CE21" s="13"/>
      <c r="CF21" s="52">
        <f>+'E. Rdos Proyec'!BQ21*(1+$BP$3)</f>
        <v>600628.30733600003</v>
      </c>
      <c r="CG21" s="52">
        <f>+'E. Rdos Proyec'!BR21*(1+$BP$3)</f>
        <v>589998.93472400005</v>
      </c>
      <c r="CH21" s="52">
        <f>+'E. Rdos Proyec'!BS21*(1+$BP$3)</f>
        <v>789574.0347640001</v>
      </c>
      <c r="CI21" s="13"/>
    </row>
    <row r="22" spans="1:87" s="15" customFormat="1" x14ac:dyDescent="0.2">
      <c r="A22" s="3"/>
      <c r="B22" s="12" t="s">
        <v>40</v>
      </c>
      <c r="C22" s="52">
        <v>1403051.5165200001</v>
      </c>
      <c r="D22" s="52">
        <v>1504336.20034</v>
      </c>
      <c r="E22" s="52">
        <v>2033569.4480300003</v>
      </c>
      <c r="F22" s="52">
        <v>1610590.6905799997</v>
      </c>
      <c r="G22" s="52">
        <v>1824171.2049999998</v>
      </c>
      <c r="H22" s="52">
        <v>1011834.1100399999</v>
      </c>
      <c r="I22" s="52">
        <v>653354.28</v>
      </c>
      <c r="J22" s="52">
        <v>1914523.652</v>
      </c>
      <c r="K22" s="52">
        <v>943859.96</v>
      </c>
      <c r="L22" s="52">
        <v>1461503.5873999998</v>
      </c>
      <c r="M22" s="52">
        <v>2730522.7618899997</v>
      </c>
      <c r="N22" s="52">
        <v>8485425.0890100002</v>
      </c>
      <c r="O22" s="52">
        <v>2701476.84</v>
      </c>
      <c r="P22" s="52">
        <v>2652129.8117999998</v>
      </c>
      <c r="Q22" s="52">
        <v>4237423.8237999994</v>
      </c>
      <c r="R22" s="52">
        <v>1649576.0830000001</v>
      </c>
      <c r="S22" s="52">
        <v>3087601.6072999998</v>
      </c>
      <c r="T22" s="52">
        <v>1089186.3190000001</v>
      </c>
      <c r="U22" s="52">
        <v>2543471.1900000004</v>
      </c>
      <c r="V22" s="52">
        <v>2990020.6001000004</v>
      </c>
      <c r="W22" s="52">
        <v>1656026.5249999999</v>
      </c>
      <c r="X22" s="52">
        <v>1357674.74</v>
      </c>
      <c r="Y22" s="52">
        <v>3515958.5279999995</v>
      </c>
      <c r="Z22" s="52">
        <v>1901775.49</v>
      </c>
      <c r="AA22" s="52">
        <v>1561771.0949999993</v>
      </c>
      <c r="AB22" s="52">
        <v>1307061.5660000001</v>
      </c>
      <c r="AC22" s="52">
        <v>3027148.8777999994</v>
      </c>
      <c r="AD22" s="52">
        <v>2872048.4087749994</v>
      </c>
      <c r="AE22" s="52">
        <v>3994584.3172500003</v>
      </c>
      <c r="AF22" s="52">
        <v>1222648.4162999999</v>
      </c>
      <c r="AG22" s="13"/>
      <c r="AH22" s="52">
        <f>SUM(I22:T22)-AH23</f>
        <v>24638873.527200002</v>
      </c>
      <c r="AI22" s="52">
        <f t="shared" si="7"/>
        <v>27950189.754224993</v>
      </c>
      <c r="AJ22" s="51">
        <f t="shared" si="8"/>
        <v>0.13439397801078345</v>
      </c>
      <c r="AK22" s="13"/>
      <c r="AL22" s="52">
        <v>2318615.3835</v>
      </c>
      <c r="AM22" s="52">
        <v>3554455.5534499995</v>
      </c>
      <c r="AN22" s="52">
        <v>2113656.3480000002</v>
      </c>
      <c r="AO22" s="52">
        <v>2124868.3049999997</v>
      </c>
      <c r="AP22" s="52">
        <v>2058773.6195000003</v>
      </c>
      <c r="AQ22" s="52">
        <v>5092814.5109000001</v>
      </c>
      <c r="AR22" s="53">
        <v>3305645.7930000015</v>
      </c>
      <c r="AS22" s="53">
        <v>5102603.1959500005</v>
      </c>
      <c r="AT22" s="53">
        <v>3207444.8218999999</v>
      </c>
      <c r="AU22" s="53">
        <v>3440223.4429000006</v>
      </c>
      <c r="AV22" s="53">
        <v>6073370.1380000003</v>
      </c>
      <c r="AW22" s="53">
        <v>4195896.9390000002</v>
      </c>
      <c r="AX22" s="13"/>
      <c r="AY22" s="46">
        <f t="shared" si="10"/>
        <v>42588368.051100008</v>
      </c>
      <c r="AZ22" s="13"/>
      <c r="BA22" s="53">
        <v>2823497.594</v>
      </c>
      <c r="BB22" s="53">
        <v>2513260.12</v>
      </c>
      <c r="BC22" s="53">
        <v>4490576.5921999998</v>
      </c>
      <c r="BD22" s="53">
        <v>7803354.8700000001</v>
      </c>
      <c r="BE22" s="53">
        <v>11332544.164000001</v>
      </c>
      <c r="BF22" s="53">
        <v>4651958.1789999995</v>
      </c>
      <c r="BG22" s="52">
        <v>7640211.7639999995</v>
      </c>
      <c r="BH22" s="52">
        <v>2299461.2386499997</v>
      </c>
      <c r="BI22" s="52">
        <v>3740090.4297499992</v>
      </c>
      <c r="BJ22" s="52">
        <v>8807343.3863000013</v>
      </c>
      <c r="BK22" s="52">
        <v>14979243.3813</v>
      </c>
      <c r="BL22" s="52">
        <v>16949179.118099999</v>
      </c>
      <c r="BM22" s="13"/>
      <c r="BN22" s="46">
        <f t="shared" si="9"/>
        <v>88030720.837300003</v>
      </c>
      <c r="BO22" s="46"/>
      <c r="BP22" s="46"/>
      <c r="BQ22" s="52">
        <f>+'E. Rdos Proyec'!BA22*(1+$BP$3)</f>
        <v>4122306.4872400002</v>
      </c>
      <c r="BR22" s="52">
        <f>+'E. Rdos Proyec'!BB22*(1+$BP$3)</f>
        <v>3669359.7752</v>
      </c>
      <c r="BS22" s="52">
        <f>+'E. Rdos Proyec'!BC22*(1+$BP$3)</f>
        <v>6556241.824612</v>
      </c>
      <c r="BT22" s="52">
        <f>+'E. Rdos Proyec'!BD22*(1+$BP$3)</f>
        <v>11392898.110199999</v>
      </c>
      <c r="BU22" s="52">
        <f>+'E. Rdos Proyec'!BE22*(1+$BP$3)</f>
        <v>16545514.47944</v>
      </c>
      <c r="BV22" s="52">
        <f>+'E. Rdos Proyec'!BF22*(1+$BP$3)</f>
        <v>6791858.9413399994</v>
      </c>
      <c r="BW22" s="52">
        <f>+'E. Rdos Proyec'!BG22*(1+$BP$3)</f>
        <v>11154709.175439999</v>
      </c>
      <c r="BX22" s="52">
        <f>+'E. Rdos Proyec'!BH22*(1+$BP$3)</f>
        <v>3357213.4084289996</v>
      </c>
      <c r="BY22" s="52">
        <f>+'E. Rdos Proyec'!BI22*(1+$BP$3)</f>
        <v>5460532.0274349991</v>
      </c>
      <c r="BZ22" s="52">
        <f>+'E. Rdos Proyec'!BJ22*(1+$BP$3)</f>
        <v>12858721.343998002</v>
      </c>
      <c r="CA22" s="52">
        <f>+'E. Rdos Proyec'!BK22*(1+$BP$3)</f>
        <v>21869695.336697999</v>
      </c>
      <c r="CB22" s="52">
        <f>+'E. Rdos Proyec'!BL22*(1+$BP$3)</f>
        <v>24745801.512425996</v>
      </c>
      <c r="CC22" s="13"/>
      <c r="CD22" s="53">
        <f t="shared" si="11"/>
        <v>128524852.42245799</v>
      </c>
      <c r="CE22" s="13"/>
      <c r="CF22" s="52">
        <f>+'E. Rdos Proyec'!BQ22*(1+$BP$3)</f>
        <v>6018567.4713703999</v>
      </c>
      <c r="CG22" s="52">
        <f>+'E. Rdos Proyec'!BR22*(1+$BP$3)</f>
        <v>5357265.2717920002</v>
      </c>
      <c r="CH22" s="52">
        <f>+'E. Rdos Proyec'!BS22*(1+$BP$3)</f>
        <v>9572113.0639335196</v>
      </c>
      <c r="CI22" s="13"/>
    </row>
    <row r="23" spans="1:87" s="15" customFormat="1" x14ac:dyDescent="0.2">
      <c r="A23" s="3"/>
      <c r="B23" s="12" t="s">
        <v>41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>
        <v>352200</v>
      </c>
      <c r="Y23" s="52">
        <v>744933.6</v>
      </c>
      <c r="Z23" s="52">
        <v>160650</v>
      </c>
      <c r="AA23" s="47">
        <v>12489584</v>
      </c>
      <c r="AB23" s="52"/>
      <c r="AC23" s="52"/>
      <c r="AD23" s="52"/>
      <c r="AE23" s="13"/>
      <c r="AF23" s="52">
        <v>2181950</v>
      </c>
      <c r="AG23" s="13"/>
      <c r="AH23" s="52">
        <v>6967710.2879999997</v>
      </c>
      <c r="AI23" s="52">
        <f t="shared" si="7"/>
        <v>15929317.6</v>
      </c>
      <c r="AJ23" s="51">
        <f t="shared" si="8"/>
        <v>1.2861624467127961</v>
      </c>
      <c r="AK23" s="13"/>
      <c r="AL23" s="13"/>
      <c r="AM23" s="53"/>
      <c r="AN23" s="49"/>
      <c r="AO23" s="49"/>
      <c r="AP23" s="52">
        <v>2112000</v>
      </c>
      <c r="AQ23" s="52"/>
      <c r="AR23" s="47">
        <v>11479952.199999999</v>
      </c>
      <c r="AS23" s="52">
        <v>1084200</v>
      </c>
      <c r="AT23" s="13"/>
      <c r="AU23" s="13"/>
      <c r="AV23" s="13"/>
      <c r="AW23" s="13"/>
      <c r="AX23" s="13"/>
      <c r="AY23" s="46">
        <f t="shared" si="10"/>
        <v>14676152.199999999</v>
      </c>
      <c r="AZ23" s="13"/>
      <c r="BA23" s="13"/>
      <c r="BB23" s="13"/>
      <c r="BC23" s="13"/>
      <c r="BD23" s="13"/>
      <c r="BE23" s="47"/>
      <c r="BF23" s="47"/>
      <c r="BG23" s="48"/>
      <c r="BH23" s="47"/>
      <c r="BI23" s="13"/>
      <c r="BJ23" s="13"/>
      <c r="BK23" s="13"/>
      <c r="BL23" s="13"/>
      <c r="BM23" s="13"/>
      <c r="BN23" s="46">
        <f t="shared" si="9"/>
        <v>0</v>
      </c>
      <c r="BO23" s="46"/>
      <c r="BP23" s="46"/>
      <c r="BQ23" s="52">
        <f>+'E. Rdos Proyec'!BA23*(1+$BP$3)</f>
        <v>0</v>
      </c>
      <c r="BR23" s="52">
        <f>+'E. Rdos Proyec'!BB23*(1+$BP$3)</f>
        <v>0</v>
      </c>
      <c r="BS23" s="52">
        <f>+'E. Rdos Proyec'!BC23*(1+$BP$3)</f>
        <v>0</v>
      </c>
      <c r="BT23" s="52">
        <f>+'E. Rdos Proyec'!BD23*(1+$BP$3)</f>
        <v>0</v>
      </c>
      <c r="BU23" s="52">
        <f>+'E. Rdos Proyec'!BE23*(1+$BP$3)</f>
        <v>0</v>
      </c>
      <c r="BV23" s="52">
        <f>+'E. Rdos Proyec'!BF23*(1+$BP$3)</f>
        <v>0</v>
      </c>
      <c r="BW23" s="52">
        <f>+'E. Rdos Proyec'!BG23*(1+$BP$3)</f>
        <v>0</v>
      </c>
      <c r="BX23" s="52">
        <f>+'E. Rdos Proyec'!BH23*(1+$BP$3)</f>
        <v>0</v>
      </c>
      <c r="BY23" s="52">
        <f>+'E. Rdos Proyec'!BI23*(1+$BP$3)</f>
        <v>0</v>
      </c>
      <c r="BZ23" s="52">
        <f>+'E. Rdos Proyec'!BJ23*(1+$BP$3)</f>
        <v>0</v>
      </c>
      <c r="CA23" s="52">
        <f>+'E. Rdos Proyec'!BK23*(1+$BP$3)</f>
        <v>0</v>
      </c>
      <c r="CB23" s="52">
        <f>+'E. Rdos Proyec'!BL23*(1+$BP$3)</f>
        <v>0</v>
      </c>
      <c r="CC23" s="13"/>
      <c r="CD23" s="53">
        <f t="shared" si="11"/>
        <v>0</v>
      </c>
      <c r="CE23" s="13"/>
      <c r="CF23" s="13"/>
      <c r="CG23" s="13"/>
      <c r="CH23" s="13"/>
      <c r="CI23" s="13"/>
    </row>
    <row r="24" spans="1:87" s="15" customFormat="1" x14ac:dyDescent="0.2">
      <c r="A24" s="3"/>
      <c r="B24" s="12" t="s">
        <v>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47"/>
      <c r="AB24" s="52"/>
      <c r="AC24" s="52"/>
      <c r="AD24" s="52"/>
      <c r="AE24" s="13"/>
      <c r="AF24" s="52"/>
      <c r="AG24" s="13"/>
      <c r="AH24" s="52"/>
      <c r="AI24" s="52"/>
      <c r="AJ24" s="51"/>
      <c r="AK24" s="13"/>
      <c r="AL24" s="13"/>
      <c r="AM24" s="53"/>
      <c r="AN24" s="49"/>
      <c r="AO24" s="49"/>
      <c r="AP24" s="52"/>
      <c r="AQ24" s="52"/>
      <c r="AR24" s="47"/>
      <c r="AS24" s="52"/>
      <c r="AT24" s="13"/>
      <c r="AU24" s="13"/>
      <c r="AV24" s="13"/>
      <c r="AW24" s="13"/>
      <c r="AX24" s="13"/>
      <c r="AY24" s="46"/>
      <c r="AZ24" s="13"/>
      <c r="BA24" s="13"/>
      <c r="BB24" s="13"/>
      <c r="BC24" s="13"/>
      <c r="BD24" s="13"/>
      <c r="BE24" s="47"/>
      <c r="BF24" s="47"/>
      <c r="BG24" s="48"/>
      <c r="BH24" s="47"/>
      <c r="BI24" s="13"/>
      <c r="BJ24" s="13"/>
      <c r="BK24" s="13"/>
      <c r="BL24" s="13"/>
      <c r="BM24" s="13"/>
      <c r="BN24" s="46"/>
      <c r="BO24" s="46"/>
      <c r="BP24" s="46"/>
      <c r="BQ24" s="52">
        <f>+'E. Rdos Proyec'!BA24*(1+$BP$3)</f>
        <v>0</v>
      </c>
      <c r="BR24" s="52">
        <f>+'E. Rdos Proyec'!BB24*(1+$BP$3)</f>
        <v>0</v>
      </c>
      <c r="BS24" s="52">
        <f>+'E. Rdos Proyec'!BC24*(1+$BP$3)</f>
        <v>0</v>
      </c>
      <c r="BT24" s="52">
        <f>+'E. Rdos Proyec'!BD24*(1+$BP$3)</f>
        <v>0</v>
      </c>
      <c r="BU24" s="52">
        <f>+'E. Rdos Proyec'!BE24*(1+$BP$3)</f>
        <v>0</v>
      </c>
      <c r="BV24" s="52">
        <f>+'E. Rdos Proyec'!BF24*(1+$BP$3)</f>
        <v>0</v>
      </c>
      <c r="BW24" s="52">
        <f>+'E. Rdos Proyec'!BG24*(1+$BP$3)</f>
        <v>0</v>
      </c>
      <c r="BX24" s="52">
        <f>+'E. Rdos Proyec'!BH24*(1+$BP$3)</f>
        <v>0</v>
      </c>
      <c r="BY24" s="52">
        <f>+'E. Rdos Proyec'!BI24*(1+$BP$3)</f>
        <v>0</v>
      </c>
      <c r="BZ24" s="52">
        <f>+'E. Rdos Proyec'!BJ24*(1+$BP$3)</f>
        <v>0</v>
      </c>
      <c r="CA24" s="52">
        <f>+'E. Rdos Proyec'!BK24*(1+$BP$3)</f>
        <v>0</v>
      </c>
      <c r="CB24" s="52">
        <f>+'E. Rdos Proyec'!BL24*(1+$BP$3)</f>
        <v>0</v>
      </c>
      <c r="CC24" s="13"/>
      <c r="CD24" s="53">
        <f t="shared" si="11"/>
        <v>0</v>
      </c>
      <c r="CE24" s="13"/>
      <c r="CF24" s="13"/>
      <c r="CG24" s="13"/>
      <c r="CH24" s="13"/>
      <c r="CI24" s="13"/>
    </row>
    <row r="25" spans="1:87" s="15" customFormat="1" x14ac:dyDescent="0.2">
      <c r="A25" s="3"/>
      <c r="B25" s="12" t="s">
        <v>43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47"/>
      <c r="AB25" s="52"/>
      <c r="AC25" s="52"/>
      <c r="AD25" s="52"/>
      <c r="AE25" s="13"/>
      <c r="AF25" s="52"/>
      <c r="AG25" s="13"/>
      <c r="AH25" s="52"/>
      <c r="AI25" s="52"/>
      <c r="AJ25" s="51"/>
      <c r="AK25" s="13"/>
      <c r="AL25" s="13"/>
      <c r="AM25" s="53"/>
      <c r="AN25" s="49"/>
      <c r="AO25" s="49"/>
      <c r="AP25" s="52"/>
      <c r="AQ25" s="52"/>
      <c r="AR25" s="47"/>
      <c r="AS25" s="52"/>
      <c r="AT25" s="49">
        <v>759969</v>
      </c>
      <c r="AU25" s="49">
        <v>1097334</v>
      </c>
      <c r="AV25" s="49">
        <v>1117855.6515000006</v>
      </c>
      <c r="AW25" s="49">
        <v>1178240.5372499977</v>
      </c>
      <c r="AX25" s="49"/>
      <c r="AY25" s="46">
        <f t="shared" si="10"/>
        <v>4153399.1887499983</v>
      </c>
      <c r="AZ25" s="13"/>
      <c r="BA25" s="49">
        <v>0</v>
      </c>
      <c r="BB25" s="13"/>
      <c r="BC25" s="13"/>
      <c r="BD25" s="13"/>
      <c r="BE25" s="13"/>
      <c r="BF25" s="13"/>
      <c r="BG25" s="47">
        <v>998205</v>
      </c>
      <c r="BH25" s="47">
        <v>53235</v>
      </c>
      <c r="BI25" s="47">
        <v>1664325</v>
      </c>
      <c r="BJ25" s="47">
        <v>688935</v>
      </c>
      <c r="BK25" s="47">
        <v>1019395</v>
      </c>
      <c r="BL25" s="47">
        <v>389108.85</v>
      </c>
      <c r="BM25" s="13"/>
      <c r="BN25" s="46">
        <f t="shared" si="9"/>
        <v>4813203.8499999996</v>
      </c>
      <c r="BO25" s="46"/>
      <c r="BP25" s="46"/>
      <c r="BQ25" s="52">
        <f>+'E. Rdos Proyec'!BA25*(1+$BP$3)</f>
        <v>0</v>
      </c>
      <c r="BR25" s="52">
        <f>+'E. Rdos Proyec'!BB25*(1+$BP$3)</f>
        <v>0</v>
      </c>
      <c r="BS25" s="52">
        <f>+'E. Rdos Proyec'!BC25*(1+$BP$3)</f>
        <v>0</v>
      </c>
      <c r="BT25" s="52">
        <f>+'E. Rdos Proyec'!BD25*(1+$BP$3)</f>
        <v>0</v>
      </c>
      <c r="BU25" s="52">
        <f>+'E. Rdos Proyec'!BE25*(1+$BP$3)</f>
        <v>0</v>
      </c>
      <c r="BV25" s="52">
        <f>+'E. Rdos Proyec'!BF25*(1+$BP$3)</f>
        <v>0</v>
      </c>
      <c r="BW25" s="52">
        <f>+'E. Rdos Proyec'!BG25*(1+$BP$3)</f>
        <v>1457379.3</v>
      </c>
      <c r="BX25" s="52">
        <f>+'E. Rdos Proyec'!BH25*(1+$BP$3)</f>
        <v>77723.099999999991</v>
      </c>
      <c r="BY25" s="52">
        <f>+'E. Rdos Proyec'!BI25*(1+$BP$3)</f>
        <v>2429914.5</v>
      </c>
      <c r="BZ25" s="52">
        <f>+'E. Rdos Proyec'!BJ25*(1+$BP$3)</f>
        <v>1005845.1</v>
      </c>
      <c r="CA25" s="52">
        <f>+'E. Rdos Proyec'!BK25*(1+$BP$3)</f>
        <v>1488316.7</v>
      </c>
      <c r="CB25" s="52">
        <f>+'E. Rdos Proyec'!BL25*(1+$BP$3)</f>
        <v>568098.92099999997</v>
      </c>
      <c r="CC25" s="13"/>
      <c r="CD25" s="53">
        <f t="shared" si="11"/>
        <v>7027277.6210000003</v>
      </c>
      <c r="CE25" s="13"/>
      <c r="CF25" s="13"/>
      <c r="CG25" s="13"/>
      <c r="CH25" s="13"/>
      <c r="CI25" s="13"/>
    </row>
    <row r="26" spans="1:87" s="15" customFormat="1" x14ac:dyDescent="0.2">
      <c r="A26" s="3"/>
      <c r="B26" s="12" t="s">
        <v>44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47"/>
      <c r="AB26" s="52"/>
      <c r="AC26" s="52"/>
      <c r="AD26" s="52"/>
      <c r="AE26" s="13"/>
      <c r="AF26" s="52"/>
      <c r="AG26" s="13"/>
      <c r="AH26" s="52"/>
      <c r="AI26" s="52"/>
      <c r="AJ26" s="51"/>
      <c r="AK26" s="13"/>
      <c r="AL26" s="13"/>
      <c r="AM26" s="53"/>
      <c r="AN26" s="49"/>
      <c r="AO26" s="49"/>
      <c r="AP26" s="52"/>
      <c r="AQ26" s="52"/>
      <c r="AR26" s="47"/>
      <c r="AS26" s="52"/>
      <c r="AT26" s="13"/>
      <c r="AU26" s="13"/>
      <c r="AV26" s="13"/>
      <c r="AW26" s="13"/>
      <c r="AX26" s="13"/>
      <c r="AY26" s="46">
        <f t="shared" si="10"/>
        <v>0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46">
        <f t="shared" si="9"/>
        <v>0</v>
      </c>
      <c r="BO26" s="13"/>
      <c r="BP26" s="13"/>
      <c r="BQ26" s="52">
        <f>+'E. Rdos Proyec'!BA26*(1+$BP$3)</f>
        <v>0</v>
      </c>
      <c r="BR26" s="52">
        <f>+'E. Rdos Proyec'!BB26*(1+$BP$3)</f>
        <v>0</v>
      </c>
      <c r="BS26" s="52">
        <f>+'E. Rdos Proyec'!BC26*(1+$BP$3)</f>
        <v>0</v>
      </c>
      <c r="BT26" s="52">
        <f>+'E. Rdos Proyec'!BD26*(1+$BP$3)</f>
        <v>0</v>
      </c>
      <c r="BU26" s="52">
        <f>+'E. Rdos Proyec'!BE26*(1+$BP$3)</f>
        <v>0</v>
      </c>
      <c r="BV26" s="52">
        <f>+'E. Rdos Proyec'!BF26*(1+$BP$3)</f>
        <v>0</v>
      </c>
      <c r="BW26" s="52">
        <f>+'E. Rdos Proyec'!BG26*(1+$BP$3)</f>
        <v>0</v>
      </c>
      <c r="BX26" s="52">
        <f>+'E. Rdos Proyec'!BH26*(1+$BP$3)</f>
        <v>0</v>
      </c>
      <c r="BY26" s="52">
        <f>+'E. Rdos Proyec'!BI26*(1+$BP$3)</f>
        <v>0</v>
      </c>
      <c r="BZ26" s="52">
        <f>+'E. Rdos Proyec'!BJ26*(1+$BP$3)</f>
        <v>0</v>
      </c>
      <c r="CA26" s="52">
        <f>+'E. Rdos Proyec'!BK26*(1+$BP$3)</f>
        <v>0</v>
      </c>
      <c r="CB26" s="52">
        <f>+'E. Rdos Proyec'!BL26*(1+$BP$3)</f>
        <v>0</v>
      </c>
      <c r="CC26" s="13"/>
      <c r="CD26" s="53">
        <f t="shared" si="11"/>
        <v>0</v>
      </c>
      <c r="CE26" s="13"/>
      <c r="CF26" s="13"/>
      <c r="CG26" s="13"/>
      <c r="CH26" s="13"/>
      <c r="CI26" s="13"/>
    </row>
    <row r="27" spans="1:87" s="15" customFormat="1" x14ac:dyDescent="0.2">
      <c r="A27" s="3"/>
      <c r="B27" s="12" t="s">
        <v>45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47"/>
      <c r="AB27" s="52"/>
      <c r="AC27" s="52"/>
      <c r="AD27" s="52"/>
      <c r="AE27" s="13"/>
      <c r="AF27" s="52"/>
      <c r="AG27" s="13"/>
      <c r="AH27" s="52"/>
      <c r="AI27" s="52"/>
      <c r="AJ27" s="51"/>
      <c r="AK27" s="13"/>
      <c r="AL27" s="13"/>
      <c r="AM27" s="53"/>
      <c r="AN27" s="49"/>
      <c r="AO27" s="49"/>
      <c r="AP27" s="52"/>
      <c r="AQ27" s="52"/>
      <c r="AR27" s="47"/>
      <c r="AS27" s="52"/>
      <c r="AT27" s="13"/>
      <c r="AU27" s="13"/>
      <c r="AV27" s="13"/>
      <c r="AW27" s="13"/>
      <c r="AX27" s="13"/>
      <c r="AY27" s="46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46">
        <f t="shared" si="9"/>
        <v>0</v>
      </c>
      <c r="BO27" s="13"/>
      <c r="BP27" s="13"/>
      <c r="BQ27" s="52">
        <f>+'E. Rdos Proyec'!BA27*(1+$BP$3)</f>
        <v>0</v>
      </c>
      <c r="BR27" s="52">
        <f>+'E. Rdos Proyec'!BB27*(1+$BP$3)</f>
        <v>0</v>
      </c>
      <c r="BS27" s="52">
        <f>+'E. Rdos Proyec'!BC27*(1+$BP$3)</f>
        <v>0</v>
      </c>
      <c r="BT27" s="52">
        <f>+'E. Rdos Proyec'!BD27*(1+$BP$3)</f>
        <v>0</v>
      </c>
      <c r="BU27" s="52">
        <f>+'E. Rdos Proyec'!BE27*(1+$BP$3)</f>
        <v>0</v>
      </c>
      <c r="BV27" s="52">
        <f>+'E. Rdos Proyec'!BF27*(1+$BP$3)</f>
        <v>0</v>
      </c>
      <c r="BW27" s="52">
        <f>+'E. Rdos Proyec'!BG27*(1+$BP$3)</f>
        <v>0</v>
      </c>
      <c r="BX27" s="52">
        <f>+'E. Rdos Proyec'!BH27*(1+$BP$3)</f>
        <v>0</v>
      </c>
      <c r="BY27" s="52">
        <f>+'E. Rdos Proyec'!BI27*(1+$BP$3)</f>
        <v>0</v>
      </c>
      <c r="BZ27" s="52">
        <f>+'E. Rdos Proyec'!BJ27*(1+$BP$3)</f>
        <v>0</v>
      </c>
      <c r="CA27" s="52">
        <f>+'E. Rdos Proyec'!BK27*(1+$BP$3)</f>
        <v>0</v>
      </c>
      <c r="CB27" s="52">
        <f>+'E. Rdos Proyec'!BL27*(1+$BP$3)</f>
        <v>0</v>
      </c>
      <c r="CC27" s="13"/>
      <c r="CD27" s="53">
        <f t="shared" si="11"/>
        <v>0</v>
      </c>
      <c r="CE27" s="13"/>
      <c r="CF27" s="13"/>
      <c r="CG27" s="13"/>
      <c r="CH27" s="13"/>
      <c r="CI27" s="13"/>
    </row>
    <row r="28" spans="1:87" s="15" customFormat="1" x14ac:dyDescent="0.2">
      <c r="A28" s="3"/>
      <c r="B28" s="12" t="s">
        <v>46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13"/>
      <c r="AB28" s="13"/>
      <c r="AC28" s="13"/>
      <c r="AD28" s="13"/>
      <c r="AE28" s="13"/>
      <c r="AF28" s="13"/>
      <c r="AG28" s="13"/>
      <c r="AH28" s="52">
        <f>SUM(I28:T28)</f>
        <v>0</v>
      </c>
      <c r="AI28" s="52">
        <f ca="1">SUM(AW28:AW28)+SUM(U28:AV28)</f>
        <v>4337436.8240819164</v>
      </c>
      <c r="AJ28" s="51"/>
      <c r="AK28" s="13"/>
      <c r="AL28" s="13"/>
      <c r="AM28" s="13"/>
      <c r="AN28" s="49"/>
      <c r="AO28" s="49"/>
      <c r="AP28" s="49"/>
      <c r="AQ28" s="49"/>
      <c r="AR28" s="52">
        <v>263777.44220238383</v>
      </c>
      <c r="AS28" s="52">
        <v>371254.49290785997</v>
      </c>
      <c r="AT28" s="52">
        <v>585694.32171390008</v>
      </c>
      <c r="AU28" s="52">
        <v>166345.35266012291</v>
      </c>
      <c r="AV28" s="52">
        <v>101903.12760509015</v>
      </c>
      <c r="AW28" s="52">
        <v>26176.977219681721</v>
      </c>
      <c r="AX28" s="52"/>
      <c r="AY28" s="46">
        <f t="shared" si="10"/>
        <v>1515151.7143090384</v>
      </c>
      <c r="AZ28" s="13"/>
      <c r="BA28" s="5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46">
        <f t="shared" si="9"/>
        <v>0</v>
      </c>
      <c r="BO28" s="13"/>
      <c r="BP28" s="13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13"/>
      <c r="CD28" s="13"/>
      <c r="CE28" s="13"/>
      <c r="CF28" s="13"/>
      <c r="CG28" s="13"/>
      <c r="CH28" s="13"/>
      <c r="CI28" s="13"/>
    </row>
    <row r="29" spans="1:87" s="57" customFormat="1" ht="13.5" thickBot="1" x14ac:dyDescent="0.25">
      <c r="A29" s="7"/>
      <c r="B29" s="54" t="s">
        <v>47</v>
      </c>
      <c r="C29" s="54">
        <f t="shared" ref="C29:V29" si="12">SUM(C12:C22)</f>
        <v>3852538.1033200002</v>
      </c>
      <c r="D29" s="54">
        <f t="shared" si="12"/>
        <v>3974991.4341800003</v>
      </c>
      <c r="E29" s="54">
        <f t="shared" si="12"/>
        <v>4688444.7597900005</v>
      </c>
      <c r="F29" s="54">
        <f t="shared" si="12"/>
        <v>4584648.1398999989</v>
      </c>
      <c r="G29" s="54">
        <f t="shared" si="12"/>
        <v>4160709.1483999994</v>
      </c>
      <c r="H29" s="54">
        <f t="shared" si="12"/>
        <v>3877805.9890199993</v>
      </c>
      <c r="I29" s="54">
        <f t="shared" si="12"/>
        <v>3744001.1913200002</v>
      </c>
      <c r="J29" s="54">
        <f t="shared" si="12"/>
        <v>4484956.3742800001</v>
      </c>
      <c r="K29" s="54">
        <f t="shared" si="12"/>
        <v>4046206.4112400012</v>
      </c>
      <c r="L29" s="54">
        <f t="shared" si="12"/>
        <v>4541886.2658399995</v>
      </c>
      <c r="M29" s="54">
        <f t="shared" si="12"/>
        <v>5253709.4222099995</v>
      </c>
      <c r="N29" s="54">
        <f t="shared" si="12"/>
        <v>12049868.467610002</v>
      </c>
      <c r="O29" s="54">
        <f t="shared" si="12"/>
        <v>5281317.7784199994</v>
      </c>
      <c r="P29" s="54">
        <f t="shared" si="12"/>
        <v>5358826.5381000005</v>
      </c>
      <c r="Q29" s="54">
        <f t="shared" si="12"/>
        <v>6935867.2202799991</v>
      </c>
      <c r="R29" s="54">
        <f t="shared" si="12"/>
        <v>5751056.541579999</v>
      </c>
      <c r="S29" s="54">
        <f t="shared" si="12"/>
        <v>5539961.3521999996</v>
      </c>
      <c r="T29" s="54">
        <f t="shared" si="12"/>
        <v>4222190.1689999998</v>
      </c>
      <c r="U29" s="54">
        <f t="shared" si="12"/>
        <v>5218554.8590000002</v>
      </c>
      <c r="V29" s="54">
        <f t="shared" si="12"/>
        <v>5712663.1855999995</v>
      </c>
      <c r="W29" s="54">
        <f t="shared" ref="W29:AC29" si="13">SUM(W12:W28)</f>
        <v>5815561.8250000002</v>
      </c>
      <c r="X29" s="54">
        <f t="shared" si="13"/>
        <v>5004432.4400000004</v>
      </c>
      <c r="Y29" s="54">
        <f t="shared" si="13"/>
        <v>7054964.3679999989</v>
      </c>
      <c r="Z29" s="54">
        <f t="shared" si="13"/>
        <v>5997274.9900000002</v>
      </c>
      <c r="AA29" s="54">
        <f t="shared" si="13"/>
        <v>18606350.774999999</v>
      </c>
      <c r="AB29" s="54">
        <f t="shared" si="13"/>
        <v>4871349.2060000002</v>
      </c>
      <c r="AC29" s="54">
        <f t="shared" si="13"/>
        <v>5631777.3408000004</v>
      </c>
      <c r="AD29" s="54">
        <f>SUM(AD12:AD28)</f>
        <v>5841782.9537749998</v>
      </c>
      <c r="AE29" s="54">
        <f>SUM(AE12:AE28)</f>
        <v>7251242.2072500009</v>
      </c>
      <c r="AF29" s="54">
        <f>SUM(AF12:AF28)</f>
        <v>7331899.4663000004</v>
      </c>
      <c r="AG29" s="55"/>
      <c r="AH29" s="54">
        <f>SUM(I29:T29)</f>
        <v>67209847.732079998</v>
      </c>
      <c r="AI29" s="54">
        <f>+AF29+SUM(U29:AE29)</f>
        <v>84337853.616724998</v>
      </c>
      <c r="AJ29" s="51">
        <f>+AI29/AH29-1</f>
        <v>0.25484369422949338</v>
      </c>
      <c r="AK29" s="55"/>
      <c r="AL29" s="54">
        <f t="shared" ref="AL29:AW29" si="14">SUM(AL12:AL28)</f>
        <v>6431161.751699999</v>
      </c>
      <c r="AM29" s="54">
        <f t="shared" si="14"/>
        <v>7401060.6714500003</v>
      </c>
      <c r="AN29" s="54">
        <f t="shared" si="14"/>
        <v>6426556.8480000002</v>
      </c>
      <c r="AO29" s="54">
        <f t="shared" si="14"/>
        <v>6901693.5749999993</v>
      </c>
      <c r="AP29" s="54">
        <f t="shared" si="14"/>
        <v>10077600.236299999</v>
      </c>
      <c r="AQ29" s="54">
        <f t="shared" si="14"/>
        <v>12429046.108900001</v>
      </c>
      <c r="AR29" s="54">
        <f t="shared" si="14"/>
        <v>20228395.215202387</v>
      </c>
      <c r="AS29" s="54">
        <f t="shared" si="14"/>
        <v>11556368.288857859</v>
      </c>
      <c r="AT29" s="54">
        <f>SUM(AT12:AT28)</f>
        <v>9600154.4186139014</v>
      </c>
      <c r="AU29" s="54">
        <f t="shared" si="14"/>
        <v>11825422.397130122</v>
      </c>
      <c r="AV29" s="54">
        <f t="shared" si="14"/>
        <v>15567794.29110509</v>
      </c>
      <c r="AW29" s="54">
        <f t="shared" si="14"/>
        <v>14163797.504469678</v>
      </c>
      <c r="AX29" s="55"/>
      <c r="AY29" s="54">
        <f>SUM(AY12:AY28)</f>
        <v>132609051.30672906</v>
      </c>
      <c r="AZ29" s="55"/>
      <c r="BA29" s="54">
        <f t="shared" ref="BA29:BL29" si="15">SUM(BA12:BA28)</f>
        <v>10822371.187999999</v>
      </c>
      <c r="BB29" s="54">
        <f t="shared" si="15"/>
        <v>8227558.2925000014</v>
      </c>
      <c r="BC29" s="54">
        <f t="shared" si="15"/>
        <v>11998127.5702</v>
      </c>
      <c r="BD29" s="54">
        <f t="shared" si="15"/>
        <v>16813079.353699997</v>
      </c>
      <c r="BE29" s="54">
        <f t="shared" si="15"/>
        <v>19521884.930599999</v>
      </c>
      <c r="BF29" s="54">
        <f t="shared" si="15"/>
        <v>19421775.0416</v>
      </c>
      <c r="BG29" s="54">
        <f t="shared" si="15"/>
        <v>17010262.827</v>
      </c>
      <c r="BH29" s="54">
        <f t="shared" si="15"/>
        <v>10961183.635849999</v>
      </c>
      <c r="BI29" s="54">
        <f t="shared" si="15"/>
        <v>14546933.773549998</v>
      </c>
      <c r="BJ29" s="54">
        <f t="shared" si="15"/>
        <v>21274578.319799997</v>
      </c>
      <c r="BK29" s="54">
        <f t="shared" si="15"/>
        <v>26542586.2513</v>
      </c>
      <c r="BL29" s="54">
        <f t="shared" si="15"/>
        <v>28390442.110600002</v>
      </c>
      <c r="BM29" s="55"/>
      <c r="BN29" s="54">
        <f>SUM(BN12:BN28)</f>
        <v>205530783.2947</v>
      </c>
      <c r="BO29" s="56">
        <f>+CD29-BN29</f>
        <v>94544160.31556198</v>
      </c>
      <c r="BP29" s="56"/>
      <c r="BQ29" s="54">
        <f t="shared" ref="BQ29:CB29" si="16">SUM(BQ12:BQ28)</f>
        <v>15800661.934479997</v>
      </c>
      <c r="BR29" s="54">
        <f t="shared" si="16"/>
        <v>12012235.10705</v>
      </c>
      <c r="BS29" s="54">
        <f t="shared" si="16"/>
        <v>17517266.252492003</v>
      </c>
      <c r="BT29" s="54">
        <f t="shared" si="16"/>
        <v>24547095.856401999</v>
      </c>
      <c r="BU29" s="54">
        <f t="shared" si="16"/>
        <v>28501951.998675998</v>
      </c>
      <c r="BV29" s="54">
        <f t="shared" si="16"/>
        <v>28355791.560736004</v>
      </c>
      <c r="BW29" s="54">
        <f t="shared" si="16"/>
        <v>24834983.727419998</v>
      </c>
      <c r="BX29" s="54">
        <f t="shared" si="16"/>
        <v>16003328.108340999</v>
      </c>
      <c r="BY29" s="54">
        <f t="shared" si="16"/>
        <v>21238523.309382997</v>
      </c>
      <c r="BZ29" s="54">
        <f>SUM(BZ12:BZ28)</f>
        <v>31060884.346908003</v>
      </c>
      <c r="CA29" s="54">
        <f t="shared" si="16"/>
        <v>38752175.926898003</v>
      </c>
      <c r="CB29" s="54">
        <f t="shared" si="16"/>
        <v>41450045.481475987</v>
      </c>
      <c r="CC29" s="55"/>
      <c r="CD29" s="54">
        <f>SUM(CD12:CD28)</f>
        <v>300074943.61026198</v>
      </c>
      <c r="CE29" s="55"/>
      <c r="CF29" s="55"/>
      <c r="CG29" s="55"/>
      <c r="CH29" s="55"/>
      <c r="CI29" s="55"/>
    </row>
    <row r="30" spans="1:87" s="57" customFormat="1" x14ac:dyDescent="0.2">
      <c r="A30" s="7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5"/>
      <c r="AH30" s="56"/>
      <c r="AI30" s="56"/>
      <c r="AJ30" s="51"/>
      <c r="AK30" s="55"/>
      <c r="AL30" s="56"/>
      <c r="AM30" s="55"/>
      <c r="AN30" s="58"/>
      <c r="AO30" s="58"/>
      <c r="AP30" s="58"/>
      <c r="AQ30" s="58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>
        <f>+BO29/BN29</f>
        <v>0.45999999999999991</v>
      </c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</row>
    <row r="31" spans="1:87" s="15" customFormat="1" ht="13.5" thickBot="1" x14ac:dyDescent="0.25">
      <c r="A31" s="3"/>
      <c r="B31" s="54" t="s">
        <v>48</v>
      </c>
      <c r="C31" s="54">
        <f t="shared" ref="C31:S31" si="17">SUM(C14:C28)</f>
        <v>3349275.5833200002</v>
      </c>
      <c r="D31" s="54">
        <f t="shared" si="17"/>
        <v>3474320.6841799999</v>
      </c>
      <c r="E31" s="54">
        <f t="shared" si="17"/>
        <v>4131550.0097900005</v>
      </c>
      <c r="F31" s="54">
        <f t="shared" si="17"/>
        <v>3879484.5152999996</v>
      </c>
      <c r="G31" s="54">
        <f t="shared" si="17"/>
        <v>3585805.4384000003</v>
      </c>
      <c r="H31" s="54">
        <f t="shared" si="17"/>
        <v>3157310.6206199992</v>
      </c>
      <c r="I31" s="54">
        <f t="shared" si="17"/>
        <v>3118960.7721199999</v>
      </c>
      <c r="J31" s="54">
        <f t="shared" si="17"/>
        <v>3632684.0882799998</v>
      </c>
      <c r="K31" s="54">
        <f t="shared" si="17"/>
        <v>3252823.8012399999</v>
      </c>
      <c r="L31" s="54">
        <f t="shared" si="17"/>
        <v>3712976.2894399995</v>
      </c>
      <c r="M31" s="54">
        <f t="shared" si="17"/>
        <v>4553769.1216099998</v>
      </c>
      <c r="N31" s="54">
        <f t="shared" si="17"/>
        <v>11116942.794410001</v>
      </c>
      <c r="O31" s="54">
        <f t="shared" si="17"/>
        <v>4324714.2867999999</v>
      </c>
      <c r="P31" s="54">
        <f t="shared" si="17"/>
        <v>4434718.8607599996</v>
      </c>
      <c r="Q31" s="54">
        <f t="shared" si="17"/>
        <v>6086283.1532799993</v>
      </c>
      <c r="R31" s="54">
        <f t="shared" si="17"/>
        <v>4636347.0227799993</v>
      </c>
      <c r="S31" s="54">
        <f t="shared" si="17"/>
        <v>4569810.8178599998</v>
      </c>
      <c r="T31" s="54">
        <f>+T10-T29</f>
        <v>4220579.7709999904</v>
      </c>
      <c r="U31" s="54">
        <f t="shared" ref="U31:AE31" si="18">+U10-U29</f>
        <v>1226564.241000006</v>
      </c>
      <c r="V31" s="54">
        <f t="shared" si="18"/>
        <v>-672813.72560000047</v>
      </c>
      <c r="W31" s="54">
        <f t="shared" si="18"/>
        <v>3694450.0850000205</v>
      </c>
      <c r="X31" s="54">
        <f t="shared" si="18"/>
        <v>642229.34000000637</v>
      </c>
      <c r="Y31" s="54">
        <f t="shared" si="18"/>
        <v>1100433.4520000154</v>
      </c>
      <c r="Z31" s="54">
        <f t="shared" si="18"/>
        <v>-3761427.2900000024</v>
      </c>
      <c r="AA31" s="54">
        <f t="shared" si="18"/>
        <v>-8247328.4016666412</v>
      </c>
      <c r="AB31" s="54">
        <f t="shared" si="18"/>
        <v>524731.747333345</v>
      </c>
      <c r="AC31" s="54">
        <f t="shared" si="18"/>
        <v>5039520.4825333636</v>
      </c>
      <c r="AD31" s="54">
        <f t="shared" si="18"/>
        <v>3576723.2195583377</v>
      </c>
      <c r="AE31" s="54">
        <f t="shared" si="18"/>
        <v>1554725.9260833617</v>
      </c>
      <c r="AF31" s="54">
        <f>+AF10-AF29</f>
        <v>4186344.8670333335</v>
      </c>
      <c r="AG31" s="55"/>
      <c r="AH31" s="54">
        <f>SUM(I31:T31)</f>
        <v>57660610.77957999</v>
      </c>
      <c r="AI31" s="54">
        <f>+AF31+SUM(U31:AE31)</f>
        <v>8864153.9432751462</v>
      </c>
      <c r="AJ31" s="13"/>
      <c r="AK31" s="13"/>
      <c r="AL31" s="54">
        <f t="shared" ref="AL31:AY31" si="19">+AL10-AL29</f>
        <v>-5337532.751699999</v>
      </c>
      <c r="AM31" s="54">
        <f t="shared" si="19"/>
        <v>-1498575.6714500003</v>
      </c>
      <c r="AN31" s="54">
        <f t="shared" si="19"/>
        <v>2349353.1519999998</v>
      </c>
      <c r="AO31" s="54">
        <f t="shared" si="19"/>
        <v>2789216.4250000007</v>
      </c>
      <c r="AP31" s="54">
        <f t="shared" si="19"/>
        <v>1039622.7637000009</v>
      </c>
      <c r="AQ31" s="54">
        <f t="shared" si="19"/>
        <v>-4566671.1089000013</v>
      </c>
      <c r="AR31" s="54">
        <f t="shared" si="19"/>
        <v>-5817913.1752023958</v>
      </c>
      <c r="AS31" s="54">
        <f t="shared" si="19"/>
        <v>2738370.3111421652</v>
      </c>
      <c r="AT31" s="54">
        <f t="shared" si="19"/>
        <v>7057588.8613861278</v>
      </c>
      <c r="AU31" s="54">
        <f t="shared" si="19"/>
        <v>6501759.8528698925</v>
      </c>
      <c r="AV31" s="54">
        <f t="shared" si="19"/>
        <v>6784486.0588948559</v>
      </c>
      <c r="AW31" s="54">
        <f t="shared" si="19"/>
        <v>1190704.4155302998</v>
      </c>
      <c r="AX31" s="13"/>
      <c r="AY31" s="54">
        <f t="shared" si="19"/>
        <v>13230409.133270904</v>
      </c>
      <c r="AZ31" s="13"/>
      <c r="BA31" s="54">
        <f>+BA10-BA29</f>
        <v>2493362.1820000131</v>
      </c>
      <c r="BB31" s="54">
        <f>+BB10-BB29</f>
        <v>13314451.447499964</v>
      </c>
      <c r="BC31" s="54">
        <f t="shared" ref="BC31:BN31" si="20">+BC10-BC29</f>
        <v>13999099.4298</v>
      </c>
      <c r="BD31" s="54">
        <f t="shared" si="20"/>
        <v>1794991.3463000022</v>
      </c>
      <c r="BE31" s="54">
        <f t="shared" si="20"/>
        <v>4397498.0694000013</v>
      </c>
      <c r="BF31" s="54">
        <f t="shared" si="20"/>
        <v>-1902370.9215999991</v>
      </c>
      <c r="BG31" s="54">
        <f t="shared" si="20"/>
        <v>23696883.173000105</v>
      </c>
      <c r="BH31" s="54">
        <f t="shared" si="20"/>
        <v>7922174.0641500298</v>
      </c>
      <c r="BI31" s="54">
        <f t="shared" si="20"/>
        <v>8298825.7931166943</v>
      </c>
      <c r="BJ31" s="54">
        <f t="shared" si="20"/>
        <v>-3717444.4697999507</v>
      </c>
      <c r="BK31" s="54">
        <f t="shared" si="20"/>
        <v>-10809350.351299979</v>
      </c>
      <c r="BL31" s="54">
        <f t="shared" si="20"/>
        <v>585854.58940002322</v>
      </c>
      <c r="BM31" s="13"/>
      <c r="BN31" s="54">
        <f t="shared" si="20"/>
        <v>60073974.351966888</v>
      </c>
      <c r="BO31" s="56"/>
      <c r="BP31" s="56"/>
      <c r="BQ31" s="53">
        <f>+BQ10-BQ29</f>
        <v>5376851.315520037</v>
      </c>
      <c r="BR31" s="53">
        <f t="shared" ref="BR31:CB31" si="21">+BR10-BR29</f>
        <v>17806611.913783357</v>
      </c>
      <c r="BS31" s="53">
        <f t="shared" si="21"/>
        <v>19900190.4870914</v>
      </c>
      <c r="BT31" s="53">
        <f t="shared" si="21"/>
        <v>-1107242.3959852979</v>
      </c>
      <c r="BU31" s="53">
        <f t="shared" si="21"/>
        <v>2965628.7950740419</v>
      </c>
      <c r="BV31" s="53">
        <f t="shared" si="21"/>
        <v>-15576313.073235983</v>
      </c>
      <c r="BW31" s="53">
        <f t="shared" si="21"/>
        <v>37439524.927059323</v>
      </c>
      <c r="BX31" s="53">
        <f t="shared" si="21"/>
        <v>12511929.444888206</v>
      </c>
      <c r="BY31" s="53">
        <f t="shared" si="21"/>
        <v>12219756.94030454</v>
      </c>
      <c r="BZ31" s="53">
        <f t="shared" si="21"/>
        <v>-1856509.4243610576</v>
      </c>
      <c r="CA31" s="53">
        <f t="shared" si="21"/>
        <v>-13803050.324028179</v>
      </c>
      <c r="CB31" s="53">
        <f t="shared" si="21"/>
        <v>1030010.4266646802</v>
      </c>
      <c r="CC31" s="13"/>
      <c r="CD31" s="53">
        <f>+CD10-CD29</f>
        <v>76907389.032775104</v>
      </c>
      <c r="CE31" s="51">
        <f>+CD31/CD10</f>
        <v>0.2040079398245922</v>
      </c>
      <c r="CF31" s="13"/>
      <c r="CG31" s="13"/>
      <c r="CH31" s="13"/>
      <c r="CI31" s="13"/>
    </row>
    <row r="32" spans="1:87" s="15" customFormat="1" x14ac:dyDescent="0.2">
      <c r="A32" s="3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5"/>
      <c r="AH32" s="56"/>
      <c r="AI32" s="56"/>
      <c r="AJ32" s="13"/>
      <c r="AK32" s="13"/>
      <c r="AL32" s="56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59">
        <f>+BN31/BN10</f>
        <v>0.22617808086059624</v>
      </c>
      <c r="BO32" s="59"/>
      <c r="BP32" s="59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</row>
    <row r="33" spans="1:87" s="15" customFormat="1" hidden="1" x14ac:dyDescent="0.2">
      <c r="A33" s="3"/>
      <c r="B33" s="12" t="s">
        <v>49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13"/>
      <c r="AH33" s="52"/>
      <c r="AI33" s="52">
        <f>AF33+SUM(U33:AE33)</f>
        <v>0</v>
      </c>
      <c r="AJ33" s="13"/>
      <c r="AK33" s="13"/>
      <c r="AL33" s="52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</row>
    <row r="34" spans="1:87" s="15" customFormat="1" hidden="1" x14ac:dyDescent="0.2">
      <c r="A34" s="3"/>
      <c r="B34" s="12" t="s">
        <v>50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2">
        <v>603000</v>
      </c>
      <c r="U34" s="52">
        <v>0</v>
      </c>
      <c r="V34" s="52">
        <v>584325</v>
      </c>
      <c r="W34" s="52">
        <v>4948</v>
      </c>
      <c r="X34" s="52">
        <v>19804.940000000002</v>
      </c>
      <c r="Y34" s="52">
        <v>4276</v>
      </c>
      <c r="Z34" s="52">
        <v>2757.09</v>
      </c>
      <c r="AA34" s="52">
        <v>384.06</v>
      </c>
      <c r="AB34" s="52">
        <v>0</v>
      </c>
      <c r="AC34" s="52">
        <v>0</v>
      </c>
      <c r="AD34" s="52">
        <v>550771.50300000003</v>
      </c>
      <c r="AE34" s="52">
        <v>1167325.5</v>
      </c>
      <c r="AF34" s="52"/>
      <c r="AG34" s="55"/>
      <c r="AH34" s="52"/>
      <c r="AI34" s="52">
        <f>+AF34+SUM(U34:AE34)</f>
        <v>2334592.0929999999</v>
      </c>
      <c r="AJ34" s="13"/>
      <c r="AK34" s="13"/>
      <c r="AL34" s="60">
        <v>6169.68</v>
      </c>
      <c r="AM34" s="60"/>
      <c r="AN34" s="60">
        <v>87230.95</v>
      </c>
      <c r="AO34" s="60">
        <v>31737</v>
      </c>
      <c r="AP34" s="60">
        <v>36293.800000000003</v>
      </c>
      <c r="AQ34" s="60">
        <v>48324</v>
      </c>
      <c r="AR34" s="60">
        <v>61040</v>
      </c>
      <c r="AS34" s="60"/>
      <c r="AT34" s="60">
        <v>163942.72</v>
      </c>
      <c r="AU34" s="60">
        <v>443134.83</v>
      </c>
      <c r="AV34" s="60">
        <v>383000</v>
      </c>
      <c r="AW34" s="60">
        <v>603000</v>
      </c>
      <c r="AX34" s="13"/>
      <c r="AY34" s="53">
        <f>SUM(AL34:AW34)</f>
        <v>1863872.98</v>
      </c>
      <c r="AZ34" s="13"/>
      <c r="BA34" s="60"/>
      <c r="BB34" s="60"/>
      <c r="BC34" s="60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</row>
    <row r="35" spans="1:87" s="15" customFormat="1" hidden="1" x14ac:dyDescent="0.2">
      <c r="A35" s="3"/>
      <c r="B35" s="12" t="s">
        <v>51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52"/>
      <c r="U35" s="52"/>
      <c r="V35" s="52"/>
      <c r="W35" s="52"/>
      <c r="X35" s="52"/>
      <c r="Y35" s="52"/>
      <c r="Z35" s="52"/>
      <c r="AA35" s="52"/>
      <c r="AB35" s="52">
        <f>1020000/6</f>
        <v>170000</v>
      </c>
      <c r="AC35" s="52">
        <f>1020000/6</f>
        <v>170000</v>
      </c>
      <c r="AD35" s="52">
        <f>1020000/6</f>
        <v>170000</v>
      </c>
      <c r="AE35" s="52">
        <f>1020000/6</f>
        <v>170000</v>
      </c>
      <c r="AF35" s="52">
        <f>1020000/6</f>
        <v>170000</v>
      </c>
      <c r="AG35" s="13"/>
      <c r="AH35" s="52"/>
      <c r="AI35" s="52">
        <f>+AF35+SUM(U35:AE35)</f>
        <v>850000</v>
      </c>
      <c r="AJ35" s="13"/>
      <c r="AK35" s="13"/>
      <c r="AL35" s="52"/>
      <c r="AM35" s="52"/>
      <c r="AN35" s="52">
        <v>500000</v>
      </c>
      <c r="AO35" s="52"/>
      <c r="AP35" s="52"/>
      <c r="AQ35" s="52"/>
      <c r="AR35" s="13"/>
      <c r="AS35" s="52">
        <v>2000000</v>
      </c>
      <c r="AT35" s="52"/>
      <c r="AU35" s="52"/>
      <c r="AV35" s="52"/>
      <c r="AW35" s="52"/>
      <c r="AX35" s="13"/>
      <c r="AY35" s="53">
        <f>SUM(AL35:AW35)</f>
        <v>2500000</v>
      </c>
      <c r="AZ35" s="56"/>
      <c r="BA35" s="52"/>
      <c r="BB35" s="52"/>
      <c r="BC35" s="52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</row>
    <row r="36" spans="1:87" s="57" customFormat="1" ht="13.5" hidden="1" thickBot="1" x14ac:dyDescent="0.25">
      <c r="A36" s="7"/>
      <c r="B36" s="54" t="s">
        <v>52</v>
      </c>
      <c r="C36" s="54">
        <v>39997.800000000003</v>
      </c>
      <c r="D36" s="54">
        <v>6417</v>
      </c>
      <c r="E36" s="54">
        <v>17447.04</v>
      </c>
      <c r="F36" s="54">
        <v>1075</v>
      </c>
      <c r="G36" s="54">
        <v>34499.660000000003</v>
      </c>
      <c r="H36" s="54">
        <v>32960</v>
      </c>
      <c r="I36" s="54">
        <v>6169.68</v>
      </c>
      <c r="J36" s="54"/>
      <c r="K36" s="54">
        <v>87230.95</v>
      </c>
      <c r="L36" s="54">
        <v>31737</v>
      </c>
      <c r="M36" s="54">
        <v>36293.800000000003</v>
      </c>
      <c r="N36" s="54">
        <v>48324</v>
      </c>
      <c r="O36" s="54">
        <v>61040</v>
      </c>
      <c r="P36" s="54"/>
      <c r="Q36" s="54">
        <v>163942.72</v>
      </c>
      <c r="R36" s="54">
        <v>443134.83</v>
      </c>
      <c r="S36" s="56">
        <v>383000</v>
      </c>
      <c r="T36" s="54">
        <f t="shared" ref="T36:AA36" si="22">SUM(T33:T35)</f>
        <v>603000</v>
      </c>
      <c r="U36" s="54">
        <f t="shared" si="22"/>
        <v>0</v>
      </c>
      <c r="V36" s="54">
        <f t="shared" si="22"/>
        <v>584325</v>
      </c>
      <c r="W36" s="54">
        <f t="shared" si="22"/>
        <v>4948</v>
      </c>
      <c r="X36" s="54">
        <f t="shared" si="22"/>
        <v>19804.940000000002</v>
      </c>
      <c r="Y36" s="54">
        <f t="shared" si="22"/>
        <v>4276</v>
      </c>
      <c r="Z36" s="54">
        <f t="shared" si="22"/>
        <v>2757.09</v>
      </c>
      <c r="AA36" s="54">
        <f t="shared" si="22"/>
        <v>384.06</v>
      </c>
      <c r="AB36" s="54">
        <f>SUM(AB33:AB35)</f>
        <v>170000</v>
      </c>
      <c r="AC36" s="54">
        <f>SUM(AC33:AC35)</f>
        <v>170000</v>
      </c>
      <c r="AD36" s="54">
        <f>SUM(AD33:AD35)</f>
        <v>720771.50300000003</v>
      </c>
      <c r="AE36" s="54">
        <f>SUM(AE33:AE35)</f>
        <v>1337325.5</v>
      </c>
      <c r="AF36" s="54">
        <f>SUM(AF33:AF35)</f>
        <v>170000</v>
      </c>
      <c r="AG36" s="55"/>
      <c r="AH36" s="54">
        <f>SUM(I36:T36)</f>
        <v>1863872.98</v>
      </c>
      <c r="AI36" s="54">
        <f>+AF36+SUM(U36:AE36)</f>
        <v>3184592.0929999999</v>
      </c>
      <c r="AJ36" s="51">
        <f>+AI34/AH36-1</f>
        <v>0.25254892262025286</v>
      </c>
      <c r="AK36" s="55"/>
      <c r="AL36" s="54">
        <f>SUM(AL33:AL35)</f>
        <v>6169.68</v>
      </c>
      <c r="AM36" s="54">
        <f t="shared" ref="AM36:AY36" si="23">SUM(AM33:AM35)</f>
        <v>0</v>
      </c>
      <c r="AN36" s="54">
        <f t="shared" si="23"/>
        <v>587230.94999999995</v>
      </c>
      <c r="AO36" s="54">
        <f t="shared" si="23"/>
        <v>31737</v>
      </c>
      <c r="AP36" s="54">
        <f t="shared" si="23"/>
        <v>36293.800000000003</v>
      </c>
      <c r="AQ36" s="54">
        <f t="shared" si="23"/>
        <v>48324</v>
      </c>
      <c r="AR36" s="54">
        <f t="shared" si="23"/>
        <v>61040</v>
      </c>
      <c r="AS36" s="54">
        <f t="shared" si="23"/>
        <v>2000000</v>
      </c>
      <c r="AT36" s="54">
        <f t="shared" si="23"/>
        <v>163942.72</v>
      </c>
      <c r="AU36" s="54">
        <f t="shared" si="23"/>
        <v>443134.83</v>
      </c>
      <c r="AV36" s="54">
        <f t="shared" si="23"/>
        <v>383000</v>
      </c>
      <c r="AW36" s="54">
        <f t="shared" si="23"/>
        <v>603000</v>
      </c>
      <c r="AX36" s="55"/>
      <c r="AY36" s="54">
        <f t="shared" si="23"/>
        <v>4363872.9800000004</v>
      </c>
      <c r="AZ36" s="55"/>
      <c r="BA36" s="54">
        <f>SUM(BA33:BA35)</f>
        <v>0</v>
      </c>
      <c r="BB36" s="54">
        <f>SUM(BB33:BB35)</f>
        <v>0</v>
      </c>
      <c r="BC36" s="54">
        <f>SUM(BC33:BC35)</f>
        <v>0</v>
      </c>
      <c r="BD36" s="54">
        <f t="shared" ref="BD36:BL36" si="24">SUM(BD33:BD35)</f>
        <v>0</v>
      </c>
      <c r="BE36" s="54">
        <f t="shared" si="24"/>
        <v>0</v>
      </c>
      <c r="BF36" s="54">
        <f t="shared" si="24"/>
        <v>0</v>
      </c>
      <c r="BG36" s="54">
        <f t="shared" si="24"/>
        <v>0</v>
      </c>
      <c r="BH36" s="54">
        <f t="shared" si="24"/>
        <v>0</v>
      </c>
      <c r="BI36" s="54">
        <f t="shared" si="24"/>
        <v>0</v>
      </c>
      <c r="BJ36" s="54">
        <f t="shared" si="24"/>
        <v>0</v>
      </c>
      <c r="BK36" s="54">
        <f t="shared" si="24"/>
        <v>0</v>
      </c>
      <c r="BL36" s="54">
        <f t="shared" si="24"/>
        <v>0</v>
      </c>
      <c r="BM36" s="55"/>
      <c r="BN36" s="54">
        <f>SUM(BN33:BN35)</f>
        <v>0</v>
      </c>
      <c r="BO36" s="56"/>
      <c r="BP36" s="56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</row>
    <row r="37" spans="1:87" s="57" customFormat="1" x14ac:dyDescent="0.2">
      <c r="A37" s="7"/>
      <c r="B37" s="56" t="s">
        <v>53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>
        <v>170000</v>
      </c>
      <c r="V37" s="56">
        <v>170000</v>
      </c>
      <c r="W37" s="56">
        <v>170000</v>
      </c>
      <c r="X37" s="56">
        <v>170000</v>
      </c>
      <c r="Y37" s="56">
        <v>170000</v>
      </c>
      <c r="Z37" s="56">
        <v>170000</v>
      </c>
      <c r="AA37" s="56">
        <v>170000</v>
      </c>
      <c r="AB37" s="56">
        <v>170000</v>
      </c>
      <c r="AC37" s="56">
        <v>170000</v>
      </c>
      <c r="AD37" s="56">
        <v>170000</v>
      </c>
      <c r="AE37" s="56">
        <v>170000</v>
      </c>
      <c r="AF37" s="56">
        <f>+AI37-SUM(U37:AE37)</f>
        <v>860918.13596296543</v>
      </c>
      <c r="AG37" s="55"/>
      <c r="AH37" s="56"/>
      <c r="AI37" s="56">
        <f>+(AI10-AI29)*0.35-AI36*0.35/3</f>
        <v>2730918.1359629654</v>
      </c>
      <c r="AJ37" s="51"/>
      <c r="AK37" s="55"/>
      <c r="AL37" s="56">
        <f>376000+376000+5000000*0.25</f>
        <v>2002000</v>
      </c>
      <c r="AM37" s="56">
        <v>376000</v>
      </c>
      <c r="AN37" s="56">
        <v>376000</v>
      </c>
      <c r="AO37" s="56">
        <v>376000</v>
      </c>
      <c r="AP37" s="56">
        <v>376000</v>
      </c>
      <c r="AQ37" s="56">
        <v>376000</v>
      </c>
      <c r="AR37" s="56">
        <v>376000</v>
      </c>
      <c r="AS37" s="56">
        <v>376000</v>
      </c>
      <c r="AT37" s="56">
        <v>376000</v>
      </c>
      <c r="AU37" s="56"/>
      <c r="AV37" s="55"/>
      <c r="AW37" s="55"/>
      <c r="AX37" s="55"/>
      <c r="AY37" s="53">
        <f>SUM(AL37:AW37)</f>
        <v>5010000</v>
      </c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61">
        <f>+BN31*0.3</f>
        <v>18022192.305590067</v>
      </c>
      <c r="BL37" s="55"/>
      <c r="BM37" s="55"/>
      <c r="BN37" s="46">
        <f>SUM(BA37:BM37)</f>
        <v>18022192.305590067</v>
      </c>
      <c r="BO37" s="46"/>
      <c r="BP37" s="46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61">
        <f>+CD31*0.3</f>
        <v>23072216.70983253</v>
      </c>
      <c r="CE37" s="55"/>
      <c r="CF37" s="55"/>
      <c r="CG37" s="55"/>
      <c r="CH37" s="55"/>
      <c r="CI37" s="55"/>
    </row>
    <row r="38" spans="1:87" s="15" customFormat="1" x14ac:dyDescent="0.2">
      <c r="A38" s="3"/>
      <c r="B38" s="56" t="s">
        <v>54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56">
        <v>2000000</v>
      </c>
      <c r="AG38" s="56"/>
      <c r="AH38" s="56"/>
      <c r="AI38" s="56">
        <f>AF38+SUM(U38:AE38)</f>
        <v>2000000</v>
      </c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</row>
    <row r="39" spans="1:87" s="15" customFormat="1" x14ac:dyDescent="0.2">
      <c r="A39" s="3"/>
      <c r="B39" s="50" t="s">
        <v>55</v>
      </c>
      <c r="C39" s="45">
        <f t="shared" ref="C39:S39" si="25">+C10-C29-C36</f>
        <v>928773.77667998453</v>
      </c>
      <c r="D39" s="45">
        <f t="shared" si="25"/>
        <v>-65955.434179995675</v>
      </c>
      <c r="E39" s="45">
        <f t="shared" si="25"/>
        <v>882210.70021000411</v>
      </c>
      <c r="F39" s="45">
        <f t="shared" si="25"/>
        <v>-1609065.7299000002</v>
      </c>
      <c r="G39" s="45">
        <f t="shared" si="25"/>
        <v>13462.36160000987</v>
      </c>
      <c r="H39" s="45">
        <f t="shared" si="25"/>
        <v>415326.28098000865</v>
      </c>
      <c r="I39" s="45">
        <f t="shared" si="25"/>
        <v>122050.2786799997</v>
      </c>
      <c r="J39" s="45">
        <f t="shared" si="25"/>
        <v>224723.65571999457</v>
      </c>
      <c r="K39" s="45">
        <f t="shared" si="25"/>
        <v>2095963.1687600028</v>
      </c>
      <c r="L39" s="45">
        <f t="shared" si="25"/>
        <v>1420223.6241600094</v>
      </c>
      <c r="M39" s="45">
        <f t="shared" si="25"/>
        <v>2267488.7477899948</v>
      </c>
      <c r="N39" s="45">
        <f t="shared" si="25"/>
        <v>-8886174.1076099947</v>
      </c>
      <c r="O39" s="45">
        <f t="shared" si="25"/>
        <v>2247122.7615799867</v>
      </c>
      <c r="P39" s="45">
        <f t="shared" si="25"/>
        <v>1178093.1219000043</v>
      </c>
      <c r="Q39" s="45">
        <f t="shared" si="25"/>
        <v>713131.15971999685</v>
      </c>
      <c r="R39" s="45">
        <f t="shared" si="25"/>
        <v>-1388647.2515800046</v>
      </c>
      <c r="S39" s="45">
        <f t="shared" si="25"/>
        <v>-60262.322200007737</v>
      </c>
      <c r="T39" s="45">
        <f>+T10-T29-T36-T37-T38</f>
        <v>3617579.7709999904</v>
      </c>
      <c r="U39" s="45">
        <f t="shared" ref="U39:AE39" si="26">+U10-U29-U36-U37-U38</f>
        <v>1056564.241000006</v>
      </c>
      <c r="V39" s="45">
        <f t="shared" si="26"/>
        <v>-1427138.7256000005</v>
      </c>
      <c r="W39" s="45">
        <f t="shared" si="26"/>
        <v>3519502.0850000205</v>
      </c>
      <c r="X39" s="45">
        <f t="shared" si="26"/>
        <v>452424.40000000643</v>
      </c>
      <c r="Y39" s="45">
        <f t="shared" si="26"/>
        <v>926157.45200001542</v>
      </c>
      <c r="Z39" s="45">
        <f t="shared" si="26"/>
        <v>-3934184.3800000022</v>
      </c>
      <c r="AA39" s="45">
        <f t="shared" si="26"/>
        <v>-8417712.4616666399</v>
      </c>
      <c r="AB39" s="45">
        <f t="shared" si="26"/>
        <v>184731.747333345</v>
      </c>
      <c r="AC39" s="45">
        <f t="shared" si="26"/>
        <v>4699520.4825333636</v>
      </c>
      <c r="AD39" s="45">
        <f t="shared" si="26"/>
        <v>2685951.7165583377</v>
      </c>
      <c r="AE39" s="45">
        <f t="shared" si="26"/>
        <v>47400.42608336173</v>
      </c>
      <c r="AF39" s="45">
        <f>+AF10-AF29-AF36-AF37-AF38</f>
        <v>1155426.7310703681</v>
      </c>
      <c r="AG39" s="13"/>
      <c r="AH39" s="45">
        <f>+AH10-AH29-AH36</f>
        <v>3551292.6079199654</v>
      </c>
      <c r="AI39" s="45">
        <f>+AI10-AI29-AI36-AI37-AI38</f>
        <v>948643.71431217296</v>
      </c>
      <c r="AJ39" s="51">
        <f>+AI39/AH39-1</f>
        <v>-0.73287368317762902</v>
      </c>
      <c r="AK39" s="13"/>
      <c r="AL39" s="45">
        <f>+AL10-AL29-AL36-AL37</f>
        <v>-7345702.4316999987</v>
      </c>
      <c r="AM39" s="45">
        <f t="shared" ref="AM39:AW39" si="27">+AM10-AM29-AM36-AM37</f>
        <v>-1874575.6714500003</v>
      </c>
      <c r="AN39" s="45">
        <f t="shared" si="27"/>
        <v>1386122.2019999998</v>
      </c>
      <c r="AO39" s="45">
        <f t="shared" si="27"/>
        <v>2381479.4250000007</v>
      </c>
      <c r="AP39" s="45">
        <f t="shared" si="27"/>
        <v>627328.9637000009</v>
      </c>
      <c r="AQ39" s="45">
        <f t="shared" si="27"/>
        <v>-4990995.1089000013</v>
      </c>
      <c r="AR39" s="45">
        <f t="shared" si="27"/>
        <v>-6254953.1752023958</v>
      </c>
      <c r="AS39" s="45">
        <f t="shared" si="27"/>
        <v>362370.31114216521</v>
      </c>
      <c r="AT39" s="45">
        <f t="shared" si="27"/>
        <v>6517646.141386128</v>
      </c>
      <c r="AU39" s="45">
        <f t="shared" si="27"/>
        <v>6058625.0228698924</v>
      </c>
      <c r="AV39" s="45">
        <f t="shared" si="27"/>
        <v>6401486.0588948559</v>
      </c>
      <c r="AW39" s="45">
        <f t="shared" si="27"/>
        <v>587704.41553029977</v>
      </c>
      <c r="AX39" s="13"/>
      <c r="AY39" s="45">
        <f>+AY31-AY36-AY37</f>
        <v>3856536.153270904</v>
      </c>
      <c r="AZ39" s="13"/>
      <c r="BA39" s="45">
        <f>+BA10-BA29-BA36-BA37</f>
        <v>2493362.1820000131</v>
      </c>
      <c r="BB39" s="45">
        <f>+BB10-BB29-BB36-BB37</f>
        <v>13314451.447499964</v>
      </c>
      <c r="BC39" s="45">
        <f t="shared" ref="BC39:BL39" si="28">+BC10-BC29-BC36-BC37</f>
        <v>13999099.4298</v>
      </c>
      <c r="BD39" s="45">
        <f t="shared" si="28"/>
        <v>1794991.3463000022</v>
      </c>
      <c r="BE39" s="45">
        <f t="shared" si="28"/>
        <v>4397498.0694000013</v>
      </c>
      <c r="BF39" s="45">
        <f t="shared" si="28"/>
        <v>-1902370.9215999991</v>
      </c>
      <c r="BG39" s="45">
        <f t="shared" si="28"/>
        <v>23696883.173000105</v>
      </c>
      <c r="BH39" s="45">
        <f t="shared" si="28"/>
        <v>7922174.0641500298</v>
      </c>
      <c r="BI39" s="45">
        <f t="shared" si="28"/>
        <v>8298825.7931166943</v>
      </c>
      <c r="BJ39" s="45">
        <f t="shared" si="28"/>
        <v>-3717444.4697999507</v>
      </c>
      <c r="BK39" s="45">
        <f t="shared" si="28"/>
        <v>-28831542.656890046</v>
      </c>
      <c r="BL39" s="45">
        <f t="shared" si="28"/>
        <v>585854.58940002322</v>
      </c>
      <c r="BM39" s="13"/>
      <c r="BN39" s="46">
        <f>+BN31-BN37</f>
        <v>42051782.046376824</v>
      </c>
      <c r="BO39" s="46"/>
      <c r="BP39" s="46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</row>
    <row r="40" spans="1:87" s="15" customFormat="1" x14ac:dyDescent="0.2">
      <c r="A40" s="3"/>
      <c r="B40" s="50" t="s">
        <v>56</v>
      </c>
      <c r="C40" s="45">
        <f>+C39</f>
        <v>928773.77667998453</v>
      </c>
      <c r="D40" s="45">
        <f>+D39+C40</f>
        <v>862818.34249998885</v>
      </c>
      <c r="E40" s="45">
        <f t="shared" ref="E40:AD40" si="29">+E39+D40</f>
        <v>1745029.042709993</v>
      </c>
      <c r="F40" s="45">
        <f t="shared" si="29"/>
        <v>135963.31280999281</v>
      </c>
      <c r="G40" s="45">
        <f t="shared" si="29"/>
        <v>149425.67441000268</v>
      </c>
      <c r="H40" s="45">
        <f t="shared" si="29"/>
        <v>564751.95539001131</v>
      </c>
      <c r="I40" s="45">
        <f t="shared" si="29"/>
        <v>686802.23407001095</v>
      </c>
      <c r="J40" s="45">
        <f t="shared" si="29"/>
        <v>911525.88979000552</v>
      </c>
      <c r="K40" s="45">
        <f t="shared" si="29"/>
        <v>3007489.0585500086</v>
      </c>
      <c r="L40" s="45">
        <f t="shared" si="29"/>
        <v>4427712.682710018</v>
      </c>
      <c r="M40" s="45">
        <f t="shared" si="29"/>
        <v>6695201.4305000128</v>
      </c>
      <c r="N40" s="45">
        <f t="shared" si="29"/>
        <v>-2190972.6771099819</v>
      </c>
      <c r="O40" s="45">
        <f t="shared" si="29"/>
        <v>56150.084470004775</v>
      </c>
      <c r="P40" s="45">
        <f t="shared" si="29"/>
        <v>1234243.2063700091</v>
      </c>
      <c r="Q40" s="45">
        <f t="shared" si="29"/>
        <v>1947374.366090006</v>
      </c>
      <c r="R40" s="45">
        <f t="shared" si="29"/>
        <v>558727.11451000138</v>
      </c>
      <c r="S40" s="45">
        <f t="shared" si="29"/>
        <v>498464.79230999365</v>
      </c>
      <c r="T40" s="45">
        <f>+T39+S40</f>
        <v>4116044.5633099843</v>
      </c>
      <c r="U40" s="45">
        <f>+U39</f>
        <v>1056564.241000006</v>
      </c>
      <c r="V40" s="45">
        <f t="shared" si="29"/>
        <v>-370574.4845999945</v>
      </c>
      <c r="W40" s="45">
        <f t="shared" si="29"/>
        <v>3148927.600400026</v>
      </c>
      <c r="X40" s="45">
        <f t="shared" si="29"/>
        <v>3601352.0004000324</v>
      </c>
      <c r="Y40" s="45">
        <f t="shared" si="29"/>
        <v>4527509.4524000473</v>
      </c>
      <c r="Z40" s="45">
        <f t="shared" si="29"/>
        <v>593325.07240004512</v>
      </c>
      <c r="AA40" s="45">
        <f t="shared" si="29"/>
        <v>-7824387.3892665952</v>
      </c>
      <c r="AB40" s="45">
        <f t="shared" si="29"/>
        <v>-7639655.6419332502</v>
      </c>
      <c r="AC40" s="45">
        <f t="shared" si="29"/>
        <v>-2940135.1593998866</v>
      </c>
      <c r="AD40" s="45">
        <f t="shared" si="29"/>
        <v>-254183.44284154894</v>
      </c>
      <c r="AE40" s="45">
        <f>+AE39+AD40</f>
        <v>-206783.01675818721</v>
      </c>
      <c r="AF40" s="45">
        <f>+AF39+AE40</f>
        <v>948643.71431218088</v>
      </c>
      <c r="AG40" s="13"/>
      <c r="AH40" s="13"/>
      <c r="AI40" s="46">
        <f>+AI39/AI10</f>
        <v>1.017836138026823E-2</v>
      </c>
      <c r="AJ40" s="13"/>
      <c r="AK40" s="13"/>
      <c r="AL40" s="45">
        <f>+AL39+AK40</f>
        <v>-7345702.4316999987</v>
      </c>
      <c r="AM40" s="45">
        <f>+AM39+AL40</f>
        <v>-9220278.1031499989</v>
      </c>
      <c r="AN40" s="45">
        <f>+AN39+AM40</f>
        <v>-7834155.9011499994</v>
      </c>
      <c r="AO40" s="45">
        <f t="shared" ref="AO40:AW40" si="30">+AO39+AN40</f>
        <v>-5452676.4761499986</v>
      </c>
      <c r="AP40" s="45">
        <f t="shared" si="30"/>
        <v>-4825347.5124499975</v>
      </c>
      <c r="AQ40" s="45">
        <f t="shared" si="30"/>
        <v>-9816342.6213499978</v>
      </c>
      <c r="AR40" s="45">
        <f t="shared" si="30"/>
        <v>-16071295.796552394</v>
      </c>
      <c r="AS40" s="45">
        <f t="shared" si="30"/>
        <v>-15708925.485410228</v>
      </c>
      <c r="AT40" s="45">
        <f t="shared" si="30"/>
        <v>-9191279.3440240994</v>
      </c>
      <c r="AU40" s="45">
        <f t="shared" si="30"/>
        <v>-3132654.321154207</v>
      </c>
      <c r="AV40" s="45">
        <f t="shared" si="30"/>
        <v>3268831.7377406489</v>
      </c>
      <c r="AW40" s="45">
        <f t="shared" si="30"/>
        <v>3856536.1532709487</v>
      </c>
      <c r="AX40" s="13"/>
      <c r="AY40" s="13"/>
      <c r="AZ40" s="13"/>
      <c r="BA40" s="45">
        <f>+BA39+AZ40</f>
        <v>2493362.1820000131</v>
      </c>
      <c r="BB40" s="45">
        <f>+BB39+BA40</f>
        <v>15807813.629499977</v>
      </c>
      <c r="BC40" s="45">
        <f t="shared" ref="BC40:BL40" si="31">+BC39+BB40</f>
        <v>29806913.059299976</v>
      </c>
      <c r="BD40" s="45">
        <f t="shared" si="31"/>
        <v>31601904.405599978</v>
      </c>
      <c r="BE40" s="45">
        <f t="shared" si="31"/>
        <v>35999402.474999979</v>
      </c>
      <c r="BF40" s="45">
        <f t="shared" si="31"/>
        <v>34097031.55339998</v>
      </c>
      <c r="BG40" s="45">
        <f t="shared" si="31"/>
        <v>57793914.726400085</v>
      </c>
      <c r="BH40" s="45">
        <f t="shared" si="31"/>
        <v>65716088.790550113</v>
      </c>
      <c r="BI40" s="45">
        <f t="shared" si="31"/>
        <v>74014914.583666801</v>
      </c>
      <c r="BJ40" s="45">
        <f t="shared" si="31"/>
        <v>70297470.113866851</v>
      </c>
      <c r="BK40" s="45">
        <f t="shared" si="31"/>
        <v>41465927.456976801</v>
      </c>
      <c r="BL40" s="45">
        <f t="shared" si="31"/>
        <v>42051782.046376824</v>
      </c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</row>
    <row r="41" spans="1:87" s="15" customFormat="1" x14ac:dyDescent="0.2">
      <c r="A41" s="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51">
        <f>+AH39/AH10</f>
        <v>4.8899028662098526E-2</v>
      </c>
      <c r="AI41" s="62">
        <f>+AI39/AI10</f>
        <v>1.017836138026823E-2</v>
      </c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</row>
    <row r="42" spans="1:87" s="15" customFormat="1" ht="2.25" customHeight="1" x14ac:dyDescent="0.2">
      <c r="A42" s="3"/>
      <c r="B42" s="63" t="s">
        <v>57</v>
      </c>
      <c r="C42" s="64">
        <v>9.0452173913043481</v>
      </c>
      <c r="D42" s="64">
        <v>9.14657894736842</v>
      </c>
      <c r="E42" s="64">
        <v>9.271590909090909</v>
      </c>
      <c r="F42" s="64">
        <v>9.3954761904761916</v>
      </c>
      <c r="G42" s="64">
        <v>9.5307500000000012</v>
      </c>
      <c r="H42" s="64">
        <v>11.35375</v>
      </c>
      <c r="I42" s="64">
        <v>13.397</v>
      </c>
      <c r="J42" s="64">
        <v>14.607500000000005</v>
      </c>
      <c r="K42" s="64">
        <v>14.757142857142858</v>
      </c>
      <c r="L42" s="64">
        <v>14.195238095238096</v>
      </c>
      <c r="M42" s="64">
        <v>13.923809523809522</v>
      </c>
      <c r="N42" s="64">
        <v>14.002631578947364</v>
      </c>
      <c r="O42" s="65">
        <v>14.682500000000001</v>
      </c>
      <c r="P42" s="65">
        <v>14.627499999999998</v>
      </c>
      <c r="Q42" s="65">
        <v>14.9</v>
      </c>
      <c r="R42" s="65">
        <v>14.98</v>
      </c>
      <c r="S42" s="65">
        <v>14.98</v>
      </c>
      <c r="T42" s="65">
        <v>14.98</v>
      </c>
      <c r="U42" s="65">
        <v>14.98</v>
      </c>
      <c r="V42" s="65">
        <v>14.98</v>
      </c>
      <c r="W42" s="65">
        <v>14.98</v>
      </c>
      <c r="X42" s="65">
        <v>14.98</v>
      </c>
      <c r="Y42" s="65">
        <v>14.98</v>
      </c>
      <c r="Z42" s="65">
        <v>14.98</v>
      </c>
      <c r="AA42" s="65">
        <v>14.98</v>
      </c>
      <c r="AB42" s="65">
        <v>14.98</v>
      </c>
      <c r="AC42" s="65">
        <v>14.98</v>
      </c>
      <c r="AD42" s="66"/>
      <c r="AE42" s="66"/>
      <c r="AF42" s="65">
        <v>18</v>
      </c>
      <c r="AG42" s="67">
        <f>+AF42-R42</f>
        <v>3.0199999999999996</v>
      </c>
      <c r="AH42" s="13"/>
      <c r="AI42" s="51">
        <f>+AG42/R42</f>
        <v>0.20160213618157541</v>
      </c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</row>
    <row r="43" spans="1:87" s="15" customFormat="1" hidden="1" x14ac:dyDescent="0.2">
      <c r="A43" s="3"/>
      <c r="B43" s="68" t="s">
        <v>58</v>
      </c>
      <c r="C43" s="69">
        <v>69.093377546186645</v>
      </c>
      <c r="D43" s="69">
        <v>53.51934292379471</v>
      </c>
      <c r="E43" s="69">
        <v>65.578355176231113</v>
      </c>
      <c r="F43" s="69">
        <v>59.084622020431325</v>
      </c>
      <c r="G43" s="69">
        <v>65.301302774427029</v>
      </c>
      <c r="H43" s="69">
        <v>68.174084919472918</v>
      </c>
      <c r="I43" s="69">
        <v>74.652884803442205</v>
      </c>
      <c r="J43" s="69">
        <v>58.150415779446369</v>
      </c>
      <c r="K43" s="69">
        <v>64.783658187424294</v>
      </c>
      <c r="L43" s="69">
        <v>62.423198067632853</v>
      </c>
      <c r="M43" s="69">
        <v>67.387052410901489</v>
      </c>
      <c r="N43" s="69">
        <v>63.638308283816855</v>
      </c>
      <c r="O43" s="69">
        <v>56.1404346890467</v>
      </c>
      <c r="P43" s="69">
        <v>51.807765460375627</v>
      </c>
      <c r="Q43" s="69">
        <v>63.462808422301315</v>
      </c>
      <c r="R43" s="69">
        <v>61.206612733028486</v>
      </c>
      <c r="S43" s="69">
        <v>61.206612733028486</v>
      </c>
      <c r="T43" s="69">
        <v>61.206612733028486</v>
      </c>
      <c r="U43" s="69">
        <v>61.206612733028486</v>
      </c>
      <c r="V43" s="69">
        <v>61.206612733028486</v>
      </c>
      <c r="W43" s="69">
        <v>61.206612733028486</v>
      </c>
      <c r="X43" s="69">
        <v>61.206612733028486</v>
      </c>
      <c r="Y43" s="69">
        <v>61.206612733028486</v>
      </c>
      <c r="Z43" s="69">
        <v>61.206612733028486</v>
      </c>
      <c r="AA43" s="69">
        <v>61.206612733028486</v>
      </c>
      <c r="AB43" s="69">
        <v>61.206612733028486</v>
      </c>
      <c r="AC43" s="69">
        <v>61.206612733028486</v>
      </c>
      <c r="AD43" s="70"/>
      <c r="AE43" s="70"/>
      <c r="AF43" s="69">
        <v>63.148476531243865</v>
      </c>
      <c r="AG43" s="13"/>
      <c r="AH43" s="13"/>
      <c r="AI43" s="51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</row>
    <row r="44" spans="1:87" s="15" customFormat="1" hidden="1" x14ac:dyDescent="0.2">
      <c r="A44" s="3"/>
      <c r="B44" s="71" t="s">
        <v>59</v>
      </c>
      <c r="C44" s="72">
        <v>694.54561872546037</v>
      </c>
      <c r="D44" s="72">
        <v>755.61809079886552</v>
      </c>
      <c r="E44" s="72">
        <v>718.02242026399483</v>
      </c>
      <c r="F44" s="72">
        <v>717.92232181763791</v>
      </c>
      <c r="G44" s="72">
        <v>923.67827624699407</v>
      </c>
      <c r="H44" s="72">
        <v>862.27090905176317</v>
      </c>
      <c r="I44" s="72">
        <v>787.14077091024603</v>
      </c>
      <c r="J44" s="72">
        <v>1056.3443846337498</v>
      </c>
      <c r="K44" s="72">
        <v>930.42879786608762</v>
      </c>
      <c r="L44" s="72">
        <v>1225.4560392739852</v>
      </c>
      <c r="M44" s="72">
        <v>989.49487745415877</v>
      </c>
      <c r="N44" s="72">
        <v>1075.4760052451625</v>
      </c>
      <c r="O44" s="72">
        <v>1043.4993759877186</v>
      </c>
      <c r="P44" s="72">
        <v>974.56431850069521</v>
      </c>
      <c r="Q44" s="72">
        <v>1129.3209971180665</v>
      </c>
      <c r="R44" s="72">
        <v>1136.6040307587784</v>
      </c>
      <c r="S44" s="72">
        <v>1136.6040307587784</v>
      </c>
      <c r="T44" s="72">
        <v>1136.6040307587784</v>
      </c>
      <c r="U44" s="72">
        <v>1136.6040307587784</v>
      </c>
      <c r="V44" s="72">
        <v>1136.6040307587784</v>
      </c>
      <c r="W44" s="72">
        <v>1136.6040307587784</v>
      </c>
      <c r="X44" s="72">
        <v>1136.6040307587784</v>
      </c>
      <c r="Y44" s="72">
        <v>1136.6040307587784</v>
      </c>
      <c r="Z44" s="72">
        <v>1136.6040307587784</v>
      </c>
      <c r="AA44" s="72">
        <v>1136.6040307587784</v>
      </c>
      <c r="AB44" s="72">
        <v>1136.6040307587784</v>
      </c>
      <c r="AC44" s="72">
        <v>1136.6040307587784</v>
      </c>
      <c r="AD44" s="73"/>
      <c r="AE44" s="73"/>
      <c r="AF44" s="72">
        <v>1381</v>
      </c>
      <c r="AG44" s="67">
        <f>+AF44-R44</f>
        <v>244.39596924122156</v>
      </c>
      <c r="AH44" s="13"/>
      <c r="AI44" s="51">
        <f>+AG44/R44</f>
        <v>0.21502296545443955</v>
      </c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</row>
    <row r="45" spans="1:87" s="15" customFormat="1" hidden="1" x14ac:dyDescent="0.2">
      <c r="A45" s="3"/>
      <c r="B45" s="71" t="s">
        <v>60</v>
      </c>
      <c r="C45" s="74">
        <v>0.71388039138636183</v>
      </c>
      <c r="D45" s="74">
        <v>0.75254747341036721</v>
      </c>
      <c r="E45" s="74">
        <v>0.79903479328616367</v>
      </c>
      <c r="F45" s="74">
        <v>0.48765727085366772</v>
      </c>
      <c r="G45" s="74">
        <v>0.70031955071417318</v>
      </c>
      <c r="H45" s="74">
        <v>0.78915908999937667</v>
      </c>
      <c r="I45" s="75">
        <v>0.6043491151362077</v>
      </c>
      <c r="J45" s="75">
        <v>0.83102312485059915</v>
      </c>
      <c r="K45" s="75">
        <v>0.72099715311589074</v>
      </c>
      <c r="L45" s="75">
        <v>0.70458021102517565</v>
      </c>
      <c r="M45" s="75">
        <v>0.84626797155155753</v>
      </c>
      <c r="N45" s="75">
        <v>0.47359159883927765</v>
      </c>
      <c r="O45" s="74">
        <v>0.78708046087764172</v>
      </c>
      <c r="P45" s="74">
        <v>0.71381454032261837</v>
      </c>
      <c r="Q45" s="74">
        <v>0.79903479328616367</v>
      </c>
      <c r="R45" s="74">
        <v>0.48765727085366772</v>
      </c>
      <c r="S45" s="74">
        <v>0.48765727085366772</v>
      </c>
      <c r="T45" s="74">
        <v>0.48765727085366772</v>
      </c>
      <c r="U45" s="74">
        <v>0.48765727085366772</v>
      </c>
      <c r="V45" s="74">
        <v>0.48765727085366772</v>
      </c>
      <c r="W45" s="74">
        <v>0.48765727085366772</v>
      </c>
      <c r="X45" s="74">
        <v>0.48765727085366772</v>
      </c>
      <c r="Y45" s="74">
        <v>0.48765727085366772</v>
      </c>
      <c r="Z45" s="74">
        <v>0.48765727085366772</v>
      </c>
      <c r="AA45" s="74">
        <v>0.48765727085366772</v>
      </c>
      <c r="AB45" s="74">
        <v>0.48765727085366772</v>
      </c>
      <c r="AC45" s="74">
        <v>0.48765727085366772</v>
      </c>
      <c r="AD45" s="76"/>
      <c r="AE45" s="76"/>
      <c r="AF45" s="74">
        <v>0.70458021102517565</v>
      </c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</row>
    <row r="46" spans="1:87" s="15" customFormat="1" hidden="1" x14ac:dyDescent="0.2">
      <c r="A46" s="3"/>
      <c r="B46" s="71" t="s">
        <v>61</v>
      </c>
      <c r="C46" s="74">
        <v>0.28611960861363817</v>
      </c>
      <c r="D46" s="74">
        <v>0.24745252658963277</v>
      </c>
      <c r="E46" s="74">
        <v>0.20096520671383636</v>
      </c>
      <c r="F46" s="74">
        <v>0.51234272914633228</v>
      </c>
      <c r="G46" s="74">
        <v>0.29968044928582693</v>
      </c>
      <c r="H46" s="74">
        <v>0.21084091000062341</v>
      </c>
      <c r="I46" s="75">
        <v>0.39565088486379235</v>
      </c>
      <c r="J46" s="75">
        <v>0.1689768751494008</v>
      </c>
      <c r="K46" s="75">
        <v>0.27900284688410926</v>
      </c>
      <c r="L46" s="75">
        <v>0.29541978897482424</v>
      </c>
      <c r="M46" s="75">
        <v>0.15373202844844239</v>
      </c>
      <c r="N46" s="75">
        <v>0.52640840116072241</v>
      </c>
      <c r="O46" s="74">
        <v>0.21291953912235828</v>
      </c>
      <c r="P46" s="74">
        <v>0.28618545967738168</v>
      </c>
      <c r="Q46" s="74">
        <v>0.20096520671383636</v>
      </c>
      <c r="R46" s="74">
        <v>0.51234272914633228</v>
      </c>
      <c r="S46" s="74">
        <v>0.51234272914633228</v>
      </c>
      <c r="T46" s="74">
        <v>0.51234272914633228</v>
      </c>
      <c r="U46" s="74">
        <v>0.51234272914633228</v>
      </c>
      <c r="V46" s="74">
        <v>0.51234272914633228</v>
      </c>
      <c r="W46" s="74">
        <v>0.51234272914633228</v>
      </c>
      <c r="X46" s="74">
        <v>0.51234272914633228</v>
      </c>
      <c r="Y46" s="74">
        <v>0.51234272914633228</v>
      </c>
      <c r="Z46" s="74">
        <v>0.51234272914633228</v>
      </c>
      <c r="AA46" s="74">
        <v>0.51234272914633228</v>
      </c>
      <c r="AB46" s="74">
        <v>0.51234272914633228</v>
      </c>
      <c r="AC46" s="74">
        <v>0.51234272914633228</v>
      </c>
      <c r="AD46" s="76"/>
      <c r="AE46" s="76"/>
      <c r="AF46" s="74">
        <v>0.29541978897482424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</row>
    <row r="47" spans="1:87" s="15" customFormat="1" hidden="1" x14ac:dyDescent="0.2">
      <c r="A47" s="3"/>
      <c r="B47" s="71" t="s">
        <v>62</v>
      </c>
      <c r="C47" s="77">
        <v>5277.5</v>
      </c>
      <c r="D47" s="77">
        <v>5144</v>
      </c>
      <c r="E47" s="77">
        <v>7000.75</v>
      </c>
      <c r="F47" s="77">
        <v>2202.5</v>
      </c>
      <c r="G47" s="77">
        <v>4145</v>
      </c>
      <c r="H47" s="77">
        <v>4781</v>
      </c>
      <c r="I47" s="77">
        <v>2556.5</v>
      </c>
      <c r="J47" s="77">
        <v>4461.5</v>
      </c>
      <c r="K47" s="77">
        <v>4540.5</v>
      </c>
      <c r="L47" s="77">
        <v>4140</v>
      </c>
      <c r="M47" s="77">
        <v>4770</v>
      </c>
      <c r="N47" s="77">
        <v>1430.5</v>
      </c>
      <c r="O47" s="77">
        <v>6970.5</v>
      </c>
      <c r="P47" s="77">
        <v>5457.5</v>
      </c>
      <c r="Q47" s="77">
        <v>6744</v>
      </c>
      <c r="R47" s="77">
        <v>2843</v>
      </c>
      <c r="S47" s="77">
        <v>2843</v>
      </c>
      <c r="T47" s="77">
        <v>2843</v>
      </c>
      <c r="U47" s="77">
        <v>2843</v>
      </c>
      <c r="V47" s="77">
        <v>2843</v>
      </c>
      <c r="W47" s="77">
        <v>2843</v>
      </c>
      <c r="X47" s="77">
        <v>2843</v>
      </c>
      <c r="Y47" s="77">
        <v>2843</v>
      </c>
      <c r="Z47" s="77">
        <v>2843</v>
      </c>
      <c r="AA47" s="77">
        <v>2843</v>
      </c>
      <c r="AB47" s="77">
        <v>2843</v>
      </c>
      <c r="AC47" s="77">
        <v>2843</v>
      </c>
      <c r="AD47" s="78"/>
      <c r="AE47" s="78"/>
      <c r="AF47" s="77">
        <v>4561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</row>
    <row r="48" spans="1:87" s="15" customFormat="1" hidden="1" x14ac:dyDescent="0.2">
      <c r="A48" s="3"/>
      <c r="B48" s="71" t="s">
        <v>63</v>
      </c>
      <c r="C48" s="77">
        <v>2115.1949999999997</v>
      </c>
      <c r="D48" s="77">
        <v>1691.4491666666663</v>
      </c>
      <c r="E48" s="77">
        <v>1760.7583333333332</v>
      </c>
      <c r="F48" s="77">
        <v>2313.9916666666668</v>
      </c>
      <c r="G48" s="77">
        <v>1773.7266666666733</v>
      </c>
      <c r="H48" s="77">
        <v>1277.3475000000021</v>
      </c>
      <c r="I48" s="77">
        <v>1673.6708333333429</v>
      </c>
      <c r="J48" s="77">
        <v>907.18333333333601</v>
      </c>
      <c r="K48" s="77">
        <v>1757.0283333333421</v>
      </c>
      <c r="L48" s="77">
        <v>1735.8391666666771</v>
      </c>
      <c r="M48" s="77">
        <v>866.5125000000013</v>
      </c>
      <c r="N48" s="77">
        <v>1590.0350000000053</v>
      </c>
      <c r="O48" s="77">
        <v>1885.6466666666788</v>
      </c>
      <c r="P48" s="77">
        <v>2188.043333333344</v>
      </c>
      <c r="Q48" s="77">
        <v>1139.2833333333394</v>
      </c>
      <c r="R48" s="77">
        <v>1872.3108333333391</v>
      </c>
      <c r="S48" s="77">
        <v>1872.3108333333391</v>
      </c>
      <c r="T48" s="77">
        <v>1872.3108333333391</v>
      </c>
      <c r="U48" s="77">
        <v>1872.3108333333391</v>
      </c>
      <c r="V48" s="77">
        <v>1872.3108333333391</v>
      </c>
      <c r="W48" s="77">
        <v>1872.3108333333391</v>
      </c>
      <c r="X48" s="77">
        <v>1872.3108333333391</v>
      </c>
      <c r="Y48" s="77">
        <v>1872.3108333333391</v>
      </c>
      <c r="Z48" s="77">
        <v>1872.3108333333391</v>
      </c>
      <c r="AA48" s="77">
        <v>1872.3108333333391</v>
      </c>
      <c r="AB48" s="77">
        <v>1872.3108333333391</v>
      </c>
      <c r="AC48" s="77">
        <v>1872.3108333333391</v>
      </c>
      <c r="AD48" s="78"/>
      <c r="AE48" s="78"/>
      <c r="AF48" s="77">
        <v>2400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</row>
    <row r="49" spans="1:87" s="15" customFormat="1" hidden="1" x14ac:dyDescent="0.2">
      <c r="A49" s="3"/>
      <c r="B49" s="79" t="s">
        <v>64</v>
      </c>
      <c r="C49" s="80">
        <v>644.87310826842383</v>
      </c>
      <c r="D49" s="80">
        <v>555.36581352239943</v>
      </c>
      <c r="E49" s="80">
        <v>630.1232086435059</v>
      </c>
      <c r="F49" s="80">
        <v>638.53456487006724</v>
      </c>
      <c r="G49" s="80">
        <v>712.66647371647423</v>
      </c>
      <c r="H49" s="80">
        <v>792.63599044541388</v>
      </c>
      <c r="I49" s="80">
        <v>915.8574186109488</v>
      </c>
      <c r="J49" s="80">
        <v>884.39557314176875</v>
      </c>
      <c r="K49" s="80">
        <v>948.88120649299162</v>
      </c>
      <c r="L49" s="80">
        <v>986.36105666689923</v>
      </c>
      <c r="M49" s="80">
        <v>946.15716008959805</v>
      </c>
      <c r="N49" s="80">
        <v>988.15887077515549</v>
      </c>
      <c r="O49" s="80">
        <v>870.95760939482989</v>
      </c>
      <c r="P49" s="80">
        <v>819.8477085168995</v>
      </c>
      <c r="Q49" s="80">
        <v>982.51820856729478</v>
      </c>
      <c r="R49" s="80">
        <v>1029.4515999369928</v>
      </c>
      <c r="S49" s="80">
        <v>1029.4515999369928</v>
      </c>
      <c r="T49" s="80">
        <v>1029.4515999369928</v>
      </c>
      <c r="U49" s="80">
        <v>1029.4515999369928</v>
      </c>
      <c r="V49" s="80">
        <v>1029.4515999369928</v>
      </c>
      <c r="W49" s="80">
        <v>1029.4515999369928</v>
      </c>
      <c r="X49" s="80">
        <v>1029.4515999369928</v>
      </c>
      <c r="Y49" s="80">
        <v>1029.4515999369928</v>
      </c>
      <c r="Z49" s="80">
        <v>1029.4515999369928</v>
      </c>
      <c r="AA49" s="80">
        <v>1029.4515999369928</v>
      </c>
      <c r="AB49" s="80">
        <v>1029.4515999369928</v>
      </c>
      <c r="AC49" s="80">
        <v>1029.4515999369928</v>
      </c>
      <c r="AD49" s="81"/>
      <c r="AE49" s="81"/>
      <c r="AF49" s="80">
        <v>1208.8517331396711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</row>
    <row r="50" spans="1:87" s="15" customFormat="1" x14ac:dyDescent="0.2">
      <c r="A50" s="3"/>
      <c r="B50" s="82" t="s">
        <v>65</v>
      </c>
      <c r="C50" s="83"/>
      <c r="D50" s="83"/>
      <c r="E50" s="83"/>
      <c r="F50" s="83"/>
      <c r="G50" s="83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>
        <f>+BN39/BN2</f>
        <v>977948.41968318191</v>
      </c>
      <c r="BO50" s="86"/>
      <c r="BP50" s="86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</row>
    <row r="51" spans="1:87" s="15" customFormat="1" x14ac:dyDescent="0.2">
      <c r="A51" s="3"/>
      <c r="B51" s="12"/>
      <c r="C51" s="12"/>
      <c r="D51" s="12"/>
      <c r="E51" s="12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 t="s">
        <v>66</v>
      </c>
      <c r="Y51" s="13"/>
      <c r="Z51" s="47">
        <v>1307000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</row>
    <row r="52" spans="1:87" s="15" customFormat="1" x14ac:dyDescent="0.2">
      <c r="A52" s="3"/>
      <c r="B52" s="82" t="s">
        <v>67</v>
      </c>
      <c r="C52" s="83"/>
      <c r="D52" s="83"/>
      <c r="E52" s="83"/>
      <c r="F52" s="83"/>
      <c r="G52" s="83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 t="s">
        <v>68</v>
      </c>
      <c r="Y52" s="84"/>
      <c r="Z52" s="87">
        <f>+Z51/1.5</f>
        <v>871333.33333333337</v>
      </c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8">
        <f>(+BN31+BH23)*0.7/43</f>
        <v>977948.4196831818</v>
      </c>
      <c r="BO52" s="89"/>
      <c r="BP52" s="89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</row>
    <row r="53" spans="1:87" s="15" customFormat="1" x14ac:dyDescent="0.2">
      <c r="A53" s="3"/>
      <c r="B53" s="12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47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</row>
    <row r="54" spans="1:87" s="15" customFormat="1" x14ac:dyDescent="0.2">
      <c r="A54" s="3"/>
      <c r="B54" s="12" t="s">
        <v>69</v>
      </c>
      <c r="C54" s="12"/>
      <c r="D54" s="12"/>
      <c r="E54" s="12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 t="s">
        <v>70</v>
      </c>
      <c r="Y54" s="13"/>
      <c r="Z54" s="47">
        <v>75000</v>
      </c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48">
        <f>+BN52-BN50</f>
        <v>0</v>
      </c>
      <c r="BO54" s="48"/>
      <c r="BP54" s="48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</row>
    <row r="55" spans="1:87" x14ac:dyDescent="0.2">
      <c r="A55" s="3"/>
      <c r="B55" s="6"/>
      <c r="C55" s="6"/>
      <c r="D55" s="6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 t="s">
        <v>71</v>
      </c>
      <c r="Y55" s="3"/>
      <c r="Z55" s="4">
        <f>+Z54*9</f>
        <v>675000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1:87" x14ac:dyDescent="0.2">
      <c r="A56" s="3"/>
      <c r="B56" s="6"/>
      <c r="C56" s="6"/>
      <c r="D56" s="6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0" t="s">
        <v>72</v>
      </c>
      <c r="Y56" s="8"/>
      <c r="Z56" s="9">
        <f>+Z52-Z55</f>
        <v>196333.33333333337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1:87" x14ac:dyDescent="0.2">
      <c r="A57" s="3"/>
      <c r="B57" s="6"/>
      <c r="C57" s="6"/>
      <c r="D57" s="6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1:87" x14ac:dyDescent="0.2">
      <c r="A58" s="3"/>
      <c r="B58" s="6"/>
      <c r="C58" s="6"/>
      <c r="D58" s="6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1:87" x14ac:dyDescent="0.2">
      <c r="A59" s="3"/>
      <c r="B59" s="6"/>
      <c r="C59" s="6"/>
      <c r="D59" s="6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1:87" x14ac:dyDescent="0.2">
      <c r="A60" s="3"/>
      <c r="B60" s="6"/>
      <c r="C60" s="6"/>
      <c r="D60" s="6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1:87" x14ac:dyDescent="0.2">
      <c r="A61" s="3"/>
      <c r="B61" s="6"/>
      <c r="C61" s="6"/>
      <c r="D61" s="6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1:87" x14ac:dyDescent="0.2">
      <c r="A62" s="3"/>
      <c r="B62" s="6"/>
      <c r="C62" s="6"/>
      <c r="D62" s="6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1:87" x14ac:dyDescent="0.2">
      <c r="A63" s="3"/>
      <c r="B63" s="6"/>
      <c r="C63" s="6"/>
      <c r="D63" s="6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1:87" x14ac:dyDescent="0.2">
      <c r="A64" s="3"/>
      <c r="B64" s="6"/>
      <c r="C64" s="6"/>
      <c r="D64" s="6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1:87" x14ac:dyDescent="0.2">
      <c r="A65" s="3"/>
      <c r="B65" s="6"/>
      <c r="C65" s="6"/>
      <c r="D65" s="6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1:87" x14ac:dyDescent="0.2">
      <c r="A66" s="3"/>
      <c r="B66" s="6"/>
      <c r="C66" s="6"/>
      <c r="D66" s="6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</sheetData>
  <mergeCells count="1">
    <mergeCell ref="BA2:BK2"/>
  </mergeCells>
  <conditionalFormatting sqref="C39:R39 AF40">
    <cfRule type="cellIs" dxfId="27" priority="28" operator="lessThan">
      <formula>0</formula>
    </cfRule>
  </conditionalFormatting>
  <conditionalFormatting sqref="C40:R40">
    <cfRule type="cellIs" dxfId="26" priority="27" operator="lessThan">
      <formula>0</formula>
    </cfRule>
  </conditionalFormatting>
  <conditionalFormatting sqref="AH39">
    <cfRule type="cellIs" dxfId="25" priority="26" operator="lessThan">
      <formula>0</formula>
    </cfRule>
  </conditionalFormatting>
  <conditionalFormatting sqref="S39:T39">
    <cfRule type="cellIs" dxfId="24" priority="25" operator="lessThan">
      <formula>0</formula>
    </cfRule>
  </conditionalFormatting>
  <conditionalFormatting sqref="S40:W40 Y40:AB40">
    <cfRule type="cellIs" dxfId="23" priority="24" operator="lessThan">
      <formula>0</formula>
    </cfRule>
  </conditionalFormatting>
  <conditionalFormatting sqref="X40:AB40">
    <cfRule type="cellIs" dxfId="22" priority="23" operator="lessThan">
      <formula>0</formula>
    </cfRule>
  </conditionalFormatting>
  <conditionalFormatting sqref="AC40">
    <cfRule type="cellIs" dxfId="21" priority="22" operator="lessThan">
      <formula>0</formula>
    </cfRule>
  </conditionalFormatting>
  <conditionalFormatting sqref="AC40">
    <cfRule type="cellIs" dxfId="20" priority="21" operator="lessThan">
      <formula>0</formula>
    </cfRule>
  </conditionalFormatting>
  <conditionalFormatting sqref="AD40">
    <cfRule type="cellIs" dxfId="19" priority="20" operator="lessThan">
      <formula>0</formula>
    </cfRule>
  </conditionalFormatting>
  <conditionalFormatting sqref="AD40">
    <cfRule type="cellIs" dxfId="18" priority="19" operator="lessThan">
      <formula>0</formula>
    </cfRule>
  </conditionalFormatting>
  <conditionalFormatting sqref="AE40">
    <cfRule type="cellIs" dxfId="17" priority="18" operator="lessThan">
      <formula>0</formula>
    </cfRule>
  </conditionalFormatting>
  <conditionalFormatting sqref="AE40">
    <cfRule type="cellIs" dxfId="16" priority="17" operator="lessThan">
      <formula>0</formula>
    </cfRule>
  </conditionalFormatting>
  <conditionalFormatting sqref="T39:AE39">
    <cfRule type="cellIs" dxfId="15" priority="16" operator="lessThan">
      <formula>0</formula>
    </cfRule>
  </conditionalFormatting>
  <conditionalFormatting sqref="AI39">
    <cfRule type="cellIs" dxfId="14" priority="15" operator="lessThan">
      <formula>0</formula>
    </cfRule>
  </conditionalFormatting>
  <conditionalFormatting sqref="T39:AF39">
    <cfRule type="cellIs" dxfId="13" priority="14" operator="lessThan">
      <formula>0</formula>
    </cfRule>
  </conditionalFormatting>
  <conditionalFormatting sqref="AL40:AW40">
    <cfRule type="cellIs" dxfId="12" priority="13" operator="lessThan">
      <formula>0</formula>
    </cfRule>
  </conditionalFormatting>
  <conditionalFormatting sqref="AL40:AW40">
    <cfRule type="cellIs" dxfId="11" priority="12" operator="lessThan">
      <formula>0</formula>
    </cfRule>
  </conditionalFormatting>
  <conditionalFormatting sqref="AL39:AW39">
    <cfRule type="cellIs" dxfId="10" priority="11" operator="lessThan">
      <formula>0</formula>
    </cfRule>
  </conditionalFormatting>
  <conditionalFormatting sqref="AY39">
    <cfRule type="cellIs" dxfId="9" priority="10" operator="lessThan">
      <formula>0</formula>
    </cfRule>
  </conditionalFormatting>
  <conditionalFormatting sqref="BA40">
    <cfRule type="cellIs" dxfId="8" priority="9" operator="lessThan">
      <formula>0</formula>
    </cfRule>
  </conditionalFormatting>
  <conditionalFormatting sqref="BA40">
    <cfRule type="cellIs" dxfId="7" priority="8" operator="lessThan">
      <formula>0</formula>
    </cfRule>
  </conditionalFormatting>
  <conditionalFormatting sqref="BA39">
    <cfRule type="cellIs" dxfId="6" priority="7" operator="lessThan">
      <formula>0</formula>
    </cfRule>
  </conditionalFormatting>
  <conditionalFormatting sqref="BB40:BL40">
    <cfRule type="cellIs" dxfId="5" priority="6" operator="lessThan">
      <formula>0</formula>
    </cfRule>
  </conditionalFormatting>
  <conditionalFormatting sqref="BB40:BL40">
    <cfRule type="cellIs" dxfId="4" priority="5" operator="lessThan">
      <formula>0</formula>
    </cfRule>
  </conditionalFormatting>
  <conditionalFormatting sqref="BB39:BL39">
    <cfRule type="cellIs" dxfId="3" priority="4" operator="lessThan">
      <formula>0</formula>
    </cfRule>
  </conditionalFormatting>
  <conditionalFormatting sqref="BC40">
    <cfRule type="cellIs" dxfId="2" priority="3" operator="lessThan">
      <formula>0</formula>
    </cfRule>
  </conditionalFormatting>
  <conditionalFormatting sqref="BC40">
    <cfRule type="cellIs" dxfId="1" priority="2" operator="lessThan">
      <formula>0</formula>
    </cfRule>
  </conditionalFormatting>
  <conditionalFormatting sqref="BC39">
    <cfRule type="cellIs" dxfId="0" priority="1" operator="lessThan">
      <formula>0</formula>
    </cfRule>
  </conditionalFormatting>
  <printOptions horizontalCentered="1"/>
  <pageMargins left="0.31496062992125984" right="0.11811023622047245" top="0.15748031496062992" bottom="0.15748031496062992" header="0.31496062992125984" footer="0.31496062992125984"/>
  <pageSetup paperSize="9" scale="8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E. Rdos Proyec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Rey Lería</dc:creator>
  <cp:lastModifiedBy>Luca</cp:lastModifiedBy>
  <dcterms:created xsi:type="dcterms:W3CDTF">2021-03-08T16:05:51Z</dcterms:created>
  <dcterms:modified xsi:type="dcterms:W3CDTF">2021-04-16T12:47:46Z</dcterms:modified>
</cp:coreProperties>
</file>