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lucabulfon/Desktop/Portfolio/"/>
    </mc:Choice>
  </mc:AlternateContent>
  <xr:revisionPtr revIDLastSave="0" documentId="13_ncr:1_{C8B361D7-6C31-6E41-81F1-92D86B05D250}" xr6:coauthVersionLast="47" xr6:coauthVersionMax="47" xr10:uidLastSave="{00000000-0000-0000-0000-000000000000}"/>
  <bookViews>
    <workbookView xWindow="300" yWindow="740" windowWidth="30080" windowHeight="19680" xr2:uid="{5BF60F5A-011F-9443-9360-E8A4E264E8E9}"/>
  </bookViews>
  <sheets>
    <sheet name="Sheet1" sheetId="1" r:id="rId1"/>
  </sheets>
  <definedNames>
    <definedName name="_xlnm._FilterDatabase" localSheetId="0" hidden="1">Sheet1!$A$2:$K$49</definedName>
    <definedName name="solver_adj" localSheetId="0" hidden="1">Sheet1!$O$32:$O$34</definedName>
    <definedName name="solver_chc1" localSheetId="0" hidden="1">0</definedName>
    <definedName name="solver_chc2" localSheetId="0" hidden="1">0</definedName>
    <definedName name="solver_chp1" localSheetId="0" hidden="1">0</definedName>
    <definedName name="solver_chp2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lhs1" localSheetId="0" hidden="1">Sheet1!$O$32:$O$34</definedName>
    <definedName name="solver_lhs2" localSheetId="0" hidden="1">Sheet1!$O$32:$O$34</definedName>
    <definedName name="solver_nso" localSheetId="0" hidden="1">10000</definedName>
    <definedName name="solver_ntr" localSheetId="0" hidden="1">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pt" localSheetId="0" hidden="1">Sheet1!$O$36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1</definedName>
    <definedName name="solver_rxv" localSheetId="0" hidden="1">1</definedName>
    <definedName name="solver_slvu" localSheetId="0" hidden="1">0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ir" localSheetId="0" hidden="1">1</definedName>
    <definedName name="solver_vst" localSheetId="0" hidden="1">0</definedName>
    <definedName name="Table1">Sheet1!$A$2:$K$38</definedName>
  </definedNames>
  <calcPr calcId="191028"/>
  <pivotCaches>
    <pivotCache cacheId="2" r:id="rId2"/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6" i="1"/>
  <c r="I7" i="1"/>
  <c r="I3" i="1"/>
  <c r="G6" i="1" s="1"/>
  <c r="I5" i="1"/>
  <c r="G5" i="1" s="1"/>
  <c r="F39" i="1"/>
  <c r="Q53" i="1"/>
  <c r="Q63" i="1"/>
  <c r="Q54" i="1"/>
  <c r="Q55" i="1"/>
  <c r="Q56" i="1"/>
  <c r="Q57" i="1"/>
  <c r="Q58" i="1"/>
  <c r="Q59" i="1"/>
  <c r="Q60" i="1"/>
  <c r="Q61" i="1"/>
  <c r="Q62" i="1"/>
  <c r="Q52" i="1"/>
  <c r="O29" i="1"/>
  <c r="H6" i="1" l="1"/>
  <c r="P53" i="1"/>
  <c r="P54" i="1"/>
  <c r="P55" i="1"/>
  <c r="P56" i="1"/>
  <c r="P57" i="1"/>
  <c r="P58" i="1"/>
  <c r="P59" i="1"/>
  <c r="P60" i="1"/>
  <c r="P61" i="1"/>
  <c r="P62" i="1"/>
  <c r="P63" i="1"/>
  <c r="P52" i="1"/>
  <c r="P43" i="1"/>
  <c r="P44" i="1"/>
  <c r="P45" i="1"/>
  <c r="P42" i="1"/>
  <c r="I4" i="1"/>
  <c r="K6" i="1" l="1"/>
  <c r="L6" i="1" s="1"/>
  <c r="K7" i="1" l="1"/>
  <c r="L7" i="1" s="1"/>
  <c r="G7" i="1" l="1"/>
  <c r="H7" i="1" s="1"/>
  <c r="G8" i="1" l="1"/>
  <c r="I8" i="1" s="1"/>
  <c r="K8" i="1" l="1"/>
  <c r="L8" i="1" s="1"/>
  <c r="H8" i="1"/>
  <c r="G9" i="1" s="1"/>
  <c r="H9" i="1" s="1"/>
  <c r="I9" i="1" l="1"/>
  <c r="K9" i="1"/>
  <c r="L9" i="1" s="1"/>
  <c r="G10" i="1"/>
  <c r="I10" i="1" s="1"/>
  <c r="K10" i="1" l="1"/>
  <c r="L10" i="1" s="1"/>
  <c r="H10" i="1"/>
  <c r="G11" i="1" s="1"/>
  <c r="I11" i="1" s="1"/>
  <c r="K11" i="1" l="1"/>
  <c r="L11" i="1" s="1"/>
  <c r="H11" i="1" l="1"/>
  <c r="G12" i="1" s="1"/>
  <c r="I12" i="1" s="1"/>
  <c r="K12" i="1" l="1"/>
  <c r="L12" i="1" s="1"/>
  <c r="H12" i="1"/>
  <c r="I13" i="1" s="1"/>
  <c r="K13" i="1" l="1"/>
  <c r="L13" i="1" s="1"/>
  <c r="H13" i="1"/>
  <c r="G14" i="1" s="1"/>
  <c r="I14" i="1" s="1"/>
  <c r="K14" i="1" l="1"/>
  <c r="L14" i="1" s="1"/>
  <c r="H14" i="1"/>
  <c r="G15" i="1" s="1"/>
  <c r="I15" i="1" s="1"/>
  <c r="K15" i="1" l="1"/>
  <c r="L15" i="1" s="1"/>
  <c r="H15" i="1" l="1"/>
  <c r="G16" i="1" s="1"/>
  <c r="I16" i="1" s="1"/>
  <c r="K16" i="1" l="1"/>
  <c r="L16" i="1" s="1"/>
  <c r="H16" i="1"/>
  <c r="G17" i="1" s="1"/>
  <c r="I17" i="1" s="1"/>
  <c r="K17" i="1" l="1"/>
  <c r="L17" i="1" s="1"/>
  <c r="H17" i="1"/>
  <c r="K18" i="1" s="1"/>
  <c r="L18" i="1" s="1"/>
  <c r="G18" i="1" l="1"/>
  <c r="I18" i="1" s="1"/>
  <c r="H18" i="1" l="1"/>
  <c r="G19" i="1" s="1"/>
  <c r="I19" i="1" s="1"/>
  <c r="K19" i="1" l="1"/>
  <c r="L19" i="1" s="1"/>
  <c r="H19" i="1"/>
  <c r="G20" i="1" s="1"/>
  <c r="I20" i="1" s="1"/>
  <c r="K20" i="1" l="1"/>
  <c r="L20" i="1" s="1"/>
  <c r="H20" i="1"/>
  <c r="K21" i="1" s="1"/>
  <c r="L21" i="1" s="1"/>
  <c r="G21" i="1" l="1"/>
  <c r="I21" i="1" s="1"/>
  <c r="H21" i="1" l="1"/>
  <c r="K22" i="1" s="1"/>
  <c r="L22" i="1" s="1"/>
  <c r="G22" i="1" l="1"/>
  <c r="I22" i="1" s="1"/>
  <c r="H22" i="1" l="1"/>
  <c r="K23" i="1" s="1"/>
  <c r="L23" i="1" s="1"/>
  <c r="G23" i="1" l="1"/>
  <c r="I23" i="1" s="1"/>
  <c r="H23" i="1" l="1"/>
  <c r="K24" i="1" s="1"/>
  <c r="L24" i="1" s="1"/>
  <c r="G24" i="1" l="1"/>
  <c r="I24" i="1" s="1"/>
  <c r="H24" i="1" l="1"/>
  <c r="K25" i="1" s="1"/>
  <c r="L25" i="1" s="1"/>
  <c r="G25" i="1" l="1"/>
  <c r="I25" i="1" s="1"/>
  <c r="H25" i="1" l="1"/>
  <c r="K26" i="1" s="1"/>
  <c r="L26" i="1" s="1"/>
  <c r="G26" i="1" l="1"/>
  <c r="I26" i="1" s="1"/>
  <c r="H26" i="1" l="1"/>
  <c r="K27" i="1" s="1"/>
  <c r="L27" i="1" s="1"/>
  <c r="G27" i="1" l="1"/>
  <c r="I27" i="1" s="1"/>
  <c r="H27" i="1" l="1"/>
  <c r="K28" i="1" s="1"/>
  <c r="L28" i="1" s="1"/>
  <c r="G28" i="1"/>
  <c r="I28" i="1" s="1"/>
  <c r="H28" i="1" l="1"/>
  <c r="K29" i="1" s="1"/>
  <c r="L29" i="1" s="1"/>
  <c r="G29" i="1"/>
  <c r="I29" i="1" s="1"/>
  <c r="H29" i="1" l="1"/>
  <c r="K30" i="1" s="1"/>
  <c r="L30" i="1" s="1"/>
  <c r="G30" i="1" l="1"/>
  <c r="I30" i="1" s="1"/>
  <c r="H30" i="1"/>
  <c r="K31" i="1"/>
  <c r="L31" i="1" s="1"/>
  <c r="G31" i="1"/>
  <c r="I31" i="1" s="1"/>
  <c r="H31" i="1" l="1"/>
  <c r="K32" i="1" s="1"/>
  <c r="L32" i="1" s="1"/>
  <c r="G32" i="1" l="1"/>
  <c r="I32" i="1" s="1"/>
  <c r="H32" i="1" l="1"/>
  <c r="K33" i="1" s="1"/>
  <c r="L33" i="1" s="1"/>
  <c r="G33" i="1" l="1"/>
  <c r="I33" i="1" s="1"/>
  <c r="H33" i="1"/>
  <c r="K34" i="1" s="1"/>
  <c r="L34" i="1" l="1"/>
  <c r="G34" i="1"/>
  <c r="I34" i="1" s="1"/>
  <c r="H34" i="1" l="1"/>
  <c r="K35" i="1" s="1"/>
  <c r="G35" i="1"/>
  <c r="I35" i="1" s="1"/>
  <c r="H35" i="1" l="1"/>
  <c r="K36" i="1" s="1"/>
  <c r="L35" i="1"/>
  <c r="G36" i="1" l="1"/>
  <c r="I36" i="1" s="1"/>
  <c r="L36" i="1"/>
  <c r="H36" i="1" l="1"/>
  <c r="G37" i="1" s="1"/>
  <c r="I37" i="1" s="1"/>
  <c r="K37" i="1"/>
  <c r="L37" i="1" s="1"/>
  <c r="H37" i="1"/>
  <c r="K38" i="1" l="1"/>
  <c r="G38" i="1"/>
  <c r="I38" i="1" s="1"/>
  <c r="H38" i="1" l="1"/>
  <c r="K39" i="1" s="1"/>
  <c r="G39" i="1"/>
  <c r="I39" i="1" s="1"/>
  <c r="L38" i="1"/>
  <c r="O36" i="1"/>
  <c r="H39" i="1" l="1"/>
  <c r="K40" i="1" s="1"/>
  <c r="F41" i="1" s="1"/>
  <c r="F40" i="1"/>
  <c r="L39" i="1"/>
  <c r="G40" i="1" l="1"/>
  <c r="H40" i="1" s="1"/>
  <c r="K41" i="1" s="1"/>
  <c r="F42" i="1" s="1"/>
  <c r="L40" i="1"/>
  <c r="I40" i="1" l="1"/>
  <c r="L41" i="1"/>
  <c r="G41" i="1"/>
  <c r="I41" i="1" s="1"/>
  <c r="H41" i="1" l="1"/>
  <c r="K42" i="1" s="1"/>
  <c r="G42" i="1" l="1"/>
  <c r="I42" i="1" s="1"/>
  <c r="F43" i="1"/>
  <c r="L42" i="1"/>
  <c r="H42" i="1" l="1"/>
  <c r="K43" i="1" s="1"/>
  <c r="F44" i="1" s="1"/>
  <c r="G43" i="1"/>
  <c r="H43" i="1" s="1"/>
  <c r="K44" i="1" s="1"/>
  <c r="F45" i="1" s="1"/>
  <c r="L43" i="1" l="1"/>
  <c r="I43" i="1"/>
  <c r="L44" i="1"/>
  <c r="G44" i="1"/>
  <c r="H44" i="1" l="1"/>
  <c r="I44" i="1"/>
  <c r="K45" i="1" l="1"/>
  <c r="G45" i="1"/>
  <c r="H45" i="1" l="1"/>
  <c r="K46" i="1" s="1"/>
  <c r="F47" i="1" s="1"/>
  <c r="I45" i="1"/>
  <c r="F46" i="1"/>
  <c r="L45" i="1"/>
  <c r="L46" i="1" l="1"/>
  <c r="G46" i="1"/>
  <c r="H46" i="1" l="1"/>
  <c r="K47" i="1" s="1"/>
  <c r="I46" i="1"/>
  <c r="G47" i="1" l="1"/>
  <c r="H47" i="1" s="1"/>
  <c r="K48" i="1" s="1"/>
  <c r="F49" i="1" s="1"/>
  <c r="L47" i="1"/>
  <c r="F48" i="1"/>
  <c r="I47" i="1" l="1"/>
  <c r="L48" i="1"/>
  <c r="G48" i="1"/>
  <c r="H48" i="1" s="1"/>
  <c r="K49" i="1" s="1"/>
  <c r="F50" i="1" s="1"/>
  <c r="S41" i="1" l="1"/>
  <c r="S44" i="1" s="1"/>
  <c r="L49" i="1"/>
  <c r="G49" i="1"/>
  <c r="H49" i="1" s="1"/>
  <c r="K50" i="1" s="1"/>
  <c r="L50" i="1" s="1"/>
  <c r="T51" i="1"/>
  <c r="T59" i="1" s="1"/>
  <c r="O37" i="1"/>
  <c r="I49" i="1"/>
  <c r="I48" i="1"/>
  <c r="T58" i="1" l="1"/>
  <c r="T52" i="1"/>
  <c r="T55" i="1"/>
  <c r="T60" i="1"/>
  <c r="T63" i="1"/>
  <c r="T62" i="1"/>
  <c r="S43" i="1"/>
  <c r="S45" i="1"/>
  <c r="S42" i="1"/>
  <c r="T54" i="1"/>
  <c r="T56" i="1"/>
  <c r="T57" i="1"/>
  <c r="T53" i="1"/>
  <c r="G50" i="1"/>
  <c r="H50" i="1" s="1"/>
  <c r="T61" i="1"/>
  <c r="I50" i="1"/>
</calcChain>
</file>

<file path=xl/sharedStrings.xml><?xml version="1.0" encoding="utf-8"?>
<sst xmlns="http://schemas.openxmlformats.org/spreadsheetml/2006/main" count="178" uniqueCount="44">
  <si>
    <t>LS Clothing LLC - Sales Report</t>
  </si>
  <si>
    <t>Period</t>
  </si>
  <si>
    <t>Date</t>
  </si>
  <si>
    <t>Year</t>
  </si>
  <si>
    <t>Month</t>
  </si>
  <si>
    <t>Quarter</t>
  </si>
  <si>
    <t>Revenue</t>
  </si>
  <si>
    <t>Base level</t>
  </si>
  <si>
    <t>Trend</t>
  </si>
  <si>
    <t>Seasonality</t>
  </si>
  <si>
    <t>Notes</t>
  </si>
  <si>
    <t>Forecast</t>
  </si>
  <si>
    <t>APE</t>
  </si>
  <si>
    <t>Jan</t>
  </si>
  <si>
    <t>Q1</t>
  </si>
  <si>
    <t>Merch Drop</t>
  </si>
  <si>
    <t>Feb</t>
  </si>
  <si>
    <t>Mar</t>
  </si>
  <si>
    <t>Apr</t>
  </si>
  <si>
    <t>Q2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</si>
  <si>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</si>
  <si>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</si>
  <si>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</si>
  <si>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</si>
  <si>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</si>
  <si>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</si>
  <si>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</si>
  <si>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</si>
  <si>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</si>
  <si>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</si>
  <si>
    <t>Holiday Season</t>
  </si>
  <si>
    <t>Seasonality Cycle</t>
  </si>
  <si>
    <t>alpha</t>
  </si>
  <si>
    <t>beta</t>
  </si>
  <si>
    <t>gamma</t>
  </si>
  <si>
    <t>MSE</t>
  </si>
  <si>
    <t>MAPE</t>
  </si>
  <si>
    <t>(All)</t>
  </si>
  <si>
    <t>Row Labels</t>
  </si>
  <si>
    <t>Average of Sales ($)</t>
  </si>
  <si>
    <t>%</t>
  </si>
  <si>
    <t>Grand Total</t>
  </si>
  <si>
    <t>(Multiple Items)</t>
  </si>
  <si>
    <t>Smoothed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</si>
</sst>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0.0000"/>
    <numFmt numFmtId="167" formatCode="_([$$-409]* #,##0.00_);_([$$-409]* \(#,##0.00\);_([$$-409]* &quot;-&quot;??_);_(@_)"/>
  </numFmts>
  <fonts count="11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6"/>
      <color rgb="FF000000"/>
      <name val="Aptos Narrow"/>
    </font>
    <font>
      <sz val="11"/>
      <color rgb="FF000000"/>
      <name val="Aptos Narrow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b/>
      <sz val="20"/>
      <color rgb="FF000000"/>
      <name val="Aptos Narrow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4999542222357858"/>
        <bgColor theme="0" tint="-0.4499954222235785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14" fontId="2" fillId="0" borderId="1" xfId="0" applyNumberFormat="1" applyFont="1" applyBorder="1"/>
    <xf numFmtId="14" fontId="4" fillId="0" borderId="1" xfId="0" applyNumberFormat="1" applyFont="1" applyBorder="1"/>
    <xf numFmtId="0" fontId="5" fillId="0" borderId="3" xfId="0" applyFont="1" applyBorder="1"/>
    <xf numFmtId="0" fontId="0" fillId="3" borderId="1" xfId="0" applyFill="1" applyBorder="1"/>
    <xf numFmtId="0" fontId="2" fillId="0" borderId="3" xfId="0" applyFont="1" applyBorder="1"/>
    <xf numFmtId="164" fontId="4" fillId="0" borderId="1" xfId="0" applyNumberFormat="1" applyFont="1" applyBorder="1"/>
    <xf numFmtId="14" fontId="4" fillId="4" borderId="1" xfId="0" applyNumberFormat="1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164" fontId="4" fillId="4" borderId="1" xfId="0" applyNumberFormat="1" applyFont="1" applyFill="1" applyBorder="1"/>
    <xf numFmtId="0" fontId="5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0" fillId="0" borderId="0" xfId="2" applyFont="1"/>
    <xf numFmtId="2" fontId="0" fillId="0" borderId="0" xfId="0" applyNumberFormat="1"/>
    <xf numFmtId="0" fontId="4" fillId="0" borderId="1" xfId="0" applyFon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10" fontId="9" fillId="5" borderId="1" xfId="2" applyNumberFormat="1" applyFont="1" applyFill="1" applyBorder="1"/>
    <xf numFmtId="0" fontId="7" fillId="6" borderId="1" xfId="0" applyFont="1" applyFill="1" applyBorder="1"/>
    <xf numFmtId="44" fontId="7" fillId="6" borderId="1" xfId="1" applyFont="1" applyFill="1" applyBorder="1"/>
    <xf numFmtId="44" fontId="9" fillId="5" borderId="1" xfId="1" applyFont="1" applyFill="1" applyBorder="1"/>
    <xf numFmtId="0" fontId="1" fillId="7" borderId="1" xfId="0" applyFont="1" applyFill="1" applyBorder="1"/>
    <xf numFmtId="2" fontId="1" fillId="7" borderId="1" xfId="0" applyNumberFormat="1" applyFont="1" applyFill="1" applyBorder="1"/>
    <xf numFmtId="0" fontId="1" fillId="7" borderId="3" xfId="0" applyFont="1" applyFill="1" applyBorder="1"/>
    <xf numFmtId="0" fontId="3" fillId="0" borderId="0" xfId="0" applyFont="1"/>
    <xf numFmtId="0" fontId="7" fillId="6" borderId="1" xfId="0" applyFont="1" applyFill="1" applyBorder="1" applyAlignment="1">
      <alignment horizontal="right"/>
    </xf>
    <xf numFmtId="0" fontId="10" fillId="0" borderId="0" xfId="0" applyFont="1" applyAlignment="1">
      <alignment vertical="center"/>
    </xf>
    <xf numFmtId="165" fontId="0" fillId="0" borderId="0" xfId="0" applyNumberFormat="1"/>
    <xf numFmtId="0" fontId="4" fillId="4" borderId="1" xfId="0" applyFont="1" applyFill="1" applyBorder="1"/>
    <xf numFmtId="166" fontId="0" fillId="3" borderId="1" xfId="0" applyNumberFormat="1" applyFill="1" applyBorder="1"/>
    <xf numFmtId="0" fontId="0" fillId="0" borderId="6" xfId="0" applyBorder="1"/>
    <xf numFmtId="10" fontId="0" fillId="0" borderId="6" xfId="0" applyNumberFormat="1" applyBorder="1"/>
    <xf numFmtId="0" fontId="0" fillId="0" borderId="5" xfId="0" applyBorder="1"/>
    <xf numFmtId="2" fontId="0" fillId="2" borderId="5" xfId="0" applyNumberFormat="1" applyFill="1" applyBorder="1"/>
    <xf numFmtId="167" fontId="10" fillId="0" borderId="0" xfId="0" applyNumberFormat="1" applyFont="1" applyAlignment="1">
      <alignment vertical="center"/>
    </xf>
    <xf numFmtId="167" fontId="1" fillId="7" borderId="1" xfId="1" applyNumberFormat="1" applyFont="1" applyFill="1" applyBorder="1"/>
    <xf numFmtId="167" fontId="1" fillId="7" borderId="3" xfId="1" applyNumberFormat="1" applyFont="1" applyFill="1" applyBorder="1"/>
    <xf numFmtId="167" fontId="5" fillId="0" borderId="1" xfId="1" applyNumberFormat="1" applyFont="1" applyBorder="1"/>
    <xf numFmtId="167" fontId="4" fillId="0" borderId="4" xfId="1" applyNumberFormat="1" applyFont="1" applyBorder="1"/>
    <xf numFmtId="167" fontId="5" fillId="0" borderId="5" xfId="1" applyNumberFormat="1" applyFont="1" applyBorder="1"/>
    <xf numFmtId="167" fontId="4" fillId="4" borderId="1" xfId="1" applyNumberFormat="1" applyFont="1" applyFill="1" applyBorder="1"/>
    <xf numFmtId="167" fontId="4" fillId="4" borderId="1" xfId="1" applyNumberFormat="1" applyFont="1" applyFill="1" applyBorder="1" applyAlignment="1"/>
    <xf numFmtId="167" fontId="0" fillId="0" borderId="0" xfId="1" applyNumberFormat="1" applyFont="1"/>
    <xf numFmtId="167" fontId="0" fillId="0" borderId="0" xfId="0" applyNumberFormat="1"/>
    <xf numFmtId="0" fontId="1" fillId="7" borderId="6" xfId="0" applyFont="1" applyFill="1" applyBorder="1"/>
    <xf numFmtId="0" fontId="5" fillId="0" borderId="6" xfId="0" applyFont="1" applyBorder="1"/>
    <xf numFmtId="10" fontId="5" fillId="0" borderId="6" xfId="0" applyNumberFormat="1" applyFont="1" applyBorder="1"/>
    <xf numFmtId="44" fontId="10" fillId="0" borderId="0" xfId="1" applyFont="1" applyAlignment="1">
      <alignment vertical="center"/>
    </xf>
    <xf numFmtId="44" fontId="1" fillId="7" borderId="3" xfId="1" applyFont="1" applyFill="1" applyBorder="1"/>
    <xf numFmtId="44" fontId="5" fillId="0" borderId="3" xfId="1" applyFont="1" applyBorder="1"/>
    <xf numFmtId="44" fontId="5" fillId="4" borderId="3" xfId="1" applyFont="1" applyFill="1" applyBorder="1"/>
    <xf numFmtId="44" fontId="0" fillId="0" borderId="0" xfId="1" applyFont="1"/>
    <xf numFmtId="2" fontId="10" fillId="0" borderId="0" xfId="0" applyNumberFormat="1" applyFont="1" applyAlignment="1">
      <alignment vertical="center"/>
    </xf>
    <xf numFmtId="2" fontId="1" fillId="7" borderId="3" xfId="1" applyNumberFormat="1" applyFont="1" applyFill="1" applyBorder="1" applyAlignment="1"/>
    <xf numFmtId="2" fontId="4" fillId="0" borderId="1" xfId="1" applyNumberFormat="1" applyFont="1" applyBorder="1" applyAlignment="1"/>
    <xf numFmtId="2" fontId="4" fillId="0" borderId="4" xfId="1" applyNumberFormat="1" applyFont="1" applyBorder="1"/>
    <xf numFmtId="2" fontId="4" fillId="4" borderId="1" xfId="1" applyNumberFormat="1" applyFont="1" applyFill="1" applyBorder="1" applyAlignment="1"/>
    <xf numFmtId="2" fontId="0" fillId="0" borderId="0" xfId="1" applyNumberFormat="1" applyFont="1" applyAlignment="1"/>
  </cellXfs>
  <cellStyles count="3">
    <cellStyle name="Currency" xfId="1" builtinId="4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vs 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 Revenue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Sheet1!$B$3:$B$50</c:f>
              <c:numCache>
                <c:formatCode>m/d/yy</c:formatCode>
                <c:ptCount val="48"/>
                <c:pt idx="0">
                  <c:v>44211</c:v>
                </c:pt>
                <c:pt idx="1">
                  <c:v>44242</c:v>
                </c:pt>
                <c:pt idx="2">
                  <c:v>44270</c:v>
                </c:pt>
                <c:pt idx="3">
                  <c:v>44301</c:v>
                </c:pt>
                <c:pt idx="4">
                  <c:v>44331</c:v>
                </c:pt>
                <c:pt idx="5">
                  <c:v>44362</c:v>
                </c:pt>
                <c:pt idx="6">
                  <c:v>44392</c:v>
                </c:pt>
                <c:pt idx="7">
                  <c:v>44423</c:v>
                </c:pt>
                <c:pt idx="8">
                  <c:v>44454</c:v>
                </c:pt>
                <c:pt idx="9">
                  <c:v>44484</c:v>
                </c:pt>
                <c:pt idx="10">
                  <c:v>44515</c:v>
                </c:pt>
                <c:pt idx="11">
                  <c:v>44545</c:v>
                </c:pt>
                <c:pt idx="12">
                  <c:v>44576</c:v>
                </c:pt>
                <c:pt idx="13">
                  <c:v>44607</c:v>
                </c:pt>
                <c:pt idx="14">
                  <c:v>44635</c:v>
                </c:pt>
                <c:pt idx="15">
                  <c:v>44666</c:v>
                </c:pt>
                <c:pt idx="16">
                  <c:v>44696</c:v>
                </c:pt>
                <c:pt idx="17">
                  <c:v>44727</c:v>
                </c:pt>
                <c:pt idx="18">
                  <c:v>44757</c:v>
                </c:pt>
                <c:pt idx="19">
                  <c:v>44788</c:v>
                </c:pt>
                <c:pt idx="20">
                  <c:v>44819</c:v>
                </c:pt>
                <c:pt idx="21">
                  <c:v>44849</c:v>
                </c:pt>
                <c:pt idx="22">
                  <c:v>44880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45000</c:v>
                </c:pt>
                <c:pt idx="27">
                  <c:v>45031</c:v>
                </c:pt>
                <c:pt idx="28">
                  <c:v>45061</c:v>
                </c:pt>
                <c:pt idx="29">
                  <c:v>45092</c:v>
                </c:pt>
                <c:pt idx="30">
                  <c:v>45122</c:v>
                </c:pt>
                <c:pt idx="31">
                  <c:v>45153</c:v>
                </c:pt>
                <c:pt idx="32">
                  <c:v>45184</c:v>
                </c:pt>
                <c:pt idx="33">
                  <c:v>45214</c:v>
                </c:pt>
                <c:pt idx="34">
                  <c:v>45245</c:v>
                </c:pt>
                <c:pt idx="35">
                  <c:v>45275</c:v>
                </c:pt>
                <c:pt idx="36">
                  <c:v>45306</c:v>
                </c:pt>
                <c:pt idx="37">
                  <c:v>45337</c:v>
                </c:pt>
                <c:pt idx="38">
                  <c:v>45366</c:v>
                </c:pt>
                <c:pt idx="39">
                  <c:v>45397</c:v>
                </c:pt>
                <c:pt idx="40">
                  <c:v>45427</c:v>
                </c:pt>
                <c:pt idx="41">
                  <c:v>45458</c:v>
                </c:pt>
                <c:pt idx="42">
                  <c:v>45488</c:v>
                </c:pt>
                <c:pt idx="43">
                  <c:v>45519</c:v>
                </c:pt>
                <c:pt idx="44">
                  <c:v>45550</c:v>
                </c:pt>
                <c:pt idx="45">
                  <c:v>45580</c:v>
                </c:pt>
                <c:pt idx="46">
                  <c:v>45611</c:v>
                </c:pt>
                <c:pt idx="47">
                  <c:v>45641</c:v>
                </c:pt>
              </c:numCache>
            </c:numRef>
          </c:cat>
          <c:val>
            <c:numRef>
              <c:f>Sheet1!$F$3:$F$38</c:f>
              <c:numCache>
                <c:formatCode>_([$$-409]* #,##0.00_);_([$$-409]* \(#,##0.00\);_([$$-409]* "-"??_);_(@_)</c:formatCode>
                <c:ptCount val="36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9000</c:v>
                </c:pt>
                <c:pt idx="4">
                  <c:v>14000</c:v>
                </c:pt>
                <c:pt idx="5">
                  <c:v>25602</c:v>
                </c:pt>
                <c:pt idx="6">
                  <c:v>17000</c:v>
                </c:pt>
                <c:pt idx="7">
                  <c:v>19000</c:v>
                </c:pt>
                <c:pt idx="8">
                  <c:v>19000</c:v>
                </c:pt>
                <c:pt idx="9">
                  <c:v>44000</c:v>
                </c:pt>
                <c:pt idx="10">
                  <c:v>81891</c:v>
                </c:pt>
                <c:pt idx="11">
                  <c:v>87000</c:v>
                </c:pt>
                <c:pt idx="12">
                  <c:v>77000</c:v>
                </c:pt>
                <c:pt idx="13">
                  <c:v>79000</c:v>
                </c:pt>
                <c:pt idx="14">
                  <c:v>81000</c:v>
                </c:pt>
                <c:pt idx="15">
                  <c:v>81000</c:v>
                </c:pt>
                <c:pt idx="16">
                  <c:v>86000</c:v>
                </c:pt>
                <c:pt idx="17">
                  <c:v>106270</c:v>
                </c:pt>
                <c:pt idx="18">
                  <c:v>89000</c:v>
                </c:pt>
                <c:pt idx="19">
                  <c:v>91000</c:v>
                </c:pt>
                <c:pt idx="20">
                  <c:v>91000</c:v>
                </c:pt>
                <c:pt idx="21">
                  <c:v>96000</c:v>
                </c:pt>
                <c:pt idx="22">
                  <c:v>107740</c:v>
                </c:pt>
                <c:pt idx="23">
                  <c:v>99000</c:v>
                </c:pt>
                <c:pt idx="24">
                  <c:v>89000</c:v>
                </c:pt>
                <c:pt idx="25">
                  <c:v>91000</c:v>
                </c:pt>
                <c:pt idx="26">
                  <c:v>93000</c:v>
                </c:pt>
                <c:pt idx="27">
                  <c:v>93000</c:v>
                </c:pt>
                <c:pt idx="28">
                  <c:v>98000</c:v>
                </c:pt>
                <c:pt idx="29">
                  <c:v>114417</c:v>
                </c:pt>
                <c:pt idx="30">
                  <c:v>101000</c:v>
                </c:pt>
                <c:pt idx="31">
                  <c:v>103000</c:v>
                </c:pt>
                <c:pt idx="32">
                  <c:v>103000</c:v>
                </c:pt>
                <c:pt idx="33">
                  <c:v>108000</c:v>
                </c:pt>
                <c:pt idx="34">
                  <c:v>128476</c:v>
                </c:pt>
                <c:pt idx="35">
                  <c:v>111000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F48-9CC3-5F4568C5F253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 Forecast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Sheet1!$B$3:$B$50</c:f>
              <c:numCache>
                <c:formatCode>m/d/yy</c:formatCode>
                <c:ptCount val="48"/>
                <c:pt idx="0">
                  <c:v>44211</c:v>
                </c:pt>
                <c:pt idx="1">
                  <c:v>44242</c:v>
                </c:pt>
                <c:pt idx="2">
                  <c:v>44270</c:v>
                </c:pt>
                <c:pt idx="3">
                  <c:v>44301</c:v>
                </c:pt>
                <c:pt idx="4">
                  <c:v>44331</c:v>
                </c:pt>
                <c:pt idx="5">
                  <c:v>44362</c:v>
                </c:pt>
                <c:pt idx="6">
                  <c:v>44392</c:v>
                </c:pt>
                <c:pt idx="7">
                  <c:v>44423</c:v>
                </c:pt>
                <c:pt idx="8">
                  <c:v>44454</c:v>
                </c:pt>
                <c:pt idx="9">
                  <c:v>44484</c:v>
                </c:pt>
                <c:pt idx="10">
                  <c:v>44515</c:v>
                </c:pt>
                <c:pt idx="11">
                  <c:v>44545</c:v>
                </c:pt>
                <c:pt idx="12">
                  <c:v>44576</c:v>
                </c:pt>
                <c:pt idx="13">
                  <c:v>44607</c:v>
                </c:pt>
                <c:pt idx="14">
                  <c:v>44635</c:v>
                </c:pt>
                <c:pt idx="15">
                  <c:v>44666</c:v>
                </c:pt>
                <c:pt idx="16">
                  <c:v>44696</c:v>
                </c:pt>
                <c:pt idx="17">
                  <c:v>44727</c:v>
                </c:pt>
                <c:pt idx="18">
                  <c:v>44757</c:v>
                </c:pt>
                <c:pt idx="19">
                  <c:v>44788</c:v>
                </c:pt>
                <c:pt idx="20">
                  <c:v>44819</c:v>
                </c:pt>
                <c:pt idx="21">
                  <c:v>44849</c:v>
                </c:pt>
                <c:pt idx="22">
                  <c:v>44880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45000</c:v>
                </c:pt>
                <c:pt idx="27">
                  <c:v>45031</c:v>
                </c:pt>
                <c:pt idx="28">
                  <c:v>45061</c:v>
                </c:pt>
                <c:pt idx="29">
                  <c:v>45092</c:v>
                </c:pt>
                <c:pt idx="30">
                  <c:v>45122</c:v>
                </c:pt>
                <c:pt idx="31">
                  <c:v>45153</c:v>
                </c:pt>
                <c:pt idx="32">
                  <c:v>45184</c:v>
                </c:pt>
                <c:pt idx="33">
                  <c:v>45214</c:v>
                </c:pt>
                <c:pt idx="34">
                  <c:v>45245</c:v>
                </c:pt>
                <c:pt idx="35">
                  <c:v>45275</c:v>
                </c:pt>
                <c:pt idx="36">
                  <c:v>45306</c:v>
                </c:pt>
                <c:pt idx="37">
                  <c:v>45337</c:v>
                </c:pt>
                <c:pt idx="38">
                  <c:v>45366</c:v>
                </c:pt>
                <c:pt idx="39">
                  <c:v>45397</c:v>
                </c:pt>
                <c:pt idx="40">
                  <c:v>45427</c:v>
                </c:pt>
                <c:pt idx="41">
                  <c:v>45458</c:v>
                </c:pt>
                <c:pt idx="42">
                  <c:v>45488</c:v>
                </c:pt>
                <c:pt idx="43">
                  <c:v>45519</c:v>
                </c:pt>
                <c:pt idx="44">
                  <c:v>45550</c:v>
                </c:pt>
                <c:pt idx="45">
                  <c:v>45580</c:v>
                </c:pt>
                <c:pt idx="46">
                  <c:v>45611</c:v>
                </c:pt>
                <c:pt idx="47">
                  <c:v>45641</c:v>
                </c:pt>
              </c:numCache>
            </c:numRef>
          </c:cat>
          <c:val>
            <c:numRef>
              <c:f>Sheet1!$K$3:$K$50</c:f>
              <c:numCache>
                <c:formatCode>_("$"* #,##0.00_);_("$"* \(#,##0.00\);_("$"* "-"??_);_(@_)</c:formatCode>
                <c:ptCount val="48"/>
                <c:pt idx="3">
                  <c:v>4999.9999999999991</c:v>
                </c:pt>
                <c:pt idx="4">
                  <c:v>11106.537828366487</c:v>
                </c:pt>
                <c:pt idx="5">
                  <c:v>17096.934332701359</c:v>
                </c:pt>
                <c:pt idx="6">
                  <c:v>14884.310073418439</c:v>
                </c:pt>
                <c:pt idx="7">
                  <c:v>21588.204807399939</c:v>
                </c:pt>
                <c:pt idx="8">
                  <c:v>26603.77887852737</c:v>
                </c:pt>
                <c:pt idx="9">
                  <c:v>12694.702845245842</c:v>
                </c:pt>
                <c:pt idx="10">
                  <c:v>43270.947127875748</c:v>
                </c:pt>
                <c:pt idx="11">
                  <c:v>90005.413494408305</c:v>
                </c:pt>
                <c:pt idx="12">
                  <c:v>73705.26689347261</c:v>
                </c:pt>
                <c:pt idx="13">
                  <c:v>86221.685270124042</c:v>
                </c:pt>
                <c:pt idx="14">
                  <c:v>88123.07872366636</c:v>
                </c:pt>
                <c:pt idx="15">
                  <c:v>71091.779919127046</c:v>
                </c:pt>
                <c:pt idx="16">
                  <c:v>85370.610506481011</c:v>
                </c:pt>
                <c:pt idx="17">
                  <c:v>93401.855940317444</c:v>
                </c:pt>
                <c:pt idx="18">
                  <c:v>93311.397757679122</c:v>
                </c:pt>
                <c:pt idx="19">
                  <c:v>95231.523659120299</c:v>
                </c:pt>
                <c:pt idx="20">
                  <c:v>103566.35130610796</c:v>
                </c:pt>
                <c:pt idx="21">
                  <c:v>81780.986935900379</c:v>
                </c:pt>
                <c:pt idx="22">
                  <c:v>97164.471042604026</c:v>
                </c:pt>
                <c:pt idx="23">
                  <c:v>114825.12137878926</c:v>
                </c:pt>
                <c:pt idx="24">
                  <c:v>96932.682537436674</c:v>
                </c:pt>
                <c:pt idx="25">
                  <c:v>94832.279618286149</c:v>
                </c:pt>
                <c:pt idx="26">
                  <c:v>93806.513099304939</c:v>
                </c:pt>
                <c:pt idx="27">
                  <c:v>88981.751609199302</c:v>
                </c:pt>
                <c:pt idx="28">
                  <c:v>96720.999231234178</c:v>
                </c:pt>
                <c:pt idx="29">
                  <c:v>100389.89840463325</c:v>
                </c:pt>
                <c:pt idx="30">
                  <c:v>107054.00345640921</c:v>
                </c:pt>
                <c:pt idx="31">
                  <c:v>107180.96262621536</c:v>
                </c:pt>
                <c:pt idx="32">
                  <c:v>110455.94710518526</c:v>
                </c:pt>
                <c:pt idx="33">
                  <c:v>96596.432480284289</c:v>
                </c:pt>
                <c:pt idx="34">
                  <c:v>109948.36560647524</c:v>
                </c:pt>
                <c:pt idx="35">
                  <c:v>129672.81025716485</c:v>
                </c:pt>
                <c:pt idx="36">
                  <c:v>112308.64824782647</c:v>
                </c:pt>
                <c:pt idx="37">
                  <c:v>118078.40126641026</c:v>
                </c:pt>
                <c:pt idx="38">
                  <c:v>109683.89103579403</c:v>
                </c:pt>
                <c:pt idx="39">
                  <c:v>116683.58234419412</c:v>
                </c:pt>
                <c:pt idx="40">
                  <c:v>117017.82897111762</c:v>
                </c:pt>
                <c:pt idx="41">
                  <c:v>116322.85923584906</c:v>
                </c:pt>
                <c:pt idx="42">
                  <c:v>113356.23570840867</c:v>
                </c:pt>
                <c:pt idx="43">
                  <c:v>123098.66462154934</c:v>
                </c:pt>
                <c:pt idx="44">
                  <c:v>115842.15214266446</c:v>
                </c:pt>
                <c:pt idx="45">
                  <c:v>118094.53273560725</c:v>
                </c:pt>
                <c:pt idx="46">
                  <c:v>120309.17222394253</c:v>
                </c:pt>
                <c:pt idx="47">
                  <c:v>123325.29675012201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0-A144-9754-6480ED95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7271"/>
        <c:axId val="161229319"/>
      </c:lineChart>
      <c:dateAx>
        <c:axId val="161227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9319"/>
        <c:crosses val="autoZero"/>
        <c:auto val="1"/>
        <c:lblOffset val="100"/>
        <c:baseTimeUnit val="months"/>
      </c:dateAx>
      <c:valAx>
        <c:axId val="16122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from 2021-2023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Sheet1!$B$3:$B$38</c:f>
              <c:numCache>
                <c:formatCode>m/d/yy</c:formatCode>
                <c:ptCount val="36"/>
                <c:pt idx="0">
                  <c:v>44211</c:v>
                </c:pt>
                <c:pt idx="1">
                  <c:v>44242</c:v>
                </c:pt>
                <c:pt idx="2">
                  <c:v>44270</c:v>
                </c:pt>
                <c:pt idx="3">
                  <c:v>44301</c:v>
                </c:pt>
                <c:pt idx="4">
                  <c:v>44331</c:v>
                </c:pt>
                <c:pt idx="5">
                  <c:v>44362</c:v>
                </c:pt>
                <c:pt idx="6">
                  <c:v>44392</c:v>
                </c:pt>
                <c:pt idx="7">
                  <c:v>44423</c:v>
                </c:pt>
                <c:pt idx="8">
                  <c:v>44454</c:v>
                </c:pt>
                <c:pt idx="9">
                  <c:v>44484</c:v>
                </c:pt>
                <c:pt idx="10">
                  <c:v>44515</c:v>
                </c:pt>
                <c:pt idx="11">
                  <c:v>44545</c:v>
                </c:pt>
                <c:pt idx="12">
                  <c:v>44576</c:v>
                </c:pt>
                <c:pt idx="13">
                  <c:v>44607</c:v>
                </c:pt>
                <c:pt idx="14">
                  <c:v>44635</c:v>
                </c:pt>
                <c:pt idx="15">
                  <c:v>44666</c:v>
                </c:pt>
                <c:pt idx="16">
                  <c:v>44696</c:v>
                </c:pt>
                <c:pt idx="17">
                  <c:v>44727</c:v>
                </c:pt>
                <c:pt idx="18">
                  <c:v>44757</c:v>
                </c:pt>
                <c:pt idx="19">
                  <c:v>44788</c:v>
                </c:pt>
                <c:pt idx="20">
                  <c:v>44819</c:v>
                </c:pt>
                <c:pt idx="21">
                  <c:v>44849</c:v>
                </c:pt>
                <c:pt idx="22">
                  <c:v>44880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45000</c:v>
                </c:pt>
                <c:pt idx="27">
                  <c:v>45031</c:v>
                </c:pt>
                <c:pt idx="28">
                  <c:v>45061</c:v>
                </c:pt>
                <c:pt idx="29">
                  <c:v>45092</c:v>
                </c:pt>
                <c:pt idx="30">
                  <c:v>45122</c:v>
                </c:pt>
                <c:pt idx="31">
                  <c:v>45153</c:v>
                </c:pt>
                <c:pt idx="32">
                  <c:v>45184</c:v>
                </c:pt>
                <c:pt idx="33">
                  <c:v>45214</c:v>
                </c:pt>
                <c:pt idx="34">
                  <c:v>45245</c:v>
                </c:pt>
                <c:pt idx="35">
                  <c:v>45275</c:v>
                </c:pt>
              </c:numCache>
            </c:numRef>
          </c:cat>
          <c:val>
            <c:numRef>
              <c:f>Sheet1!$F$3:$F$38</c:f>
              <c:numCache>
                <c:formatCode>_([$$-409]* #,##0.00_);_([$$-409]* \(#,##0.00\);_([$$-409]* "-"??_);_(@_)</c:formatCode>
                <c:ptCount val="36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9000</c:v>
                </c:pt>
                <c:pt idx="4">
                  <c:v>14000</c:v>
                </c:pt>
                <c:pt idx="5">
                  <c:v>25602</c:v>
                </c:pt>
                <c:pt idx="6">
                  <c:v>17000</c:v>
                </c:pt>
                <c:pt idx="7">
                  <c:v>19000</c:v>
                </c:pt>
                <c:pt idx="8">
                  <c:v>19000</c:v>
                </c:pt>
                <c:pt idx="9">
                  <c:v>44000</c:v>
                </c:pt>
                <c:pt idx="10">
                  <c:v>81891</c:v>
                </c:pt>
                <c:pt idx="11">
                  <c:v>87000</c:v>
                </c:pt>
                <c:pt idx="12">
                  <c:v>77000</c:v>
                </c:pt>
                <c:pt idx="13">
                  <c:v>79000</c:v>
                </c:pt>
                <c:pt idx="14">
                  <c:v>81000</c:v>
                </c:pt>
                <c:pt idx="15">
                  <c:v>81000</c:v>
                </c:pt>
                <c:pt idx="16">
                  <c:v>86000</c:v>
                </c:pt>
                <c:pt idx="17">
                  <c:v>106270</c:v>
                </c:pt>
                <c:pt idx="18">
                  <c:v>89000</c:v>
                </c:pt>
                <c:pt idx="19">
                  <c:v>91000</c:v>
                </c:pt>
                <c:pt idx="20">
                  <c:v>91000</c:v>
                </c:pt>
                <c:pt idx="21">
                  <c:v>96000</c:v>
                </c:pt>
                <c:pt idx="22">
                  <c:v>107740</c:v>
                </c:pt>
                <c:pt idx="23">
                  <c:v>99000</c:v>
                </c:pt>
                <c:pt idx="24">
                  <c:v>89000</c:v>
                </c:pt>
                <c:pt idx="25">
                  <c:v>91000</c:v>
                </c:pt>
                <c:pt idx="26">
                  <c:v>93000</c:v>
                </c:pt>
                <c:pt idx="27">
                  <c:v>93000</c:v>
                </c:pt>
                <c:pt idx="28">
                  <c:v>98000</c:v>
                </c:pt>
                <c:pt idx="29">
                  <c:v>114417</c:v>
                </c:pt>
                <c:pt idx="30">
                  <c:v>101000</c:v>
                </c:pt>
                <c:pt idx="31">
                  <c:v>103000</c:v>
                </c:pt>
                <c:pt idx="32">
                  <c:v>103000</c:v>
                </c:pt>
                <c:pt idx="33">
                  <c:v>108000</c:v>
                </c:pt>
                <c:pt idx="34">
                  <c:v>128476</c:v>
                </c:pt>
                <c:pt idx="35">
                  <c:v>111000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9-4803-8621-83C3142F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7448"/>
        <c:axId val="385271304"/>
      </c:lineChart>
      <c:dateAx>
        <c:axId val="38527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1304"/>
        <c:crosses val="autoZero"/>
        <c:auto val="1"/>
        <c:lblOffset val="100"/>
        <c:baseTimeUnit val="months"/>
      </c:dateAx>
      <c:valAx>
        <c:axId val="3852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1</xdr:row>
      <xdr:rowOff>147127</xdr:rowOff>
    </xdr:from>
    <xdr:to>
      <xdr:col>28</xdr:col>
      <xdr:colOff>0</xdr:colOff>
      <xdr:row>26</xdr:row>
      <xdr:rowOff>12700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3620CEC-9BAC-EB2B-40E1-8E663A5C2AD1}"/>
            </a:ext>
            <a:ext uri="{147F2762-F138-4A5C-976F-8EAC2B608ADB}">
              <a16:predDERef xmlns:a16="http://schemas.microsoft.com/office/drawing/2014/main" pred="{9B19EADF-F1E8-8769-F4A8-B4461385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682272</xdr:colOff>
      <xdr:row>27</xdr:row>
      <xdr:rowOff>86783</xdr:rowOff>
    </xdr:from>
    <xdr:to>
      <xdr:col>27</xdr:col>
      <xdr:colOff>373238</xdr:colOff>
      <xdr:row>40</xdr:row>
      <xdr:rowOff>89957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1F0E7-5593-19CE-BAEC-5829B78139D2}"/>
            </a:ext>
            <a:ext uri="{147F2762-F138-4A5C-976F-8EAC2B608ADB}">
              <a16:predDERef xmlns:a16="http://schemas.microsoft.com/office/drawing/2014/main" pred="{F3620CEC-9BAC-EB2B-40E1-8E663A5C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ulfon" refreshedDate="45397.974280902781" createdVersion="8" refreshedVersion="8" minRefreshableVersion="3" recordCount="36" xr:uid="{E0B67607-9FE3-8645-91DF-DB92CBB08459}">
  <cacheSource type="worksheet">
    <worksheetSource ref="A2:K38" sheet="Sheet1"/>
  </cacheSource>
  <cacheFields count="11">
    <cacheField name="Time Period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Date" numFmtId="14">
      <sharedItems containsSemiMixedTypes="0" containsNonDate="0" containsDate="1" containsString="0" minDate="2021-01-15T00:00:00" maxDate="2023-12-16T00:00:00" count="36">
        <d v="2021-01-15T00:00:00"/>
        <d v="2021-02-15T00:00:00"/>
        <d v="2021-03-15T00:00:00"/>
        <d v="2021-04-15T00:00:00"/>
        <d v="2021-05-15T00:00:00"/>
        <d v="2021-06-15T00:00:00"/>
        <d v="2021-07-15T00:00:00"/>
        <d v="2021-08-15T00:00:00"/>
        <d v="2021-09-15T00:00:00"/>
        <d v="2021-10-15T00:00:00"/>
        <d v="2021-11-15T00:00:00"/>
        <d v="2021-12-15T00:00:00"/>
        <d v="2022-01-15T00:00:00"/>
        <d v="2022-02-15T00:00:00"/>
        <d v="2022-03-15T00:00:00"/>
        <d v="2022-04-15T00:00:00"/>
        <d v="2022-05-15T00:00:00"/>
        <d v="2022-06-15T00:00:00"/>
        <d v="2022-07-15T00:00:00"/>
        <d v="2022-08-15T00:00:00"/>
        <d v="2022-09-15T00:00:00"/>
        <d v="2022-10-15T00:00:00"/>
        <d v="2022-11-15T00:00:00"/>
        <d v="2022-12-15T00:00:00"/>
        <d v="2023-01-15T00:00:00"/>
        <d v="2023-02-15T00:00:00"/>
        <d v="2023-03-15T00:00:00"/>
        <d v="2023-04-15T00:00:00"/>
        <d v="2023-05-15T00:00:00"/>
        <d v="2023-06-15T00:00:00"/>
        <d v="2023-07-15T00:00:00"/>
        <d v="2023-08-15T00:00:00"/>
        <d v="2023-09-15T00:00:00"/>
        <d v="2023-10-15T00:00:00"/>
        <d v="2023-11-15T00:00:00"/>
        <d v="2023-12-15T00:00:00"/>
      </sharedItems>
    </cacheField>
    <cacheField name="Year" numFmtId="0">
      <sharedItems containsSemiMixedTypes="0" containsString="0" containsNumber="1" containsInteger="1" minValue="21" maxValue="23" count="3">
        <n v="21"/>
        <n v="22"/>
        <n v="23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0">
      <sharedItems count="4">
        <s v="Q1"/>
        <s v="Q2"/>
        <s v="Q3"/>
        <s v="Q4"/>
      </sharedItems>
    </cacheField>
    <cacheField name="Sales ($)" numFmtId="44">
      <sharedItems containsSemiMixedTypes="0" containsString="0" containsNumber="1" containsInteger="1" minValue="5000" maxValue="128476"/>
    </cacheField>
    <cacheField name="Base level" numFmtId="44">
      <sharedItems containsSemiMixedTypes="0" containsString="0" containsNumber="1" minValue="0" maxValue="107665.01901018714"/>
    </cacheField>
    <cacheField name="Trend" numFmtId="44">
      <sharedItems containsSemiMixedTypes="0" containsString="0" containsNumber="1" minValue="0" maxValue="1275.977480881706" count="34">
        <n v="0"/>
        <n v="69.272078759640493"/>
        <n v="105.06424628838013"/>
        <n v="186.89252087775083"/>
        <n v="218.9878032134302"/>
        <n v="188.81820013923766"/>
        <n v="122.44328872810127"/>
        <n v="580.85530024062041"/>
        <n v="1048.1458223337881"/>
        <n v="1018.9810694739701"/>
        <n v="1057.6477364436473"/>
        <n v="981.76730745283692"/>
        <n v="911.97808197465247"/>
        <n v="1026.8715077191937"/>
        <n v="1033.6533936428586"/>
        <n v="1162.8245572815715"/>
        <n v="1114.5371622956636"/>
        <n v="1069.034167321134"/>
        <n v="947.15488137463353"/>
        <n v="1108.5598030810863"/>
        <n v="1223.7577136073978"/>
        <n v="1064.3573725782094"/>
        <n v="978.03263992311622"/>
        <n v="937.43156064582786"/>
        <n v="928.94548546620422"/>
        <n v="973.76033790767258"/>
        <n v="987.46995309357271"/>
        <n v="1135.4193035518729"/>
        <n v="1068.714115498442"/>
        <n v="1024.0615756793111"/>
        <n v="948.11120605612416"/>
        <n v="1075.8615388200596"/>
        <n v="1275.977480881706"/>
        <n v="1081.9236140892638"/>
      </sharedItems>
    </cacheField>
    <cacheField name="Seasonality Factor" numFmtId="164">
      <sharedItems containsSemiMixedTypes="0" containsString="0" containsNumber="1" minValue="0.7142857142857143" maxValue="1.4170844048511271"/>
    </cacheField>
    <cacheField name="Notes" numFmtId="0">
      <sharedItems containsBlank="1"/>
    </cacheField>
    <cacheField name="Forecast" numFmtId="0">
      <sharedItems containsString="0" containsBlank="1" containsNumber="1" minValue="4999.9999999999991" maxValue="129672.81040617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ulfon" refreshedDate="45397.999303356482" createdVersion="8" refreshedVersion="8" minRefreshableVersion="3" recordCount="36" xr:uid="{14BEDEC1-0715-6744-AD5B-8CDB3E3B7C7B}">
  <cacheSource type="worksheet">
    <worksheetSource name="Table1"/>
  </cacheSource>
  <cacheFields count="11">
    <cacheField name="Time Period" numFmtId="0">
      <sharedItems containsSemiMixedTypes="0" containsString="0" containsNumber="1" containsInteger="1" minValue="1" maxValue="36"/>
    </cacheField>
    <cacheField name="Date" numFmtId="14">
      <sharedItems containsSemiMixedTypes="0" containsNonDate="0" containsDate="1" containsString="0" minDate="2021-01-15T00:00:00" maxDate="2023-12-16T00:00:00"/>
    </cacheField>
    <cacheField name="Year" numFmtId="0">
      <sharedItems containsSemiMixedTypes="0" containsString="0" containsNumber="1" containsInteger="1" minValue="21" maxValue="23" count="3">
        <n v="21"/>
        <n v="22"/>
        <n v="23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0">
      <sharedItems/>
    </cacheField>
    <cacheField name="Sales ($)" numFmtId="44">
      <sharedItems containsSemiMixedTypes="0" containsString="0" containsNumber="1" containsInteger="1" minValue="5000" maxValue="128476"/>
    </cacheField>
    <cacheField name="Base level" numFmtId="44">
      <sharedItems containsSemiMixedTypes="0" containsString="0" containsNumber="1" minValue="0" maxValue="107665.01901018714"/>
    </cacheField>
    <cacheField name="Trend" numFmtId="44">
      <sharedItems containsSemiMixedTypes="0" containsString="0" containsNumber="1" minValue="0" maxValue="1275.977480881706"/>
    </cacheField>
    <cacheField name="Seasonality Factor" numFmtId="164">
      <sharedItems containsSemiMixedTypes="0" containsString="0" containsNumber="1" minValue="0.7142857142857143" maxValue="1.4170844048511271"/>
    </cacheField>
    <cacheField name="Notes" numFmtId="0">
      <sharedItems containsBlank="1"/>
    </cacheField>
    <cacheField name="Forecast" numFmtId="0">
      <sharedItems containsString="0" containsBlank="1" containsNumber="1" minValue="4999.9999999999991" maxValue="129672.81040617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  <n v="5000"/>
    <n v="0"/>
    <x v="0"/>
    <n v="0.7142857142857143"/>
    <s v="Merch Drop"/>
    <m/>
  </r>
  <r>
    <x v="1"/>
    <x v="1"/>
    <x v="0"/>
    <x v="1"/>
    <x v="0"/>
    <n v="7000"/>
    <n v="0"/>
    <x v="0"/>
    <n v="1"/>
    <m/>
    <m/>
  </r>
  <r>
    <x v="2"/>
    <x v="2"/>
    <x v="0"/>
    <x v="2"/>
    <x v="0"/>
    <n v="9000"/>
    <n v="6999.9999999999991"/>
    <x v="0"/>
    <n v="1.2857142857142858"/>
    <m/>
    <m/>
  </r>
  <r>
    <x v="3"/>
    <x v="3"/>
    <x v="0"/>
    <x v="3"/>
    <x v="1"/>
    <n v="9000"/>
    <n v="11037.265768091855"/>
    <x v="1"/>
    <n v="0.81541934289727069"/>
    <m/>
    <n v="4999.9999999999991"/>
  </r>
  <r>
    <x v="4"/>
    <x v="4"/>
    <x v="0"/>
    <x v="4"/>
    <x v="1"/>
    <n v="14000"/>
    <n v="13192.551365097173"/>
    <x v="2"/>
    <n v="1.061204888467522"/>
    <s v="Merch Drop"/>
    <n v="11106.537846851495"/>
  </r>
  <r>
    <x v="5"/>
    <x v="5"/>
    <x v="0"/>
    <x v="5"/>
    <x v="1"/>
    <n v="25602"/>
    <n v="18066.672607754539"/>
    <x v="3"/>
    <n v="1.4170844048511271"/>
    <m/>
    <n v="17096.934357495713"/>
  </r>
  <r>
    <x v="6"/>
    <x v="6"/>
    <x v="0"/>
    <x v="6"/>
    <x v="2"/>
    <n v="17000"/>
    <n v="20124.11942714969"/>
    <x v="4"/>
    <n v="0.84475745940292413"/>
    <m/>
    <n v="14884.310082721877"/>
  </r>
  <r>
    <x v="7"/>
    <x v="7"/>
    <x v="0"/>
    <x v="7"/>
    <x v="2"/>
    <n v="19000"/>
    <n v="18584.783993796391"/>
    <x v="5"/>
    <n v="1.0223417181680567"/>
    <m/>
    <n v="21588.204839480335"/>
  </r>
  <r>
    <x v="8"/>
    <x v="8"/>
    <x v="0"/>
    <x v="8"/>
    <x v="2"/>
    <n v="19000"/>
    <n v="14905.187061915109"/>
    <x v="6"/>
    <n v="1.2747240219847844"/>
    <s v="Merch Drop"/>
    <n v="26603.778891905084"/>
  </r>
  <r>
    <x v="9"/>
    <x v="9"/>
    <x v="0"/>
    <x v="9"/>
    <x v="3"/>
    <n v="44000"/>
    <n v="41744.471463254682"/>
    <x v="7"/>
    <n v="1.0540317905026233"/>
    <m/>
    <n v="12694.702835855633"/>
  </r>
  <r>
    <x v="10"/>
    <x v="10"/>
    <x v="0"/>
    <x v="10"/>
    <x v="3"/>
    <n v="81891"/>
    <n v="69559.618882063558"/>
    <x v="8"/>
    <n v="1.1772778706399176"/>
    <m/>
    <n v="43270.947285416223"/>
  </r>
  <r>
    <x v="11"/>
    <x v="11"/>
    <x v="0"/>
    <x v="11"/>
    <x v="3"/>
    <n v="87000"/>
    <n v="68908.005429605619"/>
    <x v="9"/>
    <n v="1.262552869693444"/>
    <s v="Holiday Season"/>
    <n v="90005.413807344681"/>
  </r>
  <r>
    <x v="12"/>
    <x v="12"/>
    <x v="1"/>
    <x v="0"/>
    <x v="0"/>
    <n v="77000"/>
    <n v="72180.529538614268"/>
    <x v="10"/>
    <n v="1.0667696744841346"/>
    <s v="Merch Drop"/>
    <n v="73705.266784077627"/>
  </r>
  <r>
    <x v="13"/>
    <x v="13"/>
    <x v="1"/>
    <x v="1"/>
    <x v="0"/>
    <n v="79000"/>
    <n v="68815.768363443014"/>
    <x v="11"/>
    <n v="1.1479927039798505"/>
    <m/>
    <n v="86221.685391928986"/>
  </r>
  <r>
    <x v="14"/>
    <x v="14"/>
    <x v="1"/>
    <x v="2"/>
    <x v="0"/>
    <n v="81000"/>
    <n v="65730.129927488641"/>
    <x v="12"/>
    <n v="1.2323115759752277"/>
    <m/>
    <n v="88123.078958820086"/>
  </r>
  <r>
    <x v="15"/>
    <x v="15"/>
    <x v="1"/>
    <x v="3"/>
    <x v="1"/>
    <n v="81000"/>
    <n v="73338.244505478084"/>
    <x v="13"/>
    <n v="1.1044714875053985"/>
    <m/>
    <n v="71091.77986819169"/>
  </r>
  <r>
    <x v="16"/>
    <x v="16"/>
    <x v="1"/>
    <x v="4"/>
    <x v="1"/>
    <n v="86000"/>
    <n v="74760.373039880709"/>
    <x v="14"/>
    <n v="1.1503420395471213"/>
    <s v="Merch Drop"/>
    <n v="85370.610613765617"/>
  </r>
  <r>
    <x v="17"/>
    <x v="17"/>
    <x v="1"/>
    <x v="5"/>
    <x v="1"/>
    <n v="106270"/>
    <n v="83322.28784159616"/>
    <x v="15"/>
    <n v="1.2754090502415114"/>
    <m/>
    <n v="93401.856163803488"/>
  </r>
  <r>
    <x v="18"/>
    <x v="18"/>
    <x v="1"/>
    <x v="6"/>
    <x v="2"/>
    <n v="89000"/>
    <n v="81670.860967455141"/>
    <x v="16"/>
    <n v="1.089739950647336"/>
    <m/>
    <n v="93311.397763249261"/>
  </r>
  <r>
    <x v="19"/>
    <x v="19"/>
    <x v="1"/>
    <x v="7"/>
    <x v="2"/>
    <n v="91000"/>
    <n v="80133.425109080359"/>
    <x v="17"/>
    <n v="1.1356060205354719"/>
    <m/>
    <n v="95231.523729297973"/>
  </r>
  <r>
    <x v="20"/>
    <x v="20"/>
    <x v="1"/>
    <x v="8"/>
    <x v="2"/>
    <n v="91000"/>
    <n v="74099.177870647429"/>
    <x v="18"/>
    <n v="1.2280838008601904"/>
    <s v="Merch Drop"/>
    <n v="103566.35146299023"/>
  </r>
  <r>
    <x v="21"/>
    <x v="21"/>
    <x v="1"/>
    <x v="9"/>
    <x v="3"/>
    <n v="96000"/>
    <n v="84453.219002224578"/>
    <x v="19"/>
    <n v="1.1367239891409144"/>
    <m/>
    <n v="81780.986949452083"/>
  </r>
  <r>
    <x v="22"/>
    <x v="22"/>
    <x v="1"/>
    <x v="10"/>
    <x v="3"/>
    <n v="107740"/>
    <n v="92275.661065679742"/>
    <x v="20"/>
    <n v="1.1675884925203959"/>
    <m/>
    <n v="97164.47113902944"/>
  </r>
  <r>
    <x v="23"/>
    <x v="23"/>
    <x v="1"/>
    <x v="11"/>
    <x v="3"/>
    <n v="99000"/>
    <n v="84209.362066938949"/>
    <x v="21"/>
    <n v="1.1756412537753678"/>
    <s v="Holiday Season"/>
    <n v="114825.12159268561"/>
  </r>
  <r>
    <x v="24"/>
    <x v="24"/>
    <x v="2"/>
    <x v="0"/>
    <x v="0"/>
    <n v="89000"/>
    <n v="80242.60308891123"/>
    <x v="22"/>
    <n v="1.1091365007362151"/>
    <s v="Merch Drop"/>
    <n v="96932.682530171078"/>
  </r>
  <r>
    <x v="25"/>
    <x v="25"/>
    <x v="2"/>
    <x v="1"/>
    <x v="0"/>
    <n v="91000"/>
    <n v="78854.352654198476"/>
    <x v="23"/>
    <n v="1.1540263401700102"/>
    <m/>
    <n v="94832.279632177888"/>
  </r>
  <r>
    <x v="26"/>
    <x v="26"/>
    <x v="2"/>
    <x v="2"/>
    <x v="0"/>
    <n v="93000"/>
    <n v="79297.204848357767"/>
    <x v="24"/>
    <n v="1.1728030033069445"/>
    <m/>
    <n v="93806.513235313148"/>
  </r>
  <r>
    <x v="27"/>
    <x v="27"/>
    <x v="2"/>
    <x v="3"/>
    <x v="1"/>
    <n v="93000"/>
    <n v="82838.017523371076"/>
    <x v="25"/>
    <n v="1.1226729318306288"/>
    <m/>
    <n v="88981.751648795049"/>
  </r>
  <r>
    <x v="28"/>
    <x v="28"/>
    <x v="2"/>
    <x v="4"/>
    <x v="1"/>
    <n v="98000"/>
    <n v="84610.791851833259"/>
    <x v="26"/>
    <n v="1.1582446855197071"/>
    <s v="Merch Drop"/>
    <n v="96720.999268393396"/>
  </r>
  <r>
    <x v="29"/>
    <x v="29"/>
    <x v="2"/>
    <x v="5"/>
    <x v="1"/>
    <n v="114417"/>
    <n v="94220.940071725534"/>
    <x v="27"/>
    <n v="1.2143478924419588"/>
    <m/>
    <n v="100389.89852267232"/>
  </r>
  <r>
    <x v="30"/>
    <x v="30"/>
    <x v="2"/>
    <x v="6"/>
    <x v="2"/>
    <n v="101000"/>
    <n v="91468.69529612246"/>
    <x v="28"/>
    <n v="1.1042029152489901"/>
    <m/>
    <n v="107054.00354853774"/>
  </r>
  <r>
    <x v="31"/>
    <x v="31"/>
    <x v="2"/>
    <x v="7"/>
    <x v="2"/>
    <n v="103000"/>
    <n v="89935.00201028322"/>
    <x v="29"/>
    <n v="1.1452715594338112"/>
    <m/>
    <n v="107180.96266277123"/>
  </r>
  <r>
    <x v="32"/>
    <x v="32"/>
    <x v="2"/>
    <x v="8"/>
    <x v="2"/>
    <n v="103000"/>
    <n v="86532.578444415616"/>
    <x v="30"/>
    <n v="1.1903031419104455"/>
    <s v="Merch Drop"/>
    <n v="110455.94716410773"/>
  </r>
  <r>
    <x v="33"/>
    <x v="33"/>
    <x v="2"/>
    <x v="9"/>
    <x v="3"/>
    <n v="108000"/>
    <n v="94926.143209325746"/>
    <x v="31"/>
    <n v="1.1377266193344076"/>
    <m/>
    <n v="96596.432540043053"/>
  </r>
  <r>
    <x v="34"/>
    <x v="34"/>
    <x v="2"/>
    <x v="10"/>
    <x v="3"/>
    <n v="128476"/>
    <n v="107665.01901018714"/>
    <x v="32"/>
    <n v="1.1932938031417961"/>
    <m/>
    <n v="109948.36568668109"/>
  </r>
  <r>
    <x v="35"/>
    <x v="35"/>
    <x v="2"/>
    <x v="11"/>
    <x v="3"/>
    <n v="111000"/>
    <n v="97631.287765777379"/>
    <x v="33"/>
    <n v="1.1369306145617466"/>
    <s v="Holiday Season"/>
    <n v="129672.810406174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d v="2021-01-15T00:00:00"/>
    <x v="0"/>
    <x v="0"/>
    <s v="Q1"/>
    <n v="5000"/>
    <n v="0"/>
    <n v="0"/>
    <n v="0.7142857142857143"/>
    <s v="Merch Drop"/>
    <m/>
  </r>
  <r>
    <n v="2"/>
    <d v="2021-02-15T00:00:00"/>
    <x v="0"/>
    <x v="1"/>
    <s v="Q1"/>
    <n v="7000"/>
    <n v="0"/>
    <n v="0"/>
    <n v="1"/>
    <m/>
    <m/>
  </r>
  <r>
    <n v="3"/>
    <d v="2021-03-15T00:00:00"/>
    <x v="0"/>
    <x v="2"/>
    <s v="Q1"/>
    <n v="9000"/>
    <n v="6999.9999999999991"/>
    <n v="0"/>
    <n v="1.2857142857142858"/>
    <m/>
    <m/>
  </r>
  <r>
    <n v="4"/>
    <d v="2021-04-15T00:00:00"/>
    <x v="0"/>
    <x v="3"/>
    <s v="Q2"/>
    <n v="9000"/>
    <n v="11037.265768091855"/>
    <n v="69.272078759640493"/>
    <n v="0.81541934289727069"/>
    <m/>
    <n v="4999.9999999999991"/>
  </r>
  <r>
    <n v="5"/>
    <d v="2021-05-15T00:00:00"/>
    <x v="0"/>
    <x v="4"/>
    <s v="Q2"/>
    <n v="14000"/>
    <n v="13192.551365097173"/>
    <n v="105.06424628838013"/>
    <n v="1.061204888467522"/>
    <s v="Merch Drop"/>
    <n v="11106.537846851495"/>
  </r>
  <r>
    <n v="6"/>
    <d v="2021-06-15T00:00:00"/>
    <x v="0"/>
    <x v="5"/>
    <s v="Q2"/>
    <n v="25602"/>
    <n v="18066.672607754539"/>
    <n v="186.89252087775083"/>
    <n v="1.4170844048511271"/>
    <m/>
    <n v="17096.934357495713"/>
  </r>
  <r>
    <n v="7"/>
    <d v="2021-07-15T00:00:00"/>
    <x v="0"/>
    <x v="6"/>
    <s v="Q3"/>
    <n v="17000"/>
    <n v="20124.11942714969"/>
    <n v="218.9878032134302"/>
    <n v="0.84475745940292413"/>
    <m/>
    <n v="14884.310082721877"/>
  </r>
  <r>
    <n v="8"/>
    <d v="2021-08-15T00:00:00"/>
    <x v="0"/>
    <x v="7"/>
    <s v="Q3"/>
    <n v="19000"/>
    <n v="18584.783993796391"/>
    <n v="188.81820013923766"/>
    <n v="1.0223417181680567"/>
    <m/>
    <n v="21588.204839480335"/>
  </r>
  <r>
    <n v="9"/>
    <d v="2021-09-15T00:00:00"/>
    <x v="0"/>
    <x v="8"/>
    <s v="Q3"/>
    <n v="19000"/>
    <n v="14905.187061915109"/>
    <n v="122.44328872810127"/>
    <n v="1.2747240219847844"/>
    <s v="Merch Drop"/>
    <n v="26603.778891905084"/>
  </r>
  <r>
    <n v="10"/>
    <d v="2021-10-15T00:00:00"/>
    <x v="0"/>
    <x v="9"/>
    <s v="Q4"/>
    <n v="44000"/>
    <n v="41744.471463254682"/>
    <n v="580.85530024062041"/>
    <n v="1.0540317905026233"/>
    <m/>
    <n v="12694.702835855633"/>
  </r>
  <r>
    <n v="11"/>
    <d v="2021-11-15T00:00:00"/>
    <x v="0"/>
    <x v="10"/>
    <s v="Q4"/>
    <n v="81891"/>
    <n v="69559.618882063558"/>
    <n v="1048.1458223337881"/>
    <n v="1.1772778706399176"/>
    <m/>
    <n v="43270.947285416223"/>
  </r>
  <r>
    <n v="12"/>
    <d v="2021-12-15T00:00:00"/>
    <x v="0"/>
    <x v="11"/>
    <s v="Q4"/>
    <n v="87000"/>
    <n v="68908.005429605619"/>
    <n v="1018.9810694739701"/>
    <n v="1.262552869693444"/>
    <s v="Holiday Season"/>
    <n v="90005.413807344681"/>
  </r>
  <r>
    <n v="13"/>
    <d v="2022-01-15T00:00:00"/>
    <x v="1"/>
    <x v="0"/>
    <s v="Q1"/>
    <n v="77000"/>
    <n v="72180.529538614268"/>
    <n v="1057.6477364436473"/>
    <n v="1.0667696744841346"/>
    <s v="Merch Drop"/>
    <n v="73705.266784077627"/>
  </r>
  <r>
    <n v="14"/>
    <d v="2022-02-15T00:00:00"/>
    <x v="1"/>
    <x v="1"/>
    <s v="Q1"/>
    <n v="79000"/>
    <n v="68815.768363443014"/>
    <n v="981.76730745283692"/>
    <n v="1.1479927039798505"/>
    <m/>
    <n v="86221.685391928986"/>
  </r>
  <r>
    <n v="15"/>
    <d v="2022-03-15T00:00:00"/>
    <x v="1"/>
    <x v="2"/>
    <s v="Q1"/>
    <n v="81000"/>
    <n v="65730.129927488641"/>
    <n v="911.97808197465247"/>
    <n v="1.2323115759752277"/>
    <m/>
    <n v="88123.078958820086"/>
  </r>
  <r>
    <n v="16"/>
    <d v="2022-04-15T00:00:00"/>
    <x v="1"/>
    <x v="3"/>
    <s v="Q2"/>
    <n v="81000"/>
    <n v="73338.244505478084"/>
    <n v="1026.8715077191937"/>
    <n v="1.1044714875053985"/>
    <m/>
    <n v="71091.77986819169"/>
  </r>
  <r>
    <n v="17"/>
    <d v="2022-05-15T00:00:00"/>
    <x v="1"/>
    <x v="4"/>
    <s v="Q2"/>
    <n v="86000"/>
    <n v="74760.373039880709"/>
    <n v="1033.6533936428586"/>
    <n v="1.1503420395471213"/>
    <s v="Merch Drop"/>
    <n v="85370.610613765617"/>
  </r>
  <r>
    <n v="18"/>
    <d v="2022-06-15T00:00:00"/>
    <x v="1"/>
    <x v="5"/>
    <s v="Q2"/>
    <n v="106270"/>
    <n v="83322.28784159616"/>
    <n v="1162.8245572815715"/>
    <n v="1.2754090502415114"/>
    <m/>
    <n v="93401.856163803488"/>
  </r>
  <r>
    <n v="19"/>
    <d v="2022-07-15T00:00:00"/>
    <x v="1"/>
    <x v="6"/>
    <s v="Q3"/>
    <n v="89000"/>
    <n v="81670.860967455141"/>
    <n v="1114.5371622956636"/>
    <n v="1.089739950647336"/>
    <m/>
    <n v="93311.397763249261"/>
  </r>
  <r>
    <n v="20"/>
    <d v="2022-08-15T00:00:00"/>
    <x v="1"/>
    <x v="7"/>
    <s v="Q3"/>
    <n v="91000"/>
    <n v="80133.425109080359"/>
    <n v="1069.034167321134"/>
    <n v="1.1356060205354719"/>
    <m/>
    <n v="95231.523729297973"/>
  </r>
  <r>
    <n v="21"/>
    <d v="2022-09-15T00:00:00"/>
    <x v="1"/>
    <x v="8"/>
    <s v="Q3"/>
    <n v="91000"/>
    <n v="74099.177870647429"/>
    <n v="947.15488137463353"/>
    <n v="1.2280838008601904"/>
    <s v="Merch Drop"/>
    <n v="103566.35146299023"/>
  </r>
  <r>
    <n v="22"/>
    <d v="2022-10-15T00:00:00"/>
    <x v="1"/>
    <x v="9"/>
    <s v="Q4"/>
    <n v="96000"/>
    <n v="84453.219002224578"/>
    <n v="1108.5598030810863"/>
    <n v="1.1367239891409144"/>
    <m/>
    <n v="81780.986949452083"/>
  </r>
  <r>
    <n v="23"/>
    <d v="2022-11-15T00:00:00"/>
    <x v="1"/>
    <x v="10"/>
    <s v="Q4"/>
    <n v="107740"/>
    <n v="92275.661065679742"/>
    <n v="1223.7577136073978"/>
    <n v="1.1675884925203959"/>
    <m/>
    <n v="97164.47113902944"/>
  </r>
  <r>
    <n v="24"/>
    <d v="2022-12-15T00:00:00"/>
    <x v="1"/>
    <x v="11"/>
    <s v="Q4"/>
    <n v="99000"/>
    <n v="84209.362066938949"/>
    <n v="1064.3573725782094"/>
    <n v="1.1756412537753678"/>
    <s v="Holiday Season"/>
    <n v="114825.12159268561"/>
  </r>
  <r>
    <n v="25"/>
    <d v="2023-01-15T00:00:00"/>
    <x v="2"/>
    <x v="0"/>
    <s v="Q1"/>
    <n v="89000"/>
    <n v="80242.60308891123"/>
    <n v="978.03263992311622"/>
    <n v="1.1091365007362151"/>
    <s v="Merch Drop"/>
    <n v="96932.682530171078"/>
  </r>
  <r>
    <n v="26"/>
    <d v="2023-02-15T00:00:00"/>
    <x v="2"/>
    <x v="1"/>
    <s v="Q1"/>
    <n v="91000"/>
    <n v="78854.352654198476"/>
    <n v="937.43156064582786"/>
    <n v="1.1540263401700102"/>
    <m/>
    <n v="94832.279632177888"/>
  </r>
  <r>
    <n v="27"/>
    <d v="2023-03-15T00:00:00"/>
    <x v="2"/>
    <x v="2"/>
    <s v="Q1"/>
    <n v="93000"/>
    <n v="79297.204848357767"/>
    <n v="928.94548546620422"/>
    <n v="1.1728030033069445"/>
    <m/>
    <n v="93806.513235313148"/>
  </r>
  <r>
    <n v="28"/>
    <d v="2023-04-15T00:00:00"/>
    <x v="2"/>
    <x v="3"/>
    <s v="Q2"/>
    <n v="93000"/>
    <n v="82838.017523371076"/>
    <n v="973.76033790767258"/>
    <n v="1.1226729318306288"/>
    <m/>
    <n v="88981.751648795049"/>
  </r>
  <r>
    <n v="29"/>
    <d v="2023-05-15T00:00:00"/>
    <x v="2"/>
    <x v="4"/>
    <s v="Q2"/>
    <n v="98000"/>
    <n v="84610.791851833259"/>
    <n v="987.46995309357271"/>
    <n v="1.1582446855197071"/>
    <s v="Merch Drop"/>
    <n v="96720.999268393396"/>
  </r>
  <r>
    <n v="30"/>
    <d v="2023-06-15T00:00:00"/>
    <x v="2"/>
    <x v="5"/>
    <s v="Q2"/>
    <n v="114417"/>
    <n v="94220.940071725534"/>
    <n v="1135.4193035518729"/>
    <n v="1.2143478924419588"/>
    <m/>
    <n v="100389.89852267232"/>
  </r>
  <r>
    <n v="31"/>
    <d v="2023-07-15T00:00:00"/>
    <x v="2"/>
    <x v="6"/>
    <s v="Q3"/>
    <n v="101000"/>
    <n v="91468.69529612246"/>
    <n v="1068.714115498442"/>
    <n v="1.1042029152489901"/>
    <m/>
    <n v="107054.00354853774"/>
  </r>
  <r>
    <n v="32"/>
    <d v="2023-08-15T00:00:00"/>
    <x v="2"/>
    <x v="7"/>
    <s v="Q3"/>
    <n v="103000"/>
    <n v="89935.00201028322"/>
    <n v="1024.0615756793111"/>
    <n v="1.1452715594338112"/>
    <m/>
    <n v="107180.96266277123"/>
  </r>
  <r>
    <n v="33"/>
    <d v="2023-09-15T00:00:00"/>
    <x v="2"/>
    <x v="8"/>
    <s v="Q3"/>
    <n v="103000"/>
    <n v="86532.578444415616"/>
    <n v="948.11120605612416"/>
    <n v="1.1903031419104455"/>
    <s v="Merch Drop"/>
    <n v="110455.94716410773"/>
  </r>
  <r>
    <n v="34"/>
    <d v="2023-10-15T00:00:00"/>
    <x v="2"/>
    <x v="9"/>
    <s v="Q4"/>
    <n v="108000"/>
    <n v="94926.143209325746"/>
    <n v="1075.8615388200596"/>
    <n v="1.1377266193344076"/>
    <m/>
    <n v="96596.432540043053"/>
  </r>
  <r>
    <n v="35"/>
    <d v="2023-11-15T00:00:00"/>
    <x v="2"/>
    <x v="10"/>
    <s v="Q4"/>
    <n v="128476"/>
    <n v="107665.01901018714"/>
    <n v="1275.977480881706"/>
    <n v="1.1932938031417961"/>
    <m/>
    <n v="109948.36568668109"/>
  </r>
  <r>
    <n v="36"/>
    <d v="2023-12-15T00:00:00"/>
    <x v="2"/>
    <x v="11"/>
    <s v="Q4"/>
    <n v="111000"/>
    <n v="97631.287765777379"/>
    <n v="1081.9236140892638"/>
    <n v="1.1369306145617466"/>
    <s v="Holiday Season"/>
    <n v="129672.81040617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6AD5B-78B2-A544-B764-9C9E5A2BBE8B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S51:S63" firstHeaderRow="1" firstDataRow="1" firstDataCol="1"/>
  <pivotFields count="11">
    <pivotField showAll="0"/>
    <pivotField numFmtId="14" showAll="0"/>
    <pivotField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44" showAll="0"/>
    <pivotField numFmtId="44" showAll="0"/>
    <pivotField numFmtId="44" showAll="0"/>
    <pivotField numFmtId="164"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formats count="3">
    <format dxfId="4">
      <pivotArea dataOnly="0" outline="0" axis="axisValues" fieldPosition="0"/>
    </format>
    <format dxfId="3">
      <pivotArea type="all" dataOnly="0" outline="0" fieldPosition="0"/>
    </format>
    <format dxfId="2">
      <pivotArea field="4" type="button" dataOnly="0" labelOnly="1" outline="0"/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1D404-039B-384F-842C-6EA3FA9FD87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1:O64" firstHeaderRow="1" firstDataRow="1" firstDataCol="1" rowPageCount="1" colPageCount="1"/>
  <pivotFields count="11">
    <pivotField showAll="0"/>
    <pivotField numFmtId="14" showAll="0"/>
    <pivotField axis="axisPage" multipleItemSelectionAllowed="1" showAll="0">
      <items count="4">
        <item h="1"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numFmtId="44" showAll="0"/>
    <pivotField numFmtId="44" showAll="0"/>
    <pivotField numFmtId="16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Average of Sales ($)" fld="5" subtotal="average" baseField="0" baseItem="0" numFmtId="44"/>
  </dataFields>
  <formats count="1">
    <format dxfId="5">
      <pivotArea outline="0" collapsedLevelsAreSubtotals="1" fieldPosition="0"/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11568-0CFB-DA4C-AA5C-AC15CA28692C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41:R45" firstHeaderRow="1" firstDataRow="1" firstDataCol="1"/>
  <pivotFields count="11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numFmtId="44" showAll="0"/>
    <pivotField numFmtId="44" showAll="0"/>
    <pivotField numFmtId="44" showAll="0"/>
    <pivotField numFmtId="164" showAll="0"/>
    <pivotField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formats count="4">
    <format dxfId="9">
      <pivotArea dataOnly="0" outline="0" axis="axisValues" fieldPosition="0"/>
    </format>
    <format dxfId="8">
      <pivotArea type="all" dataOnly="0" outline="0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E0728-7BC2-F244-BF7D-59C092B05CC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1:O46" firstHeaderRow="1" firstDataRow="1" firstDataCol="1" rowPageCount="1" colPageCount="1"/>
  <pivotFields count="11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4"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44" showAll="0"/>
    <pivotField numFmtId="44" showAll="0"/>
    <pivotField numFmtId="44" showAll="0">
      <items count="35">
        <item x="0"/>
        <item x="1"/>
        <item x="2"/>
        <item x="6"/>
        <item x="3"/>
        <item x="5"/>
        <item x="4"/>
        <item x="7"/>
        <item x="12"/>
        <item x="24"/>
        <item x="23"/>
        <item x="18"/>
        <item x="30"/>
        <item x="25"/>
        <item x="22"/>
        <item x="11"/>
        <item x="26"/>
        <item x="9"/>
        <item x="29"/>
        <item x="13"/>
        <item x="14"/>
        <item x="8"/>
        <item x="10"/>
        <item x="21"/>
        <item x="28"/>
        <item x="17"/>
        <item x="31"/>
        <item x="33"/>
        <item x="19"/>
        <item x="16"/>
        <item x="27"/>
        <item x="15"/>
        <item x="20"/>
        <item x="32"/>
        <item t="default"/>
      </items>
    </pivotField>
    <pivotField numFmtId="164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Average of Sales ($)" fld="5" subtotal="average" baseField="0" baseItem="0" numFmtId="44"/>
  </dataFields>
  <formats count="7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F1B5D18-AE1A-1B43-AEDB-6F22774213B5}">
  <we:reference id="wa200000018" version="24.0.0.0" store="en-US" storeType="OMEX"/>
  <we:alternateReferences>
    <we:reference id="wa200000018" version="24.0.0.0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B076-4182-304A-AAA0-58D3A3774C88}">
  <dimension ref="A1:AF68"/>
  <sheetViews>
    <sheetView tabSelected="1" zoomScale="75" workbookViewId="0">
      <selection activeCell="Z49" sqref="Z49"/>
    </sheetView>
  </sheetViews>
  <sheetFormatPr baseColWidth="10" defaultColWidth="11" defaultRowHeight="15.75" customHeight="1" x14ac:dyDescent="0.2"/>
  <cols>
    <col min="1" max="1" width="9.33203125" bestFit="1" customWidth="1"/>
    <col min="2" max="2" width="9.6640625" customWidth="1"/>
    <col min="3" max="3" width="11" style="19"/>
    <col min="6" max="7" width="12.33203125" style="49" bestFit="1" customWidth="1"/>
    <col min="8" max="8" width="11.33203125" style="64" bestFit="1" customWidth="1"/>
    <col min="9" max="9" width="12.1640625" bestFit="1" customWidth="1"/>
    <col min="10" max="10" width="12.5" bestFit="1" customWidth="1"/>
    <col min="11" max="11" width="13.1640625" style="58" bestFit="1" customWidth="1"/>
    <col min="12" max="12" width="7.1640625" bestFit="1" customWidth="1"/>
    <col min="13" max="13" width="15.83203125" bestFit="1" customWidth="1"/>
    <col min="14" max="14" width="14" bestFit="1" customWidth="1"/>
    <col min="15" max="15" width="17.83203125" bestFit="1" customWidth="1"/>
    <col min="16" max="16" width="10.83203125" customWidth="1"/>
    <col min="17" max="17" width="12.33203125" bestFit="1" customWidth="1"/>
    <col min="18" max="18" width="5.83203125" bestFit="1" customWidth="1"/>
    <col min="19" max="20" width="15.33203125" bestFit="1" customWidth="1"/>
    <col min="21" max="21" width="17.33203125" bestFit="1" customWidth="1"/>
    <col min="22" max="22" width="10" customWidth="1"/>
    <col min="23" max="23" width="11.33203125" bestFit="1" customWidth="1"/>
    <col min="24" max="31" width="7" bestFit="1" customWidth="1"/>
    <col min="32" max="32" width="8.1640625" bestFit="1" customWidth="1"/>
    <col min="33" max="36" width="7" bestFit="1" customWidth="1"/>
    <col min="37" max="37" width="8.1640625" bestFit="1" customWidth="1"/>
    <col min="38" max="43" width="7" bestFit="1" customWidth="1"/>
    <col min="44" max="50" width="8.1640625" bestFit="1" customWidth="1"/>
    <col min="51" max="51" width="13.83203125" bestFit="1" customWidth="1"/>
  </cols>
  <sheetData>
    <row r="1" spans="1:32" ht="53" customHeight="1" x14ac:dyDescent="0.3">
      <c r="A1" s="3"/>
      <c r="B1" s="33" t="s">
        <v>0</v>
      </c>
      <c r="C1" s="33"/>
      <c r="D1" s="33"/>
      <c r="E1" s="33"/>
      <c r="F1" s="41"/>
      <c r="G1" s="41"/>
      <c r="H1" s="59"/>
      <c r="I1" s="33"/>
      <c r="J1" s="33"/>
      <c r="K1" s="54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1"/>
      <c r="AE1" s="31"/>
      <c r="AF1" s="31"/>
    </row>
    <row r="2" spans="1:32" ht="16" x14ac:dyDescent="0.2">
      <c r="A2" s="28" t="s">
        <v>1</v>
      </c>
      <c r="B2" s="28" t="s">
        <v>2</v>
      </c>
      <c r="C2" s="29" t="s">
        <v>3</v>
      </c>
      <c r="D2" s="28" t="s">
        <v>4</v>
      </c>
      <c r="E2" s="28" t="s">
        <v>5</v>
      </c>
      <c r="F2" s="42" t="s">
        <v>6</v>
      </c>
      <c r="G2" s="43" t="s">
        <v>7</v>
      </c>
      <c r="H2" s="60" t="s">
        <v>8</v>
      </c>
      <c r="I2" s="30" t="s">
        <v>9</v>
      </c>
      <c r="J2" s="30" t="s">
        <v>10</v>
      </c>
      <c r="K2" s="55" t="s">
        <v>11</v>
      </c>
      <c r="L2" s="51" t="s">
        <v>12</v>
      </c>
    </row>
    <row r="3" spans="1:32" ht="16" x14ac:dyDescent="0.2">
      <c r="A3" s="2">
        <v>1</v>
      </c>
      <c r="B3" s="4">
        <v>44211</v>
      </c>
      <c r="C3" s="2">
        <v>21</v>
      </c>
      <c r="D3" s="2" t="s">
        <v>13</v>
      </c>
      <c r="E3" s="8" t="s">
        <v>14</v>
      </c>
      <c r="F3" s="44">
        <v>5000</v>
      </c>
      <c r="G3" s="45">
        <v>0</v>
      </c>
      <c r="H3" s="61">
        <v>0</v>
      </c>
      <c r="I3" s="9">
        <f>F3/AVERAGE($F$3:$F$5)</f>
        <v>0.7142857142857143</v>
      </c>
      <c r="J3" s="6" t="s">
        <v>15</v>
      </c>
      <c r="K3" s="56"/>
      <c r="L3" s="52"/>
    </row>
    <row r="4" spans="1:32" ht="16" x14ac:dyDescent="0.2">
      <c r="A4" s="2">
        <v>2</v>
      </c>
      <c r="B4" s="5">
        <v>44242</v>
      </c>
      <c r="C4" s="2">
        <v>21</v>
      </c>
      <c r="D4" s="2" t="s">
        <v>16</v>
      </c>
      <c r="E4" s="8" t="s">
        <v>14</v>
      </c>
      <c r="F4" s="44">
        <v>7000</v>
      </c>
      <c r="G4" s="45">
        <v>0</v>
      </c>
      <c r="H4" s="61">
        <v>0</v>
      </c>
      <c r="I4" s="9">
        <f>F4/AVERAGE($F$3:$F$5)</f>
        <v>1</v>
      </c>
      <c r="J4" s="6"/>
      <c r="K4" s="56"/>
      <c r="L4" s="52"/>
      <c r="S4" s="18"/>
    </row>
    <row r="5" spans="1:32" ht="16" x14ac:dyDescent="0.2">
      <c r="A5" s="2">
        <v>3</v>
      </c>
      <c r="B5" s="5">
        <v>44270</v>
      </c>
      <c r="C5" s="2">
        <v>21</v>
      </c>
      <c r="D5" s="2" t="s">
        <v>17</v>
      </c>
      <c r="E5" s="8" t="s">
        <v>14</v>
      </c>
      <c r="F5" s="44">
        <v>9000</v>
      </c>
      <c r="G5" s="45">
        <f>F5/I5</f>
        <v>6999.9999999999991</v>
      </c>
      <c r="H5" s="62">
        <v>0</v>
      </c>
      <c r="I5" s="9">
        <f>F5/AVERAGE($F$3:$F$5)</f>
        <v>1.2857142857142858</v>
      </c>
      <c r="J5" s="6"/>
      <c r="K5" s="56"/>
      <c r="L5" s="52"/>
      <c r="S5" s="18"/>
    </row>
    <row r="6" spans="1:32" ht="16" x14ac:dyDescent="0.2">
      <c r="A6" s="2">
        <v>4</v>
      </c>
      <c r="B6" s="5">
        <v>44301</v>
      </c>
      <c r="C6" s="2">
        <v>21</v>
      </c>
      <c r="D6" s="2" t="s">
        <v>18</v>
      </c>
      <c r="E6" s="8" t="s">
        <v>19</v>
      </c>
      <c r="F6" s="44">
        <v>9000</v>
      </c>
      <c r="G6" s="45">
        <f>$O$32*(F6/I3)+(1-$O$32)*(G5+H5)</f>
        <v>11037.265754410573</v>
      </c>
      <c r="H6" s="61">
        <f>$O$33*(G6-G5)+(1-$O$33)*H5</f>
        <v>69.272073955914394</v>
      </c>
      <c r="I6" s="9">
        <f>$O$34*(F6/G6)+(1-$O$34)*I3</f>
        <v>0.81541934390802662</v>
      </c>
      <c r="J6" s="6"/>
      <c r="K6" s="56">
        <f>SUM(G5:H5)*I3</f>
        <v>4999.9999999999991</v>
      </c>
      <c r="L6" s="53">
        <f>ABS(F6-K6)/F6</f>
        <v>0.44444444444444453</v>
      </c>
      <c r="S6" s="18"/>
    </row>
    <row r="7" spans="1:32" ht="16" x14ac:dyDescent="0.2">
      <c r="A7" s="2">
        <v>5</v>
      </c>
      <c r="B7" s="5">
        <v>44331</v>
      </c>
      <c r="C7" s="2">
        <v>21</v>
      </c>
      <c r="D7" s="2" t="s">
        <v>20</v>
      </c>
      <c r="E7" s="8" t="s">
        <v>19</v>
      </c>
      <c r="F7" s="44">
        <v>14000</v>
      </c>
      <c r="G7" s="45">
        <f>$O$32*(F7/I4)+(1-$O$32)*(G6+H6)</f>
        <v>13192.551352869777</v>
      </c>
      <c r="H7" s="61">
        <f>$O$33*(G7-G6)+(1-$O$33)*H6</f>
        <v>105.06423923127818</v>
      </c>
      <c r="I7" s="9">
        <f>$O$34*(F7/G7)+(1-$O$34)*I4</f>
        <v>1.0612048894510899</v>
      </c>
      <c r="J7" s="6" t="s">
        <v>15</v>
      </c>
      <c r="K7" s="56">
        <f>SUM(G6:H6)*I4</f>
        <v>11106.537828366487</v>
      </c>
      <c r="L7" s="53">
        <f t="shared" ref="L7:L50" si="0">ABS(F7-K7)/F7</f>
        <v>0.2066758694023938</v>
      </c>
      <c r="S7" s="18"/>
    </row>
    <row r="8" spans="1:32" ht="16" x14ac:dyDescent="0.2">
      <c r="A8" s="2">
        <v>6</v>
      </c>
      <c r="B8" s="5">
        <v>44362</v>
      </c>
      <c r="C8" s="2">
        <v>21</v>
      </c>
      <c r="D8" s="2" t="s">
        <v>21</v>
      </c>
      <c r="E8" s="8" t="s">
        <v>19</v>
      </c>
      <c r="F8" s="44">
        <v>25602</v>
      </c>
      <c r="G8" s="45">
        <f t="shared" ref="G8:G49" si="1">$O$32*(F8/I5)+(1-$O$32)*(G7+H7)</f>
        <v>18066.672586211876</v>
      </c>
      <c r="H8" s="61">
        <f t="shared" ref="H8:H44" si="2">$O$33*(G8-G7)+(1-$O$33)*H7</f>
        <v>186.89250838475314</v>
      </c>
      <c r="I8" s="9">
        <f t="shared" ref="I8:I50" si="3">$O$34*(F8/G8)+(1-$O$34)*I5</f>
        <v>1.4170844065408554</v>
      </c>
      <c r="J8" s="6"/>
      <c r="K8" s="56">
        <f t="shared" ref="K8:K37" si="4">SUM(G7:H7)*I5</f>
        <v>17096.934332701359</v>
      </c>
      <c r="L8" s="53">
        <f t="shared" si="0"/>
        <v>0.33220317425586443</v>
      </c>
    </row>
    <row r="9" spans="1:32" ht="16" x14ac:dyDescent="0.2">
      <c r="A9" s="2">
        <v>7</v>
      </c>
      <c r="B9" s="5">
        <v>44392</v>
      </c>
      <c r="C9" s="2">
        <v>21</v>
      </c>
      <c r="D9" s="2" t="s">
        <v>22</v>
      </c>
      <c r="E9" s="8" t="s">
        <v>23</v>
      </c>
      <c r="F9" s="44">
        <v>17000</v>
      </c>
      <c r="G9" s="45">
        <f t="shared" si="1"/>
        <v>20124.119392682027</v>
      </c>
      <c r="H9" s="61">
        <f t="shared" si="2"/>
        <v>218.98778859611068</v>
      </c>
      <c r="I9" s="9">
        <f t="shared" si="3"/>
        <v>0.84475746084978565</v>
      </c>
      <c r="J9" s="6"/>
      <c r="K9" s="56">
        <f t="shared" si="4"/>
        <v>14884.310073418439</v>
      </c>
      <c r="L9" s="53">
        <f t="shared" si="0"/>
        <v>0.12445234862244477</v>
      </c>
    </row>
    <row r="10" spans="1:32" ht="16" x14ac:dyDescent="0.2">
      <c r="A10" s="2">
        <v>8</v>
      </c>
      <c r="B10" s="5">
        <v>44423</v>
      </c>
      <c r="C10" s="2">
        <v>21</v>
      </c>
      <c r="D10" s="2" t="s">
        <v>24</v>
      </c>
      <c r="E10" s="8" t="s">
        <v>23</v>
      </c>
      <c r="F10" s="44">
        <v>19000</v>
      </c>
      <c r="G10" s="45">
        <f t="shared" si="1"/>
        <v>18584.783974093756</v>
      </c>
      <c r="H10" s="61">
        <f t="shared" si="2"/>
        <v>188.81818801596262</v>
      </c>
      <c r="I10" s="9">
        <f t="shared" si="3"/>
        <v>1.0223417192518909</v>
      </c>
      <c r="J10" s="6"/>
      <c r="K10" s="56">
        <f t="shared" si="4"/>
        <v>21588.204807399939</v>
      </c>
      <c r="L10" s="53">
        <f t="shared" si="0"/>
        <v>0.13622130565262838</v>
      </c>
    </row>
    <row r="11" spans="1:32" ht="16" x14ac:dyDescent="0.2">
      <c r="A11" s="2">
        <v>9</v>
      </c>
      <c r="B11" s="5">
        <v>44454</v>
      </c>
      <c r="C11" s="2">
        <v>21</v>
      </c>
      <c r="D11" s="2" t="s">
        <v>25</v>
      </c>
      <c r="E11" s="8" t="s">
        <v>23</v>
      </c>
      <c r="F11" s="44">
        <v>19000</v>
      </c>
      <c r="G11" s="45">
        <f t="shared" si="1"/>
        <v>14905.187054616876</v>
      </c>
      <c r="H11" s="61">
        <f t="shared" si="2"/>
        <v>122.44328140356801</v>
      </c>
      <c r="I11" s="9">
        <f t="shared" si="3"/>
        <v>1.2747240226089451</v>
      </c>
      <c r="J11" s="6" t="s">
        <v>15</v>
      </c>
      <c r="K11" s="56">
        <f t="shared" si="4"/>
        <v>26603.77887852737</v>
      </c>
      <c r="L11" s="53">
        <f t="shared" si="0"/>
        <v>0.40019888834354578</v>
      </c>
    </row>
    <row r="12" spans="1:32" ht="16" x14ac:dyDescent="0.2">
      <c r="A12" s="2">
        <v>10</v>
      </c>
      <c r="B12" s="5">
        <v>44484</v>
      </c>
      <c r="C12" s="2">
        <v>21</v>
      </c>
      <c r="D12" s="2" t="s">
        <v>26</v>
      </c>
      <c r="E12" s="8" t="s">
        <v>27</v>
      </c>
      <c r="F12" s="44">
        <v>44000</v>
      </c>
      <c r="G12" s="45">
        <f t="shared" si="1"/>
        <v>41744.471304321996</v>
      </c>
      <c r="H12" s="61">
        <f t="shared" si="2"/>
        <v>580.85526020449993</v>
      </c>
      <c r="I12" s="9">
        <f t="shared" si="3"/>
        <v>1.0540317945156124</v>
      </c>
      <c r="J12" s="6"/>
      <c r="K12" s="56">
        <f t="shared" si="4"/>
        <v>12694.702845245842</v>
      </c>
      <c r="L12" s="53">
        <f t="shared" si="0"/>
        <v>0.71148402624441276</v>
      </c>
    </row>
    <row r="13" spans="1:32" ht="16" x14ac:dyDescent="0.2">
      <c r="A13" s="2">
        <v>11</v>
      </c>
      <c r="B13" s="5">
        <v>44515</v>
      </c>
      <c r="C13" s="2">
        <v>21</v>
      </c>
      <c r="D13" s="2" t="s">
        <v>28</v>
      </c>
      <c r="E13" s="8" t="s">
        <v>27</v>
      </c>
      <c r="F13" s="44">
        <v>81891</v>
      </c>
      <c r="G13" s="45">
        <f>$O$32*(F13/I10)+(1-$O$32)*(G12+H12)</f>
        <v>69559.61867302742</v>
      </c>
      <c r="H13" s="61">
        <f t="shared" si="2"/>
        <v>1048.1457513038367</v>
      </c>
      <c r="I13" s="9">
        <f t="shared" si="3"/>
        <v>1.1772778741777983</v>
      </c>
      <c r="J13" s="6"/>
      <c r="K13" s="56">
        <f t="shared" si="4"/>
        <v>43270.947127875748</v>
      </c>
      <c r="L13" s="53">
        <f t="shared" si="0"/>
        <v>0.47160314164101369</v>
      </c>
    </row>
    <row r="14" spans="1:32" ht="16" x14ac:dyDescent="0.2">
      <c r="A14" s="2">
        <v>12</v>
      </c>
      <c r="B14" s="5">
        <v>44545</v>
      </c>
      <c r="C14" s="2">
        <v>21</v>
      </c>
      <c r="D14" s="2" t="s">
        <v>29</v>
      </c>
      <c r="E14" s="8" t="s">
        <v>27</v>
      </c>
      <c r="F14" s="44">
        <v>87000</v>
      </c>
      <c r="G14" s="45">
        <f t="shared" si="1"/>
        <v>68908.005333117981</v>
      </c>
      <c r="H14" s="61">
        <f t="shared" si="2"/>
        <v>1018.9810035175086</v>
      </c>
      <c r="I14" s="9">
        <f t="shared" si="3"/>
        <v>1.2625528714613192</v>
      </c>
      <c r="J14" s="6" t="s">
        <v>30</v>
      </c>
      <c r="K14" s="56">
        <f t="shared" si="4"/>
        <v>90005.413494408305</v>
      </c>
      <c r="L14" s="53">
        <f t="shared" si="0"/>
        <v>3.4544982694348338E-2</v>
      </c>
    </row>
    <row r="15" spans="1:32" ht="16" x14ac:dyDescent="0.2">
      <c r="A15" s="2">
        <v>13</v>
      </c>
      <c r="B15" s="5">
        <v>44576</v>
      </c>
      <c r="C15" s="20">
        <v>22</v>
      </c>
      <c r="D15" s="2" t="s">
        <v>13</v>
      </c>
      <c r="E15" s="8" t="s">
        <v>14</v>
      </c>
      <c r="F15" s="44">
        <v>77000</v>
      </c>
      <c r="G15" s="45">
        <f t="shared" si="1"/>
        <v>72180.529285129247</v>
      </c>
      <c r="H15" s="61">
        <f t="shared" si="2"/>
        <v>1057.6476663747521</v>
      </c>
      <c r="I15" s="9">
        <f t="shared" si="3"/>
        <v>1.0667696782304374</v>
      </c>
      <c r="J15" s="6" t="s">
        <v>15</v>
      </c>
      <c r="K15" s="56">
        <f t="shared" si="4"/>
        <v>73705.26689347261</v>
      </c>
      <c r="L15" s="53">
        <f t="shared" si="0"/>
        <v>4.2788741643212856E-2</v>
      </c>
    </row>
    <row r="16" spans="1:32" ht="16" x14ac:dyDescent="0.2">
      <c r="A16" s="2">
        <v>14</v>
      </c>
      <c r="B16" s="5">
        <v>44607</v>
      </c>
      <c r="C16" s="20">
        <v>22</v>
      </c>
      <c r="D16" s="2" t="s">
        <v>16</v>
      </c>
      <c r="E16" s="8" t="s">
        <v>14</v>
      </c>
      <c r="F16" s="44">
        <v>79000</v>
      </c>
      <c r="G16" s="45">
        <f t="shared" si="1"/>
        <v>68815.768142756278</v>
      </c>
      <c r="H16" s="61">
        <f t="shared" si="2"/>
        <v>981.76724415380136</v>
      </c>
      <c r="I16" s="9">
        <f t="shared" si="3"/>
        <v>1.1479927076613725</v>
      </c>
      <c r="J16" s="6"/>
      <c r="K16" s="56">
        <f t="shared" si="4"/>
        <v>86221.685270124042</v>
      </c>
      <c r="L16" s="53">
        <f t="shared" si="0"/>
        <v>9.1413737596506867E-2</v>
      </c>
    </row>
    <row r="17" spans="1:15" ht="16" x14ac:dyDescent="0.2">
      <c r="A17" s="2">
        <v>15</v>
      </c>
      <c r="B17" s="5">
        <v>44635</v>
      </c>
      <c r="C17" s="20">
        <v>22</v>
      </c>
      <c r="D17" s="2" t="s">
        <v>17</v>
      </c>
      <c r="E17" s="8" t="s">
        <v>14</v>
      </c>
      <c r="F17" s="44">
        <v>81000</v>
      </c>
      <c r="G17" s="45">
        <f t="shared" si="1"/>
        <v>65730.129797258618</v>
      </c>
      <c r="H17" s="61">
        <f t="shared" si="2"/>
        <v>911.97802591687332</v>
      </c>
      <c r="I17" s="9">
        <f t="shared" si="3"/>
        <v>1.2323115784167862</v>
      </c>
      <c r="J17" s="6"/>
      <c r="K17" s="56">
        <f t="shared" si="4"/>
        <v>88123.07872366636</v>
      </c>
      <c r="L17" s="53">
        <f t="shared" si="0"/>
        <v>8.7939243502053829E-2</v>
      </c>
    </row>
    <row r="18" spans="1:15" ht="16" x14ac:dyDescent="0.2">
      <c r="A18" s="2">
        <v>16</v>
      </c>
      <c r="B18" s="5">
        <v>44666</v>
      </c>
      <c r="C18" s="20">
        <v>22</v>
      </c>
      <c r="D18" s="2" t="s">
        <v>18</v>
      </c>
      <c r="E18" s="8" t="s">
        <v>19</v>
      </c>
      <c r="F18" s="44">
        <v>81000</v>
      </c>
      <c r="G18" s="45">
        <f t="shared" si="1"/>
        <v>73338.244238560204</v>
      </c>
      <c r="H18" s="61">
        <f t="shared" si="2"/>
        <v>1026.8714426999215</v>
      </c>
      <c r="I18" s="9">
        <f t="shared" si="3"/>
        <v>1.1044714915251728</v>
      </c>
      <c r="J18" s="6"/>
      <c r="K18" s="56">
        <f t="shared" si="4"/>
        <v>71091.779919127046</v>
      </c>
      <c r="L18" s="53">
        <f t="shared" si="0"/>
        <v>0.12232370470213523</v>
      </c>
    </row>
    <row r="19" spans="1:15" ht="16" x14ac:dyDescent="0.2">
      <c r="A19" s="2">
        <v>17</v>
      </c>
      <c r="B19" s="5">
        <v>44696</v>
      </c>
      <c r="C19" s="20">
        <v>22</v>
      </c>
      <c r="D19" s="2" t="s">
        <v>20</v>
      </c>
      <c r="E19" s="8" t="s">
        <v>19</v>
      </c>
      <c r="F19" s="44">
        <v>86000</v>
      </c>
      <c r="G19" s="45">
        <f t="shared" si="1"/>
        <v>74760.372772711402</v>
      </c>
      <c r="H19" s="61">
        <f t="shared" si="2"/>
        <v>1033.6533292875708</v>
      </c>
      <c r="I19" s="9">
        <f t="shared" si="3"/>
        <v>1.1503420436580705</v>
      </c>
      <c r="J19" s="6" t="s">
        <v>15</v>
      </c>
      <c r="K19" s="56">
        <f t="shared" si="4"/>
        <v>85370.610506481011</v>
      </c>
      <c r="L19" s="53">
        <f t="shared" si="0"/>
        <v>7.3184824827789438E-3</v>
      </c>
    </row>
    <row r="20" spans="1:15" ht="16" x14ac:dyDescent="0.2">
      <c r="A20" s="2">
        <v>18</v>
      </c>
      <c r="B20" s="5">
        <v>44727</v>
      </c>
      <c r="C20" s="20">
        <v>22</v>
      </c>
      <c r="D20" s="2" t="s">
        <v>21</v>
      </c>
      <c r="E20" s="8" t="s">
        <v>19</v>
      </c>
      <c r="F20" s="44">
        <v>106270</v>
      </c>
      <c r="G20" s="45">
        <f t="shared" si="1"/>
        <v>83322.287600390788</v>
      </c>
      <c r="H20" s="61">
        <f t="shared" si="2"/>
        <v>1162.8244859562499</v>
      </c>
      <c r="I20" s="9">
        <f t="shared" si="3"/>
        <v>1.2754090539336271</v>
      </c>
      <c r="J20" s="6"/>
      <c r="K20" s="56">
        <f t="shared" si="4"/>
        <v>93401.855940317444</v>
      </c>
      <c r="L20" s="53">
        <f t="shared" si="0"/>
        <v>0.12108915083920727</v>
      </c>
    </row>
    <row r="21" spans="1:15" ht="16" x14ac:dyDescent="0.2">
      <c r="A21" s="2">
        <v>19</v>
      </c>
      <c r="B21" s="5">
        <v>44757</v>
      </c>
      <c r="C21" s="20">
        <v>22</v>
      </c>
      <c r="D21" s="2" t="s">
        <v>22</v>
      </c>
      <c r="E21" s="8" t="s">
        <v>23</v>
      </c>
      <c r="F21" s="44">
        <v>89000</v>
      </c>
      <c r="G21" s="45">
        <f t="shared" si="1"/>
        <v>81670.860678339726</v>
      </c>
      <c r="H21" s="61">
        <f t="shared" si="2"/>
        <v>1114.5370945569982</v>
      </c>
      <c r="I21" s="9">
        <f t="shared" si="3"/>
        <v>1.089739954505023</v>
      </c>
      <c r="J21" s="6"/>
      <c r="K21" s="56">
        <f t="shared" si="4"/>
        <v>93311.397757679122</v>
      </c>
      <c r="L21" s="53">
        <f t="shared" si="0"/>
        <v>4.8442671434596879E-2</v>
      </c>
    </row>
    <row r="22" spans="1:15" ht="16" x14ac:dyDescent="0.2">
      <c r="A22" s="2">
        <v>20</v>
      </c>
      <c r="B22" s="5">
        <v>44788</v>
      </c>
      <c r="C22" s="20">
        <v>22</v>
      </c>
      <c r="D22" s="2" t="s">
        <v>24</v>
      </c>
      <c r="E22" s="8" t="s">
        <v>23</v>
      </c>
      <c r="F22" s="44">
        <v>91000</v>
      </c>
      <c r="G22" s="45">
        <f t="shared" si="1"/>
        <v>80133.424814672064</v>
      </c>
      <c r="H22" s="61">
        <f t="shared" si="2"/>
        <v>1069.0341036551658</v>
      </c>
      <c r="I22" s="9">
        <f t="shared" si="3"/>
        <v>1.1356060247076614</v>
      </c>
      <c r="J22" s="6"/>
      <c r="K22" s="56">
        <f t="shared" si="4"/>
        <v>95231.523659120299</v>
      </c>
      <c r="L22" s="53">
        <f t="shared" si="0"/>
        <v>4.6500259990332957E-2</v>
      </c>
    </row>
    <row r="23" spans="1:15" ht="16" x14ac:dyDescent="0.2">
      <c r="A23" s="2">
        <v>21</v>
      </c>
      <c r="B23" s="5">
        <v>44819</v>
      </c>
      <c r="C23" s="20">
        <v>22</v>
      </c>
      <c r="D23" s="2" t="s">
        <v>25</v>
      </c>
      <c r="E23" s="8" t="s">
        <v>23</v>
      </c>
      <c r="F23" s="44">
        <v>91000</v>
      </c>
      <c r="G23" s="45">
        <f t="shared" si="1"/>
        <v>74099.177645886928</v>
      </c>
      <c r="H23" s="61">
        <f t="shared" si="2"/>
        <v>947.15482803488021</v>
      </c>
      <c r="I23" s="9">
        <f t="shared" si="3"/>
        <v>1.2280838045852618</v>
      </c>
      <c r="J23" s="6" t="s">
        <v>15</v>
      </c>
      <c r="K23" s="56">
        <f t="shared" si="4"/>
        <v>103566.35130610796</v>
      </c>
      <c r="L23" s="53">
        <f t="shared" si="0"/>
        <v>0.13809177259459293</v>
      </c>
    </row>
    <row r="24" spans="1:15" ht="16" x14ac:dyDescent="0.2">
      <c r="A24" s="2">
        <v>22</v>
      </c>
      <c r="B24" s="5">
        <v>44849</v>
      </c>
      <c r="C24" s="20">
        <v>22</v>
      </c>
      <c r="D24" s="2" t="s">
        <v>26</v>
      </c>
      <c r="E24" s="8" t="s">
        <v>27</v>
      </c>
      <c r="F24" s="44">
        <v>96000</v>
      </c>
      <c r="G24" s="45">
        <f t="shared" si="1"/>
        <v>84453.218667911715</v>
      </c>
      <c r="H24" s="61">
        <f t="shared" si="2"/>
        <v>1108.5597381310388</v>
      </c>
      <c r="I24" s="9">
        <f t="shared" si="3"/>
        <v>1.136723993640701</v>
      </c>
      <c r="J24" s="6"/>
      <c r="K24" s="56">
        <f t="shared" si="4"/>
        <v>81780.986935900379</v>
      </c>
      <c r="L24" s="53">
        <f t="shared" si="0"/>
        <v>0.14811471941770438</v>
      </c>
    </row>
    <row r="25" spans="1:15" ht="16" x14ac:dyDescent="0.2">
      <c r="A25" s="2">
        <v>23</v>
      </c>
      <c r="B25" s="5">
        <v>44880</v>
      </c>
      <c r="C25" s="20">
        <v>22</v>
      </c>
      <c r="D25" s="2" t="s">
        <v>28</v>
      </c>
      <c r="E25" s="8" t="s">
        <v>27</v>
      </c>
      <c r="F25" s="44">
        <v>107740</v>
      </c>
      <c r="G25" s="45">
        <f t="shared" si="1"/>
        <v>92275.660680214292</v>
      </c>
      <c r="H25" s="61">
        <f t="shared" si="2"/>
        <v>1223.7576412959777</v>
      </c>
      <c r="I25" s="9">
        <f t="shared" si="3"/>
        <v>1.1675884973977928</v>
      </c>
      <c r="J25" s="6"/>
      <c r="K25" s="56">
        <f t="shared" si="4"/>
        <v>97164.471042604026</v>
      </c>
      <c r="L25" s="53">
        <f t="shared" si="0"/>
        <v>9.8157870404640565E-2</v>
      </c>
    </row>
    <row r="26" spans="1:15" ht="16" x14ac:dyDescent="0.2">
      <c r="A26" s="2">
        <v>24</v>
      </c>
      <c r="B26" s="5">
        <v>44910</v>
      </c>
      <c r="C26" s="20">
        <v>22</v>
      </c>
      <c r="D26" s="2" t="s">
        <v>29</v>
      </c>
      <c r="E26" s="8" t="s">
        <v>27</v>
      </c>
      <c r="F26" s="44">
        <v>99000</v>
      </c>
      <c r="G26" s="45">
        <f t="shared" si="1"/>
        <v>84209.361794389464</v>
      </c>
      <c r="H26" s="61">
        <f t="shared" si="2"/>
        <v>1064.3573139585237</v>
      </c>
      <c r="I26" s="9">
        <f t="shared" si="3"/>
        <v>1.1756412575804129</v>
      </c>
      <c r="J26" s="6" t="s">
        <v>30</v>
      </c>
      <c r="K26" s="56">
        <f t="shared" si="4"/>
        <v>114825.12137878926</v>
      </c>
      <c r="L26" s="53">
        <f t="shared" si="0"/>
        <v>0.15984971089686123</v>
      </c>
    </row>
    <row r="27" spans="1:15" ht="16" x14ac:dyDescent="0.2">
      <c r="A27" s="2">
        <v>25</v>
      </c>
      <c r="B27" s="5">
        <v>44941</v>
      </c>
      <c r="C27" s="20">
        <v>23</v>
      </c>
      <c r="D27" s="2" t="s">
        <v>13</v>
      </c>
      <c r="E27" s="8" t="s">
        <v>14</v>
      </c>
      <c r="F27" s="44">
        <v>89000</v>
      </c>
      <c r="G27" s="45">
        <f t="shared" si="1"/>
        <v>80242.602790099176</v>
      </c>
      <c r="H27" s="61">
        <f t="shared" si="2"/>
        <v>978.03258755234208</v>
      </c>
      <c r="I27" s="9">
        <f t="shared" si="3"/>
        <v>1.1091365048664819</v>
      </c>
      <c r="J27" s="6" t="s">
        <v>15</v>
      </c>
      <c r="K27" s="56">
        <f t="shared" si="4"/>
        <v>96932.682537436674</v>
      </c>
      <c r="L27" s="53">
        <f t="shared" si="0"/>
        <v>8.9131264465580617E-2</v>
      </c>
    </row>
    <row r="28" spans="1:15" ht="16" x14ac:dyDescent="0.2">
      <c r="A28" s="2">
        <v>26</v>
      </c>
      <c r="B28" s="5">
        <v>44972</v>
      </c>
      <c r="C28" s="20">
        <v>23</v>
      </c>
      <c r="D28" s="2" t="s">
        <v>16</v>
      </c>
      <c r="E28" s="8" t="s">
        <v>14</v>
      </c>
      <c r="F28" s="44">
        <v>91000</v>
      </c>
      <c r="G28" s="45">
        <f t="shared" si="1"/>
        <v>78854.352329496731</v>
      </c>
      <c r="H28" s="61">
        <f t="shared" si="2"/>
        <v>937.43151140734699</v>
      </c>
      <c r="I28" s="9">
        <f t="shared" si="3"/>
        <v>1.154026344921991</v>
      </c>
      <c r="J28" s="6"/>
      <c r="K28" s="56">
        <f t="shared" si="4"/>
        <v>94832.279618286149</v>
      </c>
      <c r="L28" s="53">
        <f t="shared" si="0"/>
        <v>4.2112962838309335E-2</v>
      </c>
    </row>
    <row r="29" spans="1:15" ht="16" x14ac:dyDescent="0.2">
      <c r="A29" s="2">
        <v>27</v>
      </c>
      <c r="B29" s="5">
        <v>45000</v>
      </c>
      <c r="C29" s="20">
        <v>23</v>
      </c>
      <c r="D29" s="2" t="s">
        <v>17</v>
      </c>
      <c r="E29" s="8" t="s">
        <v>14</v>
      </c>
      <c r="F29" s="44">
        <v>93000</v>
      </c>
      <c r="G29" s="45">
        <f t="shared" si="1"/>
        <v>79297.204561098828</v>
      </c>
      <c r="H29" s="61">
        <f t="shared" si="2"/>
        <v>928.94543827473149</v>
      </c>
      <c r="I29" s="9">
        <f t="shared" si="3"/>
        <v>1.1728030075554947</v>
      </c>
      <c r="J29" s="6"/>
      <c r="K29" s="56">
        <f t="shared" si="4"/>
        <v>93806.513099304939</v>
      </c>
      <c r="L29" s="53">
        <f t="shared" si="0"/>
        <v>8.6721838634939655E-3</v>
      </c>
      <c r="N29" t="s">
        <v>31</v>
      </c>
      <c r="O29">
        <f>_xlfn.FORECAST.ETS.SEASONALITY(F3:F38,A3:A38)</f>
        <v>0</v>
      </c>
    </row>
    <row r="30" spans="1:15" ht="16" x14ac:dyDescent="0.2">
      <c r="A30" s="2">
        <v>28</v>
      </c>
      <c r="B30" s="5">
        <v>45031</v>
      </c>
      <c r="C30" s="20">
        <v>23</v>
      </c>
      <c r="D30" s="2" t="s">
        <v>18</v>
      </c>
      <c r="E30" s="8" t="s">
        <v>19</v>
      </c>
      <c r="F30" s="44">
        <v>93000</v>
      </c>
      <c r="G30" s="45">
        <f t="shared" si="1"/>
        <v>82838.017196080793</v>
      </c>
      <c r="H30" s="61">
        <f t="shared" si="2"/>
        <v>973.76028788320014</v>
      </c>
      <c r="I30" s="9">
        <f t="shared" si="3"/>
        <v>1.1226729362662726</v>
      </c>
      <c r="J30" s="6"/>
      <c r="K30" s="56">
        <f t="shared" si="4"/>
        <v>88981.751609199302</v>
      </c>
      <c r="L30" s="53">
        <f t="shared" si="0"/>
        <v>4.3206971944093529E-2</v>
      </c>
    </row>
    <row r="31" spans="1:15" ht="16" x14ac:dyDescent="0.2">
      <c r="A31" s="2">
        <v>29</v>
      </c>
      <c r="B31" s="5">
        <v>45061</v>
      </c>
      <c r="C31" s="20">
        <v>23</v>
      </c>
      <c r="D31" s="2" t="s">
        <v>20</v>
      </c>
      <c r="E31" s="8" t="s">
        <v>19</v>
      </c>
      <c r="F31" s="44">
        <v>98000</v>
      </c>
      <c r="G31" s="45">
        <f t="shared" si="1"/>
        <v>84610.791491734708</v>
      </c>
      <c r="H31" s="61">
        <f t="shared" si="2"/>
        <v>987.46990246025325</v>
      </c>
      <c r="I31" s="9">
        <f t="shared" si="3"/>
        <v>1.1582446904491281</v>
      </c>
      <c r="J31" s="6" t="s">
        <v>15</v>
      </c>
      <c r="K31" s="56">
        <f t="shared" si="4"/>
        <v>96720.999231234178</v>
      </c>
      <c r="L31" s="53">
        <f t="shared" si="0"/>
        <v>1.3051028252712467E-2</v>
      </c>
      <c r="M31" s="34"/>
    </row>
    <row r="32" spans="1:15" ht="16" x14ac:dyDescent="0.2">
      <c r="A32" s="2">
        <v>30</v>
      </c>
      <c r="B32" s="5">
        <v>45092</v>
      </c>
      <c r="C32" s="20">
        <v>23</v>
      </c>
      <c r="D32" s="2" t="s">
        <v>21</v>
      </c>
      <c r="E32" s="8" t="s">
        <v>19</v>
      </c>
      <c r="F32" s="44">
        <v>114417</v>
      </c>
      <c r="G32" s="45">
        <f t="shared" si="1"/>
        <v>94220.939673097833</v>
      </c>
      <c r="H32" s="61">
        <f t="shared" si="2"/>
        <v>1135.4192433679393</v>
      </c>
      <c r="I32" s="9">
        <f t="shared" si="3"/>
        <v>1.2143478975795927</v>
      </c>
      <c r="J32" s="6"/>
      <c r="K32" s="56">
        <f t="shared" si="4"/>
        <v>100389.89840463325</v>
      </c>
      <c r="L32" s="53">
        <f t="shared" si="0"/>
        <v>0.12259630645242187</v>
      </c>
      <c r="N32" s="1" t="s">
        <v>32</v>
      </c>
      <c r="O32" s="36">
        <v>0.72094031328760233</v>
      </c>
    </row>
    <row r="33" spans="1:19" ht="16" x14ac:dyDescent="0.2">
      <c r="A33" s="2">
        <v>31</v>
      </c>
      <c r="B33" s="5">
        <v>45122</v>
      </c>
      <c r="C33" s="20">
        <v>23</v>
      </c>
      <c r="D33" s="2" t="s">
        <v>22</v>
      </c>
      <c r="E33" s="8" t="s">
        <v>23</v>
      </c>
      <c r="F33" s="44">
        <v>101000</v>
      </c>
      <c r="G33" s="45">
        <f t="shared" si="1"/>
        <v>91468.694925006828</v>
      </c>
      <c r="H33" s="61">
        <f t="shared" si="2"/>
        <v>1068.7140612188869</v>
      </c>
      <c r="I33" s="9">
        <f t="shared" si="3"/>
        <v>1.1042029197290688</v>
      </c>
      <c r="J33" s="6"/>
      <c r="K33" s="56">
        <f t="shared" si="4"/>
        <v>107054.00345640921</v>
      </c>
      <c r="L33" s="53">
        <f t="shared" si="0"/>
        <v>5.9940628281279267E-2</v>
      </c>
      <c r="N33" s="1" t="s">
        <v>33</v>
      </c>
      <c r="O33" s="36">
        <v>1.715816549362326E-2</v>
      </c>
    </row>
    <row r="34" spans="1:19" ht="16" x14ac:dyDescent="0.2">
      <c r="A34" s="2">
        <v>32</v>
      </c>
      <c r="B34" s="5">
        <v>45153</v>
      </c>
      <c r="C34" s="20">
        <v>23</v>
      </c>
      <c r="D34" s="2" t="s">
        <v>24</v>
      </c>
      <c r="E34" s="8" t="s">
        <v>23</v>
      </c>
      <c r="F34" s="44">
        <v>103000</v>
      </c>
      <c r="G34" s="45">
        <f t="shared" si="1"/>
        <v>89935.001627536549</v>
      </c>
      <c r="H34" s="61">
        <f t="shared" si="2"/>
        <v>1024.0615250766753</v>
      </c>
      <c r="I34" s="9">
        <f t="shared" si="3"/>
        <v>1.1452715643078744</v>
      </c>
      <c r="J34" s="6"/>
      <c r="K34" s="56">
        <f t="shared" si="4"/>
        <v>107180.96262621536</v>
      </c>
      <c r="L34" s="53">
        <f t="shared" si="0"/>
        <v>4.0591870157430696E-2</v>
      </c>
      <c r="N34" s="1" t="s">
        <v>34</v>
      </c>
      <c r="O34" s="7">
        <v>1</v>
      </c>
    </row>
    <row r="35" spans="1:19" ht="16" x14ac:dyDescent="0.2">
      <c r="A35" s="2">
        <v>33</v>
      </c>
      <c r="B35" s="5">
        <v>45184</v>
      </c>
      <c r="C35" s="20">
        <v>23</v>
      </c>
      <c r="D35" s="2" t="s">
        <v>25</v>
      </c>
      <c r="E35" s="8" t="s">
        <v>23</v>
      </c>
      <c r="F35" s="44">
        <v>103000</v>
      </c>
      <c r="G35" s="45">
        <f t="shared" si="1"/>
        <v>86532.578079775412</v>
      </c>
      <c r="H35" s="61">
        <f t="shared" si="2"/>
        <v>948.11116164187104</v>
      </c>
      <c r="I35" s="9">
        <f t="shared" si="3"/>
        <v>1.1903031469262717</v>
      </c>
      <c r="J35" s="6" t="s">
        <v>15</v>
      </c>
      <c r="K35" s="56">
        <f t="shared" si="4"/>
        <v>110455.94710518526</v>
      </c>
      <c r="L35" s="53">
        <f t="shared" si="0"/>
        <v>7.2387835972672426E-2</v>
      </c>
    </row>
    <row r="36" spans="1:19" ht="16" x14ac:dyDescent="0.2">
      <c r="A36" s="2">
        <v>34</v>
      </c>
      <c r="B36" s="5">
        <v>45214</v>
      </c>
      <c r="C36" s="20">
        <v>23</v>
      </c>
      <c r="D36" s="2" t="s">
        <v>26</v>
      </c>
      <c r="E36" s="8" t="s">
        <v>27</v>
      </c>
      <c r="F36" s="44">
        <v>108000</v>
      </c>
      <c r="G36" s="45">
        <f t="shared" si="1"/>
        <v>94926.142783848933</v>
      </c>
      <c r="H36" s="61">
        <f t="shared" si="2"/>
        <v>1075.8614856979968</v>
      </c>
      <c r="I36" s="9">
        <f t="shared" si="3"/>
        <v>1.1377266244339119</v>
      </c>
      <c r="J36" s="6"/>
      <c r="K36" s="56">
        <f t="shared" si="4"/>
        <v>96596.432480284289</v>
      </c>
      <c r="L36" s="53">
        <f t="shared" si="0"/>
        <v>0.10558858814551583</v>
      </c>
      <c r="N36" s="39" t="s">
        <v>35</v>
      </c>
      <c r="O36" s="40">
        <f>SUMXMY2(K7:K38,F7:F38)/COUNT(K7:K38)</f>
        <v>155985886.97927859</v>
      </c>
    </row>
    <row r="37" spans="1:19" ht="16" x14ac:dyDescent="0.2">
      <c r="A37" s="2">
        <v>35</v>
      </c>
      <c r="B37" s="5">
        <v>45245</v>
      </c>
      <c r="C37" s="20">
        <v>23</v>
      </c>
      <c r="D37" s="2" t="s">
        <v>28</v>
      </c>
      <c r="E37" s="8" t="s">
        <v>27</v>
      </c>
      <c r="F37" s="44">
        <v>128476</v>
      </c>
      <c r="G37" s="45">
        <f t="shared" si="1"/>
        <v>107665.01849291864</v>
      </c>
      <c r="H37" s="61">
        <f t="shared" si="2"/>
        <v>1275.9774138970906</v>
      </c>
      <c r="I37" s="9">
        <f t="shared" si="3"/>
        <v>1.1932938088748868</v>
      </c>
      <c r="J37" s="6"/>
      <c r="K37" s="56">
        <f t="shared" si="4"/>
        <v>109948.36560647524</v>
      </c>
      <c r="L37" s="53">
        <f t="shared" si="0"/>
        <v>0.14421085956540333</v>
      </c>
      <c r="N37" s="37" t="s">
        <v>36</v>
      </c>
      <c r="O37" s="38">
        <f>AVERAGE(L6:L50)</f>
        <v>0.11831362056744577</v>
      </c>
    </row>
    <row r="38" spans="1:19" ht="16" x14ac:dyDescent="0.2">
      <c r="A38" s="2">
        <v>36</v>
      </c>
      <c r="B38" s="5">
        <v>45275</v>
      </c>
      <c r="C38" s="20">
        <v>23</v>
      </c>
      <c r="D38" s="2" t="s">
        <v>29</v>
      </c>
      <c r="E38" s="8" t="s">
        <v>27</v>
      </c>
      <c r="F38" s="46">
        <v>111000</v>
      </c>
      <c r="G38" s="45">
        <f t="shared" si="1"/>
        <v>97631.287357759677</v>
      </c>
      <c r="H38" s="61">
        <f t="shared" si="2"/>
        <v>1081.9235629277409</v>
      </c>
      <c r="I38" s="9">
        <f t="shared" si="3"/>
        <v>1.1369306193131723</v>
      </c>
      <c r="J38" s="6" t="s">
        <v>30</v>
      </c>
      <c r="K38" s="56">
        <f>SUM(G37:H37)*I35</f>
        <v>129672.81025716485</v>
      </c>
      <c r="L38" s="53">
        <f t="shared" si="0"/>
        <v>0.16822351583031395</v>
      </c>
    </row>
    <row r="39" spans="1:19" ht="15.75" customHeight="1" x14ac:dyDescent="0.2">
      <c r="A39" s="35">
        <v>37</v>
      </c>
      <c r="B39" s="10">
        <v>45306</v>
      </c>
      <c r="C39" s="35">
        <v>24</v>
      </c>
      <c r="D39" s="11" t="s">
        <v>13</v>
      </c>
      <c r="E39" s="12" t="s">
        <v>14</v>
      </c>
      <c r="F39" s="47">
        <f>F38</f>
        <v>111000</v>
      </c>
      <c r="G39" s="48">
        <f t="shared" si="1"/>
        <v>97883.963140500578</v>
      </c>
      <c r="H39" s="63">
        <f t="shared" si="2"/>
        <v>1067.6951922800754</v>
      </c>
      <c r="I39" s="13">
        <f t="shared" si="3"/>
        <v>1.1339957684454698</v>
      </c>
      <c r="J39" s="14" t="s">
        <v>15</v>
      </c>
      <c r="K39" s="57">
        <f>SUM(G38:H38)*I36</f>
        <v>112308.64824782647</v>
      </c>
      <c r="L39" s="53">
        <f t="shared" si="0"/>
        <v>1.1789623854292488E-2</v>
      </c>
      <c r="N39" s="21" t="s">
        <v>3</v>
      </c>
      <c r="O39" s="1" t="s">
        <v>37</v>
      </c>
    </row>
    <row r="40" spans="1:19" ht="15.75" customHeight="1" x14ac:dyDescent="0.2">
      <c r="A40" s="35">
        <v>38</v>
      </c>
      <c r="B40" s="10">
        <v>45337</v>
      </c>
      <c r="C40" s="35">
        <v>24</v>
      </c>
      <c r="D40" s="11" t="s">
        <v>16</v>
      </c>
      <c r="E40" s="12" t="s">
        <v>14</v>
      </c>
      <c r="F40" s="47">
        <f t="shared" ref="F40:F44" si="5">K39</f>
        <v>112308.64824782647</v>
      </c>
      <c r="G40" s="48">
        <f t="shared" si="1"/>
        <v>95465.804708238778</v>
      </c>
      <c r="H40" s="63">
        <f t="shared" si="2"/>
        <v>1007.8843389036394</v>
      </c>
      <c r="I40" s="13">
        <f t="shared" si="3"/>
        <v>1.1764280266747087</v>
      </c>
      <c r="J40" s="14"/>
      <c r="K40" s="57">
        <f t="shared" ref="K40:K44" si="6">SUM(G39:H39)*I37</f>
        <v>118078.40126641026</v>
      </c>
      <c r="L40" s="53">
        <f t="shared" si="0"/>
        <v>5.1374075893531733E-2</v>
      </c>
    </row>
    <row r="41" spans="1:19" ht="15.75" customHeight="1" x14ac:dyDescent="0.2">
      <c r="A41" s="35">
        <v>39</v>
      </c>
      <c r="B41" s="10">
        <v>45366</v>
      </c>
      <c r="C41" s="35">
        <v>24</v>
      </c>
      <c r="D41" s="11" t="s">
        <v>17</v>
      </c>
      <c r="E41" s="12" t="s">
        <v>14</v>
      </c>
      <c r="F41" s="47">
        <f t="shared" si="5"/>
        <v>118078.40126641026</v>
      </c>
      <c r="G41" s="48">
        <f t="shared" si="1"/>
        <v>101796.74107226287</v>
      </c>
      <c r="H41" s="63">
        <f t="shared" si="2"/>
        <v>1099.2181464818225</v>
      </c>
      <c r="I41" s="13">
        <f t="shared" si="3"/>
        <v>1.1599428431858094</v>
      </c>
      <c r="J41" s="14"/>
      <c r="K41" s="57">
        <f t="shared" si="6"/>
        <v>109683.89103579403</v>
      </c>
      <c r="L41" s="53">
        <f t="shared" si="0"/>
        <v>7.1092681985729211E-2</v>
      </c>
      <c r="N41" s="21" t="s">
        <v>38</v>
      </c>
      <c r="O41" s="1" t="s">
        <v>39</v>
      </c>
      <c r="P41" s="32" t="s">
        <v>40</v>
      </c>
      <c r="R41" s="1" t="s">
        <v>38</v>
      </c>
      <c r="S41" s="26">
        <f>SUM(F39:F50)</f>
        <v>1391795.9685333639</v>
      </c>
    </row>
    <row r="42" spans="1:19" ht="15.75" customHeight="1" x14ac:dyDescent="0.2">
      <c r="A42" s="35">
        <v>40</v>
      </c>
      <c r="B42" s="10">
        <v>45397</v>
      </c>
      <c r="C42" s="35">
        <v>24</v>
      </c>
      <c r="D42" s="11" t="s">
        <v>18</v>
      </c>
      <c r="E42" s="12" t="s">
        <v>19</v>
      </c>
      <c r="F42" s="47">
        <f t="shared" si="5"/>
        <v>109683.89103579403</v>
      </c>
      <c r="G42" s="48">
        <f t="shared" si="1"/>
        <v>98445.890016359379</v>
      </c>
      <c r="H42" s="63">
        <f t="shared" si="2"/>
        <v>1022.8631226492191</v>
      </c>
      <c r="I42" s="13">
        <f t="shared" si="3"/>
        <v>1.114154090308566</v>
      </c>
      <c r="J42" s="14"/>
      <c r="K42" s="57">
        <f t="shared" si="6"/>
        <v>116683.58234419412</v>
      </c>
      <c r="L42" s="53">
        <f t="shared" si="0"/>
        <v>6.3816949255709923E-2</v>
      </c>
      <c r="N42" s="22" t="s">
        <v>14</v>
      </c>
      <c r="O42" s="23">
        <v>59000</v>
      </c>
      <c r="P42" s="24">
        <f>O42/$O$46</f>
        <v>0.80018203764622919</v>
      </c>
      <c r="R42" s="1" t="s">
        <v>14</v>
      </c>
      <c r="S42" s="27">
        <f>$S$41*P42/4</f>
        <v>278422.53352220857</v>
      </c>
    </row>
    <row r="43" spans="1:19" ht="15.75" customHeight="1" x14ac:dyDescent="0.2">
      <c r="A43" s="35">
        <v>41</v>
      </c>
      <c r="B43" s="10">
        <v>45427</v>
      </c>
      <c r="C43" s="35">
        <v>24</v>
      </c>
      <c r="D43" s="11" t="s">
        <v>20</v>
      </c>
      <c r="E43" s="12" t="s">
        <v>19</v>
      </c>
      <c r="F43" s="47">
        <f t="shared" si="5"/>
        <v>116683.58234419412</v>
      </c>
      <c r="G43" s="48">
        <f t="shared" si="1"/>
        <v>99263.919640940134</v>
      </c>
      <c r="H43" s="63">
        <f t="shared" si="2"/>
        <v>1019.3485555907226</v>
      </c>
      <c r="I43" s="13">
        <f t="shared" si="3"/>
        <v>1.1754883624006065</v>
      </c>
      <c r="J43" s="14" t="s">
        <v>15</v>
      </c>
      <c r="K43" s="57">
        <f t="shared" si="6"/>
        <v>117017.82897111762</v>
      </c>
      <c r="L43" s="53">
        <f t="shared" si="0"/>
        <v>2.8645557516184051E-3</v>
      </c>
      <c r="N43" s="22" t="s">
        <v>19</v>
      </c>
      <c r="O43" s="23">
        <v>69698.777777777781</v>
      </c>
      <c r="P43" s="24">
        <f>O43/$O$46</f>
        <v>0.9452832207402363</v>
      </c>
      <c r="R43" s="1" t="s">
        <v>19</v>
      </c>
      <c r="S43" s="27">
        <f>$S$41*P43/4</f>
        <v>328910.34393712372</v>
      </c>
    </row>
    <row r="44" spans="1:19" ht="15.75" customHeight="1" x14ac:dyDescent="0.2">
      <c r="A44" s="35">
        <v>42</v>
      </c>
      <c r="B44" s="10">
        <v>45458</v>
      </c>
      <c r="C44" s="35">
        <v>24</v>
      </c>
      <c r="D44" s="11" t="s">
        <v>21</v>
      </c>
      <c r="E44" s="12" t="s">
        <v>19</v>
      </c>
      <c r="F44" s="47">
        <f t="shared" si="5"/>
        <v>117017.82897111762</v>
      </c>
      <c r="G44" s="48">
        <f t="shared" si="1"/>
        <v>100715.2133579785</v>
      </c>
      <c r="H44" s="63">
        <f t="shared" si="2"/>
        <v>1026.759942155011</v>
      </c>
      <c r="I44" s="13">
        <f t="shared" si="3"/>
        <v>1.1618684513450186</v>
      </c>
      <c r="J44" s="14"/>
      <c r="K44" s="57">
        <f t="shared" si="6"/>
        <v>116322.85923584906</v>
      </c>
      <c r="L44" s="53">
        <f t="shared" si="0"/>
        <v>5.9390072553823772E-3</v>
      </c>
      <c r="N44" s="22" t="s">
        <v>23</v>
      </c>
      <c r="O44" s="23">
        <v>70333.333333333328</v>
      </c>
      <c r="P44" s="24">
        <f>O44/$O$46</f>
        <v>0.95388932171386631</v>
      </c>
      <c r="R44" s="1" t="s">
        <v>23</v>
      </c>
      <c r="S44" s="27">
        <f>$S$41*P44/4</f>
        <v>331904.828097096</v>
      </c>
    </row>
    <row r="45" spans="1:19" ht="15.75" customHeight="1" x14ac:dyDescent="0.2">
      <c r="A45" s="35">
        <v>43</v>
      </c>
      <c r="B45" s="10">
        <v>45488</v>
      </c>
      <c r="C45" s="35">
        <v>24</v>
      </c>
      <c r="D45" s="11" t="s">
        <v>22</v>
      </c>
      <c r="E45" s="12" t="s">
        <v>23</v>
      </c>
      <c r="F45" s="47">
        <f>K44</f>
        <v>116322.85923584906</v>
      </c>
      <c r="G45" s="48">
        <f t="shared" si="1"/>
        <v>103661.5987037318</v>
      </c>
      <c r="H45" s="63">
        <f t="shared" ref="H45:H50" si="7">$O$33*(G45-G44)+(1-$O$33)*H44</f>
        <v>1059.6971925157138</v>
      </c>
      <c r="I45" s="13">
        <f t="shared" si="3"/>
        <v>1.1221403170551474</v>
      </c>
      <c r="J45" s="14"/>
      <c r="K45" s="57">
        <f>SUM(G44:H44)*I42</f>
        <v>113356.23570840867</v>
      </c>
      <c r="L45" s="53">
        <f t="shared" si="0"/>
        <v>2.550335804096291E-2</v>
      </c>
      <c r="N45" s="22" t="s">
        <v>27</v>
      </c>
      <c r="O45" s="23">
        <v>95900.777777777781</v>
      </c>
      <c r="P45" s="24">
        <f>O45/$O$46</f>
        <v>1.3006454198996684</v>
      </c>
      <c r="R45" s="1" t="s">
        <v>27</v>
      </c>
      <c r="S45" s="27">
        <f>$S$41*P45/4</f>
        <v>452558.26297693572</v>
      </c>
    </row>
    <row r="46" spans="1:19" ht="15.75" customHeight="1" x14ac:dyDescent="0.2">
      <c r="A46" s="35">
        <v>44</v>
      </c>
      <c r="B46" s="10">
        <v>45519</v>
      </c>
      <c r="C46" s="35">
        <v>24</v>
      </c>
      <c r="D46" s="11" t="s">
        <v>24</v>
      </c>
      <c r="E46" s="12" t="s">
        <v>23</v>
      </c>
      <c r="F46" s="47">
        <f t="shared" ref="F46:F50" si="8">K45</f>
        <v>113356.23570840867</v>
      </c>
      <c r="G46" s="48">
        <f t="shared" si="1"/>
        <v>98746.154008430036</v>
      </c>
      <c r="H46" s="63">
        <f t="shared" si="7"/>
        <v>957.17471915666124</v>
      </c>
      <c r="I46" s="13">
        <f t="shared" si="3"/>
        <v>1.1479559568338364</v>
      </c>
      <c r="J46" s="14"/>
      <c r="K46" s="57">
        <f t="shared" ref="K46:K50" si="9">SUM(G45:H45)*I43</f>
        <v>123098.66462154934</v>
      </c>
      <c r="L46" s="53">
        <f t="shared" si="0"/>
        <v>8.5945240261872807E-2</v>
      </c>
      <c r="N46" s="22" t="s">
        <v>41</v>
      </c>
      <c r="O46" s="23">
        <v>73733.222222222219</v>
      </c>
      <c r="P46" s="25"/>
    </row>
    <row r="47" spans="1:19" ht="15.75" customHeight="1" x14ac:dyDescent="0.2">
      <c r="A47" s="35">
        <v>45</v>
      </c>
      <c r="B47" s="10">
        <v>45550</v>
      </c>
      <c r="C47" s="35">
        <v>24</v>
      </c>
      <c r="D47" s="11" t="s">
        <v>25</v>
      </c>
      <c r="E47" s="12" t="s">
        <v>23</v>
      </c>
      <c r="F47" s="47">
        <f t="shared" si="8"/>
        <v>123098.66462154934</v>
      </c>
      <c r="G47" s="48">
        <f t="shared" si="1"/>
        <v>104206.00058673434</v>
      </c>
      <c r="H47" s="63">
        <f t="shared" si="7"/>
        <v>1034.432308079397</v>
      </c>
      <c r="I47" s="13">
        <f t="shared" si="3"/>
        <v>1.1813011144122163</v>
      </c>
      <c r="J47" s="14" t="s">
        <v>15</v>
      </c>
      <c r="K47" s="57">
        <f t="shared" si="9"/>
        <v>115842.15214266446</v>
      </c>
      <c r="L47" s="53">
        <f t="shared" si="0"/>
        <v>5.8948750591195045E-2</v>
      </c>
    </row>
    <row r="48" spans="1:19" ht="16" x14ac:dyDescent="0.2">
      <c r="A48" s="35">
        <v>46</v>
      </c>
      <c r="B48" s="10">
        <v>45580</v>
      </c>
      <c r="C48" s="35">
        <v>24</v>
      </c>
      <c r="D48" s="11" t="s">
        <v>26</v>
      </c>
      <c r="E48" s="12" t="s">
        <v>27</v>
      </c>
      <c r="F48" s="47">
        <f t="shared" si="8"/>
        <v>115842.15214266446</v>
      </c>
      <c r="G48" s="48">
        <f t="shared" si="1"/>
        <v>103793.34829617768</v>
      </c>
      <c r="H48" s="63">
        <f t="shared" si="7"/>
        <v>1009.602991052726</v>
      </c>
      <c r="I48" s="13">
        <f t="shared" si="3"/>
        <v>1.1160845472689169</v>
      </c>
      <c r="J48" s="14"/>
      <c r="K48" s="57">
        <f t="shared" si="9"/>
        <v>118094.53273560725</v>
      </c>
      <c r="L48" s="53">
        <f t="shared" si="0"/>
        <v>1.9443532006975232E-2</v>
      </c>
    </row>
    <row r="49" spans="1:20" ht="16" x14ac:dyDescent="0.2">
      <c r="A49" s="35">
        <v>47</v>
      </c>
      <c r="B49" s="10">
        <v>45611</v>
      </c>
      <c r="C49" s="35">
        <v>24</v>
      </c>
      <c r="D49" s="11" t="s">
        <v>28</v>
      </c>
      <c r="E49" s="12" t="s">
        <v>27</v>
      </c>
      <c r="F49" s="47">
        <f t="shared" si="8"/>
        <v>118094.53273560725</v>
      </c>
      <c r="G49" s="48">
        <f t="shared" si="1"/>
        <v>103412.11144094993</v>
      </c>
      <c r="H49" s="63">
        <f t="shared" si="7"/>
        <v>985.73873079512009</v>
      </c>
      <c r="I49" s="13">
        <f t="shared" si="3"/>
        <v>1.141979707116233</v>
      </c>
      <c r="J49" s="14"/>
      <c r="K49" s="57">
        <f t="shared" si="9"/>
        <v>120309.17222394253</v>
      </c>
      <c r="L49" s="53">
        <f t="shared" si="0"/>
        <v>1.8753107675979062E-2</v>
      </c>
      <c r="N49" s="15" t="s">
        <v>3</v>
      </c>
      <c r="O49" t="s">
        <v>42</v>
      </c>
    </row>
    <row r="50" spans="1:20" ht="16" x14ac:dyDescent="0.2">
      <c r="A50" s="35">
        <v>48</v>
      </c>
      <c r="B50" s="10">
        <v>45641</v>
      </c>
      <c r="C50" s="35">
        <v>24</v>
      </c>
      <c r="D50" s="11" t="s">
        <v>29</v>
      </c>
      <c r="E50" s="12" t="s">
        <v>27</v>
      </c>
      <c r="F50" s="47">
        <f t="shared" si="8"/>
        <v>120309.17222394253</v>
      </c>
      <c r="G50" s="48">
        <f>$O$32*(F50/I47)+(1-$O$32)*(G49+H49)</f>
        <v>102557.12917835108</v>
      </c>
      <c r="H50" s="63">
        <f t="shared" si="7"/>
        <v>954.1553353628799</v>
      </c>
      <c r="I50" s="13">
        <f t="shared" si="3"/>
        <v>1.1730941884568542</v>
      </c>
      <c r="J50" s="14" t="s">
        <v>30</v>
      </c>
      <c r="K50" s="57">
        <f t="shared" si="9"/>
        <v>123325.29675012201</v>
      </c>
      <c r="L50" s="53">
        <f t="shared" si="0"/>
        <v>2.5069780386862715E-2</v>
      </c>
    </row>
    <row r="51" spans="1:20" ht="16" x14ac:dyDescent="0.2">
      <c r="N51" s="15" t="s">
        <v>38</v>
      </c>
      <c r="O51" t="s">
        <v>39</v>
      </c>
      <c r="P51" s="32" t="s">
        <v>40</v>
      </c>
      <c r="Q51" s="32" t="s">
        <v>43</v>
      </c>
      <c r="S51" s="21" t="s">
        <v>38</v>
      </c>
      <c r="T51" s="26">
        <f>SUM(F39:F50)</f>
        <v>1391795.9685333639</v>
      </c>
    </row>
    <row r="52" spans="1:20" ht="15.75" customHeight="1" x14ac:dyDescent="0.2">
      <c r="N52" s="16" t="s">
        <v>13</v>
      </c>
      <c r="O52" s="17">
        <v>83000</v>
      </c>
      <c r="P52" s="24">
        <f t="shared" ref="P52:P63" si="10">O52/$O$64</f>
        <v>0.85976840635969654</v>
      </c>
      <c r="Q52" s="24">
        <f>((O52+O53+O63)/3)/$O$64</f>
        <v>0.94263765034617331</v>
      </c>
      <c r="S52" s="22" t="s">
        <v>13</v>
      </c>
      <c r="T52" s="27">
        <f t="shared" ref="T52:T63" si="11">$T$51*Q52/12</f>
        <v>109329.94012829721</v>
      </c>
    </row>
    <row r="53" spans="1:20" ht="15.75" customHeight="1" x14ac:dyDescent="0.2">
      <c r="N53" s="16" t="s">
        <v>16</v>
      </c>
      <c r="O53" s="17">
        <v>85000</v>
      </c>
      <c r="P53" s="24">
        <f t="shared" si="10"/>
        <v>0.88048571735631576</v>
      </c>
      <c r="Q53" s="24">
        <f t="shared" ref="Q53:Q62" si="12">AVERAGE(O52:O54)/$O$64</f>
        <v>0.88048571735631576</v>
      </c>
      <c r="S53" s="22" t="s">
        <v>16</v>
      </c>
      <c r="T53" s="27">
        <f t="shared" si="11"/>
        <v>102121.37264731061</v>
      </c>
    </row>
    <row r="54" spans="1:20" ht="15.75" customHeight="1" x14ac:dyDescent="0.2">
      <c r="N54" s="16" t="s">
        <v>17</v>
      </c>
      <c r="O54" s="17">
        <v>87000</v>
      </c>
      <c r="P54" s="24">
        <f t="shared" si="10"/>
        <v>0.90120302835293498</v>
      </c>
      <c r="Q54" s="24">
        <f t="shared" si="12"/>
        <v>0.89429725802072846</v>
      </c>
      <c r="S54" s="22" t="s">
        <v>17</v>
      </c>
      <c r="T54" s="27">
        <f t="shared" si="11"/>
        <v>103723.27653197428</v>
      </c>
    </row>
    <row r="55" spans="1:20" ht="15.75" customHeight="1" x14ac:dyDescent="0.2">
      <c r="N55" s="16" t="s">
        <v>18</v>
      </c>
      <c r="O55" s="17">
        <v>87000</v>
      </c>
      <c r="P55" s="24">
        <f t="shared" si="10"/>
        <v>0.90120302835293498</v>
      </c>
      <c r="Q55" s="24">
        <f t="shared" si="12"/>
        <v>0.91846745418345099</v>
      </c>
      <c r="S55" s="22" t="s">
        <v>18</v>
      </c>
      <c r="T55" s="27">
        <f t="shared" si="11"/>
        <v>106526.60833013576</v>
      </c>
    </row>
    <row r="56" spans="1:20" ht="15.75" customHeight="1" x14ac:dyDescent="0.2">
      <c r="N56" s="16" t="s">
        <v>20</v>
      </c>
      <c r="O56" s="17">
        <v>92000</v>
      </c>
      <c r="P56" s="24">
        <f t="shared" si="10"/>
        <v>0.95299630584448292</v>
      </c>
      <c r="Q56" s="24">
        <f t="shared" si="12"/>
        <v>0.99906987905838085</v>
      </c>
      <c r="S56" s="22" t="s">
        <v>20</v>
      </c>
      <c r="T56" s="27">
        <f t="shared" si="11"/>
        <v>115875.11916304748</v>
      </c>
    </row>
    <row r="57" spans="1:20" ht="15.75" customHeight="1" x14ac:dyDescent="0.2">
      <c r="N57" s="16" t="s">
        <v>21</v>
      </c>
      <c r="O57" s="17">
        <v>110343.5</v>
      </c>
      <c r="P57" s="24">
        <f t="shared" si="10"/>
        <v>1.143010302977725</v>
      </c>
      <c r="Q57" s="24">
        <f t="shared" si="12"/>
        <v>1.0266929603872066</v>
      </c>
      <c r="S57" s="22" t="s">
        <v>21</v>
      </c>
      <c r="T57" s="27">
        <f t="shared" si="11"/>
        <v>119078.9269323749</v>
      </c>
    </row>
    <row r="58" spans="1:20" ht="15.75" customHeight="1" x14ac:dyDescent="0.2">
      <c r="N58" s="16" t="s">
        <v>22</v>
      </c>
      <c r="O58" s="17">
        <v>95000</v>
      </c>
      <c r="P58" s="24">
        <f t="shared" si="10"/>
        <v>0.98407227233941175</v>
      </c>
      <c r="Q58" s="24">
        <f t="shared" si="12"/>
        <v>1.0439573862177225</v>
      </c>
      <c r="S58" s="22" t="s">
        <v>22</v>
      </c>
      <c r="T58" s="27">
        <f t="shared" si="11"/>
        <v>121081.30678820451</v>
      </c>
    </row>
    <row r="59" spans="1:20" ht="15.75" customHeight="1" x14ac:dyDescent="0.2">
      <c r="N59" s="16" t="s">
        <v>24</v>
      </c>
      <c r="O59" s="17">
        <v>97000</v>
      </c>
      <c r="P59" s="24">
        <f t="shared" si="10"/>
        <v>1.004789583336031</v>
      </c>
      <c r="Q59" s="24">
        <f t="shared" si="12"/>
        <v>0.99788381300382445</v>
      </c>
      <c r="S59" s="22" t="s">
        <v>24</v>
      </c>
      <c r="T59" s="27">
        <f t="shared" si="11"/>
        <v>115737.555666952</v>
      </c>
    </row>
    <row r="60" spans="1:20" ht="15.75" customHeight="1" x14ac:dyDescent="0.2">
      <c r="N60" s="16" t="s">
        <v>25</v>
      </c>
      <c r="O60" s="17">
        <v>97000</v>
      </c>
      <c r="P60" s="24">
        <f t="shared" si="10"/>
        <v>1.004789583336031</v>
      </c>
      <c r="Q60" s="24">
        <f t="shared" si="12"/>
        <v>1.0220540091665469</v>
      </c>
      <c r="S60" s="22" t="s">
        <v>25</v>
      </c>
      <c r="T60" s="27">
        <f t="shared" si="11"/>
        <v>118540.88746511348</v>
      </c>
    </row>
    <row r="61" spans="1:20" ht="15.75" customHeight="1" x14ac:dyDescent="0.2">
      <c r="N61" s="16" t="s">
        <v>26</v>
      </c>
      <c r="O61" s="17">
        <v>102000</v>
      </c>
      <c r="P61" s="24">
        <f t="shared" si="10"/>
        <v>1.0565828608275789</v>
      </c>
      <c r="Q61" s="24">
        <f t="shared" si="12"/>
        <v>1.0949375092526532</v>
      </c>
      <c r="S61" s="22" t="s">
        <v>26</v>
      </c>
      <c r="T61" s="27">
        <f t="shared" si="11"/>
        <v>126994.1342644838</v>
      </c>
    </row>
    <row r="62" spans="1:20" ht="15.75" customHeight="1" x14ac:dyDescent="0.2">
      <c r="F62" s="50"/>
      <c r="G62" s="50"/>
      <c r="H62" s="19"/>
      <c r="N62" s="16" t="s">
        <v>28</v>
      </c>
      <c r="O62" s="17">
        <v>118108</v>
      </c>
      <c r="P62" s="24">
        <f t="shared" si="10"/>
        <v>1.22344008359435</v>
      </c>
      <c r="Q62" s="24">
        <f t="shared" si="12"/>
        <v>1.1225605905814788</v>
      </c>
      <c r="S62" s="22" t="s">
        <v>28</v>
      </c>
      <c r="T62" s="27">
        <f t="shared" si="11"/>
        <v>130197.9420338112</v>
      </c>
    </row>
    <row r="63" spans="1:20" ht="15.75" customHeight="1" x14ac:dyDescent="0.2">
      <c r="H63" s="19"/>
      <c r="N63" s="16" t="s">
        <v>29</v>
      </c>
      <c r="O63" s="17">
        <v>105000</v>
      </c>
      <c r="P63" s="24">
        <f t="shared" si="10"/>
        <v>1.0876588273225076</v>
      </c>
      <c r="Q63" s="24">
        <f>((O62+O63+O52)/3)/$O$64</f>
        <v>1.0569557724255181</v>
      </c>
      <c r="S63" s="22" t="s">
        <v>29</v>
      </c>
      <c r="T63" s="27">
        <f t="shared" si="11"/>
        <v>122588.89858165865</v>
      </c>
    </row>
    <row r="64" spans="1:20" ht="15.75" customHeight="1" x14ac:dyDescent="0.2">
      <c r="H64" s="19"/>
      <c r="N64" s="16" t="s">
        <v>41</v>
      </c>
      <c r="O64" s="17">
        <v>96537.625</v>
      </c>
      <c r="P64" s="32"/>
      <c r="Q64" s="32"/>
    </row>
    <row r="65" spans="6:8" ht="15.75" customHeight="1" x14ac:dyDescent="0.2">
      <c r="H65" s="19"/>
    </row>
    <row r="66" spans="6:8" ht="15.75" customHeight="1" x14ac:dyDescent="0.2">
      <c r="H66" s="19"/>
    </row>
    <row r="67" spans="6:8" ht="15.75" customHeight="1" x14ac:dyDescent="0.2">
      <c r="H67" s="19"/>
    </row>
    <row r="68" spans="6:8" ht="15.75" customHeight="1" x14ac:dyDescent="0.2">
      <c r="F68" s="50"/>
      <c r="G68" s="50"/>
      <c r="H68" s="19"/>
    </row>
  </sheetData>
  <autoFilter ref="A2:K49" xr:uid="{7CE6B076-4182-304A-AAA0-58D3A3774C88}"/>
  <phoneticPr fontId="8" type="noConversion"/>
  <conditionalFormatting sqref="G39:G50">
    <cfRule type="cellIs" dxfId="1" priority="3" operator="lessThan">
      <formula>0</formula>
    </cfRule>
  </conditionalFormatting>
  <conditionalFormatting sqref="H3:H4 H6:H50">
    <cfRule type="cellIs" dxfId="0" priority="11" operator="lessThan">
      <formula>0</formula>
    </cfRule>
  </conditionalFormatting>
  <conditionalFormatting sqref="P42:P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Q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S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:T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Bulfon</dc:creator>
  <cp:keywords/>
  <dc:description/>
  <cp:lastModifiedBy>Luca Bulfon1</cp:lastModifiedBy>
  <cp:revision/>
  <dcterms:created xsi:type="dcterms:W3CDTF">2024-04-16T00:01:17Z</dcterms:created>
  <dcterms:modified xsi:type="dcterms:W3CDTF">2024-08-30T21:19:09Z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ca6640-7970-499b-9589-ea1462fbd36c_Enabled">
    <vt:lpwstr>true</vt:lpwstr>
  </property>
  <property fmtid="{D5CDD505-2E9C-101B-9397-08002B2CF9AE}" pid="3" name="MSIP_Label_75ca6640-7970-499b-9589-ea1462fbd36c_SetDate">
    <vt:lpwstr>2024-04-16T00:01:37Z</vt:lpwstr>
  </property>
  <property fmtid="{D5CDD505-2E9C-101B-9397-08002B2CF9AE}" pid="4" name="MSIP_Label_75ca6640-7970-499b-9589-ea1462fbd36c_Method">
    <vt:lpwstr>Privileged</vt:lpwstr>
  </property>
  <property fmtid="{D5CDD505-2E9C-101B-9397-08002B2CF9AE}" pid="5" name="MSIP_Label_75ca6640-7970-499b-9589-ea1462fbd36c_Name">
    <vt:lpwstr>General</vt:lpwstr>
  </property>
  <property fmtid="{D5CDD505-2E9C-101B-9397-08002B2CF9AE}" pid="6" name="MSIP_Label_75ca6640-7970-499b-9589-ea1462fbd36c_SiteId">
    <vt:lpwstr>8cba7b62-9e86-46c6-9b1b-06504a61c72d</vt:lpwstr>
  </property>
  <property fmtid="{D5CDD505-2E9C-101B-9397-08002B2CF9AE}" pid="7" name="MSIP_Label_75ca6640-7970-499b-9589-ea1462fbd36c_ActionId">
    <vt:lpwstr>501a9254-3bbb-483e-b967-70f09d4f1f77</vt:lpwstr>
  </property>
  <property fmtid="{D5CDD505-2E9C-101B-9397-08002B2CF9AE}" pid="8" name="MSIP_Label_75ca6640-7970-499b-9589-ea1462fbd36c_ContentBits">
    <vt:lpwstr>0</vt:lpwstr>
  </property>
</Properties>
</file>