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stasl/Desktop/"/>
    </mc:Choice>
  </mc:AlternateContent>
  <xr:revisionPtr revIDLastSave="0" documentId="13_ncr:1_{AB8BC48E-5FE8-C841-A69D-32B42333E1AF}" xr6:coauthVersionLast="47" xr6:coauthVersionMax="47" xr10:uidLastSave="{00000000-0000-0000-0000-000000000000}"/>
  <bookViews>
    <workbookView xWindow="51380" yWindow="11980" windowWidth="51220" windowHeight="20460" xr2:uid="{46BA5E19-9D2A-754F-B62E-C43D6BE7FCE1}"/>
  </bookViews>
  <sheets>
    <sheet name="Net income" sheetId="1" r:id="rId1"/>
    <sheet name="Offer evaluation" sheetId="5" r:id="rId2"/>
    <sheet name="Taxes" sheetId="2" r:id="rId3"/>
    <sheet name="Deduction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5" l="1"/>
  <c r="AN5" i="5"/>
  <c r="AP5" i="5" s="1"/>
  <c r="AQ5" i="5" s="1"/>
  <c r="O5" i="5"/>
  <c r="P5" i="5" s="1"/>
  <c r="K5" i="5"/>
  <c r="M5" i="5" s="1"/>
  <c r="N5" i="5" s="1"/>
  <c r="D5" i="5"/>
  <c r="C5" i="5"/>
  <c r="B5" i="5"/>
  <c r="AN4" i="5"/>
  <c r="AP4" i="5" s="1"/>
  <c r="AQ4" i="5" s="1"/>
  <c r="AI4" i="5"/>
  <c r="AK4" i="5" s="1"/>
  <c r="AL4" i="5" s="1"/>
  <c r="AH4" i="5"/>
  <c r="O4" i="5"/>
  <c r="P4" i="5" s="1"/>
  <c r="K4" i="5"/>
  <c r="M4" i="5" s="1"/>
  <c r="N4" i="5" s="1"/>
  <c r="C4" i="5"/>
  <c r="B4" i="5"/>
  <c r="O1" i="5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AN11" i="1"/>
  <c r="AN5" i="1"/>
  <c r="AN6" i="1"/>
  <c r="AN7" i="1"/>
  <c r="AN8" i="1"/>
  <c r="AN9" i="1"/>
  <c r="AN10" i="1"/>
  <c r="AN12" i="1"/>
  <c r="AO12" i="1" s="1"/>
  <c r="AN13" i="1"/>
  <c r="AO13" i="1" s="1"/>
  <c r="AN14" i="1"/>
  <c r="AO14" i="1" s="1"/>
  <c r="AN15" i="1"/>
  <c r="AN16" i="1"/>
  <c r="AN17" i="1"/>
  <c r="AN18" i="1"/>
  <c r="AN19" i="1"/>
  <c r="AO19" i="1" s="1"/>
  <c r="AN20" i="1"/>
  <c r="AO20" i="1" s="1"/>
  <c r="AN21" i="1"/>
  <c r="AN22" i="1"/>
  <c r="AN23" i="1"/>
  <c r="AO23" i="1" s="1"/>
  <c r="AN24" i="1"/>
  <c r="AN25" i="1"/>
  <c r="AN26" i="1"/>
  <c r="AN27" i="1"/>
  <c r="AN28" i="1"/>
  <c r="AN29" i="1"/>
  <c r="AN30" i="1"/>
  <c r="AN4" i="1"/>
  <c r="AO9" i="1"/>
  <c r="AO15" i="1"/>
  <c r="AO16" i="1"/>
  <c r="AO17" i="1"/>
  <c r="AP18" i="1"/>
  <c r="AQ18" i="1" s="1"/>
  <c r="Z5" i="1"/>
  <c r="AA5" i="1"/>
  <c r="AC5" i="1" s="1"/>
  <c r="AB5" i="1"/>
  <c r="Z6" i="1"/>
  <c r="AA6" i="1"/>
  <c r="AB6" i="1" s="1"/>
  <c r="Z7" i="1"/>
  <c r="AA7" i="1"/>
  <c r="AB7" i="1" s="1"/>
  <c r="Z8" i="1"/>
  <c r="AA8" i="1"/>
  <c r="AC8" i="1" s="1"/>
  <c r="AB8" i="1"/>
  <c r="Z9" i="1"/>
  <c r="AA9" i="1"/>
  <c r="AB9" i="1" s="1"/>
  <c r="AC9" i="1"/>
  <c r="AD9" i="1" s="1"/>
  <c r="Z10" i="1"/>
  <c r="AA10" i="1"/>
  <c r="AB10" i="1" s="1"/>
  <c r="Z11" i="1"/>
  <c r="AA11" i="1"/>
  <c r="AB11" i="1"/>
  <c r="AC11" i="1"/>
  <c r="AD11" i="1" s="1"/>
  <c r="AE11" i="1"/>
  <c r="Z12" i="1"/>
  <c r="AA12" i="1"/>
  <c r="AC12" i="1" s="1"/>
  <c r="AB12" i="1"/>
  <c r="Z13" i="1"/>
  <c r="AA13" i="1"/>
  <c r="AC13" i="1" s="1"/>
  <c r="AB13" i="1"/>
  <c r="Z14" i="1"/>
  <c r="AA14" i="1"/>
  <c r="AB14" i="1" s="1"/>
  <c r="AC14" i="1"/>
  <c r="AD14" i="1" s="1"/>
  <c r="AE14" i="1"/>
  <c r="Z15" i="1"/>
  <c r="AA15" i="1"/>
  <c r="AC15" i="1" s="1"/>
  <c r="AB15" i="1"/>
  <c r="Z16" i="1"/>
  <c r="AA16" i="1"/>
  <c r="AC16" i="1" s="1"/>
  <c r="AB16" i="1"/>
  <c r="Z17" i="1"/>
  <c r="AA17" i="1"/>
  <c r="AB17" i="1" s="1"/>
  <c r="AC17" i="1"/>
  <c r="AE17" i="1" s="1"/>
  <c r="AD17" i="1"/>
  <c r="Z18" i="1"/>
  <c r="AA18" i="1"/>
  <c r="AB18" i="1" s="1"/>
  <c r="Z19" i="1"/>
  <c r="AA19" i="1"/>
  <c r="AB19" i="1"/>
  <c r="AC19" i="1"/>
  <c r="AD19" i="1"/>
  <c r="AE19" i="1"/>
  <c r="Z20" i="1"/>
  <c r="AA20" i="1"/>
  <c r="AC20" i="1" s="1"/>
  <c r="AB20" i="1"/>
  <c r="Z21" i="1"/>
  <c r="AA21" i="1"/>
  <c r="AC21" i="1" s="1"/>
  <c r="AB21" i="1"/>
  <c r="Z22" i="1"/>
  <c r="AA22" i="1"/>
  <c r="AB22" i="1"/>
  <c r="AC22" i="1"/>
  <c r="AD22" i="1" s="1"/>
  <c r="AE22" i="1"/>
  <c r="Z23" i="1"/>
  <c r="AA23" i="1"/>
  <c r="AC23" i="1" s="1"/>
  <c r="AB23" i="1"/>
  <c r="Z24" i="1"/>
  <c r="AA24" i="1"/>
  <c r="AC24" i="1" s="1"/>
  <c r="AB24" i="1"/>
  <c r="Z25" i="1"/>
  <c r="AA25" i="1"/>
  <c r="AB25" i="1" s="1"/>
  <c r="AC25" i="1"/>
  <c r="AE25" i="1" s="1"/>
  <c r="AD25" i="1"/>
  <c r="Z26" i="1"/>
  <c r="AA26" i="1"/>
  <c r="AB26" i="1" s="1"/>
  <c r="Z27" i="1"/>
  <c r="AA27" i="1"/>
  <c r="AB27" i="1"/>
  <c r="AC27" i="1"/>
  <c r="AD27" i="1"/>
  <c r="AE27" i="1"/>
  <c r="Z28" i="1"/>
  <c r="AA28" i="1"/>
  <c r="AC28" i="1" s="1"/>
  <c r="AB28" i="1"/>
  <c r="Z29" i="1"/>
  <c r="AA29" i="1"/>
  <c r="AC29" i="1" s="1"/>
  <c r="AB29" i="1"/>
  <c r="Z30" i="1"/>
  <c r="AA30" i="1"/>
  <c r="AB30" i="1"/>
  <c r="AC30" i="1"/>
  <c r="AD30" i="1" s="1"/>
  <c r="AE30" i="1"/>
  <c r="AE4" i="1"/>
  <c r="AC4" i="1"/>
  <c r="AA4" i="1"/>
  <c r="AB4" i="1" s="1"/>
  <c r="G4" i="1"/>
  <c r="Q5" i="1"/>
  <c r="R5" i="1"/>
  <c r="S5" i="1"/>
  <c r="T5" i="1" s="1"/>
  <c r="U5" i="1"/>
  <c r="V5" i="1" s="1"/>
  <c r="Q6" i="1"/>
  <c r="R6" i="1" s="1"/>
  <c r="S6" i="1"/>
  <c r="T6" i="1"/>
  <c r="U6" i="1"/>
  <c r="V6" i="1"/>
  <c r="Q7" i="1"/>
  <c r="R7" i="1" s="1"/>
  <c r="S7" i="1"/>
  <c r="T7" i="1"/>
  <c r="U7" i="1"/>
  <c r="V7" i="1"/>
  <c r="Q8" i="1"/>
  <c r="R8" i="1" s="1"/>
  <c r="S8" i="1"/>
  <c r="T8" i="1" s="1"/>
  <c r="U8" i="1"/>
  <c r="V8" i="1" s="1"/>
  <c r="Q9" i="1"/>
  <c r="R9" i="1"/>
  <c r="S9" i="1"/>
  <c r="T9" i="1"/>
  <c r="U9" i="1"/>
  <c r="V9" i="1"/>
  <c r="Q10" i="1"/>
  <c r="R10" i="1"/>
  <c r="S10" i="1"/>
  <c r="T10" i="1"/>
  <c r="U10" i="1"/>
  <c r="V10" i="1" s="1"/>
  <c r="Q11" i="1"/>
  <c r="R11" i="1" s="1"/>
  <c r="S11" i="1"/>
  <c r="T11" i="1" s="1"/>
  <c r="U11" i="1"/>
  <c r="V11" i="1"/>
  <c r="Q12" i="1"/>
  <c r="R12" i="1"/>
  <c r="S12" i="1"/>
  <c r="T12" i="1"/>
  <c r="U12" i="1"/>
  <c r="V12" i="1"/>
  <c r="Q13" i="1"/>
  <c r="R13" i="1"/>
  <c r="S13" i="1"/>
  <c r="T13" i="1" s="1"/>
  <c r="U13" i="1"/>
  <c r="V13" i="1" s="1"/>
  <c r="Q14" i="1"/>
  <c r="R14" i="1" s="1"/>
  <c r="S14" i="1"/>
  <c r="T14" i="1"/>
  <c r="U14" i="1"/>
  <c r="V14" i="1"/>
  <c r="Q15" i="1"/>
  <c r="R15" i="1"/>
  <c r="S15" i="1"/>
  <c r="T15" i="1"/>
  <c r="U15" i="1"/>
  <c r="V15" i="1"/>
  <c r="Q16" i="1"/>
  <c r="R16" i="1" s="1"/>
  <c r="S16" i="1"/>
  <c r="T16" i="1" s="1"/>
  <c r="U16" i="1"/>
  <c r="V16" i="1" s="1"/>
  <c r="Q17" i="1"/>
  <c r="R17" i="1"/>
  <c r="S17" i="1"/>
  <c r="T17" i="1"/>
  <c r="U17" i="1"/>
  <c r="V17" i="1"/>
  <c r="Q18" i="1"/>
  <c r="R18" i="1"/>
  <c r="S18" i="1"/>
  <c r="T18" i="1"/>
  <c r="U18" i="1"/>
  <c r="V18" i="1" s="1"/>
  <c r="Q19" i="1"/>
  <c r="R19" i="1" s="1"/>
  <c r="S19" i="1"/>
  <c r="T19" i="1" s="1"/>
  <c r="U19" i="1"/>
  <c r="V19" i="1"/>
  <c r="Q20" i="1"/>
  <c r="R20" i="1"/>
  <c r="S20" i="1"/>
  <c r="T20" i="1" s="1"/>
  <c r="U20" i="1"/>
  <c r="V20" i="1"/>
  <c r="Q21" i="1"/>
  <c r="R21" i="1"/>
  <c r="S21" i="1"/>
  <c r="T21" i="1" s="1"/>
  <c r="U21" i="1"/>
  <c r="V21" i="1" s="1"/>
  <c r="Q22" i="1"/>
  <c r="R22" i="1" s="1"/>
  <c r="S22" i="1"/>
  <c r="T22" i="1"/>
  <c r="U22" i="1"/>
  <c r="V22" i="1"/>
  <c r="Q23" i="1"/>
  <c r="R23" i="1"/>
  <c r="S23" i="1"/>
  <c r="T23" i="1"/>
  <c r="U23" i="1"/>
  <c r="V23" i="1"/>
  <c r="Q24" i="1"/>
  <c r="R24" i="1" s="1"/>
  <c r="S24" i="1"/>
  <c r="T24" i="1" s="1"/>
  <c r="U24" i="1"/>
  <c r="V24" i="1" s="1"/>
  <c r="Q25" i="1"/>
  <c r="R25" i="1"/>
  <c r="S25" i="1"/>
  <c r="T25" i="1"/>
  <c r="U25" i="1"/>
  <c r="V25" i="1" s="1"/>
  <c r="Q26" i="1"/>
  <c r="R26" i="1"/>
  <c r="S26" i="1"/>
  <c r="T26" i="1"/>
  <c r="U26" i="1"/>
  <c r="V26" i="1" s="1"/>
  <c r="Q27" i="1"/>
  <c r="R27" i="1" s="1"/>
  <c r="S27" i="1"/>
  <c r="T27" i="1" s="1"/>
  <c r="U27" i="1"/>
  <c r="V27" i="1"/>
  <c r="Q28" i="1"/>
  <c r="R28" i="1"/>
  <c r="S28" i="1"/>
  <c r="T28" i="1"/>
  <c r="U28" i="1"/>
  <c r="V28" i="1"/>
  <c r="Q29" i="1"/>
  <c r="R29" i="1"/>
  <c r="S29" i="1"/>
  <c r="T29" i="1" s="1"/>
  <c r="U29" i="1"/>
  <c r="V29" i="1" s="1"/>
  <c r="Q30" i="1"/>
  <c r="R30" i="1" s="1"/>
  <c r="S30" i="1"/>
  <c r="T30" i="1"/>
  <c r="U30" i="1"/>
  <c r="V30" i="1"/>
  <c r="U4" i="1"/>
  <c r="I5" i="1"/>
  <c r="J5" i="1" s="1"/>
  <c r="I6" i="1"/>
  <c r="J6" i="1" s="1"/>
  <c r="I7" i="1"/>
  <c r="J7" i="1"/>
  <c r="I8" i="1"/>
  <c r="J8" i="1"/>
  <c r="I9" i="1"/>
  <c r="J9" i="1"/>
  <c r="I10" i="1"/>
  <c r="J10" i="1"/>
  <c r="I11" i="1"/>
  <c r="J11" i="1"/>
  <c r="I12" i="1"/>
  <c r="J12" i="1" s="1"/>
  <c r="I13" i="1"/>
  <c r="J13" i="1" s="1"/>
  <c r="I14" i="1"/>
  <c r="J14" i="1" s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 s="1"/>
  <c r="I22" i="1"/>
  <c r="J22" i="1" s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 s="1"/>
  <c r="I30" i="1"/>
  <c r="J30" i="1" s="1"/>
  <c r="I4" i="1"/>
  <c r="S4" i="1"/>
  <c r="Q4" i="1"/>
  <c r="W4" i="1" s="1"/>
  <c r="AD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C29" i="1"/>
  <c r="D29" i="1" s="1"/>
  <c r="C30" i="1"/>
  <c r="D30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5" i="1"/>
  <c r="D5" i="1" s="1"/>
  <c r="C4" i="1"/>
  <c r="D4" i="1" s="1"/>
  <c r="AI8" i="1"/>
  <c r="AJ8" i="1" s="1"/>
  <c r="O1" i="1"/>
  <c r="AH4" i="1"/>
  <c r="AO5" i="1"/>
  <c r="AO6" i="1"/>
  <c r="AO7" i="1"/>
  <c r="AO8" i="1"/>
  <c r="AO10" i="1"/>
  <c r="AO11" i="1"/>
  <c r="AO21" i="1"/>
  <c r="AO22" i="1"/>
  <c r="AO24" i="1"/>
  <c r="AO25" i="1"/>
  <c r="AO26" i="1"/>
  <c r="AO27" i="1"/>
  <c r="AP28" i="1"/>
  <c r="AQ28" i="1" s="1"/>
  <c r="AO29" i="1"/>
  <c r="AO30" i="1"/>
  <c r="AO4" i="1"/>
  <c r="AI5" i="1"/>
  <c r="AK5" i="1" s="1"/>
  <c r="AL5" i="1" s="1"/>
  <c r="AI6" i="1"/>
  <c r="AK6" i="1" s="1"/>
  <c r="AL6" i="1" s="1"/>
  <c r="AI7" i="1"/>
  <c r="AK7" i="1" s="1"/>
  <c r="AL7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K30" i="1" s="1"/>
  <c r="AL30" i="1" s="1"/>
  <c r="AI4" i="1"/>
  <c r="AJ4" i="1" s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K5" i="1"/>
  <c r="L5" i="1" s="1"/>
  <c r="K4" i="1"/>
  <c r="L4" i="1" s="1"/>
  <c r="O5" i="1"/>
  <c r="P5" i="1" s="1"/>
  <c r="K6" i="1"/>
  <c r="L6" i="1" s="1"/>
  <c r="O6" i="1"/>
  <c r="P6" i="1" s="1"/>
  <c r="K7" i="1"/>
  <c r="L7" i="1" s="1"/>
  <c r="O7" i="1"/>
  <c r="P7" i="1" s="1"/>
  <c r="K8" i="1"/>
  <c r="L8" i="1" s="1"/>
  <c r="O8" i="1"/>
  <c r="P8" i="1" s="1"/>
  <c r="K9" i="1"/>
  <c r="M9" i="1" s="1"/>
  <c r="N9" i="1" s="1"/>
  <c r="O9" i="1"/>
  <c r="P9" i="1" s="1"/>
  <c r="K10" i="1"/>
  <c r="M10" i="1" s="1"/>
  <c r="N10" i="1" s="1"/>
  <c r="O10" i="1"/>
  <c r="P10" i="1" s="1"/>
  <c r="K11" i="1"/>
  <c r="M11" i="1" s="1"/>
  <c r="N11" i="1" s="1"/>
  <c r="O11" i="1"/>
  <c r="P11" i="1" s="1"/>
  <c r="K12" i="1"/>
  <c r="L12" i="1" s="1"/>
  <c r="O12" i="1"/>
  <c r="P12" i="1" s="1"/>
  <c r="K13" i="1"/>
  <c r="M13" i="1" s="1"/>
  <c r="N13" i="1" s="1"/>
  <c r="O13" i="1"/>
  <c r="P13" i="1" s="1"/>
  <c r="K14" i="1"/>
  <c r="M14" i="1" s="1"/>
  <c r="N14" i="1" s="1"/>
  <c r="O14" i="1"/>
  <c r="P14" i="1" s="1"/>
  <c r="K15" i="1"/>
  <c r="M15" i="1" s="1"/>
  <c r="N15" i="1" s="1"/>
  <c r="O15" i="1"/>
  <c r="P15" i="1" s="1"/>
  <c r="K16" i="1"/>
  <c r="L16" i="1" s="1"/>
  <c r="O16" i="1"/>
  <c r="P16" i="1" s="1"/>
  <c r="K17" i="1"/>
  <c r="L17" i="1" s="1"/>
  <c r="O17" i="1"/>
  <c r="P17" i="1" s="1"/>
  <c r="K18" i="1"/>
  <c r="M18" i="1" s="1"/>
  <c r="N18" i="1" s="1"/>
  <c r="O18" i="1"/>
  <c r="P18" i="1" s="1"/>
  <c r="K19" i="1"/>
  <c r="M19" i="1" s="1"/>
  <c r="N19" i="1" s="1"/>
  <c r="O19" i="1"/>
  <c r="P19" i="1" s="1"/>
  <c r="K20" i="1"/>
  <c r="L20" i="1" s="1"/>
  <c r="O20" i="1"/>
  <c r="P20" i="1" s="1"/>
  <c r="K21" i="1"/>
  <c r="L21" i="1" s="1"/>
  <c r="O21" i="1"/>
  <c r="P21" i="1" s="1"/>
  <c r="K22" i="1"/>
  <c r="M22" i="1" s="1"/>
  <c r="N22" i="1" s="1"/>
  <c r="O22" i="1"/>
  <c r="P22" i="1" s="1"/>
  <c r="K23" i="1"/>
  <c r="L23" i="1" s="1"/>
  <c r="O23" i="1"/>
  <c r="P23" i="1" s="1"/>
  <c r="K24" i="1"/>
  <c r="L24" i="1" s="1"/>
  <c r="O24" i="1"/>
  <c r="P24" i="1" s="1"/>
  <c r="K25" i="1"/>
  <c r="L25" i="1" s="1"/>
  <c r="M25" i="1"/>
  <c r="N25" i="1" s="1"/>
  <c r="O25" i="1"/>
  <c r="P25" i="1" s="1"/>
  <c r="K26" i="1"/>
  <c r="M26" i="1" s="1"/>
  <c r="N26" i="1" s="1"/>
  <c r="O26" i="1"/>
  <c r="P26" i="1" s="1"/>
  <c r="K27" i="1"/>
  <c r="M27" i="1" s="1"/>
  <c r="N27" i="1" s="1"/>
  <c r="O27" i="1"/>
  <c r="P27" i="1" s="1"/>
  <c r="K28" i="1"/>
  <c r="L28" i="1" s="1"/>
  <c r="O28" i="1"/>
  <c r="P28" i="1" s="1"/>
  <c r="K29" i="1"/>
  <c r="L29" i="1" s="1"/>
  <c r="O29" i="1"/>
  <c r="P29" i="1" s="1"/>
  <c r="K30" i="1"/>
  <c r="M30" i="1" s="1"/>
  <c r="N30" i="1" s="1"/>
  <c r="O30" i="1"/>
  <c r="P30" i="1" s="1"/>
  <c r="O4" i="1"/>
  <c r="P4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4" i="1"/>
  <c r="AJ4" i="5" l="1"/>
  <c r="L5" i="5"/>
  <c r="D4" i="5"/>
  <c r="E4" i="5"/>
  <c r="AO4" i="5"/>
  <c r="G4" i="5"/>
  <c r="L4" i="5"/>
  <c r="E5" i="5"/>
  <c r="AO5" i="5"/>
  <c r="AE24" i="1"/>
  <c r="AD24" i="1"/>
  <c r="AD28" i="1"/>
  <c r="AE28" i="1"/>
  <c r="AD13" i="1"/>
  <c r="AE13" i="1"/>
  <c r="AD15" i="1"/>
  <c r="AE15" i="1"/>
  <c r="AD8" i="1"/>
  <c r="AE8" i="1"/>
  <c r="AD12" i="1"/>
  <c r="AE12" i="1"/>
  <c r="AD21" i="1"/>
  <c r="AE21" i="1"/>
  <c r="AE16" i="1"/>
  <c r="AD16" i="1"/>
  <c r="AD20" i="1"/>
  <c r="AE20" i="1"/>
  <c r="AD23" i="1"/>
  <c r="AE23" i="1"/>
  <c r="AD29" i="1"/>
  <c r="AE29" i="1"/>
  <c r="AD5" i="1"/>
  <c r="AE5" i="1"/>
  <c r="AC7" i="1"/>
  <c r="AE9" i="1"/>
  <c r="AC6" i="1"/>
  <c r="AC26" i="1"/>
  <c r="AC18" i="1"/>
  <c r="AC10" i="1"/>
  <c r="M29" i="1"/>
  <c r="N29" i="1" s="1"/>
  <c r="AK11" i="1"/>
  <c r="AL11" i="1" s="1"/>
  <c r="AK13" i="1"/>
  <c r="AL13" i="1" s="1"/>
  <c r="AJ30" i="1"/>
  <c r="AK12" i="1"/>
  <c r="AL12" i="1" s="1"/>
  <c r="L30" i="1"/>
  <c r="L27" i="1"/>
  <c r="L19" i="1"/>
  <c r="AO28" i="1"/>
  <c r="AJ5" i="1"/>
  <c r="AP27" i="1"/>
  <c r="AQ27" i="1" s="1"/>
  <c r="AP26" i="1"/>
  <c r="AQ26" i="1" s="1"/>
  <c r="AP25" i="1"/>
  <c r="AQ25" i="1" s="1"/>
  <c r="AP24" i="1"/>
  <c r="AQ24" i="1" s="1"/>
  <c r="M23" i="1"/>
  <c r="N23" i="1" s="1"/>
  <c r="L15" i="1"/>
  <c r="AK14" i="1"/>
  <c r="AL14" i="1" s="1"/>
  <c r="AJ6" i="1"/>
  <c r="AK21" i="1"/>
  <c r="AL21" i="1" s="1"/>
  <c r="AK20" i="1"/>
  <c r="AL20" i="1" s="1"/>
  <c r="AP4" i="1"/>
  <c r="AQ4" i="1" s="1"/>
  <c r="AK29" i="1"/>
  <c r="AL29" i="1" s="1"/>
  <c r="AK8" i="1"/>
  <c r="AL8" i="1" s="1"/>
  <c r="AP12" i="1"/>
  <c r="AQ12" i="1" s="1"/>
  <c r="AP30" i="1"/>
  <c r="AQ30" i="1" s="1"/>
  <c r="AP11" i="1"/>
  <c r="AQ11" i="1" s="1"/>
  <c r="AP20" i="1"/>
  <c r="AQ20" i="1" s="1"/>
  <c r="AK28" i="1"/>
  <c r="AL28" i="1" s="1"/>
  <c r="AP29" i="1"/>
  <c r="AQ29" i="1" s="1"/>
  <c r="AP10" i="1"/>
  <c r="AQ10" i="1" s="1"/>
  <c r="AP19" i="1"/>
  <c r="AQ19" i="1" s="1"/>
  <c r="AK27" i="1"/>
  <c r="AL27" i="1" s="1"/>
  <c r="AK23" i="1"/>
  <c r="AL23" i="1" s="1"/>
  <c r="AP9" i="1"/>
  <c r="AQ9" i="1" s="1"/>
  <c r="L18" i="1"/>
  <c r="AJ7" i="1"/>
  <c r="AK22" i="1"/>
  <c r="AL22" i="1" s="1"/>
  <c r="AK10" i="1"/>
  <c r="AL10" i="1" s="1"/>
  <c r="AP17" i="1"/>
  <c r="AQ17" i="1" s="1"/>
  <c r="AK18" i="1"/>
  <c r="AL18" i="1" s="1"/>
  <c r="AP16" i="1"/>
  <c r="AQ16" i="1" s="1"/>
  <c r="AP6" i="1"/>
  <c r="AQ6" i="1" s="1"/>
  <c r="AP5" i="1"/>
  <c r="AQ5" i="1" s="1"/>
  <c r="AK19" i="1"/>
  <c r="AL19" i="1" s="1"/>
  <c r="AK26" i="1"/>
  <c r="AL26" i="1" s="1"/>
  <c r="AK17" i="1"/>
  <c r="AL17" i="1" s="1"/>
  <c r="AP15" i="1"/>
  <c r="AQ15" i="1" s="1"/>
  <c r="L13" i="1"/>
  <c r="AK25" i="1"/>
  <c r="AL25" i="1" s="1"/>
  <c r="AP23" i="1"/>
  <c r="AQ23" i="1" s="1"/>
  <c r="AP8" i="1"/>
  <c r="AQ8" i="1" s="1"/>
  <c r="AK9" i="1"/>
  <c r="AL9" i="1" s="1"/>
  <c r="AK16" i="1"/>
  <c r="AL16" i="1" s="1"/>
  <c r="AP14" i="1"/>
  <c r="AQ14" i="1" s="1"/>
  <c r="AP7" i="1"/>
  <c r="AQ7" i="1" s="1"/>
  <c r="AO18" i="1"/>
  <c r="AK24" i="1"/>
  <c r="AL24" i="1" s="1"/>
  <c r="AP22" i="1"/>
  <c r="AQ22" i="1" s="1"/>
  <c r="AP13" i="1"/>
  <c r="AQ13" i="1" s="1"/>
  <c r="AK4" i="1"/>
  <c r="AL4" i="1" s="1"/>
  <c r="AK15" i="1"/>
  <c r="AL15" i="1" s="1"/>
  <c r="AP21" i="1"/>
  <c r="AQ21" i="1" s="1"/>
  <c r="M4" i="1"/>
  <c r="N4" i="1" s="1"/>
  <c r="L11" i="1"/>
  <c r="L14" i="1"/>
  <c r="M6" i="1"/>
  <c r="N6" i="1" s="1"/>
  <c r="L26" i="1"/>
  <c r="L22" i="1"/>
  <c r="L10" i="1"/>
  <c r="M21" i="1"/>
  <c r="N21" i="1" s="1"/>
  <c r="M17" i="1"/>
  <c r="N17" i="1" s="1"/>
  <c r="L9" i="1"/>
  <c r="M7" i="1"/>
  <c r="N7" i="1" s="1"/>
  <c r="M28" i="1"/>
  <c r="N28" i="1" s="1"/>
  <c r="M20" i="1"/>
  <c r="N20" i="1" s="1"/>
  <c r="M12" i="1"/>
  <c r="N12" i="1" s="1"/>
  <c r="M24" i="1"/>
  <c r="N24" i="1" s="1"/>
  <c r="M16" i="1"/>
  <c r="N16" i="1" s="1"/>
  <c r="M8" i="1"/>
  <c r="N8" i="1" s="1"/>
  <c r="M5" i="1"/>
  <c r="N5" i="1" s="1"/>
  <c r="I4" i="5" l="1"/>
  <c r="H4" i="5"/>
  <c r="U4" i="5"/>
  <c r="V4" i="5" s="1"/>
  <c r="S4" i="5"/>
  <c r="T4" i="5" s="1"/>
  <c r="F5" i="5"/>
  <c r="F4" i="5"/>
  <c r="G5" i="5"/>
  <c r="AD10" i="1"/>
  <c r="AE10" i="1"/>
  <c r="AD18" i="1"/>
  <c r="AE18" i="1"/>
  <c r="AD26" i="1"/>
  <c r="AE26" i="1"/>
  <c r="AD6" i="1"/>
  <c r="AE6" i="1"/>
  <c r="AD7" i="1"/>
  <c r="AE7" i="1"/>
  <c r="H25" i="1"/>
  <c r="H29" i="1"/>
  <c r="H18" i="1"/>
  <c r="H30" i="1"/>
  <c r="H26" i="1"/>
  <c r="H22" i="1"/>
  <c r="H6" i="1"/>
  <c r="H9" i="1"/>
  <c r="H21" i="1"/>
  <c r="H14" i="1"/>
  <c r="H5" i="1"/>
  <c r="H13" i="1"/>
  <c r="T4" i="1"/>
  <c r="V4" i="1"/>
  <c r="H17" i="1"/>
  <c r="H23" i="1"/>
  <c r="H10" i="1"/>
  <c r="H11" i="1"/>
  <c r="H12" i="1"/>
  <c r="H24" i="1"/>
  <c r="H20" i="1"/>
  <c r="H16" i="1"/>
  <c r="H4" i="1"/>
  <c r="H19" i="1"/>
  <c r="H27" i="1"/>
  <c r="H28" i="1"/>
  <c r="H15" i="1"/>
  <c r="H7" i="1"/>
  <c r="H8" i="1"/>
  <c r="J4" i="5" l="1"/>
  <c r="Q4" i="5"/>
  <c r="U5" i="5"/>
  <c r="V5" i="5" s="1"/>
  <c r="S5" i="5"/>
  <c r="T5" i="5" s="1"/>
  <c r="H5" i="5"/>
  <c r="I5" i="5"/>
  <c r="W22" i="1"/>
  <c r="W21" i="1"/>
  <c r="J4" i="1"/>
  <c r="Q5" i="5" l="1"/>
  <c r="J5" i="5"/>
  <c r="R4" i="5"/>
  <c r="W4" i="5"/>
  <c r="W16" i="1"/>
  <c r="W10" i="1"/>
  <c r="W19" i="1"/>
  <c r="W13" i="1"/>
  <c r="W20" i="1"/>
  <c r="W18" i="1"/>
  <c r="W6" i="1"/>
  <c r="W24" i="1"/>
  <c r="W25" i="1"/>
  <c r="W5" i="1"/>
  <c r="W12" i="1"/>
  <c r="W8" i="1"/>
  <c r="W30" i="1"/>
  <c r="W23" i="1"/>
  <c r="W26" i="1"/>
  <c r="W9" i="1"/>
  <c r="W15" i="1"/>
  <c r="X22" i="1"/>
  <c r="Y22" i="1"/>
  <c r="R4" i="1"/>
  <c r="W11" i="1"/>
  <c r="W17" i="1"/>
  <c r="W14" i="1"/>
  <c r="W28" i="1"/>
  <c r="W7" i="1"/>
  <c r="X21" i="1"/>
  <c r="Y21" i="1"/>
  <c r="W29" i="1"/>
  <c r="W27" i="1"/>
  <c r="Y4" i="5" l="1"/>
  <c r="Z4" i="5" s="1"/>
  <c r="X4" i="5"/>
  <c r="AA4" i="5"/>
  <c r="R5" i="5"/>
  <c r="W5" i="5"/>
  <c r="X24" i="1"/>
  <c r="Y24" i="1"/>
  <c r="X26" i="1"/>
  <c r="Y26" i="1"/>
  <c r="Y23" i="1"/>
  <c r="X23" i="1"/>
  <c r="X17" i="1"/>
  <c r="Y17" i="1"/>
  <c r="Y11" i="1"/>
  <c r="X11" i="1"/>
  <c r="Y4" i="1"/>
  <c r="Z4" i="1" s="1"/>
  <c r="X4" i="1"/>
  <c r="X29" i="1"/>
  <c r="Y29" i="1"/>
  <c r="X7" i="1"/>
  <c r="Y7" i="1"/>
  <c r="X6" i="1"/>
  <c r="Y6" i="1"/>
  <c r="X18" i="1"/>
  <c r="Y18" i="1"/>
  <c r="X30" i="1"/>
  <c r="Y30" i="1"/>
  <c r="X13" i="1"/>
  <c r="Y13" i="1"/>
  <c r="X19" i="1"/>
  <c r="Y19" i="1"/>
  <c r="X5" i="1"/>
  <c r="Y5" i="1"/>
  <c r="Y15" i="1"/>
  <c r="X15" i="1"/>
  <c r="Y25" i="1"/>
  <c r="X25" i="1"/>
  <c r="Y16" i="1"/>
  <c r="X16" i="1"/>
  <c r="X9" i="1"/>
  <c r="Y9" i="1"/>
  <c r="X28" i="1"/>
  <c r="Y28" i="1"/>
  <c r="X14" i="1"/>
  <c r="Y14" i="1"/>
  <c r="Y20" i="1"/>
  <c r="X20" i="1"/>
  <c r="X8" i="1"/>
  <c r="Y8" i="1"/>
  <c r="X27" i="1"/>
  <c r="Y27" i="1"/>
  <c r="X12" i="1"/>
  <c r="Y12" i="1"/>
  <c r="Y10" i="1"/>
  <c r="X10" i="1"/>
  <c r="AA5" i="5" l="1"/>
  <c r="Y5" i="5"/>
  <c r="Z5" i="5" s="1"/>
  <c r="X5" i="5"/>
  <c r="AC4" i="5"/>
  <c r="AB4" i="5"/>
  <c r="AC5" i="5" l="1"/>
  <c r="AB5" i="5"/>
  <c r="AD4" i="5"/>
  <c r="AE4" i="5"/>
  <c r="AE5" i="5" l="1"/>
  <c r="AD5" i="5"/>
</calcChain>
</file>

<file path=xl/sharedStrings.xml><?xml version="1.0" encoding="utf-8"?>
<sst xmlns="http://schemas.openxmlformats.org/spreadsheetml/2006/main" count="165" uniqueCount="40">
  <si>
    <t>€</t>
  </si>
  <si>
    <t>DKK</t>
  </si>
  <si>
    <t>Pension contribution (8% of base)</t>
  </si>
  <si>
    <t>Total gross/month</t>
  </si>
  <si>
    <t>Employee choice (7% of base)/month</t>
  </si>
  <si>
    <t>Net base salary/month</t>
  </si>
  <si>
    <t>Gross base salary/month</t>
  </si>
  <si>
    <t>Church tax</t>
  </si>
  <si>
    <t>dk.talent.com</t>
  </si>
  <si>
    <t>Total tax rate/month</t>
  </si>
  <si>
    <t>hvormegetefterskat.dk</t>
  </si>
  <si>
    <t>After expenses/month</t>
  </si>
  <si>
    <t>Gross base salary/year</t>
  </si>
  <si>
    <t>Personal income/year</t>
  </si>
  <si>
    <t>Taxable income/year</t>
  </si>
  <si>
    <t>ATP</t>
  </si>
  <si>
    <t>labour market tax</t>
  </si>
  <si>
    <t>on salary - ATP</t>
  </si>
  <si>
    <t>bottom tax</t>
  </si>
  <si>
    <t>top tax</t>
  </si>
  <si>
    <t>Municipal (Aalborg)</t>
  </si>
  <si>
    <t xml:space="preserve">on the part exceeding </t>
  </si>
  <si>
    <t>DKK/year</t>
  </si>
  <si>
    <t>Employment deduction</t>
  </si>
  <si>
    <t>Job allowance</t>
  </si>
  <si>
    <t>personal income</t>
  </si>
  <si>
    <t>taxable income</t>
  </si>
  <si>
    <t>Local tax/year</t>
  </si>
  <si>
    <t>Base tax/year</t>
  </si>
  <si>
    <t>Top tax/year</t>
  </si>
  <si>
    <t>Total tax/year</t>
  </si>
  <si>
    <t>Total tax/month</t>
  </si>
  <si>
    <t>Net income/year</t>
  </si>
  <si>
    <t>Net income/month</t>
  </si>
  <si>
    <t>AM-tax/year</t>
  </si>
  <si>
    <t>Personal allowance</t>
  </si>
  <si>
    <t>of employment income</t>
  </si>
  <si>
    <t>max</t>
  </si>
  <si>
    <t>if income &gt;</t>
  </si>
  <si>
    <t>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</si>
</sst>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FB9B4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ck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0" fillId="0" borderId="0" xfId="0" applyBorder="1"/>
    <xf numFmtId="0" fontId="0" fillId="0" borderId="0" xfId="0" quotePrefix="1" applyBorder="1"/>
    <xf numFmtId="49" fontId="0" fillId="0" borderId="2" xfId="0" applyNumberFormat="1" applyBorder="1" applyAlignment="1">
      <alignment horizontal="center" vertical="center" wrapText="1"/>
    </xf>
    <xf numFmtId="0" fontId="0" fillId="0" borderId="3" xfId="0" applyBorder="1"/>
    <xf numFmtId="49" fontId="0" fillId="0" borderId="4" xfId="0" applyNumberForma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49" fontId="0" fillId="0" borderId="8" xfId="0" applyNumberFormat="1" applyBorder="1" applyAlignment="1">
      <alignment horizontal="center" vertical="center" wrapText="1"/>
    </xf>
    <xf numFmtId="0" fontId="0" fillId="0" borderId="9" xfId="0" applyBorder="1"/>
    <xf numFmtId="49" fontId="0" fillId="0" borderId="4" xfId="0" applyNumberFormat="1" applyBorder="1" applyAlignment="1">
      <alignment horizontal="center" vertical="center" wrapText="1"/>
    </xf>
    <xf numFmtId="2" fontId="0" fillId="0" borderId="6" xfId="0" applyNumberFormat="1" applyBorder="1"/>
    <xf numFmtId="2" fontId="0" fillId="0" borderId="10" xfId="0" applyNumberFormat="1" applyBorder="1"/>
    <xf numFmtId="0" fontId="0" fillId="0" borderId="1" xfId="0" applyBorder="1" applyAlignment="1">
      <alignment horizontal="center"/>
    </xf>
    <xf numFmtId="10" fontId="0" fillId="0" borderId="0" xfId="0" applyNumberFormat="1"/>
    <xf numFmtId="2" fontId="0" fillId="2" borderId="0" xfId="0" applyNumberFormat="1" applyFill="1" applyBorder="1"/>
    <xf numFmtId="2" fontId="0" fillId="2" borderId="6" xfId="0" applyNumberFormat="1" applyFill="1" applyBorder="1"/>
    <xf numFmtId="0" fontId="0" fillId="2" borderId="7" xfId="0" applyFill="1" applyBorder="1"/>
    <xf numFmtId="2" fontId="0" fillId="2" borderId="11" xfId="0" applyNumberFormat="1" applyFill="1" applyBorder="1"/>
    <xf numFmtId="0" fontId="0" fillId="3" borderId="6" xfId="0" applyFill="1" applyBorder="1"/>
    <xf numFmtId="2" fontId="0" fillId="3" borderId="0" xfId="0" applyNumberFormat="1" applyFill="1" applyBorder="1"/>
    <xf numFmtId="2" fontId="0" fillId="3" borderId="6" xfId="0" applyNumberFormat="1" applyFill="1" applyBorder="1"/>
    <xf numFmtId="2" fontId="0" fillId="3" borderId="10" xfId="0" applyNumberFormat="1" applyFill="1" applyBorder="1"/>
    <xf numFmtId="10" fontId="0" fillId="0" borderId="6" xfId="0" applyNumberFormat="1" applyFill="1" applyBorder="1"/>
    <xf numFmtId="2" fontId="0" fillId="0" borderId="6" xfId="0" applyNumberFormat="1" applyFill="1" applyBorder="1"/>
    <xf numFmtId="2" fontId="0" fillId="0" borderId="0" xfId="0" applyNumberFormat="1" applyFill="1" applyBorder="1"/>
    <xf numFmtId="0" fontId="0" fillId="0" borderId="6" xfId="0" applyFill="1" applyBorder="1"/>
    <xf numFmtId="2" fontId="0" fillId="0" borderId="10" xfId="0" applyNumberFormat="1" applyFill="1" applyBorder="1"/>
    <xf numFmtId="0" fontId="0" fillId="4" borderId="6" xfId="0" applyFill="1" applyBorder="1"/>
    <xf numFmtId="2" fontId="0" fillId="4" borderId="10" xfId="0" applyNumberFormat="1" applyFill="1" applyBorder="1"/>
    <xf numFmtId="0" fontId="0" fillId="4" borderId="0" xfId="0" applyFill="1"/>
    <xf numFmtId="2" fontId="0" fillId="4" borderId="0" xfId="0" applyNumberFormat="1" applyFill="1"/>
    <xf numFmtId="2" fontId="0" fillId="4" borderId="0" xfId="0" applyNumberFormat="1" applyFill="1" applyBorder="1"/>
    <xf numFmtId="2" fontId="0" fillId="4" borderId="6" xfId="0" applyNumberFormat="1" applyFill="1" applyBorder="1"/>
    <xf numFmtId="0" fontId="0" fillId="5" borderId="12" xfId="0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0" borderId="7" xfId="0" applyFill="1" applyBorder="1"/>
    <xf numFmtId="2" fontId="0" fillId="0" borderId="11" xfId="0" applyNumberFormat="1" applyFill="1" applyBorder="1"/>
    <xf numFmtId="2" fontId="0" fillId="0" borderId="0" xfId="0" applyNumberFormat="1" applyFill="1"/>
    <xf numFmtId="0" fontId="0" fillId="0" borderId="1" xfId="0" applyFill="1" applyBorder="1"/>
    <xf numFmtId="2" fontId="0" fillId="0" borderId="7" xfId="0" applyNumberFormat="1" applyFill="1" applyBorder="1"/>
    <xf numFmtId="10" fontId="0" fillId="0" borderId="7" xfId="0" applyNumberForma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10" fontId="0" fillId="2" borderId="19" xfId="0" applyNumberFormat="1" applyFill="1" applyBorder="1"/>
    <xf numFmtId="2" fontId="0" fillId="2" borderId="20" xfId="0" applyNumberFormat="1" applyFill="1" applyBorder="1"/>
    <xf numFmtId="10" fontId="0" fillId="0" borderId="19" xfId="0" applyNumberFormat="1" applyBorder="1"/>
    <xf numFmtId="2" fontId="0" fillId="0" borderId="21" xfId="0" applyNumberFormat="1" applyFill="1" applyBorder="1"/>
    <xf numFmtId="10" fontId="0" fillId="0" borderId="19" xfId="0" applyNumberFormat="1" applyFill="1" applyBorder="1"/>
    <xf numFmtId="10" fontId="0" fillId="3" borderId="19" xfId="0" applyNumberFormat="1" applyFill="1" applyBorder="1"/>
    <xf numFmtId="2" fontId="0" fillId="3" borderId="21" xfId="0" applyNumberFormat="1" applyFill="1" applyBorder="1"/>
    <xf numFmtId="10" fontId="0" fillId="4" borderId="19" xfId="0" applyNumberFormat="1" applyFill="1" applyBorder="1"/>
    <xf numFmtId="0" fontId="0" fillId="0" borderId="19" xfId="0" applyBorder="1"/>
    <xf numFmtId="0" fontId="0" fillId="0" borderId="21" xfId="0" applyBorder="1"/>
    <xf numFmtId="2" fontId="0" fillId="4" borderId="21" xfId="0" applyNumberFormat="1" applyFill="1" applyBorder="1"/>
    <xf numFmtId="49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/>
    <xf numFmtId="49" fontId="0" fillId="6" borderId="4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center" vertical="center" wrapText="1"/>
    </xf>
    <xf numFmtId="0" fontId="0" fillId="6" borderId="5" xfId="0" applyFill="1" applyBorder="1"/>
    <xf numFmtId="0" fontId="0" fillId="6" borderId="3" xfId="0" applyFill="1" applyBorder="1"/>
    <xf numFmtId="0" fontId="0" fillId="6" borderId="6" xfId="0" applyFill="1" applyBorder="1"/>
    <xf numFmtId="2" fontId="0" fillId="6" borderId="0" xfId="0" applyNumberFormat="1" applyFill="1" applyBorder="1"/>
    <xf numFmtId="49" fontId="0" fillId="3" borderId="4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3" xfId="0" applyFill="1" applyBorder="1"/>
    <xf numFmtId="0" fontId="0" fillId="4" borderId="22" xfId="0" applyFill="1" applyBorder="1"/>
    <xf numFmtId="2" fontId="0" fillId="4" borderId="22" xfId="0" applyNumberFormat="1" applyFill="1" applyBorder="1"/>
    <xf numFmtId="2" fontId="0" fillId="0" borderId="23" xfId="0" applyNumberFormat="1" applyFill="1" applyBorder="1"/>
    <xf numFmtId="2" fontId="0" fillId="0" borderId="22" xfId="0" applyNumberFormat="1" applyFill="1" applyBorder="1"/>
    <xf numFmtId="2" fontId="0" fillId="0" borderId="24" xfId="0" applyNumberFormat="1" applyFill="1" applyBorder="1"/>
    <xf numFmtId="0" fontId="0" fillId="0" borderId="23" xfId="0" applyFill="1" applyBorder="1"/>
    <xf numFmtId="0" fontId="0" fillId="6" borderId="23" xfId="0" applyFill="1" applyBorder="1"/>
    <xf numFmtId="2" fontId="0" fillId="6" borderId="22" xfId="0" applyNumberFormat="1" applyFill="1" applyBorder="1"/>
    <xf numFmtId="2" fontId="0" fillId="3" borderId="22" xfId="0" applyNumberFormat="1" applyFill="1" applyBorder="1"/>
    <xf numFmtId="10" fontId="0" fillId="0" borderId="2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B9B4"/>
      <color rgb="FFF0BE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65F2-4A6D-3A47-816F-9DA2C9D2CA49}">
  <dimension ref="A1:AQ37"/>
  <sheetViews>
    <sheetView tabSelected="1" zoomScale="125" zoomScaleNormal="125" workbookViewId="0">
      <selection activeCell="A5" sqref="A5:XFD5"/>
    </sheetView>
  </sheetViews>
  <sheetFormatPr baseColWidth="10" defaultRowHeight="16" x14ac:dyDescent="0.2"/>
  <cols>
    <col min="1" max="1" width="9.83203125" customWidth="1"/>
    <col min="2" max="10" width="10.6640625" customWidth="1"/>
    <col min="32" max="32" width="12.33203125" customWidth="1"/>
  </cols>
  <sheetData>
    <row r="1" spans="1:43" ht="17" thickBot="1" x14ac:dyDescent="0.25">
      <c r="C1" s="2"/>
      <c r="D1" s="2"/>
      <c r="E1" s="2"/>
      <c r="F1" s="2"/>
      <c r="G1" s="2"/>
      <c r="H1" s="2"/>
      <c r="I1" s="2">
        <v>1</v>
      </c>
      <c r="J1" s="2" t="s">
        <v>0</v>
      </c>
      <c r="K1" s="3">
        <v>7.44</v>
      </c>
      <c r="L1" s="2" t="s">
        <v>1</v>
      </c>
      <c r="M1" s="36">
        <v>24000</v>
      </c>
      <c r="N1" s="37" t="s">
        <v>1</v>
      </c>
      <c r="O1" s="38">
        <f>M1/K1</f>
        <v>3225.8064516129029</v>
      </c>
      <c r="P1" s="37" t="s">
        <v>0</v>
      </c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5" t="s">
        <v>8</v>
      </c>
      <c r="AG1" s="15"/>
      <c r="AH1" s="15"/>
      <c r="AI1" s="15"/>
      <c r="AJ1" s="15"/>
      <c r="AK1" s="15"/>
      <c r="AL1" s="46"/>
      <c r="AM1" s="45" t="s">
        <v>10</v>
      </c>
      <c r="AN1" s="15"/>
      <c r="AO1" s="15"/>
      <c r="AP1" s="15"/>
      <c r="AQ1" s="46"/>
    </row>
    <row r="2" spans="1:43" ht="38" customHeight="1" x14ac:dyDescent="0.2">
      <c r="A2" s="62" t="s">
        <v>6</v>
      </c>
      <c r="B2" s="62"/>
      <c r="C2" s="6" t="s">
        <v>12</v>
      </c>
      <c r="D2" s="4"/>
      <c r="E2" s="6" t="s">
        <v>34</v>
      </c>
      <c r="F2" s="4"/>
      <c r="G2" s="6" t="s">
        <v>13</v>
      </c>
      <c r="H2" s="4"/>
      <c r="I2" s="6" t="s">
        <v>14</v>
      </c>
      <c r="J2" s="4"/>
      <c r="K2" s="6" t="s">
        <v>4</v>
      </c>
      <c r="L2" s="4"/>
      <c r="M2" s="64" t="s">
        <v>3</v>
      </c>
      <c r="N2" s="65"/>
      <c r="O2" s="6" t="s">
        <v>2</v>
      </c>
      <c r="P2" s="4"/>
      <c r="Q2" s="6" t="s">
        <v>27</v>
      </c>
      <c r="R2" s="4"/>
      <c r="S2" s="6" t="s">
        <v>28</v>
      </c>
      <c r="T2" s="4"/>
      <c r="U2" s="6" t="s">
        <v>29</v>
      </c>
      <c r="V2" s="4"/>
      <c r="W2" s="6" t="s">
        <v>30</v>
      </c>
      <c r="X2" s="4"/>
      <c r="Y2" s="6" t="s">
        <v>31</v>
      </c>
      <c r="Z2" s="4"/>
      <c r="AA2" s="6" t="s">
        <v>32</v>
      </c>
      <c r="AB2" s="4"/>
      <c r="AC2" s="70" t="s">
        <v>33</v>
      </c>
      <c r="AD2" s="71"/>
      <c r="AE2" s="12" t="s">
        <v>9</v>
      </c>
      <c r="AF2" s="47" t="s">
        <v>9</v>
      </c>
      <c r="AG2" s="6" t="s">
        <v>7</v>
      </c>
      <c r="AH2" s="10"/>
      <c r="AI2" s="6" t="s">
        <v>5</v>
      </c>
      <c r="AJ2" s="10"/>
      <c r="AK2" s="6" t="s">
        <v>11</v>
      </c>
      <c r="AL2" s="48"/>
      <c r="AM2" s="47" t="s">
        <v>9</v>
      </c>
      <c r="AN2" s="6" t="s">
        <v>5</v>
      </c>
      <c r="AO2" s="10"/>
      <c r="AP2" s="6" t="s">
        <v>11</v>
      </c>
      <c r="AQ2" s="48"/>
    </row>
    <row r="3" spans="1:43" x14ac:dyDescent="0.2">
      <c r="A3" s="63" t="s">
        <v>1</v>
      </c>
      <c r="B3" s="63" t="s">
        <v>0</v>
      </c>
      <c r="C3" s="7" t="s">
        <v>1</v>
      </c>
      <c r="D3" s="5" t="s">
        <v>0</v>
      </c>
      <c r="E3" s="7" t="s">
        <v>1</v>
      </c>
      <c r="F3" s="5" t="s">
        <v>0</v>
      </c>
      <c r="G3" s="7" t="s">
        <v>1</v>
      </c>
      <c r="H3" s="5" t="s">
        <v>0</v>
      </c>
      <c r="I3" s="7" t="s">
        <v>1</v>
      </c>
      <c r="J3" s="5" t="s">
        <v>0</v>
      </c>
      <c r="K3" s="7" t="s">
        <v>1</v>
      </c>
      <c r="L3" s="5" t="s">
        <v>0</v>
      </c>
      <c r="M3" s="66" t="s">
        <v>1</v>
      </c>
      <c r="N3" s="67" t="s">
        <v>0</v>
      </c>
      <c r="O3" s="7" t="s">
        <v>1</v>
      </c>
      <c r="P3" s="5" t="s">
        <v>0</v>
      </c>
      <c r="Q3" s="7" t="s">
        <v>1</v>
      </c>
      <c r="R3" s="5" t="s">
        <v>0</v>
      </c>
      <c r="S3" s="7" t="s">
        <v>1</v>
      </c>
      <c r="T3" s="5" t="s">
        <v>0</v>
      </c>
      <c r="U3" s="7" t="s">
        <v>1</v>
      </c>
      <c r="V3" s="5" t="s">
        <v>0</v>
      </c>
      <c r="W3" s="7" t="s">
        <v>1</v>
      </c>
      <c r="X3" s="5" t="s">
        <v>0</v>
      </c>
      <c r="Y3" s="7" t="s">
        <v>1</v>
      </c>
      <c r="Z3" s="5" t="s">
        <v>0</v>
      </c>
      <c r="AA3" s="7" t="s">
        <v>1</v>
      </c>
      <c r="AB3" s="5" t="s">
        <v>0</v>
      </c>
      <c r="AC3" s="72" t="s">
        <v>1</v>
      </c>
      <c r="AD3" s="73" t="s">
        <v>0</v>
      </c>
      <c r="AE3" s="7"/>
      <c r="AF3" s="49"/>
      <c r="AG3" s="7" t="s">
        <v>1</v>
      </c>
      <c r="AH3" s="5" t="s">
        <v>0</v>
      </c>
      <c r="AI3" s="7" t="s">
        <v>1</v>
      </c>
      <c r="AJ3" s="11" t="s">
        <v>0</v>
      </c>
      <c r="AK3" s="7" t="s">
        <v>1</v>
      </c>
      <c r="AL3" s="50" t="s">
        <v>0</v>
      </c>
      <c r="AM3" s="49"/>
      <c r="AN3" s="7" t="s">
        <v>1</v>
      </c>
      <c r="AO3" s="11" t="s">
        <v>0</v>
      </c>
      <c r="AP3" s="7" t="s">
        <v>1</v>
      </c>
      <c r="AQ3" s="50" t="s">
        <v>0</v>
      </c>
    </row>
    <row r="4" spans="1:43" x14ac:dyDescent="0.2">
      <c r="A4" s="32">
        <v>44000</v>
      </c>
      <c r="B4" s="33">
        <f>A4/$K$1</f>
        <v>5913.9784946236559</v>
      </c>
      <c r="C4" s="26">
        <f>A4*12</f>
        <v>528000</v>
      </c>
      <c r="D4" s="41">
        <f>C4/$K$1</f>
        <v>70967.741935483864</v>
      </c>
      <c r="E4" s="43">
        <f>0.08*(C4-Taxes!$B$1)</f>
        <v>42149.120000000003</v>
      </c>
      <c r="F4" s="40">
        <f>E4/$K$1</f>
        <v>5665.2043010752686</v>
      </c>
      <c r="G4" s="43">
        <f>C4-(Taxes!$B$1+'Net income'!E4)</f>
        <v>484714.88</v>
      </c>
      <c r="H4" s="40">
        <f>G4/$K$1</f>
        <v>65149.849462365586</v>
      </c>
      <c r="I4" s="41">
        <f>G4-(Deductions!$B$1+MIN(0.1065*C4,41600)+MIN(0.045*(C4-202700),2700))</f>
        <v>393814.88</v>
      </c>
      <c r="J4" s="41">
        <f>I4/$K$1</f>
        <v>52932.107526881715</v>
      </c>
      <c r="K4" s="28">
        <f>0.07*A4</f>
        <v>3080.0000000000005</v>
      </c>
      <c r="L4" s="27">
        <f>K4/$K$1</f>
        <v>413.97849462365593</v>
      </c>
      <c r="M4" s="68">
        <f>A4+K4</f>
        <v>47080</v>
      </c>
      <c r="N4" s="69">
        <f>M4/$K$1</f>
        <v>6327.9569892473119</v>
      </c>
      <c r="O4" s="28">
        <f>0.08*A4</f>
        <v>3520</v>
      </c>
      <c r="P4" s="27">
        <f>O4/$K$1</f>
        <v>473.11827956989242</v>
      </c>
      <c r="Q4" s="43">
        <f>Taxes!$B$5*'Net income'!I4</f>
        <v>93727.941439999995</v>
      </c>
      <c r="R4" s="40">
        <f>Q4/$K$1</f>
        <v>12597.841591397848</v>
      </c>
      <c r="S4" s="43">
        <f>Taxes!$B$3*('Net income'!G4-Deductions!$B$1)</f>
        <v>53011.900479999997</v>
      </c>
      <c r="T4" s="40">
        <f>S4/$K$1</f>
        <v>7125.2554408602145</v>
      </c>
      <c r="U4" s="27">
        <f>IF('Net income'!G4&gt;Taxes!$D$4,Taxes!$B$4*('Net income'!G4-Taxes!$D$4),0)</f>
        <v>0</v>
      </c>
      <c r="V4" s="27">
        <f>U4/$K$1</f>
        <v>0</v>
      </c>
      <c r="W4" s="43">
        <f>E4+Q4+S4+U4</f>
        <v>188888.96191999997</v>
      </c>
      <c r="X4" s="40">
        <f>W4/$K$1</f>
        <v>25388.301333333329</v>
      </c>
      <c r="Y4" s="27">
        <f>W4/12</f>
        <v>15740.746826666664</v>
      </c>
      <c r="Z4" s="27">
        <f>Y4/$K$1</f>
        <v>2115.6917777777771</v>
      </c>
      <c r="AA4" s="43">
        <f>C4-(Taxes!$B$1+W4)</f>
        <v>337975.03808000003</v>
      </c>
      <c r="AB4" s="40">
        <f>AA4/$K$1</f>
        <v>45426.752430107532</v>
      </c>
      <c r="AC4" s="22">
        <f>AA4/12</f>
        <v>28164.58650666667</v>
      </c>
      <c r="AD4" s="22">
        <f>AC4/$K$1</f>
        <v>3785.5627025089607</v>
      </c>
      <c r="AE4" s="44">
        <f>1-AC4/A4</f>
        <v>0.35989576121212108</v>
      </c>
      <c r="AF4" s="51">
        <v>0.378</v>
      </c>
      <c r="AG4" s="18">
        <v>361</v>
      </c>
      <c r="AH4" s="17">
        <f>AG4/$K$1</f>
        <v>48.521505376344081</v>
      </c>
      <c r="AI4" s="19">
        <f>(1-AF4)*A4+AG4</f>
        <v>27729</v>
      </c>
      <c r="AJ4" s="20">
        <f>AI4/$K$1</f>
        <v>3727.016129032258</v>
      </c>
      <c r="AK4" s="19">
        <f>AI4-$M$1</f>
        <v>3729</v>
      </c>
      <c r="AL4" s="52">
        <f>AK4/$K$1</f>
        <v>501.20967741935482</v>
      </c>
      <c r="AM4" s="51">
        <v>0.35799999999999998</v>
      </c>
      <c r="AN4" s="39">
        <f>A4-Taxes!$B$1-A4*AM4</f>
        <v>27112</v>
      </c>
      <c r="AO4" s="20">
        <f>AN4/$K$1</f>
        <v>3644.0860215053763</v>
      </c>
      <c r="AP4" s="19">
        <f>AN4-$M$1</f>
        <v>3112</v>
      </c>
      <c r="AQ4" s="52">
        <f>AP4/$K$1</f>
        <v>418.27956989247309</v>
      </c>
    </row>
    <row r="5" spans="1:43" x14ac:dyDescent="0.2">
      <c r="A5" s="32">
        <v>45000</v>
      </c>
      <c r="B5" s="33">
        <f>A5/$K$1</f>
        <v>6048.3870967741932</v>
      </c>
      <c r="C5" s="26">
        <f>A5*12</f>
        <v>540000</v>
      </c>
      <c r="D5" s="41">
        <f>C5/$K$1</f>
        <v>72580.645161290318</v>
      </c>
      <c r="E5" s="26">
        <f>0.08*(C5-Taxes!$B$1)</f>
        <v>43109.120000000003</v>
      </c>
      <c r="F5" s="29">
        <f t="shared" ref="F5:F30" si="0">E5/$K$1</f>
        <v>5794.2365591397847</v>
      </c>
      <c r="G5" s="26">
        <f>C5-(Taxes!$B$1+'Net income'!E5)</f>
        <v>495754.88</v>
      </c>
      <c r="H5" s="29">
        <f t="shared" ref="H5:H30" si="1">G5/$K$1</f>
        <v>66633.720430107525</v>
      </c>
      <c r="I5" s="41">
        <f>G5-(Deductions!$B$1+MIN(0.1065*C5,41600)+MIN(0.045*(C5-202700),2700))</f>
        <v>404854.88</v>
      </c>
      <c r="J5" s="41">
        <f t="shared" ref="J5:J30" si="2">I5/$K$1</f>
        <v>54415.978494623654</v>
      </c>
      <c r="K5" s="28">
        <f>0.07*A5</f>
        <v>3150.0000000000005</v>
      </c>
      <c r="L5" s="27">
        <f t="shared" ref="L5:L30" si="3">K5/$K$1</f>
        <v>423.38709677419359</v>
      </c>
      <c r="M5" s="68">
        <f t="shared" ref="M5:M30" si="4">A5+K5</f>
        <v>48150</v>
      </c>
      <c r="N5" s="69">
        <f t="shared" ref="N5:N30" si="5">M5/$K$1</f>
        <v>6471.7741935483864</v>
      </c>
      <c r="O5" s="28">
        <f t="shared" ref="O5:O30" si="6">0.08*A5</f>
        <v>3600</v>
      </c>
      <c r="P5" s="27">
        <f t="shared" ref="P5:P30" si="7">O5/$K$1</f>
        <v>483.87096774193543</v>
      </c>
      <c r="Q5" s="26">
        <f>Taxes!$B$5*'Net income'!I5</f>
        <v>96355.461439999999</v>
      </c>
      <c r="R5" s="29">
        <f t="shared" ref="R5:R30" si="8">Q5/$K$1</f>
        <v>12951.002881720429</v>
      </c>
      <c r="S5" s="26">
        <f>Taxes!$B$3*('Net income'!G5-Deductions!$B$1)</f>
        <v>54347.74048</v>
      </c>
      <c r="T5" s="29">
        <f t="shared" ref="T5:T30" si="9">S5/$K$1</f>
        <v>7304.8038279569892</v>
      </c>
      <c r="U5" s="27">
        <f>IF('Net income'!G5&gt;Taxes!$D$4,Taxes!$B$4*('Net income'!G5-Taxes!$D$4),0)</f>
        <v>0</v>
      </c>
      <c r="V5" s="27">
        <f t="shared" ref="V5:V30" si="10">U5/$K$1</f>
        <v>0</v>
      </c>
      <c r="W5" s="26">
        <f t="shared" ref="W5:W30" si="11">E5+Q5+S5+U5</f>
        <v>193812.32192000002</v>
      </c>
      <c r="X5" s="29">
        <f t="shared" ref="X5:X30" si="12">W5/$K$1</f>
        <v>26050.043268817204</v>
      </c>
      <c r="Y5" s="27">
        <f t="shared" ref="Y5:Y30" si="13">W5/12</f>
        <v>16151.026826666668</v>
      </c>
      <c r="Z5" s="27">
        <f t="shared" ref="Z5:Z30" si="14">Y5/$K$1</f>
        <v>2170.8369390681005</v>
      </c>
      <c r="AA5" s="26">
        <f>C5-(Taxes!$B$1+W5)</f>
        <v>345051.67807999998</v>
      </c>
      <c r="AB5" s="29">
        <f t="shared" ref="AB5:AB30" si="15">AA5/$K$1</f>
        <v>46377.913720430101</v>
      </c>
      <c r="AC5" s="22">
        <f t="shared" ref="AC5:AC30" si="16">AA5/12</f>
        <v>28754.306506666664</v>
      </c>
      <c r="AD5" s="22">
        <f t="shared" ref="AD5:AD30" si="17">AC5/$K$1</f>
        <v>3864.826143369175</v>
      </c>
      <c r="AE5" s="25">
        <f t="shared" ref="AE5:AE30" si="18">1-AC5/A5</f>
        <v>0.36101541096296297</v>
      </c>
      <c r="AF5" s="53">
        <v>0.379</v>
      </c>
      <c r="AG5" s="13">
        <v>370</v>
      </c>
      <c r="AH5" s="9">
        <f t="shared" ref="AH5:AH30" si="19">AG5/$K$1</f>
        <v>49.731182795698921</v>
      </c>
      <c r="AI5" s="8">
        <f>(1-AF5)*A5+AG5</f>
        <v>28315</v>
      </c>
      <c r="AJ5" s="14">
        <f>AI5/$K$1</f>
        <v>3805.7795698924729</v>
      </c>
      <c r="AK5" s="28">
        <f t="shared" ref="AK5:AK30" si="20">AI5-$M$1</f>
        <v>4315</v>
      </c>
      <c r="AL5" s="54">
        <f t="shared" ref="AL5:AL30" si="21">AK5/$K$1</f>
        <v>579.97311827956992</v>
      </c>
      <c r="AM5" s="53">
        <v>0.35899999999999999</v>
      </c>
      <c r="AN5" s="28">
        <f>A5-Taxes!$B$1-A5*AM5</f>
        <v>27709</v>
      </c>
      <c r="AO5" s="14">
        <f t="shared" ref="AO5:AO30" si="22">AN5/$K$1</f>
        <v>3724.327956989247</v>
      </c>
      <c r="AP5" s="28">
        <f>AN5-$M$1</f>
        <v>3709</v>
      </c>
      <c r="AQ5" s="54">
        <f>AP5/$K$1</f>
        <v>498.52150537634407</v>
      </c>
    </row>
    <row r="6" spans="1:43" x14ac:dyDescent="0.2">
      <c r="A6" s="32">
        <v>46000</v>
      </c>
      <c r="B6" s="33">
        <f>A6/$K$1</f>
        <v>6182.7956989247305</v>
      </c>
      <c r="C6" s="26">
        <f t="shared" ref="C6:C30" si="23">A6*12</f>
        <v>552000</v>
      </c>
      <c r="D6" s="41">
        <f>C6/$K$1</f>
        <v>74193.548387096773</v>
      </c>
      <c r="E6" s="26">
        <f>0.08*(C6-Taxes!$B$1)</f>
        <v>44069.120000000003</v>
      </c>
      <c r="F6" s="29">
        <f t="shared" si="0"/>
        <v>5923.2688172043008</v>
      </c>
      <c r="G6" s="26">
        <f>C6-(Taxes!$B$1+'Net income'!E6)</f>
        <v>506794.88</v>
      </c>
      <c r="H6" s="29">
        <f t="shared" si="1"/>
        <v>68117.591397849465</v>
      </c>
      <c r="I6" s="41">
        <f>G6-(Deductions!$B$1+MIN(0.1065*C6,41600)+MIN(0.045*(C6-202700),2700))</f>
        <v>415894.88</v>
      </c>
      <c r="J6" s="41">
        <f t="shared" si="2"/>
        <v>55899.849462365586</v>
      </c>
      <c r="K6" s="28">
        <f t="shared" ref="K6:K30" si="24">0.07*A6</f>
        <v>3220.0000000000005</v>
      </c>
      <c r="L6" s="27">
        <f t="shared" si="3"/>
        <v>432.7956989247312</v>
      </c>
      <c r="M6" s="68">
        <f t="shared" si="4"/>
        <v>49220</v>
      </c>
      <c r="N6" s="69">
        <f t="shared" si="5"/>
        <v>6615.5913978494618</v>
      </c>
      <c r="O6" s="28">
        <f t="shared" si="6"/>
        <v>3680</v>
      </c>
      <c r="P6" s="27">
        <f t="shared" si="7"/>
        <v>494.6236559139785</v>
      </c>
      <c r="Q6" s="26">
        <f>Taxes!$B$5*'Net income'!I6</f>
        <v>98982.981440000003</v>
      </c>
      <c r="R6" s="29">
        <f t="shared" si="8"/>
        <v>13304.164172043011</v>
      </c>
      <c r="S6" s="26">
        <f>Taxes!$B$3*('Net income'!G6-Deductions!$B$1)</f>
        <v>55683.580479999997</v>
      </c>
      <c r="T6" s="29">
        <f t="shared" si="9"/>
        <v>7484.3522150537628</v>
      </c>
      <c r="U6" s="27">
        <f>IF('Net income'!G6&gt;Taxes!$D$4,Taxes!$B$4*('Net income'!G6-Taxes!$D$4),0)</f>
        <v>0</v>
      </c>
      <c r="V6" s="27">
        <f t="shared" si="10"/>
        <v>0</v>
      </c>
      <c r="W6" s="26">
        <f t="shared" si="11"/>
        <v>198735.68192</v>
      </c>
      <c r="X6" s="29">
        <f t="shared" si="12"/>
        <v>26711.785204301075</v>
      </c>
      <c r="Y6" s="27">
        <f t="shared" si="13"/>
        <v>16561.306826666667</v>
      </c>
      <c r="Z6" s="27">
        <f t="shared" si="14"/>
        <v>2225.9821003584229</v>
      </c>
      <c r="AA6" s="26">
        <f>C6-(Taxes!$B$1+W6)</f>
        <v>352128.31808</v>
      </c>
      <c r="AB6" s="29">
        <f t="shared" si="15"/>
        <v>47329.075010752684</v>
      </c>
      <c r="AC6" s="22">
        <f t="shared" si="16"/>
        <v>29344.026506666665</v>
      </c>
      <c r="AD6" s="22">
        <f t="shared" si="17"/>
        <v>3944.0895842293903</v>
      </c>
      <c r="AE6" s="25">
        <f t="shared" si="18"/>
        <v>0.36208638028985507</v>
      </c>
      <c r="AF6" s="53">
        <v>0.38</v>
      </c>
      <c r="AG6" s="13">
        <v>379</v>
      </c>
      <c r="AH6" s="9">
        <f t="shared" si="19"/>
        <v>50.94086021505376</v>
      </c>
      <c r="AI6" s="8">
        <f>(1-AF6)*A6+AG6</f>
        <v>28899</v>
      </c>
      <c r="AJ6" s="14">
        <f>AI6/$K$1</f>
        <v>3884.2741935483868</v>
      </c>
      <c r="AK6" s="28">
        <f t="shared" si="20"/>
        <v>4899</v>
      </c>
      <c r="AL6" s="54">
        <f t="shared" si="21"/>
        <v>658.46774193548379</v>
      </c>
      <c r="AM6" s="53">
        <v>0.36</v>
      </c>
      <c r="AN6" s="28">
        <f>A6-Taxes!$B$1-A6*AM6</f>
        <v>28304</v>
      </c>
      <c r="AO6" s="14">
        <f t="shared" si="22"/>
        <v>3804.3010752688169</v>
      </c>
      <c r="AP6" s="28">
        <f>AN6-$M$1</f>
        <v>4304</v>
      </c>
      <c r="AQ6" s="54">
        <f>AP6/$K$1</f>
        <v>578.49462365591398</v>
      </c>
    </row>
    <row r="7" spans="1:43" x14ac:dyDescent="0.2">
      <c r="A7" s="32">
        <v>47000</v>
      </c>
      <c r="B7" s="33">
        <f>A7/$K$1</f>
        <v>6317.2043010752686</v>
      </c>
      <c r="C7" s="26">
        <f t="shared" si="23"/>
        <v>564000</v>
      </c>
      <c r="D7" s="41">
        <f>C7/$K$1</f>
        <v>75806.451612903227</v>
      </c>
      <c r="E7" s="26">
        <f>0.08*(C7-Taxes!$B$1)</f>
        <v>45029.120000000003</v>
      </c>
      <c r="F7" s="29">
        <f t="shared" si="0"/>
        <v>6052.3010752688169</v>
      </c>
      <c r="G7" s="26">
        <f>C7-(Taxes!$B$1+'Net income'!E7)</f>
        <v>517834.88</v>
      </c>
      <c r="H7" s="29">
        <f t="shared" si="1"/>
        <v>69601.462365591389</v>
      </c>
      <c r="I7" s="41">
        <f>G7-(Deductions!$B$1+MIN(0.1065*C7,41600)+MIN(0.045*(C7-202700),2700))</f>
        <v>426934.88</v>
      </c>
      <c r="J7" s="41">
        <f t="shared" si="2"/>
        <v>57383.720430107525</v>
      </c>
      <c r="K7" s="28">
        <f t="shared" si="24"/>
        <v>3290.0000000000005</v>
      </c>
      <c r="L7" s="27">
        <f t="shared" si="3"/>
        <v>442.20430107526886</v>
      </c>
      <c r="M7" s="68">
        <f t="shared" si="4"/>
        <v>50290</v>
      </c>
      <c r="N7" s="69">
        <f t="shared" si="5"/>
        <v>6759.4086021505373</v>
      </c>
      <c r="O7" s="28">
        <f t="shared" si="6"/>
        <v>3760</v>
      </c>
      <c r="P7" s="27">
        <f t="shared" si="7"/>
        <v>505.3763440860215</v>
      </c>
      <c r="Q7" s="26">
        <f>Taxes!$B$5*'Net income'!I7</f>
        <v>101610.50143999999</v>
      </c>
      <c r="R7" s="29">
        <f t="shared" si="8"/>
        <v>13657.32546236559</v>
      </c>
      <c r="S7" s="26">
        <f>Taxes!$B$3*('Net income'!G7-Deductions!$B$1)</f>
        <v>57019.420480000001</v>
      </c>
      <c r="T7" s="29">
        <f t="shared" si="9"/>
        <v>7663.9006021505375</v>
      </c>
      <c r="U7" s="27">
        <f>IF('Net income'!G7&gt;Taxes!$D$4,Taxes!$B$4*('Net income'!G7-Taxes!$D$4),0)</f>
        <v>0</v>
      </c>
      <c r="V7" s="27">
        <f t="shared" si="10"/>
        <v>0</v>
      </c>
      <c r="W7" s="26">
        <f t="shared" si="11"/>
        <v>203659.04191999999</v>
      </c>
      <c r="X7" s="29">
        <f t="shared" si="12"/>
        <v>27373.527139784943</v>
      </c>
      <c r="Y7" s="27">
        <f t="shared" si="13"/>
        <v>16971.586826666666</v>
      </c>
      <c r="Z7" s="27">
        <f t="shared" si="14"/>
        <v>2281.1272616487454</v>
      </c>
      <c r="AA7" s="26">
        <f>C7-(Taxes!$B$1+W7)</f>
        <v>359204.95808000001</v>
      </c>
      <c r="AB7" s="29">
        <f t="shared" si="15"/>
        <v>48280.236301075267</v>
      </c>
      <c r="AC7" s="22">
        <f t="shared" si="16"/>
        <v>29933.746506666666</v>
      </c>
      <c r="AD7" s="22">
        <f t="shared" si="17"/>
        <v>4023.3530250896056</v>
      </c>
      <c r="AE7" s="25">
        <f t="shared" si="18"/>
        <v>0.36311177645390069</v>
      </c>
      <c r="AF7" s="55">
        <v>0.39</v>
      </c>
      <c r="AG7" s="26">
        <v>388</v>
      </c>
      <c r="AH7" s="27">
        <f t="shared" si="19"/>
        <v>52.1505376344086</v>
      </c>
      <c r="AI7" s="28">
        <f>(1-AF7)*A7+AG7</f>
        <v>29058</v>
      </c>
      <c r="AJ7" s="29">
        <f>AI7/$K$1</f>
        <v>3905.6451612903224</v>
      </c>
      <c r="AK7" s="28">
        <f t="shared" si="20"/>
        <v>5058</v>
      </c>
      <c r="AL7" s="54">
        <f t="shared" si="21"/>
        <v>679.83870967741927</v>
      </c>
      <c r="AM7" s="56">
        <v>0.36099999999999999</v>
      </c>
      <c r="AN7" s="28">
        <f>A7-Taxes!$B$1-A7*AM7</f>
        <v>28897</v>
      </c>
      <c r="AO7" s="24">
        <f t="shared" si="22"/>
        <v>3884.005376344086</v>
      </c>
      <c r="AP7" s="21">
        <f>AN7-$M$1</f>
        <v>4897</v>
      </c>
      <c r="AQ7" s="57">
        <f>AP7/$K$1</f>
        <v>658.19892473118273</v>
      </c>
    </row>
    <row r="8" spans="1:43" x14ac:dyDescent="0.2">
      <c r="A8" s="32">
        <v>48000</v>
      </c>
      <c r="B8" s="33">
        <f>A8/$K$1</f>
        <v>6451.6129032258059</v>
      </c>
      <c r="C8" s="26">
        <f t="shared" si="23"/>
        <v>576000</v>
      </c>
      <c r="D8" s="41">
        <f>C8/$K$1</f>
        <v>77419.354838709667</v>
      </c>
      <c r="E8" s="26">
        <f>0.08*(C8-Taxes!$B$1)</f>
        <v>45989.120000000003</v>
      </c>
      <c r="F8" s="29">
        <f t="shared" si="0"/>
        <v>6181.333333333333</v>
      </c>
      <c r="G8" s="26">
        <f>C8-(Taxes!$B$1+'Net income'!E8)</f>
        <v>528874.88</v>
      </c>
      <c r="H8" s="29">
        <f t="shared" si="1"/>
        <v>71085.333333333328</v>
      </c>
      <c r="I8" s="41">
        <f>G8-(Deductions!$B$1+MIN(0.1065*C8,41600)+MIN(0.045*(C8-202700),2700))</f>
        <v>437974.88</v>
      </c>
      <c r="J8" s="41">
        <f t="shared" si="2"/>
        <v>58867.591397849457</v>
      </c>
      <c r="K8" s="28">
        <f t="shared" si="24"/>
        <v>3360.0000000000005</v>
      </c>
      <c r="L8" s="27">
        <f t="shared" si="3"/>
        <v>451.61290322580646</v>
      </c>
      <c r="M8" s="68">
        <f t="shared" si="4"/>
        <v>51360</v>
      </c>
      <c r="N8" s="69">
        <f t="shared" si="5"/>
        <v>6903.2258064516127</v>
      </c>
      <c r="O8" s="28">
        <f t="shared" si="6"/>
        <v>3840</v>
      </c>
      <c r="P8" s="27">
        <f t="shared" si="7"/>
        <v>516.12903225806451</v>
      </c>
      <c r="Q8" s="26">
        <f>Taxes!$B$5*'Net income'!I8</f>
        <v>104238.02144</v>
      </c>
      <c r="R8" s="29">
        <f t="shared" si="8"/>
        <v>14010.486752688172</v>
      </c>
      <c r="S8" s="26">
        <f>Taxes!$B$3*('Net income'!G8-Deductions!$B$1)</f>
        <v>58355.260479999997</v>
      </c>
      <c r="T8" s="29">
        <f t="shared" si="9"/>
        <v>7843.4489892473111</v>
      </c>
      <c r="U8" s="27">
        <f>IF('Net income'!G8&gt;Taxes!$D$4,Taxes!$B$4*('Net income'!G8-Taxes!$D$4),0)</f>
        <v>0</v>
      </c>
      <c r="V8" s="27">
        <f t="shared" si="10"/>
        <v>0</v>
      </c>
      <c r="W8" s="26">
        <f t="shared" si="11"/>
        <v>208582.40192</v>
      </c>
      <c r="X8" s="29">
        <f t="shared" si="12"/>
        <v>28035.269075268818</v>
      </c>
      <c r="Y8" s="27">
        <f t="shared" si="13"/>
        <v>17381.866826666668</v>
      </c>
      <c r="Z8" s="27">
        <f t="shared" si="14"/>
        <v>2336.2724229390683</v>
      </c>
      <c r="AA8" s="26">
        <f>C8-(Taxes!$B$1+W8)</f>
        <v>366281.59808000003</v>
      </c>
      <c r="AB8" s="29">
        <f t="shared" si="15"/>
        <v>49231.39759139785</v>
      </c>
      <c r="AC8" s="22">
        <f t="shared" si="16"/>
        <v>30523.466506666668</v>
      </c>
      <c r="AD8" s="22">
        <f t="shared" si="17"/>
        <v>4102.6164659498208</v>
      </c>
      <c r="AE8" s="25">
        <f t="shared" si="18"/>
        <v>0.36409444777777777</v>
      </c>
      <c r="AF8" s="53">
        <v>0.41599999999999998</v>
      </c>
      <c r="AG8" s="13">
        <v>397</v>
      </c>
      <c r="AH8" s="9">
        <f t="shared" si="19"/>
        <v>53.36021505376344</v>
      </c>
      <c r="AI8" s="8">
        <f>(1-AF8)*A8+AG8</f>
        <v>28429.000000000004</v>
      </c>
      <c r="AJ8" s="14">
        <f>AI8/$K$1</f>
        <v>3821.1021505376348</v>
      </c>
      <c r="AK8" s="28">
        <f t="shared" si="20"/>
        <v>4429.0000000000036</v>
      </c>
      <c r="AL8" s="54">
        <f t="shared" si="21"/>
        <v>595.2956989247316</v>
      </c>
      <c r="AM8" s="53">
        <v>0.36199999999999999</v>
      </c>
      <c r="AN8" s="28">
        <f>A8-Taxes!$B$1-A8*AM8</f>
        <v>29488</v>
      </c>
      <c r="AO8" s="14">
        <f t="shared" si="22"/>
        <v>3963.4408602150534</v>
      </c>
      <c r="AP8" s="28">
        <f>AN8-$M$1</f>
        <v>5488</v>
      </c>
      <c r="AQ8" s="54">
        <f>AP8/$K$1</f>
        <v>737.63440860215053</v>
      </c>
    </row>
    <row r="9" spans="1:43" x14ac:dyDescent="0.2">
      <c r="A9" s="32">
        <v>49000</v>
      </c>
      <c r="B9" s="33">
        <f>A9/$K$1</f>
        <v>6586.0215053763441</v>
      </c>
      <c r="C9" s="26">
        <f t="shared" si="23"/>
        <v>588000</v>
      </c>
      <c r="D9" s="41">
        <f t="shared" ref="D9" si="25">C9/$K$1</f>
        <v>79032.258064516122</v>
      </c>
      <c r="E9" s="26">
        <f>0.08*(C9-Taxes!$B$1)</f>
        <v>46949.120000000003</v>
      </c>
      <c r="F9" s="29">
        <f t="shared" si="0"/>
        <v>6310.3655913978491</v>
      </c>
      <c r="G9" s="26">
        <f>C9-(Taxes!$B$1+'Net income'!E9)</f>
        <v>539914.88</v>
      </c>
      <c r="H9" s="29">
        <f t="shared" si="1"/>
        <v>72569.204301075268</v>
      </c>
      <c r="I9" s="41">
        <f>G9-(Deductions!$B$1+MIN(0.1065*C9,41600)+MIN(0.045*(C9-202700),2700))</f>
        <v>449014.88</v>
      </c>
      <c r="J9" s="41">
        <f t="shared" si="2"/>
        <v>60351.462365591397</v>
      </c>
      <c r="K9" s="28">
        <f t="shared" si="24"/>
        <v>3430.0000000000005</v>
      </c>
      <c r="L9" s="27">
        <f t="shared" si="3"/>
        <v>461.02150537634412</v>
      </c>
      <c r="M9" s="68">
        <f t="shared" si="4"/>
        <v>52430</v>
      </c>
      <c r="N9" s="69">
        <f t="shared" si="5"/>
        <v>7047.0430107526881</v>
      </c>
      <c r="O9" s="28">
        <f t="shared" si="6"/>
        <v>3920</v>
      </c>
      <c r="P9" s="27">
        <f t="shared" si="7"/>
        <v>526.88172043010752</v>
      </c>
      <c r="Q9" s="26">
        <f>Taxes!$B$5*'Net income'!I9</f>
        <v>106865.54144</v>
      </c>
      <c r="R9" s="29">
        <f t="shared" si="8"/>
        <v>14363.648043010751</v>
      </c>
      <c r="S9" s="26">
        <f>Taxes!$B$3*('Net income'!G9-Deductions!$B$1)</f>
        <v>59691.100480000001</v>
      </c>
      <c r="T9" s="29">
        <f t="shared" si="9"/>
        <v>8022.9973763440858</v>
      </c>
      <c r="U9" s="27">
        <f>IF('Net income'!G9&gt;Taxes!$D$4,Taxes!$B$4*('Net income'!G9-Taxes!$D$4),0)</f>
        <v>0</v>
      </c>
      <c r="V9" s="27">
        <f t="shared" si="10"/>
        <v>0</v>
      </c>
      <c r="W9" s="26">
        <f t="shared" si="11"/>
        <v>213505.76191999999</v>
      </c>
      <c r="X9" s="29">
        <f t="shared" si="12"/>
        <v>28697.011010752685</v>
      </c>
      <c r="Y9" s="27">
        <f t="shared" si="13"/>
        <v>17792.146826666667</v>
      </c>
      <c r="Z9" s="27">
        <f t="shared" si="14"/>
        <v>2391.4175842293907</v>
      </c>
      <c r="AA9" s="26">
        <f>C9-(Taxes!$B$1+W9)</f>
        <v>373358.23808000004</v>
      </c>
      <c r="AB9" s="29">
        <f t="shared" si="15"/>
        <v>50182.558881720433</v>
      </c>
      <c r="AC9" s="22">
        <f t="shared" si="16"/>
        <v>31113.186506666669</v>
      </c>
      <c r="AD9" s="22">
        <f t="shared" si="17"/>
        <v>4181.8799068100361</v>
      </c>
      <c r="AE9" s="25">
        <f t="shared" si="18"/>
        <v>0.36503701006802713</v>
      </c>
      <c r="AF9" s="53">
        <v>0.441</v>
      </c>
      <c r="AG9" s="13">
        <v>406</v>
      </c>
      <c r="AH9" s="9">
        <f t="shared" si="19"/>
        <v>54.56989247311828</v>
      </c>
      <c r="AI9" s="8">
        <f>(1-AF9)*A9+AG9</f>
        <v>27796.999999999996</v>
      </c>
      <c r="AJ9" s="14">
        <f>AI9/$K$1</f>
        <v>3736.155913978494</v>
      </c>
      <c r="AK9" s="28">
        <f t="shared" si="20"/>
        <v>3796.9999999999964</v>
      </c>
      <c r="AL9" s="54">
        <f t="shared" si="21"/>
        <v>510.34946236559091</v>
      </c>
      <c r="AM9" s="53">
        <v>0.36299999999999999</v>
      </c>
      <c r="AN9" s="28">
        <f>A9-Taxes!$B$1-A9*AM9</f>
        <v>30077</v>
      </c>
      <c r="AO9" s="14">
        <f t="shared" si="22"/>
        <v>4042.6075268817203</v>
      </c>
      <c r="AP9" s="28">
        <f>AN9-$M$1</f>
        <v>6077</v>
      </c>
      <c r="AQ9" s="54">
        <f>AP9/$K$1</f>
        <v>816.80107526881716</v>
      </c>
    </row>
    <row r="10" spans="1:43" ht="17" thickBot="1" x14ac:dyDescent="0.25">
      <c r="A10" s="32">
        <v>50000</v>
      </c>
      <c r="B10" s="33">
        <f>A10/$K$1</f>
        <v>6720.4301075268813</v>
      </c>
      <c r="C10" s="26">
        <f t="shared" si="23"/>
        <v>600000</v>
      </c>
      <c r="D10" s="41">
        <f t="shared" ref="D10" si="26">C10/$K$1</f>
        <v>80645.161290322576</v>
      </c>
      <c r="E10" s="26">
        <f>0.08*(C10-Taxes!$B$1)</f>
        <v>47909.120000000003</v>
      </c>
      <c r="F10" s="29">
        <f t="shared" si="0"/>
        <v>6439.3978494623652</v>
      </c>
      <c r="G10" s="26">
        <f>C10-(Taxes!$B$1+'Net income'!E10)</f>
        <v>550954.88</v>
      </c>
      <c r="H10" s="29">
        <f t="shared" si="1"/>
        <v>74053.075268817207</v>
      </c>
      <c r="I10" s="41">
        <f>G10-(Deductions!$B$1+MIN(0.1065*C10,41600)+MIN(0.045*(C10-202700),2700))</f>
        <v>460054.88</v>
      </c>
      <c r="J10" s="41">
        <f t="shared" si="2"/>
        <v>61835.333333333328</v>
      </c>
      <c r="K10" s="28">
        <f t="shared" si="24"/>
        <v>3500.0000000000005</v>
      </c>
      <c r="L10" s="27">
        <f t="shared" si="3"/>
        <v>470.43010752688178</v>
      </c>
      <c r="M10" s="68">
        <f t="shared" si="4"/>
        <v>53500</v>
      </c>
      <c r="N10" s="69">
        <f t="shared" si="5"/>
        <v>7190.8602150537627</v>
      </c>
      <c r="O10" s="28">
        <f t="shared" si="6"/>
        <v>4000</v>
      </c>
      <c r="P10" s="27">
        <f t="shared" si="7"/>
        <v>537.63440860215053</v>
      </c>
      <c r="Q10" s="26">
        <f>Taxes!$B$5*'Net income'!I10</f>
        <v>109493.06143999999</v>
      </c>
      <c r="R10" s="29">
        <f t="shared" si="8"/>
        <v>14716.809333333331</v>
      </c>
      <c r="S10" s="26">
        <f>Taxes!$B$3*('Net income'!G10-Deductions!$B$1)</f>
        <v>61026.940479999997</v>
      </c>
      <c r="T10" s="29">
        <f t="shared" si="9"/>
        <v>8202.5457634408594</v>
      </c>
      <c r="U10" s="27">
        <f>IF('Net income'!G10&gt;Taxes!$D$4,Taxes!$B$4*('Net income'!G10-Taxes!$D$4),0)</f>
        <v>0</v>
      </c>
      <c r="V10" s="27">
        <f t="shared" si="10"/>
        <v>0</v>
      </c>
      <c r="W10" s="26">
        <f t="shared" si="11"/>
        <v>218429.12191999998</v>
      </c>
      <c r="X10" s="29">
        <f t="shared" si="12"/>
        <v>29358.752946236553</v>
      </c>
      <c r="Y10" s="27">
        <f t="shared" si="13"/>
        <v>18202.426826666666</v>
      </c>
      <c r="Z10" s="27">
        <f t="shared" si="14"/>
        <v>2446.5627455197132</v>
      </c>
      <c r="AA10" s="26">
        <f>C10-(Taxes!$B$1+W10)</f>
        <v>380434.87808000005</v>
      </c>
      <c r="AB10" s="29">
        <f t="shared" si="15"/>
        <v>51133.720172043017</v>
      </c>
      <c r="AC10" s="22">
        <f t="shared" si="16"/>
        <v>31702.90650666667</v>
      </c>
      <c r="AD10" s="22">
        <f t="shared" si="17"/>
        <v>4261.1433476702514</v>
      </c>
      <c r="AE10" s="25">
        <f t="shared" si="18"/>
        <v>0.36594186986666655</v>
      </c>
      <c r="AF10" s="53">
        <v>0.46500000000000002</v>
      </c>
      <c r="AG10" s="13">
        <v>415</v>
      </c>
      <c r="AH10" s="9">
        <f t="shared" si="19"/>
        <v>55.779569892473113</v>
      </c>
      <c r="AI10" s="8">
        <f>(1-AF10)*A10+AG10</f>
        <v>27164.999999999996</v>
      </c>
      <c r="AJ10" s="14">
        <f>AI10/$K$1</f>
        <v>3651.2096774193542</v>
      </c>
      <c r="AK10" s="28">
        <f t="shared" si="20"/>
        <v>3164.9999999999964</v>
      </c>
      <c r="AL10" s="54">
        <f t="shared" si="21"/>
        <v>425.40322580645108</v>
      </c>
      <c r="AM10" s="53">
        <v>0.36399999999999999</v>
      </c>
      <c r="AN10" s="28">
        <f>A10-Taxes!$B$1-A10*AM10</f>
        <v>30664</v>
      </c>
      <c r="AO10" s="14">
        <f t="shared" si="22"/>
        <v>4121.5053763440856</v>
      </c>
      <c r="AP10" s="28">
        <f>AN10-$M$1</f>
        <v>6664</v>
      </c>
      <c r="AQ10" s="54">
        <f>AP10/$K$1</f>
        <v>895.69892473118273</v>
      </c>
    </row>
    <row r="11" spans="1:43" ht="17" thickTop="1" x14ac:dyDescent="0.2">
      <c r="A11" s="74">
        <v>51000</v>
      </c>
      <c r="B11" s="75">
        <f>A11/$K$1</f>
        <v>6854.8387096774186</v>
      </c>
      <c r="C11" s="76">
        <f t="shared" si="23"/>
        <v>612000</v>
      </c>
      <c r="D11" s="77">
        <f t="shared" ref="D11" si="27">C11/$K$1</f>
        <v>82258.06451612903</v>
      </c>
      <c r="E11" s="76">
        <f>0.08*(C11-Taxes!$B$1)</f>
        <v>48869.120000000003</v>
      </c>
      <c r="F11" s="78">
        <f t="shared" si="0"/>
        <v>6568.4301075268813</v>
      </c>
      <c r="G11" s="76">
        <f>C11-(Taxes!$B$1+'Net income'!E11)</f>
        <v>561994.88</v>
      </c>
      <c r="H11" s="78">
        <f t="shared" si="1"/>
        <v>75536.946236559132</v>
      </c>
      <c r="I11" s="77">
        <f>G11-(Deductions!$B$1+MIN(0.1065*C11,41600)+MIN(0.045*(C11-202700),2700))</f>
        <v>471094.88</v>
      </c>
      <c r="J11" s="77">
        <f t="shared" si="2"/>
        <v>63319.204301075268</v>
      </c>
      <c r="K11" s="79">
        <f t="shared" si="24"/>
        <v>3570.0000000000005</v>
      </c>
      <c r="L11" s="77">
        <f t="shared" si="3"/>
        <v>479.83870967741939</v>
      </c>
      <c r="M11" s="80">
        <f t="shared" si="4"/>
        <v>54570</v>
      </c>
      <c r="N11" s="81">
        <f t="shared" si="5"/>
        <v>7334.6774193548381</v>
      </c>
      <c r="O11" s="79">
        <f t="shared" si="6"/>
        <v>4080</v>
      </c>
      <c r="P11" s="77">
        <f t="shared" si="7"/>
        <v>548.38709677419354</v>
      </c>
      <c r="Q11" s="76">
        <f>Taxes!$B$5*'Net income'!I11</f>
        <v>112120.58143999999</v>
      </c>
      <c r="R11" s="78">
        <f t="shared" si="8"/>
        <v>15069.970623655912</v>
      </c>
      <c r="S11" s="76">
        <f>Taxes!$B$3*('Net income'!G11-Deductions!$B$1)</f>
        <v>62362.780480000001</v>
      </c>
      <c r="T11" s="78">
        <f t="shared" si="9"/>
        <v>8382.0941505376341</v>
      </c>
      <c r="U11" s="77">
        <f>IF('Net income'!G11&gt;Taxes!$D$4,Taxes!$B$4*('Net income'!G11-Taxes!$D$4),0)</f>
        <v>1424.2320000000007</v>
      </c>
      <c r="V11" s="77">
        <f t="shared" si="10"/>
        <v>191.42903225806458</v>
      </c>
      <c r="W11" s="76">
        <f t="shared" si="11"/>
        <v>224776.71391999998</v>
      </c>
      <c r="X11" s="78">
        <f t="shared" si="12"/>
        <v>30211.923913978491</v>
      </c>
      <c r="Y11" s="77">
        <f t="shared" si="13"/>
        <v>18731.392826666666</v>
      </c>
      <c r="Z11" s="77">
        <f t="shared" si="14"/>
        <v>2517.6603261648743</v>
      </c>
      <c r="AA11" s="76">
        <f>C11-(Taxes!$B$1+W11)</f>
        <v>386087.28607999999</v>
      </c>
      <c r="AB11" s="78">
        <f t="shared" si="15"/>
        <v>51893.452430107522</v>
      </c>
      <c r="AC11" s="82">
        <f t="shared" si="16"/>
        <v>32173.940506666666</v>
      </c>
      <c r="AD11" s="82">
        <f t="shared" si="17"/>
        <v>4324.4543691756271</v>
      </c>
      <c r="AE11" s="83">
        <f t="shared" si="18"/>
        <v>0.36913842143790854</v>
      </c>
      <c r="AF11" s="53">
        <v>0.48499999999999999</v>
      </c>
      <c r="AG11" s="13">
        <v>424</v>
      </c>
      <c r="AH11" s="9">
        <f t="shared" si="19"/>
        <v>56.989247311827953</v>
      </c>
      <c r="AI11" s="8">
        <f>(1-AF11)*A11+AG11</f>
        <v>26689</v>
      </c>
      <c r="AJ11" s="14">
        <f>AI11/$K$1</f>
        <v>3587.2311827956987</v>
      </c>
      <c r="AK11" s="28">
        <f t="shared" si="20"/>
        <v>2689</v>
      </c>
      <c r="AL11" s="54">
        <f t="shared" si="21"/>
        <v>361.42473118279565</v>
      </c>
      <c r="AM11" s="53">
        <v>0.36699999999999999</v>
      </c>
      <c r="AN11" s="28">
        <f>A11-Taxes!$B$1-A11*AM11</f>
        <v>31147</v>
      </c>
      <c r="AO11" s="14">
        <f t="shared" si="22"/>
        <v>4186.4247311827958</v>
      </c>
      <c r="AP11" s="28">
        <f>AN11-$M$1</f>
        <v>7147</v>
      </c>
      <c r="AQ11" s="54">
        <f>AP11/$K$1</f>
        <v>960.61827956989248</v>
      </c>
    </row>
    <row r="12" spans="1:43" x14ac:dyDescent="0.2">
      <c r="A12" s="32">
        <v>52000</v>
      </c>
      <c r="B12" s="33">
        <f>A12/$K$1</f>
        <v>6989.2473118279568</v>
      </c>
      <c r="C12" s="26">
        <f t="shared" si="23"/>
        <v>624000</v>
      </c>
      <c r="D12" s="41">
        <f t="shared" ref="D12" si="28">C12/$K$1</f>
        <v>83870.967741935485</v>
      </c>
      <c r="E12" s="26">
        <f>0.08*(C12-Taxes!$B$1)</f>
        <v>49829.120000000003</v>
      </c>
      <c r="F12" s="29">
        <f t="shared" si="0"/>
        <v>6697.4623655913974</v>
      </c>
      <c r="G12" s="26">
        <f>C12-(Taxes!$B$1+'Net income'!E12)</f>
        <v>573034.88</v>
      </c>
      <c r="H12" s="29">
        <f t="shared" si="1"/>
        <v>77020.817204301071</v>
      </c>
      <c r="I12" s="41">
        <f>G12-(Deductions!$B$1+MIN(0.1065*C12,41600)+MIN(0.045*(C12-202700),2700))</f>
        <v>482134.88</v>
      </c>
      <c r="J12" s="41">
        <f t="shared" si="2"/>
        <v>64803.0752688172</v>
      </c>
      <c r="K12" s="28">
        <f t="shared" si="24"/>
        <v>3640.0000000000005</v>
      </c>
      <c r="L12" s="27">
        <f t="shared" si="3"/>
        <v>489.24731182795705</v>
      </c>
      <c r="M12" s="68">
        <f t="shared" si="4"/>
        <v>55640</v>
      </c>
      <c r="N12" s="69">
        <f t="shared" si="5"/>
        <v>7478.4946236559135</v>
      </c>
      <c r="O12" s="28">
        <f t="shared" si="6"/>
        <v>4160</v>
      </c>
      <c r="P12" s="27">
        <f t="shared" si="7"/>
        <v>559.13978494623655</v>
      </c>
      <c r="Q12" s="26">
        <f>Taxes!$B$5*'Net income'!I12</f>
        <v>114748.10144</v>
      </c>
      <c r="R12" s="29">
        <f t="shared" si="8"/>
        <v>15423.131913978494</v>
      </c>
      <c r="S12" s="26">
        <f>Taxes!$B$3*('Net income'!G12-Deductions!$B$1)</f>
        <v>63698.620479999998</v>
      </c>
      <c r="T12" s="29">
        <f t="shared" si="9"/>
        <v>8561.6425376344087</v>
      </c>
      <c r="U12" s="27">
        <f>IF('Net income'!G12&gt;Taxes!$D$4,Taxes!$B$4*('Net income'!G12-Taxes!$D$4),0)</f>
        <v>3080.2320000000004</v>
      </c>
      <c r="V12" s="27">
        <f t="shared" si="10"/>
        <v>414.00967741935489</v>
      </c>
      <c r="W12" s="26">
        <f t="shared" si="11"/>
        <v>231356.07391999997</v>
      </c>
      <c r="X12" s="29">
        <f t="shared" si="12"/>
        <v>31096.246494623651</v>
      </c>
      <c r="Y12" s="27">
        <f t="shared" si="13"/>
        <v>19279.672826666665</v>
      </c>
      <c r="Z12" s="27">
        <f t="shared" si="14"/>
        <v>2591.3538745519709</v>
      </c>
      <c r="AA12" s="26">
        <f>C12-(Taxes!$B$1+W12)</f>
        <v>391507.92608</v>
      </c>
      <c r="AB12" s="29">
        <f t="shared" si="15"/>
        <v>52622.033075268817</v>
      </c>
      <c r="AC12" s="22">
        <f t="shared" si="16"/>
        <v>32625.660506666667</v>
      </c>
      <c r="AD12" s="22">
        <f t="shared" si="17"/>
        <v>4385.1694229390678</v>
      </c>
      <c r="AE12" s="25">
        <f t="shared" si="18"/>
        <v>0.37258345179487173</v>
      </c>
      <c r="AF12" s="53">
        <v>0.48499999999999999</v>
      </c>
      <c r="AG12" s="13">
        <v>433</v>
      </c>
      <c r="AH12" s="9">
        <f t="shared" si="19"/>
        <v>58.198924731182792</v>
      </c>
      <c r="AI12" s="8">
        <f>(1-AF12)*A12+AG12</f>
        <v>27213</v>
      </c>
      <c r="AJ12" s="14">
        <f>AI12/$K$1</f>
        <v>3657.6612903225805</v>
      </c>
      <c r="AK12" s="28">
        <f t="shared" si="20"/>
        <v>3213</v>
      </c>
      <c r="AL12" s="54">
        <f t="shared" si="21"/>
        <v>431.85483870967738</v>
      </c>
      <c r="AM12" s="53">
        <v>0.371</v>
      </c>
      <c r="AN12" s="28">
        <f>A12-Taxes!$B$1-A12*AM12</f>
        <v>31572</v>
      </c>
      <c r="AO12" s="14">
        <f t="shared" si="22"/>
        <v>4243.5483870967737</v>
      </c>
      <c r="AP12" s="28">
        <f>AN12-$M$1</f>
        <v>7572</v>
      </c>
      <c r="AQ12" s="54">
        <f>AP12/$K$1</f>
        <v>1017.7419354838709</v>
      </c>
    </row>
    <row r="13" spans="1:43" x14ac:dyDescent="0.2">
      <c r="A13" s="32">
        <v>53000</v>
      </c>
      <c r="B13" s="33">
        <f>A13/$K$1</f>
        <v>7123.655913978494</v>
      </c>
      <c r="C13" s="26">
        <f t="shared" si="23"/>
        <v>636000</v>
      </c>
      <c r="D13" s="41">
        <f t="shared" ref="D13" si="29">C13/$K$1</f>
        <v>85483.870967741925</v>
      </c>
      <c r="E13" s="26">
        <f>0.08*(C13-Taxes!$B$1)</f>
        <v>50789.120000000003</v>
      </c>
      <c r="F13" s="29">
        <f t="shared" si="0"/>
        <v>6826.4946236559135</v>
      </c>
      <c r="G13" s="26">
        <f>C13-(Taxes!$B$1+'Net income'!E13)</f>
        <v>584074.88</v>
      </c>
      <c r="H13" s="29">
        <f t="shared" si="1"/>
        <v>78504.68817204301</v>
      </c>
      <c r="I13" s="41">
        <f>G13-(Deductions!$B$1+MIN(0.1065*C13,41600)+MIN(0.045*(C13-202700),2700))</f>
        <v>493174.88</v>
      </c>
      <c r="J13" s="41">
        <f t="shared" si="2"/>
        <v>66286.946236559132</v>
      </c>
      <c r="K13" s="28">
        <f t="shared" si="24"/>
        <v>3710.0000000000005</v>
      </c>
      <c r="L13" s="27">
        <f t="shared" si="3"/>
        <v>498.65591397849465</v>
      </c>
      <c r="M13" s="68">
        <f t="shared" si="4"/>
        <v>56710</v>
      </c>
      <c r="N13" s="69">
        <f t="shared" si="5"/>
        <v>7622.311827956989</v>
      </c>
      <c r="O13" s="28">
        <f t="shared" si="6"/>
        <v>4240</v>
      </c>
      <c r="P13" s="27">
        <f t="shared" si="7"/>
        <v>569.89247311827955</v>
      </c>
      <c r="Q13" s="26">
        <f>Taxes!$B$5*'Net income'!I13</f>
        <v>117375.62144</v>
      </c>
      <c r="R13" s="29">
        <f t="shared" si="8"/>
        <v>15776.293204301075</v>
      </c>
      <c r="S13" s="26">
        <f>Taxes!$B$3*('Net income'!G13-Deductions!$B$1)</f>
        <v>65034.460480000002</v>
      </c>
      <c r="T13" s="29">
        <f t="shared" si="9"/>
        <v>8741.1909247311833</v>
      </c>
      <c r="U13" s="27">
        <f>IF('Net income'!G13&gt;Taxes!$D$4,Taxes!$B$4*('Net income'!G13-Taxes!$D$4),0)</f>
        <v>4736.2320000000009</v>
      </c>
      <c r="V13" s="27">
        <f t="shared" si="10"/>
        <v>636.59032258064519</v>
      </c>
      <c r="W13" s="26">
        <f t="shared" si="11"/>
        <v>237935.43392000001</v>
      </c>
      <c r="X13" s="29">
        <f t="shared" si="12"/>
        <v>31980.569075268817</v>
      </c>
      <c r="Y13" s="27">
        <f t="shared" si="13"/>
        <v>19827.952826666668</v>
      </c>
      <c r="Z13" s="27">
        <f t="shared" si="14"/>
        <v>2665.0474229390679</v>
      </c>
      <c r="AA13" s="26">
        <f>C13-(Taxes!$B$1+W13)</f>
        <v>396928.56608000002</v>
      </c>
      <c r="AB13" s="29">
        <f t="shared" si="15"/>
        <v>53350.613720430105</v>
      </c>
      <c r="AC13" s="22">
        <f t="shared" si="16"/>
        <v>33077.380506666668</v>
      </c>
      <c r="AD13" s="22">
        <f t="shared" si="17"/>
        <v>4445.8844767025093</v>
      </c>
      <c r="AE13" s="25">
        <f t="shared" si="18"/>
        <v>0.37589848100628931</v>
      </c>
      <c r="AF13" s="53">
        <v>0.48599999999999999</v>
      </c>
      <c r="AG13" s="13">
        <v>442</v>
      </c>
      <c r="AH13" s="9">
        <f t="shared" si="19"/>
        <v>59.408602150537632</v>
      </c>
      <c r="AI13" s="8">
        <f>(1-AF13)*A13+AG13</f>
        <v>27684</v>
      </c>
      <c r="AJ13" s="14">
        <f>AI13/$K$1</f>
        <v>3720.9677419354839</v>
      </c>
      <c r="AK13" s="28">
        <f t="shared" si="20"/>
        <v>3684</v>
      </c>
      <c r="AL13" s="54">
        <f t="shared" si="21"/>
        <v>495.16129032258061</v>
      </c>
      <c r="AM13" s="53">
        <v>0.374</v>
      </c>
      <c r="AN13" s="28">
        <f>A13-Taxes!$B$1-A13*AM13</f>
        <v>32042</v>
      </c>
      <c r="AO13" s="14">
        <f t="shared" si="22"/>
        <v>4306.7204301075262</v>
      </c>
      <c r="AP13" s="28">
        <f>AN13-$M$1</f>
        <v>8042</v>
      </c>
      <c r="AQ13" s="54">
        <f>AP13/$K$1</f>
        <v>1080.9139784946235</v>
      </c>
    </row>
    <row r="14" spans="1:43" x14ac:dyDescent="0.2">
      <c r="A14" s="32">
        <v>54000</v>
      </c>
      <c r="B14" s="33">
        <f>A14/$K$1</f>
        <v>7258.0645161290322</v>
      </c>
      <c r="C14" s="26">
        <f t="shared" si="23"/>
        <v>648000</v>
      </c>
      <c r="D14" s="41">
        <f t="shared" ref="D14" si="30">C14/$K$1</f>
        <v>87096.774193548379</v>
      </c>
      <c r="E14" s="26">
        <f>0.08*(C14-Taxes!$B$1)</f>
        <v>51749.120000000003</v>
      </c>
      <c r="F14" s="29">
        <f t="shared" si="0"/>
        <v>6955.5268817204305</v>
      </c>
      <c r="G14" s="26">
        <f>C14-(Taxes!$B$1+'Net income'!E14)</f>
        <v>595114.88</v>
      </c>
      <c r="H14" s="29">
        <f t="shared" si="1"/>
        <v>79988.559139784949</v>
      </c>
      <c r="I14" s="41">
        <f>G14-(Deductions!$B$1+MIN(0.1065*C14,41600)+MIN(0.045*(C14-202700),2700))</f>
        <v>504214.88</v>
      </c>
      <c r="J14" s="41">
        <f t="shared" si="2"/>
        <v>67770.817204301071</v>
      </c>
      <c r="K14" s="28">
        <f t="shared" si="24"/>
        <v>3780.0000000000005</v>
      </c>
      <c r="L14" s="27">
        <f t="shared" si="3"/>
        <v>508.06451612903231</v>
      </c>
      <c r="M14" s="68">
        <f t="shared" si="4"/>
        <v>57780</v>
      </c>
      <c r="N14" s="69">
        <f t="shared" si="5"/>
        <v>7766.1290322580644</v>
      </c>
      <c r="O14" s="28">
        <f t="shared" si="6"/>
        <v>4320</v>
      </c>
      <c r="P14" s="27">
        <f t="shared" si="7"/>
        <v>580.64516129032256</v>
      </c>
      <c r="Q14" s="26">
        <f>Taxes!$B$5*'Net income'!I14</f>
        <v>120003.14143999999</v>
      </c>
      <c r="R14" s="29">
        <f t="shared" si="8"/>
        <v>16129.454494623655</v>
      </c>
      <c r="S14" s="26">
        <f>Taxes!$B$3*('Net income'!G14-Deductions!$B$1)</f>
        <v>66370.300480000005</v>
      </c>
      <c r="T14" s="29">
        <f t="shared" si="9"/>
        <v>8920.7393118279579</v>
      </c>
      <c r="U14" s="27">
        <f>IF('Net income'!G14&gt;Taxes!$D$4,Taxes!$B$4*('Net income'!G14-Taxes!$D$4),0)</f>
        <v>6392.2320000000009</v>
      </c>
      <c r="V14" s="27">
        <f t="shared" si="10"/>
        <v>859.17096774193556</v>
      </c>
      <c r="W14" s="26">
        <f t="shared" si="11"/>
        <v>244514.79392</v>
      </c>
      <c r="X14" s="29">
        <f t="shared" si="12"/>
        <v>32864.891655913976</v>
      </c>
      <c r="Y14" s="27">
        <f t="shared" si="13"/>
        <v>20376.232826666666</v>
      </c>
      <c r="Z14" s="27">
        <f t="shared" si="14"/>
        <v>2738.7409713261645</v>
      </c>
      <c r="AA14" s="26">
        <f>C14-(Taxes!$B$1+W14)</f>
        <v>402349.20608000003</v>
      </c>
      <c r="AB14" s="29">
        <f t="shared" si="15"/>
        <v>54079.1943655914</v>
      </c>
      <c r="AC14" s="22">
        <f t="shared" si="16"/>
        <v>33529.100506666669</v>
      </c>
      <c r="AD14" s="22">
        <f t="shared" si="17"/>
        <v>4506.59953046595</v>
      </c>
      <c r="AE14" s="25">
        <f t="shared" si="18"/>
        <v>0.37909073135802462</v>
      </c>
      <c r="AF14" s="53">
        <v>0.48599999999999999</v>
      </c>
      <c r="AG14" s="13">
        <v>451</v>
      </c>
      <c r="AH14" s="9">
        <f t="shared" si="19"/>
        <v>60.618279569892472</v>
      </c>
      <c r="AI14" s="8">
        <f>(1-AF14)*A14+AG14</f>
        <v>28207</v>
      </c>
      <c r="AJ14" s="14">
        <f>AI14/$K$1</f>
        <v>3791.2634408602148</v>
      </c>
      <c r="AK14" s="28">
        <f t="shared" si="20"/>
        <v>4207</v>
      </c>
      <c r="AL14" s="54">
        <f t="shared" si="21"/>
        <v>565.45698924731175</v>
      </c>
      <c r="AM14" s="58">
        <v>0.377</v>
      </c>
      <c r="AN14" s="28">
        <f>A14-Taxes!$B$1-A14*AM14</f>
        <v>32506</v>
      </c>
      <c r="AO14" s="31">
        <f t="shared" si="22"/>
        <v>4369.0860215053763</v>
      </c>
      <c r="AP14" s="30">
        <f>AN14-$M$1</f>
        <v>8506</v>
      </c>
      <c r="AQ14" s="61">
        <f>AP14/$K$1</f>
        <v>1143.2795698924731</v>
      </c>
    </row>
    <row r="15" spans="1:43" x14ac:dyDescent="0.2">
      <c r="A15" s="32">
        <v>55000</v>
      </c>
      <c r="B15" s="33">
        <f>A15/$K$1</f>
        <v>7392.4731182795695</v>
      </c>
      <c r="C15" s="26">
        <f t="shared" si="23"/>
        <v>660000</v>
      </c>
      <c r="D15" s="41">
        <f t="shared" ref="D15" si="31">C15/$K$1</f>
        <v>88709.677419354834</v>
      </c>
      <c r="E15" s="26">
        <f>0.08*(C15-Taxes!$B$1)</f>
        <v>52709.120000000003</v>
      </c>
      <c r="F15" s="29">
        <f t="shared" si="0"/>
        <v>7084.5591397849466</v>
      </c>
      <c r="G15" s="26">
        <f>C15-(Taxes!$B$1+'Net income'!E15)</f>
        <v>606154.88</v>
      </c>
      <c r="H15" s="29">
        <f t="shared" si="1"/>
        <v>81472.430107526874</v>
      </c>
      <c r="I15" s="41">
        <f>G15-(Deductions!$B$1+MIN(0.1065*C15,41600)+MIN(0.045*(C15-202700),2700))</f>
        <v>515254.88</v>
      </c>
      <c r="J15" s="41">
        <f t="shared" si="2"/>
        <v>69254.68817204301</v>
      </c>
      <c r="K15" s="28">
        <f t="shared" si="24"/>
        <v>3850.0000000000005</v>
      </c>
      <c r="L15" s="27">
        <f t="shared" si="3"/>
        <v>517.47311827956992</v>
      </c>
      <c r="M15" s="68">
        <f t="shared" si="4"/>
        <v>58850</v>
      </c>
      <c r="N15" s="69">
        <f t="shared" si="5"/>
        <v>7909.9462365591389</v>
      </c>
      <c r="O15" s="28">
        <f t="shared" si="6"/>
        <v>4400</v>
      </c>
      <c r="P15" s="27">
        <f t="shared" si="7"/>
        <v>591.39784946236557</v>
      </c>
      <c r="Q15" s="26">
        <f>Taxes!$B$5*'Net income'!I15</f>
        <v>122630.66144</v>
      </c>
      <c r="R15" s="29">
        <f t="shared" si="8"/>
        <v>16482.615784946236</v>
      </c>
      <c r="S15" s="26">
        <f>Taxes!$B$3*('Net income'!G15-Deductions!$B$1)</f>
        <v>67706.140480000002</v>
      </c>
      <c r="T15" s="29">
        <f t="shared" si="9"/>
        <v>9100.2876989247306</v>
      </c>
      <c r="U15" s="27">
        <f>IF('Net income'!G15&gt;Taxes!$D$4,Taxes!$B$4*('Net income'!G15-Taxes!$D$4),0)</f>
        <v>8048.232</v>
      </c>
      <c r="V15" s="27">
        <f t="shared" si="10"/>
        <v>1081.7516129032258</v>
      </c>
      <c r="W15" s="26">
        <f t="shared" si="11"/>
        <v>251094.15391999998</v>
      </c>
      <c r="X15" s="29">
        <f t="shared" si="12"/>
        <v>33749.214236559135</v>
      </c>
      <c r="Y15" s="27">
        <f t="shared" si="13"/>
        <v>20924.512826666665</v>
      </c>
      <c r="Z15" s="27">
        <f t="shared" si="14"/>
        <v>2812.4345197132611</v>
      </c>
      <c r="AA15" s="26">
        <f>C15-(Taxes!$B$1+W15)</f>
        <v>407769.84608000005</v>
      </c>
      <c r="AB15" s="29">
        <f t="shared" si="15"/>
        <v>54807.775010752688</v>
      </c>
      <c r="AC15" s="22">
        <f t="shared" si="16"/>
        <v>33980.820506666671</v>
      </c>
      <c r="AD15" s="22">
        <f t="shared" si="17"/>
        <v>4567.3145842293907</v>
      </c>
      <c r="AE15" s="25">
        <f t="shared" si="18"/>
        <v>0.38216689987878782</v>
      </c>
      <c r="AF15" s="53">
        <v>0.48599999999999999</v>
      </c>
      <c r="AG15" s="13">
        <v>460</v>
      </c>
      <c r="AH15" s="9">
        <f t="shared" si="19"/>
        <v>61.827956989247312</v>
      </c>
      <c r="AI15" s="8">
        <f>(1-AF15)*A15+AG15</f>
        <v>28730</v>
      </c>
      <c r="AJ15" s="14">
        <f>AI15/$K$1</f>
        <v>3861.5591397849462</v>
      </c>
      <c r="AK15" s="28">
        <f t="shared" si="20"/>
        <v>4730</v>
      </c>
      <c r="AL15" s="54">
        <f t="shared" si="21"/>
        <v>635.75268817204301</v>
      </c>
      <c r="AM15" s="53">
        <v>0.38</v>
      </c>
      <c r="AN15" s="28">
        <f>A15-Taxes!$B$1-A15*AM15</f>
        <v>32964</v>
      </c>
      <c r="AO15" s="14">
        <f t="shared" si="22"/>
        <v>4430.645161290322</v>
      </c>
      <c r="AP15" s="28">
        <f>AN15-$M$1</f>
        <v>8964</v>
      </c>
      <c r="AQ15" s="54">
        <f>AP15/$K$1</f>
        <v>1204.8387096774193</v>
      </c>
    </row>
    <row r="16" spans="1:43" x14ac:dyDescent="0.2">
      <c r="A16" s="32">
        <v>56000</v>
      </c>
      <c r="B16" s="33">
        <f>A16/$K$1</f>
        <v>7526.8817204301067</v>
      </c>
      <c r="C16" s="26">
        <f t="shared" si="23"/>
        <v>672000</v>
      </c>
      <c r="D16" s="41">
        <f t="shared" ref="D16" si="32">C16/$K$1</f>
        <v>90322.580645161288</v>
      </c>
      <c r="E16" s="26">
        <f>0.08*(C16-Taxes!$B$1)</f>
        <v>53669.120000000003</v>
      </c>
      <c r="F16" s="29">
        <f t="shared" si="0"/>
        <v>7213.5913978494627</v>
      </c>
      <c r="G16" s="26">
        <f>C16-(Taxes!$B$1+'Net income'!E16)</f>
        <v>617194.88</v>
      </c>
      <c r="H16" s="29">
        <f t="shared" si="1"/>
        <v>82956.301075268813</v>
      </c>
      <c r="I16" s="41">
        <f>G16-(Deductions!$B$1+MIN(0.1065*C16,41600)+MIN(0.045*(C16-202700),2700))</f>
        <v>526294.88</v>
      </c>
      <c r="J16" s="41">
        <f t="shared" si="2"/>
        <v>70738.559139784949</v>
      </c>
      <c r="K16" s="28">
        <f t="shared" si="24"/>
        <v>3920.0000000000005</v>
      </c>
      <c r="L16" s="27">
        <f t="shared" si="3"/>
        <v>526.88172043010752</v>
      </c>
      <c r="M16" s="68">
        <f t="shared" si="4"/>
        <v>59920</v>
      </c>
      <c r="N16" s="69">
        <f t="shared" si="5"/>
        <v>8053.7634408602144</v>
      </c>
      <c r="O16" s="28">
        <f t="shared" si="6"/>
        <v>4480</v>
      </c>
      <c r="P16" s="27">
        <f t="shared" si="7"/>
        <v>602.15053763440858</v>
      </c>
      <c r="Q16" s="26">
        <f>Taxes!$B$5*'Net income'!I16</f>
        <v>125258.18144</v>
      </c>
      <c r="R16" s="29">
        <f t="shared" si="8"/>
        <v>16835.777075268816</v>
      </c>
      <c r="S16" s="26">
        <f>Taxes!$B$3*('Net income'!G16-Deductions!$B$1)</f>
        <v>69041.980479999998</v>
      </c>
      <c r="T16" s="29">
        <f t="shared" si="9"/>
        <v>9279.8360860215053</v>
      </c>
      <c r="U16" s="27">
        <f>IF('Net income'!G16&gt;Taxes!$D$4,Taxes!$B$4*('Net income'!G16-Taxes!$D$4),0)</f>
        <v>9704.232</v>
      </c>
      <c r="V16" s="27">
        <f t="shared" si="10"/>
        <v>1304.3322580645161</v>
      </c>
      <c r="W16" s="26">
        <f t="shared" si="11"/>
        <v>257673.51392</v>
      </c>
      <c r="X16" s="29">
        <f t="shared" si="12"/>
        <v>34633.536817204302</v>
      </c>
      <c r="Y16" s="27">
        <f t="shared" si="13"/>
        <v>21472.792826666668</v>
      </c>
      <c r="Z16" s="27">
        <f t="shared" si="14"/>
        <v>2886.1280681003586</v>
      </c>
      <c r="AA16" s="26">
        <f>C16-(Taxes!$B$1+W16)</f>
        <v>413190.48608</v>
      </c>
      <c r="AB16" s="29">
        <f t="shared" si="15"/>
        <v>55536.355655913976</v>
      </c>
      <c r="AC16" s="22">
        <f t="shared" si="16"/>
        <v>34432.540506666664</v>
      </c>
      <c r="AD16" s="22">
        <f t="shared" si="17"/>
        <v>4628.0296379928313</v>
      </c>
      <c r="AE16" s="25">
        <f t="shared" si="18"/>
        <v>0.38513320523809524</v>
      </c>
      <c r="AF16" s="53">
        <v>0.48699999999999999</v>
      </c>
      <c r="AG16" s="13">
        <v>469</v>
      </c>
      <c r="AH16" s="9">
        <f t="shared" si="19"/>
        <v>63.037634408602145</v>
      </c>
      <c r="AI16" s="8">
        <f>(1-AF16)*A16+AG16</f>
        <v>29197</v>
      </c>
      <c r="AJ16" s="14">
        <f>AI16/$K$1</f>
        <v>3924.327956989247</v>
      </c>
      <c r="AK16" s="28">
        <f t="shared" si="20"/>
        <v>5197</v>
      </c>
      <c r="AL16" s="54">
        <f t="shared" si="21"/>
        <v>698.52150537634407</v>
      </c>
      <c r="AM16" s="53">
        <v>0.38300000000000001</v>
      </c>
      <c r="AN16" s="28">
        <f>A16-Taxes!$B$1-A16*AM16</f>
        <v>33416</v>
      </c>
      <c r="AO16" s="14">
        <f t="shared" si="22"/>
        <v>4491.3978494623652</v>
      </c>
      <c r="AP16" s="28">
        <f>AN16-$M$1</f>
        <v>9416</v>
      </c>
      <c r="AQ16" s="54">
        <f>AP16/$K$1</f>
        <v>1265.5913978494623</v>
      </c>
    </row>
    <row r="17" spans="1:43" x14ac:dyDescent="0.2">
      <c r="A17" s="32">
        <v>57000</v>
      </c>
      <c r="B17" s="33">
        <f>A17/$K$1</f>
        <v>7661.2903225806449</v>
      </c>
      <c r="C17" s="26">
        <f t="shared" si="23"/>
        <v>684000</v>
      </c>
      <c r="D17" s="41">
        <f t="shared" ref="D17" si="33">C17/$K$1</f>
        <v>91935.483870967742</v>
      </c>
      <c r="E17" s="26">
        <f>0.08*(C17-Taxes!$B$1)</f>
        <v>54629.120000000003</v>
      </c>
      <c r="F17" s="29">
        <f t="shared" si="0"/>
        <v>7342.6236559139788</v>
      </c>
      <c r="G17" s="26">
        <f>C17-(Taxes!$B$1+'Net income'!E17)</f>
        <v>628234.88</v>
      </c>
      <c r="H17" s="29">
        <f t="shared" si="1"/>
        <v>84440.172043010753</v>
      </c>
      <c r="I17" s="41">
        <f>G17-(Deductions!$B$1+MIN(0.1065*C17,41600)+MIN(0.045*(C17-202700),2700))</f>
        <v>537334.88</v>
      </c>
      <c r="J17" s="41">
        <f t="shared" si="2"/>
        <v>72222.430107526874</v>
      </c>
      <c r="K17" s="28">
        <f t="shared" si="24"/>
        <v>3990.0000000000005</v>
      </c>
      <c r="L17" s="27">
        <f t="shared" si="3"/>
        <v>536.29032258064524</v>
      </c>
      <c r="M17" s="68">
        <f t="shared" si="4"/>
        <v>60990</v>
      </c>
      <c r="N17" s="69">
        <f t="shared" si="5"/>
        <v>8197.5806451612898</v>
      </c>
      <c r="O17" s="28">
        <f t="shared" si="6"/>
        <v>4560</v>
      </c>
      <c r="P17" s="27">
        <f t="shared" si="7"/>
        <v>612.90322580645159</v>
      </c>
      <c r="Q17" s="26">
        <f>Taxes!$B$5*'Net income'!I17</f>
        <v>127885.70143999999</v>
      </c>
      <c r="R17" s="29">
        <f t="shared" si="8"/>
        <v>17188.938365591395</v>
      </c>
      <c r="S17" s="26">
        <f>Taxes!$B$3*('Net income'!G17-Deductions!$B$1)</f>
        <v>70377.820479999995</v>
      </c>
      <c r="T17" s="29">
        <f t="shared" si="9"/>
        <v>9459.384473118278</v>
      </c>
      <c r="U17" s="27">
        <f>IF('Net income'!G17&gt;Taxes!$D$4,Taxes!$B$4*('Net income'!G17-Taxes!$D$4),0)</f>
        <v>11360.232</v>
      </c>
      <c r="V17" s="27">
        <f t="shared" si="10"/>
        <v>1526.9129032258063</v>
      </c>
      <c r="W17" s="26">
        <f t="shared" si="11"/>
        <v>264252.87391999998</v>
      </c>
      <c r="X17" s="29">
        <f t="shared" si="12"/>
        <v>35517.859397849461</v>
      </c>
      <c r="Y17" s="27">
        <f t="shared" si="13"/>
        <v>22021.072826666667</v>
      </c>
      <c r="Z17" s="27">
        <f t="shared" si="14"/>
        <v>2959.8216164874552</v>
      </c>
      <c r="AA17" s="26">
        <f>C17-(Taxes!$B$1+W17)</f>
        <v>418611.12608000002</v>
      </c>
      <c r="AB17" s="29">
        <f t="shared" si="15"/>
        <v>56264.936301075271</v>
      </c>
      <c r="AC17" s="22">
        <f t="shared" si="16"/>
        <v>34884.260506666666</v>
      </c>
      <c r="AD17" s="22">
        <f t="shared" si="17"/>
        <v>4688.744691756272</v>
      </c>
      <c r="AE17" s="25">
        <f t="shared" si="18"/>
        <v>0.38799542970760237</v>
      </c>
      <c r="AF17" s="53">
        <v>0.48699999999999999</v>
      </c>
      <c r="AG17" s="13">
        <v>478</v>
      </c>
      <c r="AH17" s="9">
        <f t="shared" si="19"/>
        <v>64.247311827956992</v>
      </c>
      <c r="AI17" s="8">
        <f>(1-AF17)*A17+AG17</f>
        <v>29719</v>
      </c>
      <c r="AJ17" s="14">
        <f>AI17/$K$1</f>
        <v>3994.489247311828</v>
      </c>
      <c r="AK17" s="28">
        <f t="shared" si="20"/>
        <v>5719</v>
      </c>
      <c r="AL17" s="54">
        <f t="shared" si="21"/>
        <v>768.68279569892468</v>
      </c>
      <c r="AM17" s="53">
        <v>0.38600000000000001</v>
      </c>
      <c r="AN17" s="28">
        <f>A17-Taxes!$B$1-A17*AM17</f>
        <v>33862</v>
      </c>
      <c r="AO17" s="14">
        <f t="shared" si="22"/>
        <v>4551.3440860215051</v>
      </c>
      <c r="AP17" s="28">
        <f>AN17-$M$1</f>
        <v>9862</v>
      </c>
      <c r="AQ17" s="54">
        <f>AP17/$K$1</f>
        <v>1325.5376344086021</v>
      </c>
    </row>
    <row r="18" spans="1:43" x14ac:dyDescent="0.2">
      <c r="A18" s="32">
        <v>58000</v>
      </c>
      <c r="B18" s="33">
        <f>A18/$K$1</f>
        <v>7795.6989247311822</v>
      </c>
      <c r="C18" s="26">
        <f t="shared" si="23"/>
        <v>696000</v>
      </c>
      <c r="D18" s="41">
        <f t="shared" ref="D18" si="34">C18/$K$1</f>
        <v>93548.387096774182</v>
      </c>
      <c r="E18" s="26">
        <f>0.08*(C18-Taxes!$B$1)</f>
        <v>55589.120000000003</v>
      </c>
      <c r="F18" s="29">
        <f t="shared" si="0"/>
        <v>7471.6559139784949</v>
      </c>
      <c r="G18" s="26">
        <f>C18-(Taxes!$B$1+'Net income'!E18)</f>
        <v>639274.88</v>
      </c>
      <c r="H18" s="29">
        <f t="shared" si="1"/>
        <v>85924.043010752677</v>
      </c>
      <c r="I18" s="41">
        <f>G18-(Deductions!$B$1+MIN(0.1065*C18,41600)+MIN(0.045*(C18-202700),2700))</f>
        <v>548374.88</v>
      </c>
      <c r="J18" s="41">
        <f t="shared" si="2"/>
        <v>73706.301075268813</v>
      </c>
      <c r="K18" s="28">
        <f t="shared" si="24"/>
        <v>4060.0000000000005</v>
      </c>
      <c r="L18" s="27">
        <f t="shared" si="3"/>
        <v>545.69892473118284</v>
      </c>
      <c r="M18" s="68">
        <f t="shared" si="4"/>
        <v>62060</v>
      </c>
      <c r="N18" s="69">
        <f t="shared" si="5"/>
        <v>8341.3978494623643</v>
      </c>
      <c r="O18" s="28">
        <f t="shared" si="6"/>
        <v>4640</v>
      </c>
      <c r="P18" s="27">
        <f t="shared" si="7"/>
        <v>623.6559139784946</v>
      </c>
      <c r="Q18" s="26">
        <f>Taxes!$B$5*'Net income'!I18</f>
        <v>130513.22143999999</v>
      </c>
      <c r="R18" s="29">
        <f t="shared" si="8"/>
        <v>17542.099655913978</v>
      </c>
      <c r="S18" s="26">
        <f>Taxes!$B$3*('Net income'!G18-Deductions!$B$1)</f>
        <v>71713.660479999991</v>
      </c>
      <c r="T18" s="29">
        <f t="shared" si="9"/>
        <v>9638.9328602150526</v>
      </c>
      <c r="U18" s="27">
        <f>IF('Net income'!G18&gt;Taxes!$D$4,Taxes!$B$4*('Net income'!G18-Taxes!$D$4),0)</f>
        <v>13016.232</v>
      </c>
      <c r="V18" s="27">
        <f t="shared" si="10"/>
        <v>1749.4935483870968</v>
      </c>
      <c r="W18" s="26">
        <f t="shared" si="11"/>
        <v>270832.23391999997</v>
      </c>
      <c r="X18" s="29">
        <f t="shared" si="12"/>
        <v>36402.18197849462</v>
      </c>
      <c r="Y18" s="27">
        <f t="shared" si="13"/>
        <v>22569.352826666665</v>
      </c>
      <c r="Z18" s="27">
        <f t="shared" si="14"/>
        <v>3033.5151648745518</v>
      </c>
      <c r="AA18" s="26">
        <f>C18-(Taxes!$B$1+W18)</f>
        <v>424031.76608000003</v>
      </c>
      <c r="AB18" s="29">
        <f t="shared" si="15"/>
        <v>56993.516946236559</v>
      </c>
      <c r="AC18" s="22">
        <f t="shared" si="16"/>
        <v>35335.980506666667</v>
      </c>
      <c r="AD18" s="22">
        <f t="shared" si="17"/>
        <v>4749.4597455197127</v>
      </c>
      <c r="AE18" s="25">
        <f t="shared" si="18"/>
        <v>0.39075895678160921</v>
      </c>
      <c r="AF18" s="56">
        <v>0.48699999999999999</v>
      </c>
      <c r="AG18" s="23">
        <v>487</v>
      </c>
      <c r="AH18" s="22">
        <f t="shared" si="19"/>
        <v>65.456989247311824</v>
      </c>
      <c r="AI18" s="21">
        <f>(1-AF18)*A18+AG18</f>
        <v>30241</v>
      </c>
      <c r="AJ18" s="24">
        <f>AI18/$K$1</f>
        <v>4064.6505376344085</v>
      </c>
      <c r="AK18" s="21">
        <f t="shared" si="20"/>
        <v>6241</v>
      </c>
      <c r="AL18" s="57">
        <f t="shared" si="21"/>
        <v>838.84408602150529</v>
      </c>
      <c r="AM18" s="53">
        <v>0.38900000000000001</v>
      </c>
      <c r="AN18" s="28">
        <f>A18-Taxes!$B$1-A18*AM18</f>
        <v>34302</v>
      </c>
      <c r="AO18" s="14">
        <f t="shared" si="22"/>
        <v>4610.4838709677415</v>
      </c>
      <c r="AP18" s="28">
        <f>AN18-$M$1</f>
        <v>10302</v>
      </c>
      <c r="AQ18" s="54">
        <f>AP18/$K$1</f>
        <v>1384.6774193548385</v>
      </c>
    </row>
    <row r="19" spans="1:43" x14ac:dyDescent="0.2">
      <c r="A19" s="32">
        <v>59000</v>
      </c>
      <c r="B19" s="33">
        <f>A19/$K$1</f>
        <v>7930.1075268817203</v>
      </c>
      <c r="C19" s="26">
        <f t="shared" si="23"/>
        <v>708000</v>
      </c>
      <c r="D19" s="41">
        <f t="shared" ref="D19" si="35">C19/$K$1</f>
        <v>95161.290322580637</v>
      </c>
      <c r="E19" s="26">
        <f>0.08*(C19-Taxes!$B$1)</f>
        <v>56549.120000000003</v>
      </c>
      <c r="F19" s="29">
        <f t="shared" si="0"/>
        <v>7600.688172043011</v>
      </c>
      <c r="G19" s="26">
        <f>C19-(Taxes!$B$1+'Net income'!E19)</f>
        <v>650314.88</v>
      </c>
      <c r="H19" s="29">
        <f t="shared" si="1"/>
        <v>87407.913978494616</v>
      </c>
      <c r="I19" s="41">
        <f>G19-(Deductions!$B$1+MIN(0.1065*C19,41600)+MIN(0.045*(C19-202700),2700))</f>
        <v>559414.88</v>
      </c>
      <c r="J19" s="41">
        <f t="shared" si="2"/>
        <v>75190.172043010753</v>
      </c>
      <c r="K19" s="28">
        <f t="shared" si="24"/>
        <v>4130</v>
      </c>
      <c r="L19" s="27">
        <f t="shared" si="3"/>
        <v>555.10752688172045</v>
      </c>
      <c r="M19" s="68">
        <f t="shared" si="4"/>
        <v>63130</v>
      </c>
      <c r="N19" s="69">
        <f t="shared" si="5"/>
        <v>8485.2150537634407</v>
      </c>
      <c r="O19" s="28">
        <f t="shared" si="6"/>
        <v>4720</v>
      </c>
      <c r="P19" s="27">
        <f t="shared" si="7"/>
        <v>634.4086021505376</v>
      </c>
      <c r="Q19" s="26">
        <f>Taxes!$B$5*'Net income'!I19</f>
        <v>133140.74143999998</v>
      </c>
      <c r="R19" s="29">
        <f t="shared" si="8"/>
        <v>17895.260946236554</v>
      </c>
      <c r="S19" s="26">
        <f>Taxes!$B$3*('Net income'!G19-Deductions!$B$1)</f>
        <v>73049.500480000002</v>
      </c>
      <c r="T19" s="29">
        <f t="shared" si="9"/>
        <v>9818.4812473118272</v>
      </c>
      <c r="U19" s="27">
        <f>IF('Net income'!G19&gt;Taxes!$D$4,Taxes!$B$4*('Net income'!G19-Taxes!$D$4),0)</f>
        <v>14672.232</v>
      </c>
      <c r="V19" s="27">
        <f t="shared" si="10"/>
        <v>1972.074193548387</v>
      </c>
      <c r="W19" s="26">
        <f t="shared" si="11"/>
        <v>277411.59392000001</v>
      </c>
      <c r="X19" s="29">
        <f t="shared" si="12"/>
        <v>37286.504559139787</v>
      </c>
      <c r="Y19" s="27">
        <f t="shared" si="13"/>
        <v>23117.632826666668</v>
      </c>
      <c r="Z19" s="27">
        <f t="shared" si="14"/>
        <v>3107.2087132616489</v>
      </c>
      <c r="AA19" s="26">
        <f>C19-(Taxes!$B$1+W19)</f>
        <v>429452.40607999999</v>
      </c>
      <c r="AB19" s="29">
        <f t="shared" si="15"/>
        <v>57722.097591397847</v>
      </c>
      <c r="AC19" s="22">
        <f t="shared" si="16"/>
        <v>35787.700506666668</v>
      </c>
      <c r="AD19" s="22">
        <f t="shared" si="17"/>
        <v>4810.1747992831542</v>
      </c>
      <c r="AE19" s="25">
        <f t="shared" si="18"/>
        <v>0.39342880497175137</v>
      </c>
      <c r="AF19" s="53">
        <v>0.48799999999999999</v>
      </c>
      <c r="AG19" s="13">
        <v>496</v>
      </c>
      <c r="AH19" s="9">
        <f t="shared" si="19"/>
        <v>66.666666666666657</v>
      </c>
      <c r="AI19" s="8">
        <f>(1-AF19)*A19+AG19</f>
        <v>30704</v>
      </c>
      <c r="AJ19" s="14">
        <f>AI19/$K$1</f>
        <v>4126.8817204301076</v>
      </c>
      <c r="AK19" s="28">
        <f t="shared" si="20"/>
        <v>6704</v>
      </c>
      <c r="AL19" s="54">
        <f t="shared" si="21"/>
        <v>901.07526881720423</v>
      </c>
      <c r="AM19" s="53">
        <v>0.39200000000000002</v>
      </c>
      <c r="AN19" s="28">
        <f>A19-Taxes!$B$1-A19*AM19</f>
        <v>34736</v>
      </c>
      <c r="AO19" s="14">
        <f t="shared" si="22"/>
        <v>4668.8172043010754</v>
      </c>
      <c r="AP19" s="28">
        <f>AN19-$M$1</f>
        <v>10736</v>
      </c>
      <c r="AQ19" s="54">
        <f>AP19/$K$1</f>
        <v>1443.010752688172</v>
      </c>
    </row>
    <row r="20" spans="1:43" x14ac:dyDescent="0.2">
      <c r="A20" s="32">
        <v>60000</v>
      </c>
      <c r="B20" s="33">
        <f>A20/$K$1</f>
        <v>8064.5161290322576</v>
      </c>
      <c r="C20" s="26">
        <f t="shared" si="23"/>
        <v>720000</v>
      </c>
      <c r="D20" s="41">
        <f t="shared" ref="D20" si="36">C20/$K$1</f>
        <v>96774.193548387091</v>
      </c>
      <c r="E20" s="26">
        <f>0.08*(C20-Taxes!$B$1)</f>
        <v>57509.120000000003</v>
      </c>
      <c r="F20" s="29">
        <f t="shared" si="0"/>
        <v>7729.7204301075271</v>
      </c>
      <c r="G20" s="26">
        <f>C20-(Taxes!$B$1+'Net income'!E20)</f>
        <v>661354.88</v>
      </c>
      <c r="H20" s="29">
        <f t="shared" si="1"/>
        <v>88891.784946236556</v>
      </c>
      <c r="I20" s="41">
        <f>G20-(Deductions!$B$1+MIN(0.1065*C20,41600)+MIN(0.045*(C20-202700),2700))</f>
        <v>570454.88</v>
      </c>
      <c r="J20" s="41">
        <f t="shared" si="2"/>
        <v>76674.043010752692</v>
      </c>
      <c r="K20" s="28">
        <f t="shared" si="24"/>
        <v>4200</v>
      </c>
      <c r="L20" s="27">
        <f t="shared" si="3"/>
        <v>564.51612903225805</v>
      </c>
      <c r="M20" s="68">
        <f t="shared" si="4"/>
        <v>64200</v>
      </c>
      <c r="N20" s="69">
        <f t="shared" si="5"/>
        <v>8629.0322580645152</v>
      </c>
      <c r="O20" s="28">
        <f t="shared" si="6"/>
        <v>4800</v>
      </c>
      <c r="P20" s="27">
        <f t="shared" si="7"/>
        <v>645.16129032258061</v>
      </c>
      <c r="Q20" s="26">
        <f>Taxes!$B$5*'Net income'!I20</f>
        <v>135768.26144</v>
      </c>
      <c r="R20" s="29">
        <f t="shared" si="8"/>
        <v>18248.422236559138</v>
      </c>
      <c r="S20" s="26">
        <f>Taxes!$B$3*('Net income'!G20-Deductions!$B$1)</f>
        <v>74385.340479999999</v>
      </c>
      <c r="T20" s="29">
        <f t="shared" si="9"/>
        <v>9998.0296344086019</v>
      </c>
      <c r="U20" s="27">
        <f>IF('Net income'!G20&gt;Taxes!$D$4,Taxes!$B$4*('Net income'!G20-Taxes!$D$4),0)</f>
        <v>16328.232</v>
      </c>
      <c r="V20" s="27">
        <f t="shared" si="10"/>
        <v>2194.6548387096773</v>
      </c>
      <c r="W20" s="26">
        <f t="shared" si="11"/>
        <v>283990.95392</v>
      </c>
      <c r="X20" s="29">
        <f t="shared" si="12"/>
        <v>38170.827139784946</v>
      </c>
      <c r="Y20" s="27">
        <f t="shared" si="13"/>
        <v>23665.912826666667</v>
      </c>
      <c r="Z20" s="27">
        <f t="shared" si="14"/>
        <v>3180.9022616487455</v>
      </c>
      <c r="AA20" s="26">
        <f>C20-(Taxes!$B$1+W20)</f>
        <v>434873.04608</v>
      </c>
      <c r="AB20" s="29">
        <f t="shared" si="15"/>
        <v>58450.678236559135</v>
      </c>
      <c r="AC20" s="22">
        <f t="shared" si="16"/>
        <v>36239.420506666669</v>
      </c>
      <c r="AD20" s="22">
        <f t="shared" si="17"/>
        <v>4870.8898530465949</v>
      </c>
      <c r="AE20" s="25">
        <f t="shared" si="18"/>
        <v>0.39600965822222223</v>
      </c>
      <c r="AF20" s="53">
        <v>0.48799999999999999</v>
      </c>
      <c r="AG20" s="13">
        <v>505</v>
      </c>
      <c r="AH20" s="9">
        <f t="shared" si="19"/>
        <v>67.876344086021504</v>
      </c>
      <c r="AI20" s="8">
        <f>(1-AF20)*A20+AG20</f>
        <v>31225</v>
      </c>
      <c r="AJ20" s="14">
        <f>AI20/$K$1</f>
        <v>4196.9086021505373</v>
      </c>
      <c r="AK20" s="28">
        <f t="shared" si="20"/>
        <v>7225</v>
      </c>
      <c r="AL20" s="54">
        <f t="shared" si="21"/>
        <v>971.10215053763432</v>
      </c>
      <c r="AM20" s="53">
        <v>0.39400000000000002</v>
      </c>
      <c r="AN20" s="28">
        <f>A20-Taxes!$B$1-A20*AM20</f>
        <v>35224</v>
      </c>
      <c r="AO20" s="14">
        <f t="shared" si="22"/>
        <v>4734.4086021505373</v>
      </c>
      <c r="AP20" s="28">
        <f>AN20-$M$1</f>
        <v>11224</v>
      </c>
      <c r="AQ20" s="54">
        <f>AP20/$K$1</f>
        <v>1508.6021505376343</v>
      </c>
    </row>
    <row r="21" spans="1:43" x14ac:dyDescent="0.2">
      <c r="A21" s="32">
        <v>61000</v>
      </c>
      <c r="B21" s="33">
        <f>A21/$K$1</f>
        <v>8198.9247311827949</v>
      </c>
      <c r="C21" s="26">
        <f t="shared" si="23"/>
        <v>732000</v>
      </c>
      <c r="D21" s="41">
        <f t="shared" ref="D21" si="37">C21/$K$1</f>
        <v>98387.096774193546</v>
      </c>
      <c r="E21" s="26">
        <f>0.08*(C21-Taxes!$B$1)</f>
        <v>58469.120000000003</v>
      </c>
      <c r="F21" s="29">
        <f t="shared" si="0"/>
        <v>7858.7526881720432</v>
      </c>
      <c r="G21" s="26">
        <f>C21-(Taxes!$B$1+'Net income'!E21)</f>
        <v>672394.88</v>
      </c>
      <c r="H21" s="29">
        <f t="shared" si="1"/>
        <v>90375.655913978495</v>
      </c>
      <c r="I21" s="41">
        <f>G21-(Deductions!$B$1+MIN(0.1065*C21,41600)+MIN(0.045*(C21-202700),2700))</f>
        <v>581494.88</v>
      </c>
      <c r="J21" s="41">
        <f t="shared" si="2"/>
        <v>78157.913978494616</v>
      </c>
      <c r="K21" s="28">
        <f t="shared" si="24"/>
        <v>4270</v>
      </c>
      <c r="L21" s="27">
        <f t="shared" si="3"/>
        <v>573.92473118279565</v>
      </c>
      <c r="M21" s="68">
        <f t="shared" si="4"/>
        <v>65270</v>
      </c>
      <c r="N21" s="69">
        <f t="shared" si="5"/>
        <v>8772.8494623655915</v>
      </c>
      <c r="O21" s="28">
        <f t="shared" si="6"/>
        <v>4880</v>
      </c>
      <c r="P21" s="27">
        <f t="shared" si="7"/>
        <v>655.91397849462362</v>
      </c>
      <c r="Q21" s="26">
        <f>Taxes!$B$5*'Net income'!I21</f>
        <v>138395.78143999999</v>
      </c>
      <c r="R21" s="29">
        <f t="shared" si="8"/>
        <v>18601.583526881717</v>
      </c>
      <c r="S21" s="26">
        <f>Taxes!$B$3*('Net income'!G21-Deductions!$B$1)</f>
        <v>75721.180479999995</v>
      </c>
      <c r="T21" s="29">
        <f t="shared" si="9"/>
        <v>10177.578021505375</v>
      </c>
      <c r="U21" s="27">
        <f>IF('Net income'!G21&gt;Taxes!$D$4,Taxes!$B$4*('Net income'!G21-Taxes!$D$4),0)</f>
        <v>17984.232</v>
      </c>
      <c r="V21" s="27">
        <f t="shared" si="10"/>
        <v>2417.2354838709675</v>
      </c>
      <c r="W21" s="26">
        <f t="shared" si="11"/>
        <v>290570.31391999999</v>
      </c>
      <c r="X21" s="29">
        <f t="shared" si="12"/>
        <v>39055.149720430105</v>
      </c>
      <c r="Y21" s="27">
        <f t="shared" si="13"/>
        <v>24214.192826666665</v>
      </c>
      <c r="Z21" s="27">
        <f t="shared" si="14"/>
        <v>3254.5958100358421</v>
      </c>
      <c r="AA21" s="26">
        <f>C21-(Taxes!$B$1+W21)</f>
        <v>440293.68608000001</v>
      </c>
      <c r="AB21" s="29">
        <f t="shared" si="15"/>
        <v>59179.258881720431</v>
      </c>
      <c r="AC21" s="22">
        <f t="shared" si="16"/>
        <v>36691.14050666667</v>
      </c>
      <c r="AD21" s="22">
        <f t="shared" si="17"/>
        <v>4931.6049068100365</v>
      </c>
      <c r="AE21" s="25">
        <f t="shared" si="18"/>
        <v>0.39850589333333331</v>
      </c>
      <c r="AF21" s="53">
        <v>0.48799999999999999</v>
      </c>
      <c r="AG21" s="13">
        <v>514</v>
      </c>
      <c r="AH21" s="9">
        <f t="shared" si="19"/>
        <v>69.086021505376337</v>
      </c>
      <c r="AI21" s="8">
        <f>(1-AF21)*A21+AG21</f>
        <v>31746</v>
      </c>
      <c r="AJ21" s="14">
        <f>AI21/$K$1</f>
        <v>4266.9354838709678</v>
      </c>
      <c r="AK21" s="28">
        <f t="shared" si="20"/>
        <v>7746</v>
      </c>
      <c r="AL21" s="54">
        <f t="shared" si="21"/>
        <v>1041.1290322580644</v>
      </c>
      <c r="AM21" s="53">
        <v>0.39700000000000002</v>
      </c>
      <c r="AN21" s="28">
        <f>A21-Taxes!$B$1-A21*AM21</f>
        <v>35647</v>
      </c>
      <c r="AO21" s="14">
        <f t="shared" si="22"/>
        <v>4791.2634408602144</v>
      </c>
      <c r="AP21" s="28">
        <f>AN21-$M$1</f>
        <v>11647</v>
      </c>
      <c r="AQ21" s="54">
        <f>AP21/$K$1</f>
        <v>1565.4569892473116</v>
      </c>
    </row>
    <row r="22" spans="1:43" x14ac:dyDescent="0.2">
      <c r="A22" s="32">
        <v>62000</v>
      </c>
      <c r="B22" s="33">
        <f>A22/$K$1</f>
        <v>8333.3333333333321</v>
      </c>
      <c r="C22" s="26">
        <f t="shared" si="23"/>
        <v>744000</v>
      </c>
      <c r="D22" s="41">
        <f t="shared" ref="D22" si="38">C22/$K$1</f>
        <v>100000</v>
      </c>
      <c r="E22" s="26">
        <f>0.08*(C22-Taxes!$B$1)</f>
        <v>59429.120000000003</v>
      </c>
      <c r="F22" s="29">
        <f t="shared" si="0"/>
        <v>7987.7849462365593</v>
      </c>
      <c r="G22" s="26">
        <f>C22-(Taxes!$B$1+'Net income'!E22)</f>
        <v>683434.88</v>
      </c>
      <c r="H22" s="29">
        <f t="shared" si="1"/>
        <v>91859.52688172042</v>
      </c>
      <c r="I22" s="41">
        <f>G22-(Deductions!$B$1+MIN(0.1065*C22,41600)+MIN(0.045*(C22-202700),2700))</f>
        <v>592534.88</v>
      </c>
      <c r="J22" s="41">
        <f t="shared" si="2"/>
        <v>79641.784946236556</v>
      </c>
      <c r="K22" s="28">
        <f t="shared" si="24"/>
        <v>4340</v>
      </c>
      <c r="L22" s="27">
        <f t="shared" si="3"/>
        <v>583.33333333333326</v>
      </c>
      <c r="M22" s="68">
        <f t="shared" si="4"/>
        <v>66340</v>
      </c>
      <c r="N22" s="69">
        <f t="shared" si="5"/>
        <v>8916.6666666666661</v>
      </c>
      <c r="O22" s="28">
        <f t="shared" si="6"/>
        <v>4960</v>
      </c>
      <c r="P22" s="27">
        <f t="shared" si="7"/>
        <v>666.66666666666663</v>
      </c>
      <c r="Q22" s="26">
        <f>Taxes!$B$5*'Net income'!I22</f>
        <v>141023.30143999998</v>
      </c>
      <c r="R22" s="29">
        <f t="shared" si="8"/>
        <v>18954.744817204297</v>
      </c>
      <c r="S22" s="26">
        <f>Taxes!$B$3*('Net income'!G22-Deductions!$B$1)</f>
        <v>77057.020479999992</v>
      </c>
      <c r="T22" s="29">
        <f t="shared" si="9"/>
        <v>10357.126408602149</v>
      </c>
      <c r="U22" s="27">
        <f>IF('Net income'!G22&gt;Taxes!$D$4,Taxes!$B$4*('Net income'!G22-Taxes!$D$4),0)</f>
        <v>19640.232</v>
      </c>
      <c r="V22" s="27">
        <f t="shared" si="10"/>
        <v>2639.8161290322578</v>
      </c>
      <c r="W22" s="26">
        <f t="shared" si="11"/>
        <v>297149.67391999997</v>
      </c>
      <c r="X22" s="29">
        <f t="shared" si="12"/>
        <v>39939.472301075264</v>
      </c>
      <c r="Y22" s="27">
        <f t="shared" si="13"/>
        <v>24762.472826666664</v>
      </c>
      <c r="Z22" s="27">
        <f t="shared" si="14"/>
        <v>3328.2893584229387</v>
      </c>
      <c r="AA22" s="26">
        <f>C22-(Taxes!$B$1+W22)</f>
        <v>445714.32608000003</v>
      </c>
      <c r="AB22" s="29">
        <f t="shared" si="15"/>
        <v>59907.839526881718</v>
      </c>
      <c r="AC22" s="22">
        <f t="shared" si="16"/>
        <v>37142.860506666671</v>
      </c>
      <c r="AD22" s="22">
        <f t="shared" si="17"/>
        <v>4992.3199605734771</v>
      </c>
      <c r="AE22" s="25">
        <f t="shared" si="18"/>
        <v>0.40092160473118277</v>
      </c>
      <c r="AF22" s="53">
        <v>0.48799999999999999</v>
      </c>
      <c r="AG22" s="13">
        <v>523</v>
      </c>
      <c r="AH22" s="9">
        <f t="shared" si="19"/>
        <v>70.295698924731184</v>
      </c>
      <c r="AI22" s="8">
        <f>(1-AF22)*A22+AG22</f>
        <v>32267</v>
      </c>
      <c r="AJ22" s="14">
        <f>AI22/$K$1</f>
        <v>4336.9623655913974</v>
      </c>
      <c r="AK22" s="28">
        <f t="shared" si="20"/>
        <v>8267</v>
      </c>
      <c r="AL22" s="54">
        <f t="shared" si="21"/>
        <v>1111.1559139784945</v>
      </c>
      <c r="AM22" s="53">
        <v>0.39900000000000002</v>
      </c>
      <c r="AN22" s="28">
        <f>A22-Taxes!$B$1-A22*AM22</f>
        <v>36126</v>
      </c>
      <c r="AO22" s="14">
        <f t="shared" si="22"/>
        <v>4855.645161290322</v>
      </c>
      <c r="AP22" s="28">
        <f>AN22-$M$1</f>
        <v>12126</v>
      </c>
      <c r="AQ22" s="54">
        <f>AP22/$K$1</f>
        <v>1629.8387096774193</v>
      </c>
    </row>
    <row r="23" spans="1:43" x14ac:dyDescent="0.2">
      <c r="A23" s="32">
        <v>63000</v>
      </c>
      <c r="B23" s="33">
        <f>A23/$K$1</f>
        <v>8467.7419354838712</v>
      </c>
      <c r="C23" s="26">
        <f t="shared" si="23"/>
        <v>756000</v>
      </c>
      <c r="D23" s="41">
        <f t="shared" ref="D23" si="39">C23/$K$1</f>
        <v>101612.90322580644</v>
      </c>
      <c r="E23" s="26">
        <f>0.08*(C23-Taxes!$B$1)</f>
        <v>60389.120000000003</v>
      </c>
      <c r="F23" s="29">
        <f t="shared" si="0"/>
        <v>8116.8172043010754</v>
      </c>
      <c r="G23" s="26">
        <f>C23-(Taxes!$B$1+'Net income'!E23)</f>
        <v>694474.88</v>
      </c>
      <c r="H23" s="29">
        <f t="shared" si="1"/>
        <v>93343.397849462359</v>
      </c>
      <c r="I23" s="41">
        <f>G23-(Deductions!$B$1+MIN(0.1065*C23,41600)+MIN(0.045*(C23-202700),2700))</f>
        <v>603574.88</v>
      </c>
      <c r="J23" s="41">
        <f t="shared" si="2"/>
        <v>81125.655913978495</v>
      </c>
      <c r="K23" s="28">
        <f t="shared" si="24"/>
        <v>4410</v>
      </c>
      <c r="L23" s="27">
        <f t="shared" si="3"/>
        <v>592.74193548387098</v>
      </c>
      <c r="M23" s="68">
        <f t="shared" si="4"/>
        <v>67410</v>
      </c>
      <c r="N23" s="69">
        <f t="shared" si="5"/>
        <v>9060.4838709677406</v>
      </c>
      <c r="O23" s="28">
        <f t="shared" si="6"/>
        <v>5040</v>
      </c>
      <c r="P23" s="27">
        <f t="shared" si="7"/>
        <v>677.41935483870964</v>
      </c>
      <c r="Q23" s="26">
        <f>Taxes!$B$5*'Net income'!I23</f>
        <v>143650.82144</v>
      </c>
      <c r="R23" s="29">
        <f t="shared" si="8"/>
        <v>19307.90610752688</v>
      </c>
      <c r="S23" s="26">
        <f>Taxes!$B$3*('Net income'!G23-Deductions!$B$1)</f>
        <v>78392.860480000003</v>
      </c>
      <c r="T23" s="29">
        <f t="shared" si="9"/>
        <v>10536.674795698924</v>
      </c>
      <c r="U23" s="27">
        <f>IF('Net income'!G23&gt;Taxes!$D$4,Taxes!$B$4*('Net income'!G23-Taxes!$D$4),0)</f>
        <v>21296.232</v>
      </c>
      <c r="V23" s="27">
        <f t="shared" si="10"/>
        <v>2862.396774193548</v>
      </c>
      <c r="W23" s="26">
        <f t="shared" si="11"/>
        <v>303729.03392000002</v>
      </c>
      <c r="X23" s="29">
        <f t="shared" si="12"/>
        <v>40823.794881720431</v>
      </c>
      <c r="Y23" s="27">
        <f t="shared" si="13"/>
        <v>25310.752826666667</v>
      </c>
      <c r="Z23" s="27">
        <f t="shared" si="14"/>
        <v>3401.9829068100357</v>
      </c>
      <c r="AA23" s="26">
        <f>C23-(Taxes!$B$1+W23)</f>
        <v>451134.96607999998</v>
      </c>
      <c r="AB23" s="29">
        <f t="shared" si="15"/>
        <v>60636.420172043006</v>
      </c>
      <c r="AC23" s="22">
        <f t="shared" si="16"/>
        <v>37594.580506666665</v>
      </c>
      <c r="AD23" s="22">
        <f t="shared" si="17"/>
        <v>5053.0350143369169</v>
      </c>
      <c r="AE23" s="25">
        <f t="shared" si="18"/>
        <v>0.40326062687830688</v>
      </c>
      <c r="AF23" s="53">
        <v>0.48899999999999999</v>
      </c>
      <c r="AG23" s="13">
        <v>532</v>
      </c>
      <c r="AH23" s="9">
        <f t="shared" si="19"/>
        <v>71.505376344086017</v>
      </c>
      <c r="AI23" s="8">
        <f>(1-AF23)*A23+AG23</f>
        <v>32725</v>
      </c>
      <c r="AJ23" s="14">
        <f>AI23/$K$1</f>
        <v>4398.5215053763441</v>
      </c>
      <c r="AK23" s="28">
        <f t="shared" si="20"/>
        <v>8725</v>
      </c>
      <c r="AL23" s="54">
        <f t="shared" si="21"/>
        <v>1172.7150537634409</v>
      </c>
      <c r="AM23" s="53">
        <v>0.40200000000000002</v>
      </c>
      <c r="AN23" s="28">
        <f>A23-Taxes!$B$1-A23*AM23</f>
        <v>36538</v>
      </c>
      <c r="AO23" s="14">
        <f t="shared" si="22"/>
        <v>4911.0215053763441</v>
      </c>
      <c r="AP23" s="28">
        <f>AN23-$M$1</f>
        <v>12538</v>
      </c>
      <c r="AQ23" s="54">
        <f>AP23/$K$1</f>
        <v>1685.2150537634407</v>
      </c>
    </row>
    <row r="24" spans="1:43" x14ac:dyDescent="0.2">
      <c r="A24" s="32">
        <v>64000</v>
      </c>
      <c r="B24" s="33">
        <f>A24/$K$1</f>
        <v>8602.1505376344085</v>
      </c>
      <c r="C24" s="26">
        <f t="shared" si="23"/>
        <v>768000</v>
      </c>
      <c r="D24" s="41">
        <f t="shared" ref="D24" si="40">C24/$K$1</f>
        <v>103225.80645161289</v>
      </c>
      <c r="E24" s="26">
        <f>0.08*(C24-Taxes!$B$1)</f>
        <v>61349.120000000003</v>
      </c>
      <c r="F24" s="29">
        <f t="shared" si="0"/>
        <v>8245.8494623655915</v>
      </c>
      <c r="G24" s="26">
        <f>C24-(Taxes!$B$1+'Net income'!E24)</f>
        <v>705514.88</v>
      </c>
      <c r="H24" s="29">
        <f t="shared" si="1"/>
        <v>94827.268817204298</v>
      </c>
      <c r="I24" s="41">
        <f>G24-(Deductions!$B$1+MIN(0.1065*C24,41600)+MIN(0.045*(C24-202700),2700))</f>
        <v>614614.88</v>
      </c>
      <c r="J24" s="41">
        <f t="shared" si="2"/>
        <v>82609.52688172042</v>
      </c>
      <c r="K24" s="28">
        <f t="shared" si="24"/>
        <v>4480</v>
      </c>
      <c r="L24" s="27">
        <f t="shared" si="3"/>
        <v>602.15053763440858</v>
      </c>
      <c r="M24" s="68">
        <f t="shared" si="4"/>
        <v>68480</v>
      </c>
      <c r="N24" s="69">
        <f t="shared" si="5"/>
        <v>9204.3010752688169</v>
      </c>
      <c r="O24" s="28">
        <f t="shared" si="6"/>
        <v>5120</v>
      </c>
      <c r="P24" s="27">
        <f t="shared" si="7"/>
        <v>688.17204301075265</v>
      </c>
      <c r="Q24" s="26">
        <f>Taxes!$B$5*'Net income'!I24</f>
        <v>146278.34143999999</v>
      </c>
      <c r="R24" s="29">
        <f t="shared" si="8"/>
        <v>19661.06739784946</v>
      </c>
      <c r="S24" s="26">
        <f>Taxes!$B$3*('Net income'!G24-Deductions!$B$1)</f>
        <v>79728.70048</v>
      </c>
      <c r="T24" s="29">
        <f t="shared" si="9"/>
        <v>10716.223182795698</v>
      </c>
      <c r="U24" s="27">
        <f>IF('Net income'!G24&gt;Taxes!$D$4,Taxes!$B$4*('Net income'!G24-Taxes!$D$4),0)</f>
        <v>22952.232</v>
      </c>
      <c r="V24" s="27">
        <f t="shared" si="10"/>
        <v>3084.9774193548387</v>
      </c>
      <c r="W24" s="26">
        <f t="shared" si="11"/>
        <v>310308.39392</v>
      </c>
      <c r="X24" s="29">
        <f t="shared" si="12"/>
        <v>41708.11746236559</v>
      </c>
      <c r="Y24" s="27">
        <f t="shared" si="13"/>
        <v>25859.032826666666</v>
      </c>
      <c r="Z24" s="27">
        <f t="shared" si="14"/>
        <v>3475.6764551971323</v>
      </c>
      <c r="AA24" s="26">
        <f>C24-(Taxes!$B$1+W24)</f>
        <v>456555.60608</v>
      </c>
      <c r="AB24" s="29">
        <f t="shared" si="15"/>
        <v>61365.000817204294</v>
      </c>
      <c r="AC24" s="22">
        <f t="shared" si="16"/>
        <v>38046.300506666666</v>
      </c>
      <c r="AD24" s="22">
        <f t="shared" si="17"/>
        <v>5113.7500681003585</v>
      </c>
      <c r="AE24" s="25">
        <f t="shared" si="18"/>
        <v>0.40552655458333331</v>
      </c>
      <c r="AF24" s="53">
        <v>0.48899999999999999</v>
      </c>
      <c r="AG24" s="13">
        <v>541</v>
      </c>
      <c r="AH24" s="9">
        <f t="shared" si="19"/>
        <v>72.715053763440849</v>
      </c>
      <c r="AI24" s="8">
        <f>(1-AF24)*A24+AG24</f>
        <v>33245</v>
      </c>
      <c r="AJ24" s="14">
        <f>AI24/$K$1</f>
        <v>4468.4139784946237</v>
      </c>
      <c r="AK24" s="28">
        <f t="shared" si="20"/>
        <v>9245</v>
      </c>
      <c r="AL24" s="54">
        <f t="shared" si="21"/>
        <v>1242.6075268817203</v>
      </c>
      <c r="AM24" s="53">
        <v>0.40400000000000003</v>
      </c>
      <c r="AN24" s="28">
        <f>A24-Taxes!$B$1-A24*AM24</f>
        <v>37008</v>
      </c>
      <c r="AO24" s="14">
        <f t="shared" si="22"/>
        <v>4974.1935483870966</v>
      </c>
      <c r="AP24" s="28">
        <f>AN24-$M$1</f>
        <v>13008</v>
      </c>
      <c r="AQ24" s="54">
        <f>AP24/$K$1</f>
        <v>1748.3870967741934</v>
      </c>
    </row>
    <row r="25" spans="1:43" x14ac:dyDescent="0.2">
      <c r="A25" s="32">
        <v>65000</v>
      </c>
      <c r="B25" s="33">
        <f>A25/$K$1</f>
        <v>8736.5591397849457</v>
      </c>
      <c r="C25" s="26">
        <f t="shared" si="23"/>
        <v>780000</v>
      </c>
      <c r="D25" s="41">
        <f t="shared" ref="D25" si="41">C25/$K$1</f>
        <v>104838.70967741935</v>
      </c>
      <c r="E25" s="26">
        <f>0.08*(C25-Taxes!$B$1)</f>
        <v>62309.120000000003</v>
      </c>
      <c r="F25" s="29">
        <f t="shared" si="0"/>
        <v>8374.8817204301067</v>
      </c>
      <c r="G25" s="26">
        <f>C25-(Taxes!$B$1+'Net income'!E25)</f>
        <v>716554.88</v>
      </c>
      <c r="H25" s="29">
        <f t="shared" si="1"/>
        <v>96311.139784946237</v>
      </c>
      <c r="I25" s="41">
        <f>G25-(Deductions!$B$1+MIN(0.1065*C25,41600)+MIN(0.045*(C25-202700),2700))</f>
        <v>625654.88</v>
      </c>
      <c r="J25" s="41">
        <f t="shared" si="2"/>
        <v>84093.397849462359</v>
      </c>
      <c r="K25" s="28">
        <f t="shared" si="24"/>
        <v>4550</v>
      </c>
      <c r="L25" s="27">
        <f t="shared" si="3"/>
        <v>611.55913978494618</v>
      </c>
      <c r="M25" s="68">
        <f t="shared" si="4"/>
        <v>69550</v>
      </c>
      <c r="N25" s="69">
        <f t="shared" si="5"/>
        <v>9348.1182795698915</v>
      </c>
      <c r="O25" s="28">
        <f t="shared" si="6"/>
        <v>5200</v>
      </c>
      <c r="P25" s="27">
        <f t="shared" si="7"/>
        <v>698.92473118279565</v>
      </c>
      <c r="Q25" s="26">
        <f>Taxes!$B$5*'Net income'!I25</f>
        <v>148905.86144000001</v>
      </c>
      <c r="R25" s="29">
        <f t="shared" si="8"/>
        <v>20014.228688172043</v>
      </c>
      <c r="S25" s="26">
        <f>Taxes!$B$3*('Net income'!G25-Deductions!$B$1)</f>
        <v>81064.540479999996</v>
      </c>
      <c r="T25" s="29">
        <f t="shared" si="9"/>
        <v>10895.771569892471</v>
      </c>
      <c r="U25" s="27">
        <f>IF('Net income'!G25&gt;Taxes!$D$4,Taxes!$B$4*('Net income'!G25-Taxes!$D$4),0)</f>
        <v>24608.232</v>
      </c>
      <c r="V25" s="27">
        <f t="shared" si="10"/>
        <v>3307.558064516129</v>
      </c>
      <c r="W25" s="26">
        <f t="shared" si="11"/>
        <v>316887.75391999999</v>
      </c>
      <c r="X25" s="29">
        <f t="shared" si="12"/>
        <v>42592.440043010749</v>
      </c>
      <c r="Y25" s="27">
        <f t="shared" si="13"/>
        <v>26407.312826666664</v>
      </c>
      <c r="Z25" s="27">
        <f t="shared" si="14"/>
        <v>3549.3700035842289</v>
      </c>
      <c r="AA25" s="26">
        <f>C25-(Taxes!$B$1+W25)</f>
        <v>461976.24608000001</v>
      </c>
      <c r="AB25" s="29">
        <f t="shared" si="15"/>
        <v>62093.58146236559</v>
      </c>
      <c r="AC25" s="22">
        <f t="shared" si="16"/>
        <v>38498.020506666668</v>
      </c>
      <c r="AD25" s="22">
        <f t="shared" si="17"/>
        <v>5174.4651218637991</v>
      </c>
      <c r="AE25" s="25">
        <f t="shared" si="18"/>
        <v>0.40772276143589747</v>
      </c>
      <c r="AF25" s="58">
        <v>0.48899999999999999</v>
      </c>
      <c r="AG25" s="35">
        <v>550</v>
      </c>
      <c r="AH25" s="34">
        <f t="shared" si="19"/>
        <v>73.924731182795696</v>
      </c>
      <c r="AI25" s="30">
        <f>(1-AF25)*A25+AG25</f>
        <v>33765</v>
      </c>
      <c r="AJ25" s="31">
        <f>AI25/$K$1</f>
        <v>4538.3064516129034</v>
      </c>
      <c r="AK25" s="28">
        <f t="shared" si="20"/>
        <v>9765</v>
      </c>
      <c r="AL25" s="54">
        <f t="shared" si="21"/>
        <v>1312.5</v>
      </c>
      <c r="AM25" s="53">
        <v>0.40600000000000003</v>
      </c>
      <c r="AN25" s="28">
        <f>A25-Taxes!$B$1-A25*AM25</f>
        <v>37474</v>
      </c>
      <c r="AO25" s="14">
        <f t="shared" si="22"/>
        <v>5036.8279569892475</v>
      </c>
      <c r="AP25" s="28">
        <f>AN25-$M$1</f>
        <v>13474</v>
      </c>
      <c r="AQ25" s="54">
        <f>AP25/$K$1</f>
        <v>1811.0215053763441</v>
      </c>
    </row>
    <row r="26" spans="1:43" x14ac:dyDescent="0.2">
      <c r="A26" s="32">
        <v>66000</v>
      </c>
      <c r="B26" s="33">
        <f>A26/$K$1</f>
        <v>8870.967741935483</v>
      </c>
      <c r="C26" s="26">
        <f t="shared" si="23"/>
        <v>792000</v>
      </c>
      <c r="D26" s="41">
        <f t="shared" ref="D26" si="42">C26/$K$1</f>
        <v>106451.6129032258</v>
      </c>
      <c r="E26" s="26">
        <f>0.08*(C26-Taxes!$B$1)</f>
        <v>63269.120000000003</v>
      </c>
      <c r="F26" s="29">
        <f t="shared" si="0"/>
        <v>8503.9139784946237</v>
      </c>
      <c r="G26" s="26">
        <f>C26-(Taxes!$B$1+'Net income'!E26)</f>
        <v>727594.88</v>
      </c>
      <c r="H26" s="29">
        <f t="shared" si="1"/>
        <v>97795.010752688162</v>
      </c>
      <c r="I26" s="41">
        <f>G26-(Deductions!$B$1+MIN(0.1065*C26,41600)+MIN(0.045*(C26-202700),2700))</f>
        <v>636694.88</v>
      </c>
      <c r="J26" s="41">
        <f t="shared" si="2"/>
        <v>85577.268817204298</v>
      </c>
      <c r="K26" s="28">
        <f t="shared" si="24"/>
        <v>4620</v>
      </c>
      <c r="L26" s="27">
        <f t="shared" si="3"/>
        <v>620.96774193548379</v>
      </c>
      <c r="M26" s="68">
        <f t="shared" si="4"/>
        <v>70620</v>
      </c>
      <c r="N26" s="69">
        <f t="shared" si="5"/>
        <v>9491.9354838709678</v>
      </c>
      <c r="O26" s="28">
        <f t="shared" si="6"/>
        <v>5280</v>
      </c>
      <c r="P26" s="27">
        <f t="shared" si="7"/>
        <v>709.67741935483866</v>
      </c>
      <c r="Q26" s="26">
        <f>Taxes!$B$5*'Net income'!I26</f>
        <v>151533.38144</v>
      </c>
      <c r="R26" s="29">
        <f t="shared" si="8"/>
        <v>20367.389978494622</v>
      </c>
      <c r="S26" s="26">
        <f>Taxes!$B$3*('Net income'!G26-Deductions!$B$1)</f>
        <v>82400.380479999993</v>
      </c>
      <c r="T26" s="29">
        <f t="shared" si="9"/>
        <v>11075.319956989246</v>
      </c>
      <c r="U26" s="27">
        <f>IF('Net income'!G26&gt;Taxes!$D$4,Taxes!$B$4*('Net income'!G26-Taxes!$D$4),0)</f>
        <v>26264.232</v>
      </c>
      <c r="V26" s="27">
        <f t="shared" si="10"/>
        <v>3530.1387096774192</v>
      </c>
      <c r="W26" s="26">
        <f t="shared" si="11"/>
        <v>323467.11391999997</v>
      </c>
      <c r="X26" s="29">
        <f t="shared" si="12"/>
        <v>43476.762623655908</v>
      </c>
      <c r="Y26" s="27">
        <f t="shared" si="13"/>
        <v>26955.592826666663</v>
      </c>
      <c r="Z26" s="27">
        <f t="shared" si="14"/>
        <v>3623.0635519713255</v>
      </c>
      <c r="AA26" s="26">
        <f>C26-(Taxes!$B$1+W26)</f>
        <v>467396.88608000003</v>
      </c>
      <c r="AB26" s="29">
        <f t="shared" si="15"/>
        <v>62822.162107526885</v>
      </c>
      <c r="AC26" s="22">
        <f t="shared" si="16"/>
        <v>38949.740506666669</v>
      </c>
      <c r="AD26" s="22">
        <f t="shared" si="17"/>
        <v>5235.1801756272398</v>
      </c>
      <c r="AE26" s="25">
        <f t="shared" si="18"/>
        <v>0.40985241656565652</v>
      </c>
      <c r="AF26" s="53">
        <v>0.48899999999999999</v>
      </c>
      <c r="AG26" s="13">
        <v>559</v>
      </c>
      <c r="AH26" s="9">
        <f t="shared" si="19"/>
        <v>75.134408602150529</v>
      </c>
      <c r="AI26" s="8">
        <f>(1-AF26)*A26+AG26</f>
        <v>34285</v>
      </c>
      <c r="AJ26" s="14">
        <f>AI26/$K$1</f>
        <v>4608.1989247311822</v>
      </c>
      <c r="AK26" s="28">
        <f t="shared" si="20"/>
        <v>10285</v>
      </c>
      <c r="AL26" s="54">
        <f t="shared" si="21"/>
        <v>1382.3924731182794</v>
      </c>
      <c r="AM26" s="53">
        <v>0.40799999999999997</v>
      </c>
      <c r="AN26" s="28">
        <f>A26-Taxes!$B$1-A26*AM26</f>
        <v>37936</v>
      </c>
      <c r="AO26" s="14">
        <f t="shared" si="22"/>
        <v>5098.9247311827958</v>
      </c>
      <c r="AP26" s="28">
        <f>AN26-$M$1</f>
        <v>13936</v>
      </c>
      <c r="AQ26" s="54">
        <f>AP26/$K$1</f>
        <v>1873.1182795698924</v>
      </c>
    </row>
    <row r="27" spans="1:43" x14ac:dyDescent="0.2">
      <c r="A27" s="32">
        <v>67000</v>
      </c>
      <c r="B27" s="33">
        <f>A27/$K$1</f>
        <v>9005.3763440860203</v>
      </c>
      <c r="C27" s="26">
        <f t="shared" si="23"/>
        <v>804000</v>
      </c>
      <c r="D27" s="41">
        <f t="shared" ref="D27" si="43">C27/$K$1</f>
        <v>108064.51612903226</v>
      </c>
      <c r="E27" s="26">
        <f>0.08*(C27-Taxes!$B$1)</f>
        <v>64229.120000000003</v>
      </c>
      <c r="F27" s="29">
        <f t="shared" si="0"/>
        <v>8632.9462365591389</v>
      </c>
      <c r="G27" s="26">
        <f>C27-(Taxes!$B$1+'Net income'!E27)</f>
        <v>738634.88</v>
      </c>
      <c r="H27" s="29">
        <f t="shared" si="1"/>
        <v>99278.881720430101</v>
      </c>
      <c r="I27" s="41">
        <f>G27-(Deductions!$B$1+MIN(0.1065*C27,41600)+MIN(0.045*(C27-202700),2700))</f>
        <v>647734.88</v>
      </c>
      <c r="J27" s="41">
        <f t="shared" si="2"/>
        <v>87061.139784946237</v>
      </c>
      <c r="K27" s="28">
        <f t="shared" si="24"/>
        <v>4690</v>
      </c>
      <c r="L27" s="27">
        <f t="shared" si="3"/>
        <v>630.3763440860215</v>
      </c>
      <c r="M27" s="68">
        <f t="shared" si="4"/>
        <v>71690</v>
      </c>
      <c r="N27" s="69">
        <f t="shared" si="5"/>
        <v>9635.7526881720423</v>
      </c>
      <c r="O27" s="28">
        <f t="shared" si="6"/>
        <v>5360</v>
      </c>
      <c r="P27" s="27">
        <f t="shared" si="7"/>
        <v>720.43010752688167</v>
      </c>
      <c r="Q27" s="26">
        <f>Taxes!$B$5*'Net income'!I27</f>
        <v>154160.90143999999</v>
      </c>
      <c r="R27" s="29">
        <f t="shared" si="8"/>
        <v>20720.551268817202</v>
      </c>
      <c r="S27" s="26">
        <f>Taxes!$B$3*('Net income'!G27-Deductions!$B$1)</f>
        <v>83736.220480000004</v>
      </c>
      <c r="T27" s="29">
        <f t="shared" si="9"/>
        <v>11254.868344086022</v>
      </c>
      <c r="U27" s="27">
        <f>IF('Net income'!G27&gt;Taxes!$D$4,Taxes!$B$4*('Net income'!G27-Taxes!$D$4),0)</f>
        <v>27920.232</v>
      </c>
      <c r="V27" s="27">
        <f t="shared" si="10"/>
        <v>3752.7193548387095</v>
      </c>
      <c r="W27" s="26">
        <f t="shared" si="11"/>
        <v>330046.47392000002</v>
      </c>
      <c r="X27" s="29">
        <f t="shared" si="12"/>
        <v>44361.085204301075</v>
      </c>
      <c r="Y27" s="27">
        <f t="shared" si="13"/>
        <v>27503.872826666669</v>
      </c>
      <c r="Z27" s="27">
        <f t="shared" si="14"/>
        <v>3696.757100358423</v>
      </c>
      <c r="AA27" s="26">
        <f>C27-(Taxes!$B$1+W27)</f>
        <v>472817.52607999998</v>
      </c>
      <c r="AB27" s="29">
        <f t="shared" si="15"/>
        <v>63550.742752688166</v>
      </c>
      <c r="AC27" s="22">
        <f t="shared" si="16"/>
        <v>39401.460506666663</v>
      </c>
      <c r="AD27" s="22">
        <f t="shared" si="17"/>
        <v>5295.8952293906805</v>
      </c>
      <c r="AE27" s="25">
        <f t="shared" si="18"/>
        <v>0.41191849990049756</v>
      </c>
      <c r="AF27" s="53">
        <v>0.48899999999999999</v>
      </c>
      <c r="AG27" s="13">
        <v>568</v>
      </c>
      <c r="AH27" s="9">
        <f t="shared" si="19"/>
        <v>76.344086021505376</v>
      </c>
      <c r="AI27" s="8">
        <f>(1-AF27)*A27+AG27</f>
        <v>34805</v>
      </c>
      <c r="AJ27" s="14">
        <f>AI27/$K$1</f>
        <v>4678.0913978494618</v>
      </c>
      <c r="AK27" s="28">
        <f t="shared" si="20"/>
        <v>10805</v>
      </c>
      <c r="AL27" s="54">
        <f t="shared" si="21"/>
        <v>1452.2849462365591</v>
      </c>
      <c r="AM27" s="53">
        <v>0.41</v>
      </c>
      <c r="AN27" s="28">
        <f>A27-Taxes!$B$1-A27*AM27</f>
        <v>38394</v>
      </c>
      <c r="AO27" s="14">
        <f t="shared" si="22"/>
        <v>5160.4838709677415</v>
      </c>
      <c r="AP27" s="28">
        <f>AN27-$M$1</f>
        <v>14394</v>
      </c>
      <c r="AQ27" s="54">
        <f>AP27/$K$1</f>
        <v>1934.6774193548385</v>
      </c>
    </row>
    <row r="28" spans="1:43" x14ac:dyDescent="0.2">
      <c r="A28" s="32">
        <v>68000</v>
      </c>
      <c r="B28" s="33">
        <f>A28/$K$1</f>
        <v>9139.7849462365593</v>
      </c>
      <c r="C28" s="26">
        <f t="shared" si="23"/>
        <v>816000</v>
      </c>
      <c r="D28" s="41">
        <f t="shared" ref="D28" si="44">C28/$K$1</f>
        <v>109677.4193548387</v>
      </c>
      <c r="E28" s="26">
        <f>0.08*(C28-Taxes!$B$1)</f>
        <v>65189.120000000003</v>
      </c>
      <c r="F28" s="29">
        <f t="shared" si="0"/>
        <v>8761.9784946236559</v>
      </c>
      <c r="G28" s="26">
        <f>C28-(Taxes!$B$1+'Net income'!E28)</f>
        <v>749674.88</v>
      </c>
      <c r="H28" s="29">
        <f t="shared" si="1"/>
        <v>100762.75268817204</v>
      </c>
      <c r="I28" s="41">
        <f>G28-(Deductions!$B$1+MIN(0.1065*C28,41600)+MIN(0.045*(C28-202700),2700))</f>
        <v>658774.88</v>
      </c>
      <c r="J28" s="41">
        <f t="shared" si="2"/>
        <v>88545.010752688162</v>
      </c>
      <c r="K28" s="28">
        <f t="shared" si="24"/>
        <v>4760</v>
      </c>
      <c r="L28" s="27">
        <f t="shared" si="3"/>
        <v>639.78494623655911</v>
      </c>
      <c r="M28" s="68">
        <f t="shared" si="4"/>
        <v>72760</v>
      </c>
      <c r="N28" s="69">
        <f t="shared" si="5"/>
        <v>9779.5698924731187</v>
      </c>
      <c r="O28" s="28">
        <f t="shared" si="6"/>
        <v>5440</v>
      </c>
      <c r="P28" s="27">
        <f t="shared" si="7"/>
        <v>731.18279569892468</v>
      </c>
      <c r="Q28" s="26">
        <f>Taxes!$B$5*'Net income'!I28</f>
        <v>156788.42144000001</v>
      </c>
      <c r="R28" s="29">
        <f t="shared" si="8"/>
        <v>21073.712559139785</v>
      </c>
      <c r="S28" s="26">
        <f>Taxes!$B$3*('Net income'!G28-Deductions!$B$1)</f>
        <v>85072.06048</v>
      </c>
      <c r="T28" s="29">
        <f t="shared" si="9"/>
        <v>11434.416731182795</v>
      </c>
      <c r="U28" s="27">
        <f>IF('Net income'!G28&gt;Taxes!$D$4,Taxes!$B$4*('Net income'!G28-Taxes!$D$4),0)</f>
        <v>29576.232</v>
      </c>
      <c r="V28" s="27">
        <f t="shared" si="10"/>
        <v>3975.2999999999997</v>
      </c>
      <c r="W28" s="26">
        <f t="shared" si="11"/>
        <v>336625.83392</v>
      </c>
      <c r="X28" s="29">
        <f t="shared" si="12"/>
        <v>45245.407784946234</v>
      </c>
      <c r="Y28" s="27">
        <f t="shared" si="13"/>
        <v>28052.152826666668</v>
      </c>
      <c r="Z28" s="27">
        <f t="shared" si="14"/>
        <v>3770.4506487455196</v>
      </c>
      <c r="AA28" s="26">
        <f>C28-(Taxes!$B$1+W28)</f>
        <v>478238.16608</v>
      </c>
      <c r="AB28" s="29">
        <f t="shared" si="15"/>
        <v>64279.323397849461</v>
      </c>
      <c r="AC28" s="22">
        <f t="shared" si="16"/>
        <v>39853.180506666664</v>
      </c>
      <c r="AD28" s="22">
        <f t="shared" si="17"/>
        <v>5356.6102831541211</v>
      </c>
      <c r="AE28" s="25">
        <f t="shared" si="18"/>
        <v>0.41392381607843143</v>
      </c>
      <c r="AF28" s="53">
        <v>0.49</v>
      </c>
      <c r="AG28" s="13">
        <v>577</v>
      </c>
      <c r="AH28" s="9">
        <f t="shared" si="19"/>
        <v>77.553763440860209</v>
      </c>
      <c r="AI28" s="8">
        <f>(1-AF28)*A28+AG28</f>
        <v>35257</v>
      </c>
      <c r="AJ28" s="14">
        <f>AI28/$K$1</f>
        <v>4738.8440860215051</v>
      </c>
      <c r="AK28" s="28">
        <f t="shared" si="20"/>
        <v>11257</v>
      </c>
      <c r="AL28" s="54">
        <f t="shared" si="21"/>
        <v>1513.0376344086021</v>
      </c>
      <c r="AM28" s="53">
        <v>0.41199999999999998</v>
      </c>
      <c r="AN28" s="28">
        <f>A28-Taxes!$B$1-A28*AM28</f>
        <v>38848</v>
      </c>
      <c r="AO28" s="14">
        <f t="shared" si="22"/>
        <v>5221.5053763440856</v>
      </c>
      <c r="AP28" s="28">
        <f>AN28-$M$1</f>
        <v>14848</v>
      </c>
      <c r="AQ28" s="54">
        <f>AP28/$K$1</f>
        <v>1995.6989247311826</v>
      </c>
    </row>
    <row r="29" spans="1:43" x14ac:dyDescent="0.2">
      <c r="A29" s="32">
        <v>69000</v>
      </c>
      <c r="B29" s="33">
        <f>A29/$K$1</f>
        <v>9274.1935483870966</v>
      </c>
      <c r="C29" s="26">
        <f>A29*12</f>
        <v>828000</v>
      </c>
      <c r="D29" s="41">
        <f t="shared" ref="D29" si="45">C29/$K$1</f>
        <v>111290.32258064515</v>
      </c>
      <c r="E29" s="26">
        <f>0.08*(C29-Taxes!$B$1)</f>
        <v>66149.119999999995</v>
      </c>
      <c r="F29" s="29">
        <f t="shared" si="0"/>
        <v>8891.0107526881711</v>
      </c>
      <c r="G29" s="26">
        <f>C29-(Taxes!$B$1+'Net income'!E29)</f>
        <v>760714.88</v>
      </c>
      <c r="H29" s="29">
        <f t="shared" si="1"/>
        <v>102246.62365591398</v>
      </c>
      <c r="I29" s="41">
        <f>G29-(Deductions!$B$1+MIN(0.1065*C29,41600)+MIN(0.045*(C29-202700),2700))</f>
        <v>669814.88</v>
      </c>
      <c r="J29" s="41">
        <f t="shared" si="2"/>
        <v>90028.881720430101</v>
      </c>
      <c r="K29" s="28">
        <f t="shared" si="24"/>
        <v>4830.0000000000009</v>
      </c>
      <c r="L29" s="27">
        <f t="shared" si="3"/>
        <v>649.19354838709683</v>
      </c>
      <c r="M29" s="68">
        <f t="shared" si="4"/>
        <v>73830</v>
      </c>
      <c r="N29" s="69">
        <f t="shared" si="5"/>
        <v>9923.3870967741932</v>
      </c>
      <c r="O29" s="28">
        <f t="shared" si="6"/>
        <v>5520</v>
      </c>
      <c r="P29" s="27">
        <f t="shared" si="7"/>
        <v>741.93548387096769</v>
      </c>
      <c r="Q29" s="26">
        <f>Taxes!$B$5*'Net income'!I29</f>
        <v>159415.94144</v>
      </c>
      <c r="R29" s="29">
        <f t="shared" si="8"/>
        <v>21426.873849462365</v>
      </c>
      <c r="S29" s="26">
        <f>Taxes!$B$3*('Net income'!G29-Deductions!$B$1)</f>
        <v>86407.900479999997</v>
      </c>
      <c r="T29" s="29">
        <f t="shared" si="9"/>
        <v>11613.96511827957</v>
      </c>
      <c r="U29" s="27">
        <f>IF('Net income'!G29&gt;Taxes!$D$4,Taxes!$B$4*('Net income'!G29-Taxes!$D$4),0)</f>
        <v>31232.232</v>
      </c>
      <c r="V29" s="27">
        <f t="shared" si="10"/>
        <v>4197.88064516129</v>
      </c>
      <c r="W29" s="26">
        <f t="shared" si="11"/>
        <v>343205.19391999999</v>
      </c>
      <c r="X29" s="29">
        <f t="shared" si="12"/>
        <v>46129.730365591393</v>
      </c>
      <c r="Y29" s="27">
        <f t="shared" si="13"/>
        <v>28600.432826666667</v>
      </c>
      <c r="Z29" s="27">
        <f t="shared" si="14"/>
        <v>3844.1441971326162</v>
      </c>
      <c r="AA29" s="26">
        <f>C29-(Taxes!$B$1+W29)</f>
        <v>483658.80608000001</v>
      </c>
      <c r="AB29" s="29">
        <f t="shared" si="15"/>
        <v>65007.904043010749</v>
      </c>
      <c r="AC29" s="22">
        <f t="shared" si="16"/>
        <v>40304.900506666665</v>
      </c>
      <c r="AD29" s="22">
        <f t="shared" si="17"/>
        <v>5417.3253369175618</v>
      </c>
      <c r="AE29" s="25">
        <f t="shared" si="18"/>
        <v>0.41587100714975844</v>
      </c>
      <c r="AF29" s="53">
        <v>0.49</v>
      </c>
      <c r="AG29" s="13">
        <v>586</v>
      </c>
      <c r="AH29" s="9">
        <f t="shared" si="19"/>
        <v>78.763440860215056</v>
      </c>
      <c r="AI29" s="8">
        <f>(1-AF29)*A29+AG29</f>
        <v>35776</v>
      </c>
      <c r="AJ29" s="14">
        <f>AI29/$K$1</f>
        <v>4808.6021505376339</v>
      </c>
      <c r="AK29" s="28">
        <f t="shared" si="20"/>
        <v>11776</v>
      </c>
      <c r="AL29" s="54">
        <f t="shared" si="21"/>
        <v>1582.7956989247311</v>
      </c>
      <c r="AM29" s="53">
        <v>0.41399999999999998</v>
      </c>
      <c r="AN29" s="28">
        <f>A29-Taxes!$B$1-A29*AM29</f>
        <v>39298</v>
      </c>
      <c r="AO29" s="14">
        <f t="shared" si="22"/>
        <v>5281.989247311828</v>
      </c>
      <c r="AP29" s="28">
        <f>AN29-$M$1</f>
        <v>15298</v>
      </c>
      <c r="AQ29" s="54">
        <f>AP29/$K$1</f>
        <v>2056.1827956989246</v>
      </c>
    </row>
    <row r="30" spans="1:43" x14ac:dyDescent="0.2">
      <c r="A30" s="32">
        <v>70000</v>
      </c>
      <c r="B30" s="33">
        <f>A30/$K$1</f>
        <v>9408.6021505376339</v>
      </c>
      <c r="C30" s="26">
        <f t="shared" si="23"/>
        <v>840000</v>
      </c>
      <c r="D30" s="41">
        <f t="shared" ref="D30" si="46">C30/$K$1</f>
        <v>112903.22580645161</v>
      </c>
      <c r="E30" s="26">
        <f>0.08*(C30-Taxes!$B$1)</f>
        <v>67109.119999999995</v>
      </c>
      <c r="F30" s="29">
        <f t="shared" si="0"/>
        <v>9020.0430107526863</v>
      </c>
      <c r="G30" s="26">
        <f>C30-(Taxes!$B$1+'Net income'!E30)</f>
        <v>771754.88</v>
      </c>
      <c r="H30" s="29">
        <f t="shared" si="1"/>
        <v>103730.4946236559</v>
      </c>
      <c r="I30" s="41">
        <f>G30-(Deductions!$B$1+MIN(0.1065*C30,41600)+MIN(0.045*(C30-202700),2700))</f>
        <v>680854.88</v>
      </c>
      <c r="J30" s="41">
        <f t="shared" si="2"/>
        <v>91512.752688172041</v>
      </c>
      <c r="K30" s="28">
        <f t="shared" si="24"/>
        <v>4900.0000000000009</v>
      </c>
      <c r="L30" s="27">
        <f t="shared" si="3"/>
        <v>658.60215053763454</v>
      </c>
      <c r="M30" s="68">
        <f t="shared" si="4"/>
        <v>74900</v>
      </c>
      <c r="N30" s="69">
        <f t="shared" si="5"/>
        <v>10067.204301075268</v>
      </c>
      <c r="O30" s="28">
        <f t="shared" si="6"/>
        <v>5600</v>
      </c>
      <c r="P30" s="27">
        <f t="shared" si="7"/>
        <v>752.6881720430107</v>
      </c>
      <c r="Q30" s="26">
        <f>Taxes!$B$5*'Net income'!I30</f>
        <v>162043.46143999998</v>
      </c>
      <c r="R30" s="29">
        <f t="shared" si="8"/>
        <v>21780.035139784944</v>
      </c>
      <c r="S30" s="26">
        <f>Taxes!$B$3*('Net income'!G30-Deductions!$B$1)</f>
        <v>87743.740479999993</v>
      </c>
      <c r="T30" s="29">
        <f t="shared" si="9"/>
        <v>11793.513505376342</v>
      </c>
      <c r="U30" s="27">
        <f>IF('Net income'!G30&gt;Taxes!$D$4,Taxes!$B$4*('Net income'!G30-Taxes!$D$4),0)</f>
        <v>32888.231999999996</v>
      </c>
      <c r="V30" s="27">
        <f t="shared" si="10"/>
        <v>4420.4612903225798</v>
      </c>
      <c r="W30" s="26">
        <f t="shared" si="11"/>
        <v>349784.55391999998</v>
      </c>
      <c r="X30" s="29">
        <f t="shared" si="12"/>
        <v>47014.052946236552</v>
      </c>
      <c r="Y30" s="27">
        <f t="shared" si="13"/>
        <v>29148.712826666666</v>
      </c>
      <c r="Z30" s="27">
        <f t="shared" si="14"/>
        <v>3917.8377455197128</v>
      </c>
      <c r="AA30" s="26">
        <f>C30-(Taxes!$B$1+W30)</f>
        <v>489079.44608000002</v>
      </c>
      <c r="AB30" s="29">
        <f t="shared" si="15"/>
        <v>65736.484688172044</v>
      </c>
      <c r="AC30" s="22">
        <f t="shared" si="16"/>
        <v>40756.620506666666</v>
      </c>
      <c r="AD30" s="22">
        <f t="shared" si="17"/>
        <v>5478.0403906810034</v>
      </c>
      <c r="AE30" s="25">
        <f t="shared" si="18"/>
        <v>0.41776256419047619</v>
      </c>
      <c r="AF30" s="53">
        <v>0.49</v>
      </c>
      <c r="AG30" s="13">
        <v>595</v>
      </c>
      <c r="AH30" s="9">
        <f t="shared" si="19"/>
        <v>79.973118279569889</v>
      </c>
      <c r="AI30" s="8">
        <f>(1-AF30)*A30+AG30</f>
        <v>36295</v>
      </c>
      <c r="AJ30" s="14">
        <f>AI30/$K$1</f>
        <v>4878.3602150537636</v>
      </c>
      <c r="AK30" s="28">
        <f t="shared" si="20"/>
        <v>12295</v>
      </c>
      <c r="AL30" s="54">
        <f t="shared" si="21"/>
        <v>1652.5537634408602</v>
      </c>
      <c r="AM30" s="53">
        <v>0.41599999999999998</v>
      </c>
      <c r="AN30" s="28">
        <f>A30-Taxes!$B$1-A30*AM30</f>
        <v>39744</v>
      </c>
      <c r="AO30" s="14">
        <f t="shared" si="22"/>
        <v>5341.9354838709678</v>
      </c>
      <c r="AP30" s="28">
        <f>AN30-$M$1</f>
        <v>15744</v>
      </c>
      <c r="AQ30" s="54">
        <f>AP30/$K$1</f>
        <v>2116.1290322580644</v>
      </c>
    </row>
    <row r="31" spans="1:43" x14ac:dyDescent="0.2">
      <c r="AF31" s="59"/>
      <c r="AG31" s="2"/>
      <c r="AH31" s="2"/>
      <c r="AI31" s="2"/>
      <c r="AJ31" s="2"/>
      <c r="AK31" s="2"/>
      <c r="AL31" s="60"/>
      <c r="AM31" s="59"/>
      <c r="AN31" s="2"/>
      <c r="AO31" s="2"/>
      <c r="AP31" s="2"/>
      <c r="AQ31" s="60"/>
    </row>
    <row r="32" spans="1:43" x14ac:dyDescent="0.2">
      <c r="AF32" s="59"/>
      <c r="AG32" s="2"/>
      <c r="AH32" s="2"/>
      <c r="AI32" s="2"/>
      <c r="AJ32" s="2"/>
      <c r="AK32" s="2"/>
      <c r="AL32" s="60"/>
      <c r="AM32" s="59"/>
      <c r="AN32" s="2"/>
      <c r="AO32" s="2"/>
      <c r="AP32" s="2"/>
      <c r="AQ32" s="60"/>
    </row>
    <row r="33" spans="32:43" x14ac:dyDescent="0.2">
      <c r="AF33" s="59"/>
      <c r="AG33" s="2"/>
      <c r="AH33" s="2"/>
      <c r="AI33" s="2"/>
      <c r="AJ33" s="2"/>
      <c r="AK33" s="2"/>
      <c r="AL33" s="60"/>
      <c r="AM33" s="59"/>
      <c r="AN33" s="2"/>
      <c r="AO33" s="2"/>
      <c r="AP33" s="2"/>
      <c r="AQ33" s="60"/>
    </row>
    <row r="34" spans="32:43" x14ac:dyDescent="0.2">
      <c r="AF34" s="59"/>
      <c r="AG34" s="2"/>
      <c r="AH34" s="2"/>
      <c r="AI34" s="2"/>
      <c r="AJ34" s="2"/>
      <c r="AK34" s="2"/>
      <c r="AL34" s="60"/>
      <c r="AM34" s="59"/>
      <c r="AN34" s="2"/>
      <c r="AO34" s="2"/>
      <c r="AP34" s="2"/>
      <c r="AQ34" s="60"/>
    </row>
    <row r="35" spans="32:43" x14ac:dyDescent="0.2">
      <c r="AF35" s="59"/>
      <c r="AG35" s="2"/>
      <c r="AH35" s="2"/>
      <c r="AI35" s="2"/>
      <c r="AJ35" s="2"/>
      <c r="AK35" s="2"/>
      <c r="AL35" s="60"/>
      <c r="AM35" s="59"/>
      <c r="AN35" s="2"/>
      <c r="AO35" s="2"/>
      <c r="AP35" s="2"/>
      <c r="AQ35" s="60"/>
    </row>
    <row r="36" spans="32:43" x14ac:dyDescent="0.2">
      <c r="AF36" s="59"/>
      <c r="AG36" s="2"/>
      <c r="AH36" s="2"/>
      <c r="AI36" s="2"/>
      <c r="AJ36" s="2"/>
      <c r="AK36" s="2"/>
      <c r="AL36" s="60"/>
      <c r="AM36" s="59"/>
      <c r="AN36" s="2"/>
      <c r="AO36" s="2"/>
      <c r="AP36" s="2"/>
      <c r="AQ36" s="60"/>
    </row>
    <row r="37" spans="32:43" x14ac:dyDescent="0.2">
      <c r="AF37" s="59"/>
      <c r="AG37" s="2"/>
      <c r="AH37" s="2"/>
      <c r="AI37" s="2"/>
      <c r="AJ37" s="2"/>
      <c r="AK37" s="2"/>
      <c r="AL37" s="60"/>
      <c r="AM37" s="59"/>
      <c r="AN37" s="2"/>
      <c r="AO37" s="2"/>
      <c r="AP37" s="2"/>
      <c r="AQ37" s="60"/>
    </row>
  </sheetData>
  <mergeCells count="22">
    <mergeCell ref="AA2:AB2"/>
    <mergeCell ref="AC2:AD2"/>
    <mergeCell ref="E2:F2"/>
    <mergeCell ref="AF1:AL1"/>
    <mergeCell ref="AN2:AO2"/>
    <mergeCell ref="AP2:AQ2"/>
    <mergeCell ref="AM1:AQ1"/>
    <mergeCell ref="C2:D2"/>
    <mergeCell ref="G2:H2"/>
    <mergeCell ref="I2:J2"/>
    <mergeCell ref="Q2:R2"/>
    <mergeCell ref="S2:T2"/>
    <mergeCell ref="U2:V2"/>
    <mergeCell ref="A2:B2"/>
    <mergeCell ref="K2:L2"/>
    <mergeCell ref="M2:N2"/>
    <mergeCell ref="O2:P2"/>
    <mergeCell ref="AI2:AJ2"/>
    <mergeCell ref="AK2:AL2"/>
    <mergeCell ref="AG2:AH2"/>
    <mergeCell ref="W2:X2"/>
    <mergeCell ref="Y2:Z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5DEA-511F-B346-B3B7-EDDBDCFF08BD}">
  <dimension ref="A1:AQ37"/>
  <sheetViews>
    <sheetView zoomScale="125" zoomScaleNormal="125" workbookViewId="0">
      <selection activeCell="A2" sqref="A2:B2"/>
    </sheetView>
  </sheetViews>
  <sheetFormatPr baseColWidth="10" defaultRowHeight="16" x14ac:dyDescent="0.2"/>
  <cols>
    <col min="1" max="1" width="9.83203125" customWidth="1"/>
    <col min="2" max="10" width="10.6640625" customWidth="1"/>
    <col min="32" max="32" width="12.33203125" customWidth="1"/>
  </cols>
  <sheetData>
    <row r="1" spans="1:43" ht="17" thickBot="1" x14ac:dyDescent="0.25">
      <c r="A1" t="s">
        <v>39</v>
      </c>
      <c r="B1">
        <v>3000</v>
      </c>
      <c r="C1" s="2" t="s">
        <v>1</v>
      </c>
      <c r="D1" s="2">
        <f>B1/K1</f>
        <v>403.22580645161287</v>
      </c>
      <c r="E1" s="2" t="s">
        <v>0</v>
      </c>
      <c r="F1" s="2"/>
      <c r="G1" s="2"/>
      <c r="H1" s="2"/>
      <c r="I1" s="2">
        <v>1</v>
      </c>
      <c r="J1" s="2" t="s">
        <v>0</v>
      </c>
      <c r="K1" s="3">
        <v>7.44</v>
      </c>
      <c r="L1" s="2" t="s">
        <v>1</v>
      </c>
      <c r="M1" s="36">
        <v>24000</v>
      </c>
      <c r="N1" s="37" t="s">
        <v>1</v>
      </c>
      <c r="O1" s="38">
        <f>M1/K1</f>
        <v>3225.8064516129029</v>
      </c>
      <c r="P1" s="37" t="s">
        <v>0</v>
      </c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5" t="s">
        <v>8</v>
      </c>
      <c r="AG1" s="15"/>
      <c r="AH1" s="15"/>
      <c r="AI1" s="15"/>
      <c r="AJ1" s="15"/>
      <c r="AK1" s="15"/>
      <c r="AL1" s="46"/>
      <c r="AM1" s="45" t="s">
        <v>10</v>
      </c>
      <c r="AN1" s="15"/>
      <c r="AO1" s="15"/>
      <c r="AP1" s="15"/>
      <c r="AQ1" s="46"/>
    </row>
    <row r="2" spans="1:43" ht="38" customHeight="1" x14ac:dyDescent="0.2">
      <c r="A2" s="62" t="s">
        <v>6</v>
      </c>
      <c r="B2" s="62"/>
      <c r="C2" s="6" t="s">
        <v>12</v>
      </c>
      <c r="D2" s="4"/>
      <c r="E2" s="6" t="s">
        <v>34</v>
      </c>
      <c r="F2" s="4"/>
      <c r="G2" s="6" t="s">
        <v>13</v>
      </c>
      <c r="H2" s="4"/>
      <c r="I2" s="6" t="s">
        <v>14</v>
      </c>
      <c r="J2" s="4"/>
      <c r="K2" s="6" t="s">
        <v>4</v>
      </c>
      <c r="L2" s="4"/>
      <c r="M2" s="64" t="s">
        <v>3</v>
      </c>
      <c r="N2" s="65"/>
      <c r="O2" s="6" t="s">
        <v>2</v>
      </c>
      <c r="P2" s="4"/>
      <c r="Q2" s="6" t="s">
        <v>27</v>
      </c>
      <c r="R2" s="4"/>
      <c r="S2" s="6" t="s">
        <v>28</v>
      </c>
      <c r="T2" s="4"/>
      <c r="U2" s="6" t="s">
        <v>29</v>
      </c>
      <c r="V2" s="4"/>
      <c r="W2" s="6" t="s">
        <v>30</v>
      </c>
      <c r="X2" s="4"/>
      <c r="Y2" s="6" t="s">
        <v>31</v>
      </c>
      <c r="Z2" s="4"/>
      <c r="AA2" s="6" t="s">
        <v>32</v>
      </c>
      <c r="AB2" s="4"/>
      <c r="AC2" s="70" t="s">
        <v>33</v>
      </c>
      <c r="AD2" s="71"/>
      <c r="AE2" s="12" t="s">
        <v>9</v>
      </c>
      <c r="AF2" s="47" t="s">
        <v>9</v>
      </c>
      <c r="AG2" s="6" t="s">
        <v>7</v>
      </c>
      <c r="AH2" s="10"/>
      <c r="AI2" s="6" t="s">
        <v>5</v>
      </c>
      <c r="AJ2" s="10"/>
      <c r="AK2" s="6" t="s">
        <v>11</v>
      </c>
      <c r="AL2" s="48"/>
      <c r="AM2" s="47" t="s">
        <v>9</v>
      </c>
      <c r="AN2" s="6" t="s">
        <v>5</v>
      </c>
      <c r="AO2" s="10"/>
      <c r="AP2" s="6" t="s">
        <v>11</v>
      </c>
      <c r="AQ2" s="48"/>
    </row>
    <row r="3" spans="1:43" x14ac:dyDescent="0.2">
      <c r="A3" s="63" t="s">
        <v>1</v>
      </c>
      <c r="B3" s="63" t="s">
        <v>0</v>
      </c>
      <c r="C3" s="7" t="s">
        <v>1</v>
      </c>
      <c r="D3" s="5" t="s">
        <v>0</v>
      </c>
      <c r="E3" s="7" t="s">
        <v>1</v>
      </c>
      <c r="F3" s="5" t="s">
        <v>0</v>
      </c>
      <c r="G3" s="7" t="s">
        <v>1</v>
      </c>
      <c r="H3" s="5" t="s">
        <v>0</v>
      </c>
      <c r="I3" s="7" t="s">
        <v>1</v>
      </c>
      <c r="J3" s="5" t="s">
        <v>0</v>
      </c>
      <c r="K3" s="7" t="s">
        <v>1</v>
      </c>
      <c r="L3" s="5" t="s">
        <v>0</v>
      </c>
      <c r="M3" s="66" t="s">
        <v>1</v>
      </c>
      <c r="N3" s="67" t="s">
        <v>0</v>
      </c>
      <c r="O3" s="7" t="s">
        <v>1</v>
      </c>
      <c r="P3" s="5" t="s">
        <v>0</v>
      </c>
      <c r="Q3" s="7" t="s">
        <v>1</v>
      </c>
      <c r="R3" s="5" t="s">
        <v>0</v>
      </c>
      <c r="S3" s="7" t="s">
        <v>1</v>
      </c>
      <c r="T3" s="5" t="s">
        <v>0</v>
      </c>
      <c r="U3" s="7" t="s">
        <v>1</v>
      </c>
      <c r="V3" s="5" t="s">
        <v>0</v>
      </c>
      <c r="W3" s="7" t="s">
        <v>1</v>
      </c>
      <c r="X3" s="5" t="s">
        <v>0</v>
      </c>
      <c r="Y3" s="7" t="s">
        <v>1</v>
      </c>
      <c r="Z3" s="5" t="s">
        <v>0</v>
      </c>
      <c r="AA3" s="7" t="s">
        <v>1</v>
      </c>
      <c r="AB3" s="5" t="s">
        <v>0</v>
      </c>
      <c r="AC3" s="72" t="s">
        <v>1</v>
      </c>
      <c r="AD3" s="73" t="s">
        <v>0</v>
      </c>
      <c r="AE3" s="7"/>
      <c r="AF3" s="49"/>
      <c r="AG3" s="7" t="s">
        <v>1</v>
      </c>
      <c r="AH3" s="5" t="s">
        <v>0</v>
      </c>
      <c r="AI3" s="7" t="s">
        <v>1</v>
      </c>
      <c r="AJ3" s="11" t="s">
        <v>0</v>
      </c>
      <c r="AK3" s="7" t="s">
        <v>1</v>
      </c>
      <c r="AL3" s="50" t="s">
        <v>0</v>
      </c>
      <c r="AM3" s="49"/>
      <c r="AN3" s="7" t="s">
        <v>1</v>
      </c>
      <c r="AO3" s="11" t="s">
        <v>0</v>
      </c>
      <c r="AP3" s="7" t="s">
        <v>1</v>
      </c>
      <c r="AQ3" s="50" t="s">
        <v>0</v>
      </c>
    </row>
    <row r="4" spans="1:43" x14ac:dyDescent="0.2">
      <c r="A4" s="32">
        <v>44000</v>
      </c>
      <c r="B4" s="33">
        <f>A4/$K$1</f>
        <v>5913.9784946236559</v>
      </c>
      <c r="C4" s="26">
        <f>A4*12</f>
        <v>528000</v>
      </c>
      <c r="D4" s="41">
        <f>C4/$K$1</f>
        <v>70967.741935483864</v>
      </c>
      <c r="E4" s="43">
        <f>0.08*(C4-Taxes!$B$1)</f>
        <v>42149.120000000003</v>
      </c>
      <c r="F4" s="40">
        <f>E4/$K$1</f>
        <v>5665.2043010752686</v>
      </c>
      <c r="G4" s="43">
        <f>C4-(Taxes!$B$1+'Offer evaluation'!E4)</f>
        <v>484714.88</v>
      </c>
      <c r="H4" s="40">
        <f>G4/$K$1</f>
        <v>65149.849462365586</v>
      </c>
      <c r="I4" s="41">
        <f>G4-(Deductions!$B$1+MIN(0.1065*C4,41600)+MIN(0.045*(C4-202700),2700))</f>
        <v>393814.88</v>
      </c>
      <c r="J4" s="41">
        <f>I4/$K$1</f>
        <v>52932.107526881715</v>
      </c>
      <c r="K4" s="28">
        <f>0.07*A4</f>
        <v>3080.0000000000005</v>
      </c>
      <c r="L4" s="27">
        <f>K4/$K$1</f>
        <v>413.97849462365593</v>
      </c>
      <c r="M4" s="68">
        <f>A4+K4</f>
        <v>47080</v>
      </c>
      <c r="N4" s="69">
        <f>M4/$K$1</f>
        <v>6327.9569892473119</v>
      </c>
      <c r="O4" s="28">
        <f>0.08*A4</f>
        <v>3520</v>
      </c>
      <c r="P4" s="27">
        <f>O4/$K$1</f>
        <v>473.11827956989242</v>
      </c>
      <c r="Q4" s="43">
        <f>Taxes!$B$5*'Offer evaluation'!I4</f>
        <v>93727.941439999995</v>
      </c>
      <c r="R4" s="40">
        <f>Q4/$K$1</f>
        <v>12597.841591397848</v>
      </c>
      <c r="S4" s="43">
        <f>Taxes!$B$3*('Offer evaluation'!G4-Deductions!$B$1)</f>
        <v>53011.900479999997</v>
      </c>
      <c r="T4" s="40">
        <f>S4/$K$1</f>
        <v>7125.2554408602145</v>
      </c>
      <c r="U4" s="27">
        <f>IF('Offer evaluation'!G4&gt;Taxes!$D$4,Taxes!$B$4*('Offer evaluation'!G4-Taxes!$D$4),0)</f>
        <v>0</v>
      </c>
      <c r="V4" s="27">
        <f>U4/$K$1</f>
        <v>0</v>
      </c>
      <c r="W4" s="43">
        <f>E4+Q4+S4+U4</f>
        <v>188888.96191999997</v>
      </c>
      <c r="X4" s="40">
        <f>W4/$K$1</f>
        <v>25388.301333333329</v>
      </c>
      <c r="Y4" s="27">
        <f>W4/12</f>
        <v>15740.746826666664</v>
      </c>
      <c r="Z4" s="27">
        <f>Y4/$K$1</f>
        <v>2115.6917777777771</v>
      </c>
      <c r="AA4" s="43">
        <f>C4-(Taxes!$B$1+W4)</f>
        <v>337975.03808000003</v>
      </c>
      <c r="AB4" s="40">
        <f>AA4/$K$1</f>
        <v>45426.752430107532</v>
      </c>
      <c r="AC4" s="22">
        <f>AA4/12</f>
        <v>28164.58650666667</v>
      </c>
      <c r="AD4" s="22">
        <f>AC4/$K$1</f>
        <v>3785.5627025089607</v>
      </c>
      <c r="AE4" s="44">
        <f>1-AC4/A4</f>
        <v>0.35989576121212108</v>
      </c>
      <c r="AF4" s="51">
        <v>0.378</v>
      </c>
      <c r="AG4" s="18">
        <v>361</v>
      </c>
      <c r="AH4" s="17">
        <f>AG4/$K$1</f>
        <v>48.521505376344081</v>
      </c>
      <c r="AI4" s="19">
        <f>(1-AF4)*A4+AG4</f>
        <v>27729</v>
      </c>
      <c r="AJ4" s="20">
        <f>AI4/$K$1</f>
        <v>3727.016129032258</v>
      </c>
      <c r="AK4" s="19">
        <f>AI4-$M$1</f>
        <v>3729</v>
      </c>
      <c r="AL4" s="52">
        <f>AK4/$K$1</f>
        <v>501.20967741935482</v>
      </c>
      <c r="AM4" s="51">
        <v>0.35799999999999998</v>
      </c>
      <c r="AN4" s="39">
        <f>A4-Taxes!$B$1-A4*AM4</f>
        <v>27112</v>
      </c>
      <c r="AO4" s="20">
        <f>AN4/$K$1</f>
        <v>3644.0860215053763</v>
      </c>
      <c r="AP4" s="19">
        <f>AN4-$M$1</f>
        <v>3112</v>
      </c>
      <c r="AQ4" s="52">
        <f>AP4/$K$1</f>
        <v>418.27956989247309</v>
      </c>
    </row>
    <row r="5" spans="1:43" x14ac:dyDescent="0.2">
      <c r="A5" s="32">
        <v>45000</v>
      </c>
      <c r="B5" s="33">
        <f>A5/$K$1</f>
        <v>6048.3870967741932</v>
      </c>
      <c r="C5" s="26">
        <f>A5*12</f>
        <v>540000</v>
      </c>
      <c r="D5" s="41">
        <f>C5/$K$1</f>
        <v>72580.645161290318</v>
      </c>
      <c r="E5" s="26">
        <f>0.08*(C5-Taxes!$B$1)</f>
        <v>43109.120000000003</v>
      </c>
      <c r="F5" s="29">
        <f t="shared" ref="F5:F30" si="0">E5/$K$1</f>
        <v>5794.2365591397847</v>
      </c>
      <c r="G5" s="26">
        <f>C5-(Taxes!$B$1+'Offer evaluation'!E5)</f>
        <v>495754.88</v>
      </c>
      <c r="H5" s="29">
        <f t="shared" ref="H5:H30" si="1">G5/$K$1</f>
        <v>66633.720430107525</v>
      </c>
      <c r="I5" s="41">
        <f>G5-(Deductions!$B$1+MIN(0.1065*C5,41600)+MIN(0.045*(C5-202700),2700))</f>
        <v>404854.88</v>
      </c>
      <c r="J5" s="41">
        <f t="shared" ref="J5:J30" si="2">I5/$K$1</f>
        <v>54415.978494623654</v>
      </c>
      <c r="K5" s="28">
        <f>0.07*A5</f>
        <v>3150.0000000000005</v>
      </c>
      <c r="L5" s="27">
        <f t="shared" ref="L5:L30" si="3">K5/$K$1</f>
        <v>423.38709677419359</v>
      </c>
      <c r="M5" s="68">
        <f t="shared" ref="M5:M30" si="4">A5+K5</f>
        <v>48150</v>
      </c>
      <c r="N5" s="69">
        <f t="shared" ref="N5:N30" si="5">M5/$K$1</f>
        <v>6471.7741935483864</v>
      </c>
      <c r="O5" s="28">
        <f t="shared" ref="O5:O30" si="6">0.08*A5</f>
        <v>3600</v>
      </c>
      <c r="P5" s="27">
        <f t="shared" ref="P5:P30" si="7">O5/$K$1</f>
        <v>483.87096774193543</v>
      </c>
      <c r="Q5" s="26">
        <f>Taxes!$B$5*'Offer evaluation'!I5</f>
        <v>96355.461439999999</v>
      </c>
      <c r="R5" s="29">
        <f t="shared" ref="R5:R30" si="8">Q5/$K$1</f>
        <v>12951.002881720429</v>
      </c>
      <c r="S5" s="26">
        <f>Taxes!$B$3*('Offer evaluation'!G5-Deductions!$B$1)</f>
        <v>54347.74048</v>
      </c>
      <c r="T5" s="29">
        <f t="shared" ref="T5:T30" si="9">S5/$K$1</f>
        <v>7304.8038279569892</v>
      </c>
      <c r="U5" s="27">
        <f>IF('Offer evaluation'!G5&gt;Taxes!$D$4,Taxes!$B$4*('Offer evaluation'!G5-Taxes!$D$4),0)</f>
        <v>0</v>
      </c>
      <c r="V5" s="27">
        <f t="shared" ref="V5:V30" si="10">U5/$K$1</f>
        <v>0</v>
      </c>
      <c r="W5" s="26">
        <f t="shared" ref="W5:W30" si="11">E5+Q5+S5+U5</f>
        <v>193812.32192000002</v>
      </c>
      <c r="X5" s="29">
        <f t="shared" ref="X5:X30" si="12">W5/$K$1</f>
        <v>26050.043268817204</v>
      </c>
      <c r="Y5" s="27">
        <f t="shared" ref="Y5:Y30" si="13">W5/12</f>
        <v>16151.026826666668</v>
      </c>
      <c r="Z5" s="27">
        <f t="shared" ref="Z5:Z30" si="14">Y5/$K$1</f>
        <v>2170.8369390681005</v>
      </c>
      <c r="AA5" s="26">
        <f>C5-(Taxes!$B$1+W5)</f>
        <v>345051.67807999998</v>
      </c>
      <c r="AB5" s="29">
        <f t="shared" ref="AB5:AB30" si="15">AA5/$K$1</f>
        <v>46377.913720430101</v>
      </c>
      <c r="AC5" s="22">
        <f t="shared" ref="AC5:AC30" si="16">AA5/12</f>
        <v>28754.306506666664</v>
      </c>
      <c r="AD5" s="22">
        <f t="shared" ref="AD5:AD30" si="17">AC5/$K$1</f>
        <v>3864.826143369175</v>
      </c>
      <c r="AE5" s="25">
        <f t="shared" ref="AE5:AE30" si="18">1-AC5/A5</f>
        <v>0.36101541096296297</v>
      </c>
      <c r="AF5" s="53">
        <v>0.379</v>
      </c>
      <c r="AG5" s="13"/>
      <c r="AH5" s="9"/>
      <c r="AI5" s="8"/>
      <c r="AJ5" s="14"/>
      <c r="AK5" s="28"/>
      <c r="AL5" s="54"/>
      <c r="AM5" s="53">
        <v>0.35899999999999999</v>
      </c>
      <c r="AN5" s="28">
        <f>A5-Taxes!$B$1-A5*AM5</f>
        <v>27709</v>
      </c>
      <c r="AO5" s="14">
        <f t="shared" ref="AO5:AO30" si="19">AN5/$K$1</f>
        <v>3724.327956989247</v>
      </c>
      <c r="AP5" s="28">
        <f>AN5-$M$1</f>
        <v>3709</v>
      </c>
      <c r="AQ5" s="54">
        <f>AP5/$K$1</f>
        <v>498.52150537634407</v>
      </c>
    </row>
    <row r="6" spans="1:43" x14ac:dyDescent="0.2">
      <c r="A6" s="32"/>
      <c r="B6" s="33"/>
      <c r="C6" s="26"/>
      <c r="D6" s="41"/>
      <c r="E6" s="26"/>
      <c r="F6" s="29"/>
      <c r="G6" s="26"/>
      <c r="H6" s="29"/>
      <c r="I6" s="41"/>
      <c r="J6" s="41"/>
      <c r="K6" s="28"/>
      <c r="L6" s="27"/>
      <c r="M6" s="68"/>
      <c r="N6" s="69"/>
      <c r="O6" s="28"/>
      <c r="P6" s="27"/>
      <c r="Q6" s="26"/>
      <c r="R6" s="29"/>
      <c r="S6" s="26"/>
      <c r="T6" s="29"/>
      <c r="U6" s="27"/>
      <c r="V6" s="27"/>
      <c r="W6" s="26"/>
      <c r="X6" s="29"/>
      <c r="Y6" s="27"/>
      <c r="Z6" s="27"/>
      <c r="AA6" s="26"/>
      <c r="AB6" s="29"/>
      <c r="AC6" s="22"/>
      <c r="AD6" s="22"/>
      <c r="AE6" s="25"/>
      <c r="AF6" s="53">
        <v>0.38</v>
      </c>
      <c r="AG6" s="13"/>
      <c r="AH6" s="9"/>
      <c r="AI6" s="8"/>
      <c r="AJ6" s="14"/>
      <c r="AK6" s="28"/>
      <c r="AL6" s="54"/>
      <c r="AM6" s="53">
        <v>0.36</v>
      </c>
      <c r="AN6" s="28"/>
      <c r="AO6" s="14"/>
      <c r="AP6" s="28"/>
      <c r="AQ6" s="54"/>
    </row>
    <row r="7" spans="1:43" x14ac:dyDescent="0.2">
      <c r="A7" s="32"/>
      <c r="B7" s="33"/>
      <c r="C7" s="26"/>
      <c r="D7" s="41"/>
      <c r="E7" s="26"/>
      <c r="F7" s="29"/>
      <c r="G7" s="26"/>
      <c r="H7" s="29"/>
      <c r="I7" s="41"/>
      <c r="J7" s="41"/>
      <c r="K7" s="28"/>
      <c r="L7" s="27"/>
      <c r="M7" s="68"/>
      <c r="N7" s="69"/>
      <c r="O7" s="28"/>
      <c r="P7" s="27"/>
      <c r="Q7" s="26"/>
      <c r="R7" s="29"/>
      <c r="S7" s="26"/>
      <c r="T7" s="29"/>
      <c r="U7" s="27"/>
      <c r="V7" s="27"/>
      <c r="W7" s="26"/>
      <c r="X7" s="29"/>
      <c r="Y7" s="27"/>
      <c r="Z7" s="27"/>
      <c r="AA7" s="26"/>
      <c r="AB7" s="29"/>
      <c r="AC7" s="22"/>
      <c r="AD7" s="22"/>
      <c r="AE7" s="25"/>
      <c r="AF7" s="55">
        <v>0.39</v>
      </c>
      <c r="AG7" s="26"/>
      <c r="AH7" s="27"/>
      <c r="AI7" s="28"/>
      <c r="AJ7" s="29"/>
      <c r="AK7" s="28"/>
      <c r="AL7" s="54"/>
      <c r="AM7" s="56">
        <v>0.36099999999999999</v>
      </c>
      <c r="AN7" s="28"/>
      <c r="AO7" s="24"/>
      <c r="AP7" s="21"/>
      <c r="AQ7" s="57"/>
    </row>
    <row r="8" spans="1:43" x14ac:dyDescent="0.2">
      <c r="A8" s="32"/>
      <c r="B8" s="33"/>
      <c r="C8" s="26"/>
      <c r="D8" s="41"/>
      <c r="E8" s="26"/>
      <c r="F8" s="29"/>
      <c r="G8" s="26"/>
      <c r="H8" s="29"/>
      <c r="I8" s="41"/>
      <c r="J8" s="41"/>
      <c r="K8" s="28"/>
      <c r="L8" s="27"/>
      <c r="M8" s="68"/>
      <c r="N8" s="69"/>
      <c r="O8" s="28"/>
      <c r="P8" s="27"/>
      <c r="Q8" s="26"/>
      <c r="R8" s="29"/>
      <c r="S8" s="26"/>
      <c r="T8" s="29"/>
      <c r="U8" s="27"/>
      <c r="V8" s="27"/>
      <c r="W8" s="26"/>
      <c r="X8" s="29"/>
      <c r="Y8" s="27"/>
      <c r="Z8" s="27"/>
      <c r="AA8" s="26"/>
      <c r="AB8" s="29"/>
      <c r="AC8" s="22"/>
      <c r="AD8" s="22"/>
      <c r="AE8" s="25"/>
      <c r="AF8" s="53">
        <v>0.41599999999999998</v>
      </c>
      <c r="AG8" s="13"/>
      <c r="AH8" s="9"/>
      <c r="AI8" s="8"/>
      <c r="AJ8" s="14"/>
      <c r="AK8" s="28"/>
      <c r="AL8" s="54"/>
      <c r="AM8" s="53">
        <v>0.36199999999999999</v>
      </c>
      <c r="AN8" s="28"/>
      <c r="AO8" s="14"/>
      <c r="AP8" s="28"/>
      <c r="AQ8" s="54"/>
    </row>
    <row r="9" spans="1:43" x14ac:dyDescent="0.2">
      <c r="A9" s="32"/>
      <c r="B9" s="33"/>
      <c r="C9" s="26"/>
      <c r="D9" s="41"/>
      <c r="E9" s="26"/>
      <c r="F9" s="29"/>
      <c r="G9" s="26"/>
      <c r="H9" s="29"/>
      <c r="I9" s="41"/>
      <c r="J9" s="41"/>
      <c r="K9" s="28"/>
      <c r="L9" s="27"/>
      <c r="M9" s="68"/>
      <c r="N9" s="69"/>
      <c r="O9" s="28"/>
      <c r="P9" s="27"/>
      <c r="Q9" s="26"/>
      <c r="R9" s="29"/>
      <c r="S9" s="26"/>
      <c r="T9" s="29"/>
      <c r="U9" s="27"/>
      <c r="V9" s="27"/>
      <c r="W9" s="26"/>
      <c r="X9" s="29"/>
      <c r="Y9" s="27"/>
      <c r="Z9" s="27"/>
      <c r="AA9" s="26"/>
      <c r="AB9" s="29"/>
      <c r="AC9" s="22"/>
      <c r="AD9" s="22"/>
      <c r="AE9" s="25"/>
      <c r="AF9" s="53">
        <v>0.441</v>
      </c>
      <c r="AG9" s="13"/>
      <c r="AH9" s="9"/>
      <c r="AI9" s="8"/>
      <c r="AJ9" s="14"/>
      <c r="AK9" s="28"/>
      <c r="AL9" s="54"/>
      <c r="AM9" s="53">
        <v>0.36299999999999999</v>
      </c>
      <c r="AN9" s="28"/>
      <c r="AO9" s="14"/>
      <c r="AP9" s="28"/>
      <c r="AQ9" s="54"/>
    </row>
    <row r="10" spans="1:43" ht="17" thickBot="1" x14ac:dyDescent="0.25">
      <c r="A10" s="32"/>
      <c r="B10" s="33"/>
      <c r="C10" s="26"/>
      <c r="D10" s="41"/>
      <c r="E10" s="26"/>
      <c r="F10" s="29"/>
      <c r="G10" s="26"/>
      <c r="H10" s="29"/>
      <c r="I10" s="41"/>
      <c r="J10" s="41"/>
      <c r="K10" s="28"/>
      <c r="L10" s="27"/>
      <c r="M10" s="68"/>
      <c r="N10" s="69"/>
      <c r="O10" s="28"/>
      <c r="P10" s="27"/>
      <c r="Q10" s="26"/>
      <c r="R10" s="29"/>
      <c r="S10" s="26"/>
      <c r="T10" s="29"/>
      <c r="U10" s="27"/>
      <c r="V10" s="27"/>
      <c r="W10" s="26"/>
      <c r="X10" s="29"/>
      <c r="Y10" s="27"/>
      <c r="Z10" s="27"/>
      <c r="AA10" s="26"/>
      <c r="AB10" s="29"/>
      <c r="AC10" s="22"/>
      <c r="AD10" s="22"/>
      <c r="AE10" s="25"/>
      <c r="AF10" s="53">
        <v>0.46500000000000002</v>
      </c>
      <c r="AG10" s="13"/>
      <c r="AH10" s="9"/>
      <c r="AI10" s="8"/>
      <c r="AJ10" s="14"/>
      <c r="AK10" s="28"/>
      <c r="AL10" s="54"/>
      <c r="AM10" s="53">
        <v>0.36399999999999999</v>
      </c>
      <c r="AN10" s="28"/>
      <c r="AO10" s="14"/>
      <c r="AP10" s="28"/>
      <c r="AQ10" s="54"/>
    </row>
    <row r="11" spans="1:43" ht="17" thickTop="1" x14ac:dyDescent="0.2">
      <c r="A11" s="74"/>
      <c r="B11" s="75"/>
      <c r="C11" s="76"/>
      <c r="D11" s="77"/>
      <c r="E11" s="76"/>
      <c r="F11" s="78"/>
      <c r="G11" s="76"/>
      <c r="H11" s="78"/>
      <c r="I11" s="77"/>
      <c r="J11" s="77"/>
      <c r="K11" s="79"/>
      <c r="L11" s="77"/>
      <c r="M11" s="80"/>
      <c r="N11" s="81"/>
      <c r="O11" s="79"/>
      <c r="P11" s="77"/>
      <c r="Q11" s="76"/>
      <c r="R11" s="78"/>
      <c r="S11" s="76"/>
      <c r="T11" s="78"/>
      <c r="U11" s="77"/>
      <c r="V11" s="77"/>
      <c r="W11" s="76"/>
      <c r="X11" s="78"/>
      <c r="Y11" s="77"/>
      <c r="Z11" s="77"/>
      <c r="AA11" s="76"/>
      <c r="AB11" s="78"/>
      <c r="AC11" s="82"/>
      <c r="AD11" s="82"/>
      <c r="AE11" s="83"/>
      <c r="AF11" s="53">
        <v>0.48499999999999999</v>
      </c>
      <c r="AG11" s="13"/>
      <c r="AH11" s="9"/>
      <c r="AI11" s="8"/>
      <c r="AJ11" s="14"/>
      <c r="AK11" s="28"/>
      <c r="AL11" s="54"/>
      <c r="AM11" s="53">
        <v>0.36699999999999999</v>
      </c>
      <c r="AN11" s="28"/>
      <c r="AO11" s="14"/>
      <c r="AP11" s="28"/>
      <c r="AQ11" s="54"/>
    </row>
    <row r="12" spans="1:43" x14ac:dyDescent="0.2">
      <c r="A12" s="32"/>
      <c r="B12" s="33"/>
      <c r="C12" s="26"/>
      <c r="D12" s="41"/>
      <c r="E12" s="26"/>
      <c r="F12" s="29"/>
      <c r="G12" s="26"/>
      <c r="H12" s="29"/>
      <c r="I12" s="41"/>
      <c r="J12" s="41"/>
      <c r="K12" s="28"/>
      <c r="L12" s="27"/>
      <c r="M12" s="68"/>
      <c r="N12" s="69"/>
      <c r="O12" s="28"/>
      <c r="P12" s="27"/>
      <c r="Q12" s="26"/>
      <c r="R12" s="29"/>
      <c r="S12" s="26"/>
      <c r="T12" s="29"/>
      <c r="U12" s="27"/>
      <c r="V12" s="27"/>
      <c r="W12" s="26"/>
      <c r="X12" s="29"/>
      <c r="Y12" s="27"/>
      <c r="Z12" s="27"/>
      <c r="AA12" s="26"/>
      <c r="AB12" s="29"/>
      <c r="AC12" s="22"/>
      <c r="AD12" s="22"/>
      <c r="AE12" s="25"/>
      <c r="AF12" s="53">
        <v>0.48499999999999999</v>
      </c>
      <c r="AG12" s="13"/>
      <c r="AH12" s="9"/>
      <c r="AI12" s="8"/>
      <c r="AJ12" s="14"/>
      <c r="AK12" s="28"/>
      <c r="AL12" s="54"/>
      <c r="AM12" s="53">
        <v>0.371</v>
      </c>
      <c r="AN12" s="28"/>
      <c r="AO12" s="14"/>
      <c r="AP12" s="28"/>
      <c r="AQ12" s="54"/>
    </row>
    <row r="13" spans="1:43" x14ac:dyDescent="0.2">
      <c r="A13" s="32"/>
      <c r="B13" s="33"/>
      <c r="C13" s="26"/>
      <c r="D13" s="41"/>
      <c r="E13" s="26"/>
      <c r="F13" s="29"/>
      <c r="G13" s="26"/>
      <c r="H13" s="29"/>
      <c r="I13" s="41"/>
      <c r="J13" s="41"/>
      <c r="K13" s="28"/>
      <c r="L13" s="27"/>
      <c r="M13" s="68"/>
      <c r="N13" s="69"/>
      <c r="O13" s="28"/>
      <c r="P13" s="27"/>
      <c r="Q13" s="26"/>
      <c r="R13" s="29"/>
      <c r="S13" s="26"/>
      <c r="T13" s="29"/>
      <c r="U13" s="27"/>
      <c r="V13" s="27"/>
      <c r="W13" s="26"/>
      <c r="X13" s="29"/>
      <c r="Y13" s="27"/>
      <c r="Z13" s="27"/>
      <c r="AA13" s="26"/>
      <c r="AB13" s="29"/>
      <c r="AC13" s="22"/>
      <c r="AD13" s="22"/>
      <c r="AE13" s="25"/>
      <c r="AF13" s="53">
        <v>0.48599999999999999</v>
      </c>
      <c r="AG13" s="13"/>
      <c r="AH13" s="9"/>
      <c r="AI13" s="8"/>
      <c r="AJ13" s="14"/>
      <c r="AK13" s="28"/>
      <c r="AL13" s="54"/>
      <c r="AM13" s="53">
        <v>0.374</v>
      </c>
      <c r="AN13" s="28"/>
      <c r="AO13" s="14"/>
      <c r="AP13" s="28"/>
      <c r="AQ13" s="54"/>
    </row>
    <row r="14" spans="1:43" x14ac:dyDescent="0.2">
      <c r="A14" s="32"/>
      <c r="B14" s="33"/>
      <c r="C14" s="26"/>
      <c r="D14" s="41"/>
      <c r="E14" s="26"/>
      <c r="F14" s="29"/>
      <c r="G14" s="26"/>
      <c r="H14" s="29"/>
      <c r="I14" s="41"/>
      <c r="J14" s="41"/>
      <c r="K14" s="28"/>
      <c r="L14" s="27"/>
      <c r="M14" s="68"/>
      <c r="N14" s="69"/>
      <c r="O14" s="28"/>
      <c r="P14" s="27"/>
      <c r="Q14" s="26"/>
      <c r="R14" s="29"/>
      <c r="S14" s="26"/>
      <c r="T14" s="29"/>
      <c r="U14" s="27"/>
      <c r="V14" s="27"/>
      <c r="W14" s="26"/>
      <c r="X14" s="29"/>
      <c r="Y14" s="27"/>
      <c r="Z14" s="27"/>
      <c r="AA14" s="26"/>
      <c r="AB14" s="29"/>
      <c r="AC14" s="22"/>
      <c r="AD14" s="22"/>
      <c r="AE14" s="25"/>
      <c r="AF14" s="53">
        <v>0.48599999999999999</v>
      </c>
      <c r="AG14" s="13"/>
      <c r="AH14" s="9"/>
      <c r="AI14" s="8"/>
      <c r="AJ14" s="14"/>
      <c r="AK14" s="28"/>
      <c r="AL14" s="54"/>
      <c r="AM14" s="58">
        <v>0.377</v>
      </c>
      <c r="AN14" s="28"/>
      <c r="AO14" s="31"/>
      <c r="AP14" s="30"/>
      <c r="AQ14" s="61"/>
    </row>
    <row r="15" spans="1:43" x14ac:dyDescent="0.2">
      <c r="A15" s="32"/>
      <c r="B15" s="33"/>
      <c r="C15" s="26"/>
      <c r="D15" s="41"/>
      <c r="E15" s="26"/>
      <c r="F15" s="29"/>
      <c r="G15" s="26"/>
      <c r="H15" s="29"/>
      <c r="I15" s="41"/>
      <c r="J15" s="41"/>
      <c r="K15" s="28"/>
      <c r="L15" s="27"/>
      <c r="M15" s="68"/>
      <c r="N15" s="69"/>
      <c r="O15" s="28"/>
      <c r="P15" s="27"/>
      <c r="Q15" s="26"/>
      <c r="R15" s="29"/>
      <c r="S15" s="26"/>
      <c r="T15" s="29"/>
      <c r="U15" s="27"/>
      <c r="V15" s="27"/>
      <c r="W15" s="26"/>
      <c r="X15" s="29"/>
      <c r="Y15" s="27"/>
      <c r="Z15" s="27"/>
      <c r="AA15" s="26"/>
      <c r="AB15" s="29"/>
      <c r="AC15" s="22"/>
      <c r="AD15" s="22"/>
      <c r="AE15" s="25"/>
      <c r="AF15" s="53">
        <v>0.48599999999999999</v>
      </c>
      <c r="AG15" s="13"/>
      <c r="AH15" s="9"/>
      <c r="AI15" s="8"/>
      <c r="AJ15" s="14"/>
      <c r="AK15" s="28"/>
      <c r="AL15" s="54"/>
      <c r="AM15" s="53">
        <v>0.38</v>
      </c>
      <c r="AN15" s="28"/>
      <c r="AO15" s="14"/>
      <c r="AP15" s="28"/>
      <c r="AQ15" s="54"/>
    </row>
    <row r="16" spans="1:43" x14ac:dyDescent="0.2">
      <c r="A16" s="32"/>
      <c r="B16" s="33"/>
      <c r="C16" s="26"/>
      <c r="D16" s="41"/>
      <c r="E16" s="26"/>
      <c r="F16" s="29"/>
      <c r="G16" s="26"/>
      <c r="H16" s="29"/>
      <c r="I16" s="41"/>
      <c r="J16" s="41"/>
      <c r="K16" s="28"/>
      <c r="L16" s="27"/>
      <c r="M16" s="68"/>
      <c r="N16" s="69"/>
      <c r="O16" s="28"/>
      <c r="P16" s="27"/>
      <c r="Q16" s="26"/>
      <c r="R16" s="29"/>
      <c r="S16" s="26"/>
      <c r="T16" s="29"/>
      <c r="U16" s="27"/>
      <c r="V16" s="27"/>
      <c r="W16" s="26"/>
      <c r="X16" s="29"/>
      <c r="Y16" s="27"/>
      <c r="Z16" s="27"/>
      <c r="AA16" s="26"/>
      <c r="AB16" s="29"/>
      <c r="AC16" s="22"/>
      <c r="AD16" s="22"/>
      <c r="AE16" s="25"/>
      <c r="AF16" s="53">
        <v>0.48699999999999999</v>
      </c>
      <c r="AG16" s="13"/>
      <c r="AH16" s="9"/>
      <c r="AI16" s="8"/>
      <c r="AJ16" s="14"/>
      <c r="AK16" s="28"/>
      <c r="AL16" s="54"/>
      <c r="AM16" s="53">
        <v>0.38300000000000001</v>
      </c>
      <c r="AN16" s="28"/>
      <c r="AO16" s="14"/>
      <c r="AP16" s="28"/>
      <c r="AQ16" s="54"/>
    </row>
    <row r="17" spans="1:43" x14ac:dyDescent="0.2">
      <c r="A17" s="32"/>
      <c r="B17" s="33"/>
      <c r="C17" s="26"/>
      <c r="D17" s="41"/>
      <c r="E17" s="26"/>
      <c r="F17" s="29"/>
      <c r="G17" s="26"/>
      <c r="H17" s="29"/>
      <c r="I17" s="41"/>
      <c r="J17" s="41"/>
      <c r="K17" s="28"/>
      <c r="L17" s="27"/>
      <c r="M17" s="68"/>
      <c r="N17" s="69"/>
      <c r="O17" s="28"/>
      <c r="P17" s="27"/>
      <c r="Q17" s="26"/>
      <c r="R17" s="29"/>
      <c r="S17" s="26"/>
      <c r="T17" s="29"/>
      <c r="U17" s="27"/>
      <c r="V17" s="27"/>
      <c r="W17" s="26"/>
      <c r="X17" s="29"/>
      <c r="Y17" s="27"/>
      <c r="Z17" s="27"/>
      <c r="AA17" s="26"/>
      <c r="AB17" s="29"/>
      <c r="AC17" s="22"/>
      <c r="AD17" s="22"/>
      <c r="AE17" s="25"/>
      <c r="AF17" s="53">
        <v>0.48699999999999999</v>
      </c>
      <c r="AG17" s="13"/>
      <c r="AH17" s="9"/>
      <c r="AI17" s="8"/>
      <c r="AJ17" s="14"/>
      <c r="AK17" s="28"/>
      <c r="AL17" s="54"/>
      <c r="AM17" s="53">
        <v>0.38600000000000001</v>
      </c>
      <c r="AN17" s="28"/>
      <c r="AO17" s="14"/>
      <c r="AP17" s="28"/>
      <c r="AQ17" s="54"/>
    </row>
    <row r="18" spans="1:43" x14ac:dyDescent="0.2">
      <c r="A18" s="32"/>
      <c r="B18" s="33"/>
      <c r="C18" s="26"/>
      <c r="D18" s="41"/>
      <c r="E18" s="26"/>
      <c r="F18" s="29"/>
      <c r="G18" s="26"/>
      <c r="H18" s="29"/>
      <c r="I18" s="41"/>
      <c r="J18" s="41"/>
      <c r="K18" s="28"/>
      <c r="L18" s="27"/>
      <c r="M18" s="68"/>
      <c r="N18" s="69"/>
      <c r="O18" s="28"/>
      <c r="P18" s="27"/>
      <c r="Q18" s="26"/>
      <c r="R18" s="29"/>
      <c r="S18" s="26"/>
      <c r="T18" s="29"/>
      <c r="U18" s="27"/>
      <c r="V18" s="27"/>
      <c r="W18" s="26"/>
      <c r="X18" s="29"/>
      <c r="Y18" s="27"/>
      <c r="Z18" s="27"/>
      <c r="AA18" s="26"/>
      <c r="AB18" s="29"/>
      <c r="AC18" s="22"/>
      <c r="AD18" s="22"/>
      <c r="AE18" s="25"/>
      <c r="AF18" s="56">
        <v>0.48699999999999999</v>
      </c>
      <c r="AG18" s="23"/>
      <c r="AH18" s="22"/>
      <c r="AI18" s="21"/>
      <c r="AJ18" s="24"/>
      <c r="AK18" s="21"/>
      <c r="AL18" s="57"/>
      <c r="AM18" s="53">
        <v>0.38900000000000001</v>
      </c>
      <c r="AN18" s="28"/>
      <c r="AO18" s="14"/>
      <c r="AP18" s="28"/>
      <c r="AQ18" s="54"/>
    </row>
    <row r="19" spans="1:43" x14ac:dyDescent="0.2">
      <c r="A19" s="32"/>
      <c r="B19" s="33"/>
      <c r="C19" s="26"/>
      <c r="D19" s="41"/>
      <c r="E19" s="26"/>
      <c r="F19" s="29"/>
      <c r="G19" s="26"/>
      <c r="H19" s="29"/>
      <c r="I19" s="41"/>
      <c r="J19" s="41"/>
      <c r="K19" s="28"/>
      <c r="L19" s="27"/>
      <c r="M19" s="68"/>
      <c r="N19" s="69"/>
      <c r="O19" s="28"/>
      <c r="P19" s="27"/>
      <c r="Q19" s="26"/>
      <c r="R19" s="29"/>
      <c r="S19" s="26"/>
      <c r="T19" s="29"/>
      <c r="U19" s="27"/>
      <c r="V19" s="27"/>
      <c r="W19" s="26"/>
      <c r="X19" s="29"/>
      <c r="Y19" s="27"/>
      <c r="Z19" s="27"/>
      <c r="AA19" s="26"/>
      <c r="AB19" s="29"/>
      <c r="AC19" s="22"/>
      <c r="AD19" s="22"/>
      <c r="AE19" s="25"/>
      <c r="AF19" s="53">
        <v>0.48799999999999999</v>
      </c>
      <c r="AG19" s="13"/>
      <c r="AH19" s="9"/>
      <c r="AI19" s="8"/>
      <c r="AJ19" s="14"/>
      <c r="AK19" s="28"/>
      <c r="AL19" s="54"/>
      <c r="AM19" s="53">
        <v>0.39200000000000002</v>
      </c>
      <c r="AN19" s="28"/>
      <c r="AO19" s="14"/>
      <c r="AP19" s="28"/>
      <c r="AQ19" s="54"/>
    </row>
    <row r="20" spans="1:43" x14ac:dyDescent="0.2">
      <c r="A20" s="32"/>
      <c r="B20" s="33"/>
      <c r="C20" s="26"/>
      <c r="D20" s="41"/>
      <c r="E20" s="26"/>
      <c r="F20" s="29"/>
      <c r="G20" s="26"/>
      <c r="H20" s="29"/>
      <c r="I20" s="41"/>
      <c r="J20" s="41"/>
      <c r="K20" s="28"/>
      <c r="L20" s="27"/>
      <c r="M20" s="68"/>
      <c r="N20" s="69"/>
      <c r="O20" s="28"/>
      <c r="P20" s="27"/>
      <c r="Q20" s="26"/>
      <c r="R20" s="29"/>
      <c r="S20" s="26"/>
      <c r="T20" s="29"/>
      <c r="U20" s="27"/>
      <c r="V20" s="27"/>
      <c r="W20" s="26"/>
      <c r="X20" s="29"/>
      <c r="Y20" s="27"/>
      <c r="Z20" s="27"/>
      <c r="AA20" s="26"/>
      <c r="AB20" s="29"/>
      <c r="AC20" s="22"/>
      <c r="AD20" s="22"/>
      <c r="AE20" s="25"/>
      <c r="AF20" s="53">
        <v>0.48799999999999999</v>
      </c>
      <c r="AG20" s="13"/>
      <c r="AH20" s="9"/>
      <c r="AI20" s="8"/>
      <c r="AJ20" s="14"/>
      <c r="AK20" s="28"/>
      <c r="AL20" s="54"/>
      <c r="AM20" s="53">
        <v>0.39400000000000002</v>
      </c>
      <c r="AN20" s="28"/>
      <c r="AO20" s="14"/>
      <c r="AP20" s="28"/>
      <c r="AQ20" s="54"/>
    </row>
    <row r="21" spans="1:43" x14ac:dyDescent="0.2">
      <c r="A21" s="32"/>
      <c r="B21" s="33"/>
      <c r="C21" s="26"/>
      <c r="D21" s="41"/>
      <c r="E21" s="26"/>
      <c r="F21" s="29"/>
      <c r="G21" s="26"/>
      <c r="H21" s="29"/>
      <c r="I21" s="41"/>
      <c r="J21" s="41"/>
      <c r="K21" s="28"/>
      <c r="L21" s="27"/>
      <c r="M21" s="68"/>
      <c r="N21" s="69"/>
      <c r="O21" s="28"/>
      <c r="P21" s="27"/>
      <c r="Q21" s="26"/>
      <c r="R21" s="29"/>
      <c r="S21" s="26"/>
      <c r="T21" s="29"/>
      <c r="U21" s="27"/>
      <c r="V21" s="27"/>
      <c r="W21" s="26"/>
      <c r="X21" s="29"/>
      <c r="Y21" s="27"/>
      <c r="Z21" s="27"/>
      <c r="AA21" s="26"/>
      <c r="AB21" s="29"/>
      <c r="AC21" s="22"/>
      <c r="AD21" s="22"/>
      <c r="AE21" s="25"/>
      <c r="AF21" s="53">
        <v>0.48799999999999999</v>
      </c>
      <c r="AG21" s="13"/>
      <c r="AH21" s="9"/>
      <c r="AI21" s="8"/>
      <c r="AJ21" s="14"/>
      <c r="AK21" s="28"/>
      <c r="AL21" s="54"/>
      <c r="AM21" s="53">
        <v>0.39700000000000002</v>
      </c>
      <c r="AN21" s="28"/>
      <c r="AO21" s="14"/>
      <c r="AP21" s="28"/>
      <c r="AQ21" s="54"/>
    </row>
    <row r="22" spans="1:43" x14ac:dyDescent="0.2">
      <c r="A22" s="32"/>
      <c r="B22" s="33"/>
      <c r="C22" s="26"/>
      <c r="D22" s="41"/>
      <c r="E22" s="26"/>
      <c r="F22" s="29"/>
      <c r="G22" s="26"/>
      <c r="H22" s="29"/>
      <c r="I22" s="41"/>
      <c r="J22" s="41"/>
      <c r="K22" s="28"/>
      <c r="L22" s="27"/>
      <c r="M22" s="68"/>
      <c r="N22" s="69"/>
      <c r="O22" s="28"/>
      <c r="P22" s="27"/>
      <c r="Q22" s="26"/>
      <c r="R22" s="29"/>
      <c r="S22" s="26"/>
      <c r="T22" s="29"/>
      <c r="U22" s="27"/>
      <c r="V22" s="27"/>
      <c r="W22" s="26"/>
      <c r="X22" s="29"/>
      <c r="Y22" s="27"/>
      <c r="Z22" s="27"/>
      <c r="AA22" s="26"/>
      <c r="AB22" s="29"/>
      <c r="AC22" s="22"/>
      <c r="AD22" s="22"/>
      <c r="AE22" s="25"/>
      <c r="AF22" s="53">
        <v>0.48799999999999999</v>
      </c>
      <c r="AG22" s="13"/>
      <c r="AH22" s="9"/>
      <c r="AI22" s="8"/>
      <c r="AJ22" s="14"/>
      <c r="AK22" s="28"/>
      <c r="AL22" s="54"/>
      <c r="AM22" s="53">
        <v>0.39900000000000002</v>
      </c>
      <c r="AN22" s="28"/>
      <c r="AO22" s="14"/>
      <c r="AP22" s="28"/>
      <c r="AQ22" s="54"/>
    </row>
    <row r="23" spans="1:43" x14ac:dyDescent="0.2">
      <c r="A23" s="32"/>
      <c r="B23" s="33"/>
      <c r="C23" s="26"/>
      <c r="D23" s="41"/>
      <c r="E23" s="26"/>
      <c r="F23" s="29"/>
      <c r="G23" s="26"/>
      <c r="H23" s="29"/>
      <c r="I23" s="41"/>
      <c r="J23" s="41"/>
      <c r="K23" s="28"/>
      <c r="L23" s="27"/>
      <c r="M23" s="68"/>
      <c r="N23" s="69"/>
      <c r="O23" s="28"/>
      <c r="P23" s="27"/>
      <c r="Q23" s="26"/>
      <c r="R23" s="29"/>
      <c r="S23" s="26"/>
      <c r="T23" s="29"/>
      <c r="U23" s="27"/>
      <c r="V23" s="27"/>
      <c r="W23" s="26"/>
      <c r="X23" s="29"/>
      <c r="Y23" s="27"/>
      <c r="Z23" s="27"/>
      <c r="AA23" s="26"/>
      <c r="AB23" s="29"/>
      <c r="AC23" s="22"/>
      <c r="AD23" s="22"/>
      <c r="AE23" s="25"/>
      <c r="AF23" s="53">
        <v>0.48899999999999999</v>
      </c>
      <c r="AG23" s="13"/>
      <c r="AH23" s="9"/>
      <c r="AI23" s="8"/>
      <c r="AJ23" s="14"/>
      <c r="AK23" s="28"/>
      <c r="AL23" s="54"/>
      <c r="AM23" s="53">
        <v>0.40200000000000002</v>
      </c>
      <c r="AN23" s="28"/>
      <c r="AO23" s="14"/>
      <c r="AP23" s="28"/>
      <c r="AQ23" s="54"/>
    </row>
    <row r="24" spans="1:43" x14ac:dyDescent="0.2">
      <c r="A24" s="32"/>
      <c r="B24" s="33"/>
      <c r="C24" s="26"/>
      <c r="D24" s="41"/>
      <c r="E24" s="26"/>
      <c r="F24" s="29"/>
      <c r="G24" s="26"/>
      <c r="H24" s="29"/>
      <c r="I24" s="41"/>
      <c r="J24" s="41"/>
      <c r="K24" s="28"/>
      <c r="L24" s="27"/>
      <c r="M24" s="68"/>
      <c r="N24" s="69"/>
      <c r="O24" s="28"/>
      <c r="P24" s="27"/>
      <c r="Q24" s="26"/>
      <c r="R24" s="29"/>
      <c r="S24" s="26"/>
      <c r="T24" s="29"/>
      <c r="U24" s="27"/>
      <c r="V24" s="27"/>
      <c r="W24" s="26"/>
      <c r="X24" s="29"/>
      <c r="Y24" s="27"/>
      <c r="Z24" s="27"/>
      <c r="AA24" s="26"/>
      <c r="AB24" s="29"/>
      <c r="AC24" s="22"/>
      <c r="AD24" s="22"/>
      <c r="AE24" s="25"/>
      <c r="AF24" s="53">
        <v>0.48899999999999999</v>
      </c>
      <c r="AG24" s="13"/>
      <c r="AH24" s="9"/>
      <c r="AI24" s="8"/>
      <c r="AJ24" s="14"/>
      <c r="AK24" s="28"/>
      <c r="AL24" s="54"/>
      <c r="AM24" s="53">
        <v>0.40400000000000003</v>
      </c>
      <c r="AN24" s="28"/>
      <c r="AO24" s="14"/>
      <c r="AP24" s="28"/>
      <c r="AQ24" s="54"/>
    </row>
    <row r="25" spans="1:43" x14ac:dyDescent="0.2">
      <c r="A25" s="32"/>
      <c r="B25" s="33"/>
      <c r="C25" s="26"/>
      <c r="D25" s="41"/>
      <c r="E25" s="26"/>
      <c r="F25" s="29"/>
      <c r="G25" s="26"/>
      <c r="H25" s="29"/>
      <c r="I25" s="41"/>
      <c r="J25" s="41"/>
      <c r="K25" s="28"/>
      <c r="L25" s="27"/>
      <c r="M25" s="68"/>
      <c r="N25" s="69"/>
      <c r="O25" s="28"/>
      <c r="P25" s="27"/>
      <c r="Q25" s="26"/>
      <c r="R25" s="29"/>
      <c r="S25" s="26"/>
      <c r="T25" s="29"/>
      <c r="U25" s="27"/>
      <c r="V25" s="27"/>
      <c r="W25" s="26"/>
      <c r="X25" s="29"/>
      <c r="Y25" s="27"/>
      <c r="Z25" s="27"/>
      <c r="AA25" s="26"/>
      <c r="AB25" s="29"/>
      <c r="AC25" s="22"/>
      <c r="AD25" s="22"/>
      <c r="AE25" s="25"/>
      <c r="AF25" s="58">
        <v>0.48899999999999999</v>
      </c>
      <c r="AG25" s="35"/>
      <c r="AH25" s="34"/>
      <c r="AI25" s="30"/>
      <c r="AJ25" s="31"/>
      <c r="AK25" s="28"/>
      <c r="AL25" s="54"/>
      <c r="AM25" s="53">
        <v>0.40600000000000003</v>
      </c>
      <c r="AN25" s="28"/>
      <c r="AO25" s="14"/>
      <c r="AP25" s="28"/>
      <c r="AQ25" s="54"/>
    </row>
    <row r="26" spans="1:43" x14ac:dyDescent="0.2">
      <c r="A26" s="32"/>
      <c r="B26" s="33"/>
      <c r="C26" s="26"/>
      <c r="D26" s="41"/>
      <c r="E26" s="26"/>
      <c r="F26" s="29"/>
      <c r="G26" s="26"/>
      <c r="H26" s="29"/>
      <c r="I26" s="41"/>
      <c r="J26" s="41"/>
      <c r="K26" s="28"/>
      <c r="L26" s="27"/>
      <c r="M26" s="68"/>
      <c r="N26" s="69"/>
      <c r="O26" s="28"/>
      <c r="P26" s="27"/>
      <c r="Q26" s="26"/>
      <c r="R26" s="29"/>
      <c r="S26" s="26"/>
      <c r="T26" s="29"/>
      <c r="U26" s="27"/>
      <c r="V26" s="27"/>
      <c r="W26" s="26"/>
      <c r="X26" s="29"/>
      <c r="Y26" s="27"/>
      <c r="Z26" s="27"/>
      <c r="AA26" s="26"/>
      <c r="AB26" s="29"/>
      <c r="AC26" s="22"/>
      <c r="AD26" s="22"/>
      <c r="AE26" s="25"/>
      <c r="AF26" s="53">
        <v>0.48899999999999999</v>
      </c>
      <c r="AG26" s="13"/>
      <c r="AH26" s="9"/>
      <c r="AI26" s="8"/>
      <c r="AJ26" s="14"/>
      <c r="AK26" s="28"/>
      <c r="AL26" s="54"/>
      <c r="AM26" s="53">
        <v>0.40799999999999997</v>
      </c>
      <c r="AN26" s="28"/>
      <c r="AO26" s="14"/>
      <c r="AP26" s="28"/>
      <c r="AQ26" s="54"/>
    </row>
    <row r="27" spans="1:43" x14ac:dyDescent="0.2">
      <c r="A27" s="32"/>
      <c r="B27" s="33"/>
      <c r="C27" s="26"/>
      <c r="D27" s="41"/>
      <c r="E27" s="26"/>
      <c r="F27" s="29"/>
      <c r="G27" s="26"/>
      <c r="H27" s="29"/>
      <c r="I27" s="41"/>
      <c r="J27" s="41"/>
      <c r="K27" s="28"/>
      <c r="L27" s="27"/>
      <c r="M27" s="68"/>
      <c r="N27" s="69"/>
      <c r="O27" s="28"/>
      <c r="P27" s="27"/>
      <c r="Q27" s="26"/>
      <c r="R27" s="29"/>
      <c r="S27" s="26"/>
      <c r="T27" s="29"/>
      <c r="U27" s="27"/>
      <c r="V27" s="27"/>
      <c r="W27" s="26"/>
      <c r="X27" s="29"/>
      <c r="Y27" s="27"/>
      <c r="Z27" s="27"/>
      <c r="AA27" s="26"/>
      <c r="AB27" s="29"/>
      <c r="AC27" s="22"/>
      <c r="AD27" s="22"/>
      <c r="AE27" s="25"/>
      <c r="AF27" s="53">
        <v>0.48899999999999999</v>
      </c>
      <c r="AG27" s="13"/>
      <c r="AH27" s="9"/>
      <c r="AI27" s="8"/>
      <c r="AJ27" s="14"/>
      <c r="AK27" s="28"/>
      <c r="AL27" s="54"/>
      <c r="AM27" s="53">
        <v>0.41</v>
      </c>
      <c r="AN27" s="28"/>
      <c r="AO27" s="14"/>
      <c r="AP27" s="28"/>
      <c r="AQ27" s="54"/>
    </row>
    <row r="28" spans="1:43" x14ac:dyDescent="0.2">
      <c r="A28" s="32"/>
      <c r="B28" s="33"/>
      <c r="C28" s="26"/>
      <c r="D28" s="41"/>
      <c r="E28" s="26"/>
      <c r="F28" s="29"/>
      <c r="G28" s="26"/>
      <c r="H28" s="29"/>
      <c r="I28" s="41"/>
      <c r="J28" s="41"/>
      <c r="K28" s="28"/>
      <c r="L28" s="27"/>
      <c r="M28" s="68"/>
      <c r="N28" s="69"/>
      <c r="O28" s="28"/>
      <c r="P28" s="27"/>
      <c r="Q28" s="26"/>
      <c r="R28" s="29"/>
      <c r="S28" s="26"/>
      <c r="T28" s="29"/>
      <c r="U28" s="27"/>
      <c r="V28" s="27"/>
      <c r="W28" s="26"/>
      <c r="X28" s="29"/>
      <c r="Y28" s="27"/>
      <c r="Z28" s="27"/>
      <c r="AA28" s="26"/>
      <c r="AB28" s="29"/>
      <c r="AC28" s="22"/>
      <c r="AD28" s="22"/>
      <c r="AE28" s="25"/>
      <c r="AF28" s="53">
        <v>0.49</v>
      </c>
      <c r="AG28" s="13"/>
      <c r="AH28" s="9"/>
      <c r="AI28" s="8"/>
      <c r="AJ28" s="14"/>
      <c r="AK28" s="28"/>
      <c r="AL28" s="54"/>
      <c r="AM28" s="53">
        <v>0.41199999999999998</v>
      </c>
      <c r="AN28" s="28"/>
      <c r="AO28" s="14"/>
      <c r="AP28" s="28"/>
      <c r="AQ28" s="54"/>
    </row>
    <row r="29" spans="1:43" x14ac:dyDescent="0.2">
      <c r="A29" s="32"/>
      <c r="B29" s="33"/>
      <c r="C29" s="26"/>
      <c r="D29" s="41"/>
      <c r="E29" s="26"/>
      <c r="F29" s="29"/>
      <c r="G29" s="26"/>
      <c r="H29" s="29"/>
      <c r="I29" s="41"/>
      <c r="J29" s="41"/>
      <c r="K29" s="28"/>
      <c r="L29" s="27"/>
      <c r="M29" s="68"/>
      <c r="N29" s="69"/>
      <c r="O29" s="28"/>
      <c r="P29" s="27"/>
      <c r="Q29" s="26"/>
      <c r="R29" s="29"/>
      <c r="S29" s="26"/>
      <c r="T29" s="29"/>
      <c r="U29" s="27"/>
      <c r="V29" s="27"/>
      <c r="W29" s="26"/>
      <c r="X29" s="29"/>
      <c r="Y29" s="27"/>
      <c r="Z29" s="27"/>
      <c r="AA29" s="26"/>
      <c r="AB29" s="29"/>
      <c r="AC29" s="22"/>
      <c r="AD29" s="22"/>
      <c r="AE29" s="25"/>
      <c r="AF29" s="53">
        <v>0.49</v>
      </c>
      <c r="AG29" s="13"/>
      <c r="AH29" s="9"/>
      <c r="AI29" s="8"/>
      <c r="AJ29" s="14"/>
      <c r="AK29" s="28"/>
      <c r="AL29" s="54"/>
      <c r="AM29" s="53">
        <v>0.41399999999999998</v>
      </c>
      <c r="AN29" s="28"/>
      <c r="AO29" s="14"/>
      <c r="AP29" s="28"/>
      <c r="AQ29" s="54"/>
    </row>
    <row r="30" spans="1:43" x14ac:dyDescent="0.2">
      <c r="A30" s="32"/>
      <c r="B30" s="33"/>
      <c r="C30" s="26"/>
      <c r="D30" s="41"/>
      <c r="E30" s="26"/>
      <c r="F30" s="29"/>
      <c r="G30" s="26"/>
      <c r="H30" s="29"/>
      <c r="I30" s="41"/>
      <c r="J30" s="41"/>
      <c r="K30" s="28"/>
      <c r="L30" s="27"/>
      <c r="M30" s="68"/>
      <c r="N30" s="69"/>
      <c r="O30" s="28"/>
      <c r="P30" s="27"/>
      <c r="Q30" s="26"/>
      <c r="R30" s="29"/>
      <c r="S30" s="26"/>
      <c r="T30" s="29"/>
      <c r="U30" s="27"/>
      <c r="V30" s="27"/>
      <c r="W30" s="26"/>
      <c r="X30" s="29"/>
      <c r="Y30" s="27"/>
      <c r="Z30" s="27"/>
      <c r="AA30" s="26"/>
      <c r="AB30" s="29"/>
      <c r="AC30" s="22"/>
      <c r="AD30" s="22"/>
      <c r="AE30" s="25"/>
      <c r="AF30" s="53">
        <v>0.49</v>
      </c>
      <c r="AG30" s="13"/>
      <c r="AH30" s="9"/>
      <c r="AI30" s="8"/>
      <c r="AJ30" s="14"/>
      <c r="AK30" s="28"/>
      <c r="AL30" s="54"/>
      <c r="AM30" s="53">
        <v>0.41599999999999998</v>
      </c>
      <c r="AN30" s="28"/>
      <c r="AO30" s="14"/>
      <c r="AP30" s="28"/>
      <c r="AQ30" s="54"/>
    </row>
    <row r="31" spans="1:43" x14ac:dyDescent="0.2">
      <c r="AF31" s="59"/>
      <c r="AG31" s="2"/>
      <c r="AH31" s="2"/>
      <c r="AI31" s="2"/>
      <c r="AJ31" s="2"/>
      <c r="AK31" s="2"/>
      <c r="AL31" s="60"/>
      <c r="AM31" s="59"/>
      <c r="AN31" s="2"/>
      <c r="AO31" s="2"/>
      <c r="AP31" s="2"/>
      <c r="AQ31" s="60"/>
    </row>
    <row r="32" spans="1:43" x14ac:dyDescent="0.2">
      <c r="AF32" s="59"/>
      <c r="AG32" s="2"/>
      <c r="AH32" s="2"/>
      <c r="AI32" s="2"/>
      <c r="AJ32" s="2"/>
      <c r="AK32" s="2"/>
      <c r="AL32" s="60"/>
      <c r="AM32" s="59"/>
      <c r="AN32" s="2"/>
      <c r="AO32" s="2"/>
      <c r="AP32" s="2"/>
      <c r="AQ32" s="60"/>
    </row>
    <row r="33" spans="32:43" x14ac:dyDescent="0.2">
      <c r="AF33" s="59"/>
      <c r="AG33" s="2"/>
      <c r="AH33" s="2"/>
      <c r="AI33" s="2"/>
      <c r="AJ33" s="2"/>
      <c r="AK33" s="2"/>
      <c r="AL33" s="60"/>
      <c r="AM33" s="59"/>
      <c r="AN33" s="2"/>
      <c r="AO33" s="2"/>
      <c r="AP33" s="2"/>
      <c r="AQ33" s="60"/>
    </row>
    <row r="34" spans="32:43" x14ac:dyDescent="0.2">
      <c r="AF34" s="59"/>
      <c r="AG34" s="2"/>
      <c r="AH34" s="2"/>
      <c r="AI34" s="2"/>
      <c r="AJ34" s="2"/>
      <c r="AK34" s="2"/>
      <c r="AL34" s="60"/>
      <c r="AM34" s="59"/>
      <c r="AN34" s="2"/>
      <c r="AO34" s="2"/>
      <c r="AP34" s="2"/>
      <c r="AQ34" s="60"/>
    </row>
    <row r="35" spans="32:43" x14ac:dyDescent="0.2">
      <c r="AF35" s="59"/>
      <c r="AG35" s="2"/>
      <c r="AH35" s="2"/>
      <c r="AI35" s="2"/>
      <c r="AJ35" s="2"/>
      <c r="AK35" s="2"/>
      <c r="AL35" s="60"/>
      <c r="AM35" s="59"/>
      <c r="AN35" s="2"/>
      <c r="AO35" s="2"/>
      <c r="AP35" s="2"/>
      <c r="AQ35" s="60"/>
    </row>
    <row r="36" spans="32:43" x14ac:dyDescent="0.2">
      <c r="AF36" s="59"/>
      <c r="AG36" s="2"/>
      <c r="AH36" s="2"/>
      <c r="AI36" s="2"/>
      <c r="AJ36" s="2"/>
      <c r="AK36" s="2"/>
      <c r="AL36" s="60"/>
      <c r="AM36" s="59"/>
      <c r="AN36" s="2"/>
      <c r="AO36" s="2"/>
      <c r="AP36" s="2"/>
      <c r="AQ36" s="60"/>
    </row>
    <row r="37" spans="32:43" x14ac:dyDescent="0.2">
      <c r="AF37" s="59"/>
      <c r="AG37" s="2"/>
      <c r="AH37" s="2"/>
      <c r="AI37" s="2"/>
      <c r="AJ37" s="2"/>
      <c r="AK37" s="2"/>
      <c r="AL37" s="60"/>
      <c r="AM37" s="59"/>
      <c r="AN37" s="2"/>
      <c r="AO37" s="2"/>
      <c r="AP37" s="2"/>
      <c r="AQ37" s="60"/>
    </row>
  </sheetData>
  <mergeCells count="22">
    <mergeCell ref="AC2:AD2"/>
    <mergeCell ref="AG2:AH2"/>
    <mergeCell ref="AI2:AJ2"/>
    <mergeCell ref="AK2:AL2"/>
    <mergeCell ref="AN2:AO2"/>
    <mergeCell ref="AP2:AQ2"/>
    <mergeCell ref="Q2:R2"/>
    <mergeCell ref="S2:T2"/>
    <mergeCell ref="U2:V2"/>
    <mergeCell ref="W2:X2"/>
    <mergeCell ref="Y2:Z2"/>
    <mergeCell ref="AA2:AB2"/>
    <mergeCell ref="AF1:AL1"/>
    <mergeCell ref="AM1:AQ1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AABA-B1B9-4548-A34C-6122B4A88C2C}">
  <dimension ref="A1:F7"/>
  <sheetViews>
    <sheetView workbookViewId="0">
      <selection activeCell="B5" sqref="B5"/>
    </sheetView>
  </sheetViews>
  <sheetFormatPr baseColWidth="10" defaultRowHeight="16" x14ac:dyDescent="0.2"/>
  <cols>
    <col min="1" max="1" width="16.5" customWidth="1"/>
    <col min="3" max="3" width="20.5" customWidth="1"/>
    <col min="6" max="6" width="13.83203125" customWidth="1"/>
  </cols>
  <sheetData>
    <row r="1" spans="1:6" x14ac:dyDescent="0.2">
      <c r="A1" t="s">
        <v>15</v>
      </c>
      <c r="B1">
        <v>1136</v>
      </c>
      <c r="C1" t="s">
        <v>22</v>
      </c>
    </row>
    <row r="2" spans="1:6" x14ac:dyDescent="0.2">
      <c r="A2" t="s">
        <v>16</v>
      </c>
      <c r="B2" s="16">
        <v>0.08</v>
      </c>
      <c r="C2" t="s">
        <v>17</v>
      </c>
      <c r="F2" t="s">
        <v>25</v>
      </c>
    </row>
    <row r="3" spans="1:6" x14ac:dyDescent="0.2">
      <c r="A3" t="s">
        <v>18</v>
      </c>
      <c r="B3" s="16">
        <v>0.121</v>
      </c>
      <c r="F3" t="s">
        <v>25</v>
      </c>
    </row>
    <row r="4" spans="1:6" x14ac:dyDescent="0.2">
      <c r="A4" t="s">
        <v>19</v>
      </c>
      <c r="B4" s="16">
        <v>0.15</v>
      </c>
      <c r="C4" t="s">
        <v>21</v>
      </c>
      <c r="D4">
        <v>552500</v>
      </c>
      <c r="E4" t="s">
        <v>1</v>
      </c>
      <c r="F4" t="s">
        <v>25</v>
      </c>
    </row>
    <row r="5" spans="1:6" x14ac:dyDescent="0.2">
      <c r="A5" t="s">
        <v>20</v>
      </c>
      <c r="B5" s="16">
        <v>0.23799999999999999</v>
      </c>
      <c r="F5" t="s">
        <v>26</v>
      </c>
    </row>
    <row r="6" spans="1:6" x14ac:dyDescent="0.2">
      <c r="B6" s="16"/>
    </row>
    <row r="7" spans="1:6" x14ac:dyDescent="0.2">
      <c r="B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5C30-6653-A74D-80F2-D7355A4E9AE9}">
  <dimension ref="A1:H3"/>
  <sheetViews>
    <sheetView workbookViewId="0">
      <selection activeCell="C4" sqref="C4"/>
    </sheetView>
  </sheetViews>
  <sheetFormatPr baseColWidth="10" defaultRowHeight="16" x14ac:dyDescent="0.2"/>
  <cols>
    <col min="1" max="1" width="21.1640625" customWidth="1"/>
    <col min="3" max="3" width="17.83203125" customWidth="1"/>
  </cols>
  <sheetData>
    <row r="1" spans="1:8" x14ac:dyDescent="0.2">
      <c r="A1" t="s">
        <v>35</v>
      </c>
      <c r="B1">
        <v>46600</v>
      </c>
      <c r="C1" t="s">
        <v>1</v>
      </c>
    </row>
    <row r="2" spans="1:8" ht="28" customHeight="1" x14ac:dyDescent="0.2">
      <c r="A2" t="s">
        <v>23</v>
      </c>
      <c r="B2" s="16">
        <v>0.106</v>
      </c>
      <c r="C2" s="1" t="s">
        <v>36</v>
      </c>
      <c r="D2" t="s">
        <v>37</v>
      </c>
      <c r="E2">
        <v>41600</v>
      </c>
      <c r="F2" t="s">
        <v>1</v>
      </c>
    </row>
    <row r="3" spans="1:8" x14ac:dyDescent="0.2">
      <c r="A3" t="s">
        <v>24</v>
      </c>
      <c r="B3" s="16">
        <v>4.4999999999999998E-2</v>
      </c>
      <c r="C3" t="s">
        <v>36</v>
      </c>
      <c r="D3" t="s">
        <v>37</v>
      </c>
      <c r="E3">
        <v>2700</v>
      </c>
      <c r="F3" t="s">
        <v>1</v>
      </c>
      <c r="G3" t="s">
        <v>38</v>
      </c>
      <c r="H3">
        <v>202700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income</vt:lpstr>
      <vt:lpstr>Offer evaluation</vt:lpstr>
      <vt:lpstr>Taxes</vt:lpstr>
      <vt:lpstr>Deductions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2022-10-27T08:19:45Z</dcterms:created>
  <dcterms:modified xsi:type="dcterms:W3CDTF">2022-11-02T09:52:09Z</dcterms:modified>
</cp:coreProperties>
</file>