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" i="1" l="1"/>
  <c r="E45" i="1"/>
  <c r="I49" i="1"/>
  <c r="H49" i="1"/>
  <c r="E33" i="1"/>
  <c r="E27" i="1"/>
  <c r="E18" i="1"/>
  <c r="E15" i="1"/>
  <c r="E14" i="1"/>
  <c r="E13" i="1"/>
  <c r="E34" i="1"/>
  <c r="F32" i="1"/>
  <c r="H50" i="1" l="1"/>
  <c r="G45" i="1"/>
  <c r="G34" i="1"/>
  <c r="G35" i="1"/>
  <c r="G33" i="1"/>
  <c r="I33" i="1" s="1"/>
  <c r="G32" i="1"/>
  <c r="I46" i="1"/>
  <c r="F42" i="1"/>
  <c r="F41" i="1"/>
  <c r="G42" i="1"/>
  <c r="I42" i="1" s="1"/>
  <c r="I38" i="1"/>
  <c r="I37" i="1"/>
  <c r="F39" i="1"/>
  <c r="F9" i="1"/>
  <c r="F10" i="1"/>
  <c r="G10" i="1" s="1"/>
  <c r="H19" i="1"/>
  <c r="I43" i="1"/>
  <c r="J19" i="1"/>
  <c r="I19" i="1"/>
  <c r="F11" i="1"/>
  <c r="F38" i="1"/>
  <c r="F37" i="1"/>
  <c r="E43" i="1"/>
  <c r="F17" i="1"/>
  <c r="G16" i="1"/>
  <c r="E17" i="1"/>
  <c r="F18" i="1"/>
  <c r="F16" i="1"/>
  <c r="F13" i="1"/>
  <c r="F14" i="1"/>
  <c r="G31" i="1" l="1"/>
  <c r="I32" i="1"/>
  <c r="J31" i="1" l="1"/>
  <c r="F15" i="1" l="1"/>
  <c r="G15" i="1" s="1"/>
  <c r="G44" i="1"/>
  <c r="G46" i="1"/>
  <c r="G26" i="1"/>
  <c r="G27" i="1"/>
  <c r="G30" i="1"/>
  <c r="G29" i="1"/>
  <c r="G28" i="1"/>
  <c r="G39" i="1"/>
  <c r="G38" i="1"/>
  <c r="G37" i="1"/>
  <c r="F43" i="1"/>
  <c r="F23" i="1"/>
  <c r="G23" i="1" s="1"/>
  <c r="F22" i="1"/>
  <c r="G22" i="1" s="1"/>
  <c r="F21" i="1"/>
  <c r="G21" i="1" s="1"/>
  <c r="F20" i="1"/>
  <c r="G20" i="1" s="1"/>
  <c r="G11" i="1"/>
  <c r="E9" i="1"/>
  <c r="E47" i="1"/>
  <c r="G47" i="1" s="1"/>
  <c r="I47" i="1" s="1"/>
  <c r="G24" i="1"/>
  <c r="G17" i="1"/>
  <c r="G7" i="1"/>
  <c r="G6" i="1"/>
  <c r="G25" i="1" l="1"/>
  <c r="J25" i="1" s="1"/>
  <c r="G36" i="1"/>
  <c r="J36" i="1" s="1"/>
  <c r="G5" i="1"/>
  <c r="G13" i="1"/>
  <c r="G18" i="1"/>
  <c r="G43" i="1"/>
  <c r="G41" i="1"/>
  <c r="G9" i="1"/>
  <c r="G8" i="1" s="1"/>
  <c r="G19" i="1"/>
  <c r="I8" i="1" l="1"/>
  <c r="H8" i="1"/>
  <c r="J8" i="1"/>
  <c r="G40" i="1"/>
  <c r="H41" i="1"/>
  <c r="I41" i="1"/>
  <c r="G12" i="1"/>
  <c r="H18" i="2"/>
  <c r="H17" i="2"/>
  <c r="H16" i="2"/>
  <c r="H15" i="2"/>
  <c r="H14" i="2"/>
  <c r="H13" i="2"/>
  <c r="H12" i="2"/>
  <c r="H11" i="2"/>
  <c r="H10" i="2"/>
  <c r="G9" i="2"/>
  <c r="H9" i="2" s="1"/>
  <c r="G8" i="2"/>
  <c r="H8" i="2" s="1"/>
  <c r="G7" i="2"/>
  <c r="H7" i="2" s="1"/>
  <c r="F7" i="2"/>
  <c r="H6" i="2"/>
  <c r="H5" i="2"/>
  <c r="J12" i="1" l="1"/>
  <c r="I12" i="1"/>
  <c r="I48" i="1" s="1"/>
  <c r="I50" i="1" s="1"/>
  <c r="I51" i="1" s="1"/>
  <c r="J40" i="1"/>
  <c r="G48" i="1"/>
  <c r="H48" i="1"/>
  <c r="H51" i="1" s="1"/>
  <c r="J48" i="1" l="1"/>
  <c r="J49" i="1" l="1"/>
  <c r="J50" i="1" s="1"/>
  <c r="J51" i="1" s="1"/>
</calcChain>
</file>

<file path=xl/sharedStrings.xml><?xml version="1.0" encoding="utf-8"?>
<sst xmlns="http://schemas.openxmlformats.org/spreadsheetml/2006/main" count="130" uniqueCount="75">
  <si>
    <t>Capitol</t>
  </si>
  <si>
    <t>Componenta</t>
  </si>
  <si>
    <t>Accesorizare</t>
  </si>
  <si>
    <t>Cantitate</t>
  </si>
  <si>
    <t>pret unitar</t>
  </si>
  <si>
    <t>UM</t>
  </si>
  <si>
    <t>Structura</t>
  </si>
  <si>
    <t>Proiectare</t>
  </si>
  <si>
    <t>Arhitectura</t>
  </si>
  <si>
    <t>buc</t>
  </si>
  <si>
    <t>Materiale structura</t>
  </si>
  <si>
    <t>Structura pereti si acoperis</t>
  </si>
  <si>
    <t>Pardoseala</t>
  </si>
  <si>
    <t>Materiale acoperis</t>
  </si>
  <si>
    <t>Lambriu metalic</t>
  </si>
  <si>
    <t>Tabla sinus</t>
  </si>
  <si>
    <t>Casete fatada</t>
  </si>
  <si>
    <t>Folie anticondens</t>
  </si>
  <si>
    <t>suruburi</t>
  </si>
  <si>
    <t>flashinguri</t>
  </si>
  <si>
    <t>ml</t>
  </si>
  <si>
    <t>cut</t>
  </si>
  <si>
    <t>mp</t>
  </si>
  <si>
    <t>m</t>
  </si>
  <si>
    <t>panouri sandwich 40mm</t>
  </si>
  <si>
    <t>Materiale inchideri exterioare</t>
  </si>
  <si>
    <t>Kit 1</t>
  </si>
  <si>
    <t>Kit 2</t>
  </si>
  <si>
    <t>Kit 3</t>
  </si>
  <si>
    <t>kg</t>
  </si>
  <si>
    <t>Tigla Alpin 3D, Mat, 0.45</t>
  </si>
  <si>
    <t>Valoare</t>
  </si>
  <si>
    <t>Materiale inchideri pereti</t>
  </si>
  <si>
    <t>Tabla sinus 18*0.5 PE 25μm (alternativa)</t>
  </si>
  <si>
    <t xml:space="preserve">Manopera montaj </t>
  </si>
  <si>
    <t>Nu sunt incluse:</t>
  </si>
  <si>
    <t>Proiectare (Arhitectura + structura)</t>
  </si>
  <si>
    <t>Placa beton &amp; Pardoseala (C+M)</t>
  </si>
  <si>
    <t>Tigla metalica Alpin, mat, 0.45</t>
  </si>
  <si>
    <t>El. Tinichigerie</t>
  </si>
  <si>
    <t>Accesorii etansare-fixare</t>
  </si>
  <si>
    <t>Sistem pluvial</t>
  </si>
  <si>
    <t>Tamplarie</t>
  </si>
  <si>
    <t>Instalatii electrice</t>
  </si>
  <si>
    <t>Cablu CYY 3*2.5</t>
  </si>
  <si>
    <t>Tablou el. 4 module</t>
  </si>
  <si>
    <t>Intrerupator, cu doza</t>
  </si>
  <si>
    <t>Priza dubla, cu doza</t>
  </si>
  <si>
    <t>Lambriu</t>
  </si>
  <si>
    <t>Total ron cu TVA</t>
  </si>
  <si>
    <t>Total euro cu TVA</t>
  </si>
  <si>
    <t>Inchideri (casete, lambriu, flashinguri)</t>
  </si>
  <si>
    <t>Usa metalica 202*88</t>
  </si>
  <si>
    <t>Geam termopan 86*116, dubla deschidere</t>
  </si>
  <si>
    <t>Stalpi exteriori, teava 80*80*3</t>
  </si>
  <si>
    <t>Montaj cadre in fabrica</t>
  </si>
  <si>
    <t>Asamblare cadre la client</t>
  </si>
  <si>
    <t>KIT 1</t>
  </si>
  <si>
    <t>KIT 2</t>
  </si>
  <si>
    <t>KIT 3</t>
  </si>
  <si>
    <t>Geam Velux GZL CK02, 55*78, Rama EDW-0000</t>
  </si>
  <si>
    <t>Tencuieli usoare si varuri</t>
  </si>
  <si>
    <t>Montaj izolatie si finisaje interioare</t>
  </si>
  <si>
    <t>Folie bariera vapori</t>
  </si>
  <si>
    <t>Izolatii, inchideri si finisaje interioare</t>
  </si>
  <si>
    <t>Montaj tamplarie</t>
  </si>
  <si>
    <t>Montaj acoperis</t>
  </si>
  <si>
    <t>Marje suplimentara, ron fara TVA</t>
  </si>
  <si>
    <t>Plafoniera</t>
  </si>
  <si>
    <t>Izolatie vata bazaltica semirigida 50</t>
  </si>
  <si>
    <t>Flashinguri</t>
  </si>
  <si>
    <t>Gips carton, pereti+acoperis</t>
  </si>
  <si>
    <t>Antecalculatie casuta 3.2x3.8 mp</t>
  </si>
  <si>
    <t>Total costuri - ron fara TVA</t>
  </si>
  <si>
    <t>Casete fatada, mat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</si>
</sst>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1" fillId="0" borderId="8" xfId="0" applyFont="1" applyBorder="1"/>
    <xf numFmtId="0" fontId="0" fillId="0" borderId="14" xfId="0" applyFont="1" applyBorder="1"/>
    <xf numFmtId="2" fontId="0" fillId="0" borderId="14" xfId="0" applyNumberFormat="1" applyFon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0" fontId="1" fillId="0" borderId="18" xfId="0" applyFont="1" applyBorder="1"/>
    <xf numFmtId="0" fontId="0" fillId="0" borderId="20" xfId="0" applyBorder="1"/>
    <xf numFmtId="0" fontId="0" fillId="0" borderId="14" xfId="0" applyBorder="1"/>
    <xf numFmtId="2" fontId="0" fillId="0" borderId="14" xfId="0" applyNumberFormat="1" applyBorder="1"/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0" fillId="0" borderId="11" xfId="0" applyFont="1" applyBorder="1"/>
    <xf numFmtId="0" fontId="0" fillId="0" borderId="26" xfId="0" applyBorder="1"/>
    <xf numFmtId="4" fontId="1" fillId="0" borderId="7" xfId="0" applyNumberFormat="1" applyFont="1" applyBorder="1"/>
    <xf numFmtId="4" fontId="0" fillId="0" borderId="7" xfId="0" applyNumberFormat="1" applyBorder="1"/>
    <xf numFmtId="4" fontId="0" fillId="0" borderId="12" xfId="0" applyNumberFormat="1" applyBorder="1"/>
    <xf numFmtId="4" fontId="1" fillId="0" borderId="13" xfId="0" applyNumberFormat="1" applyFont="1" applyBorder="1"/>
    <xf numFmtId="4" fontId="0" fillId="0" borderId="19" xfId="0" applyNumberFormat="1" applyFont="1" applyBorder="1"/>
    <xf numFmtId="4" fontId="0" fillId="0" borderId="19" xfId="0" applyNumberFormat="1" applyBorder="1"/>
    <xf numFmtId="4" fontId="0" fillId="0" borderId="27" xfId="0" applyNumberFormat="1" applyBorder="1"/>
    <xf numFmtId="4" fontId="0" fillId="0" borderId="17" xfId="0" applyNumberFormat="1" applyBorder="1"/>
    <xf numFmtId="4" fontId="1" fillId="0" borderId="3" xfId="0" applyNumberFormat="1" applyFont="1" applyBorder="1"/>
    <xf numFmtId="4" fontId="0" fillId="0" borderId="29" xfId="0" applyNumberFormat="1" applyFont="1" applyBorder="1" applyAlignment="1">
      <alignment horizontal="center" vertical="center"/>
    </xf>
    <xf numFmtId="4" fontId="0" fillId="0" borderId="30" xfId="0" applyNumberFormat="1" applyFont="1" applyBorder="1" applyAlignment="1">
      <alignment horizontal="center" vertical="center"/>
    </xf>
    <xf numFmtId="4" fontId="0" fillId="0" borderId="30" xfId="0" applyNumberFormat="1" applyFont="1" applyBorder="1" applyAlignment="1">
      <alignment vertical="center"/>
    </xf>
    <xf numFmtId="4" fontId="0" fillId="0" borderId="31" xfId="0" applyNumberFormat="1" applyFont="1" applyBorder="1" applyAlignment="1">
      <alignment vertical="center"/>
    </xf>
    <xf numFmtId="4" fontId="0" fillId="0" borderId="32" xfId="0" applyNumberFormat="1" applyFont="1" applyBorder="1" applyAlignment="1">
      <alignment horizontal="center" vertical="center"/>
    </xf>
    <xf numFmtId="4" fontId="0" fillId="0" borderId="33" xfId="0" applyNumberFormat="1" applyFont="1" applyBorder="1" applyAlignment="1">
      <alignment vertical="center"/>
    </xf>
    <xf numFmtId="4" fontId="0" fillId="0" borderId="24" xfId="0" applyNumberFormat="1" applyFont="1" applyBorder="1" applyAlignment="1">
      <alignment horizontal="center" vertical="center"/>
    </xf>
    <xf numFmtId="4" fontId="0" fillId="0" borderId="34" xfId="0" applyNumberFormat="1" applyFont="1" applyBorder="1" applyAlignment="1">
      <alignment vertical="center"/>
    </xf>
    <xf numFmtId="4" fontId="0" fillId="0" borderId="24" xfId="0" applyNumberFormat="1" applyFont="1" applyBorder="1" applyAlignment="1">
      <alignment vertical="center"/>
    </xf>
    <xf numFmtId="4" fontId="0" fillId="0" borderId="35" xfId="0" applyNumberFormat="1" applyFont="1" applyBorder="1" applyAlignment="1">
      <alignment vertical="center"/>
    </xf>
    <xf numFmtId="4" fontId="0" fillId="0" borderId="36" xfId="0" applyNumberFormat="1" applyFont="1" applyBorder="1" applyAlignment="1">
      <alignment vertical="center"/>
    </xf>
    <xf numFmtId="4" fontId="0" fillId="0" borderId="35" xfId="0" applyNumberFormat="1" applyFont="1" applyBorder="1" applyAlignment="1">
      <alignment horizontal="center" vertical="center"/>
    </xf>
    <xf numFmtId="4" fontId="0" fillId="0" borderId="31" xfId="0" applyNumberFormat="1" applyFont="1" applyBorder="1" applyAlignment="1">
      <alignment horizontal="center" vertical="center"/>
    </xf>
    <xf numFmtId="4" fontId="0" fillId="0" borderId="32" xfId="0" applyNumberFormat="1" applyFont="1" applyBorder="1" applyAlignment="1">
      <alignment vertical="center"/>
    </xf>
    <xf numFmtId="4" fontId="0" fillId="0" borderId="29" xfId="0" applyNumberFormat="1" applyFont="1" applyBorder="1" applyAlignment="1">
      <alignment vertical="center"/>
    </xf>
    <xf numFmtId="4" fontId="1" fillId="0" borderId="21" xfId="0" applyNumberFormat="1" applyFont="1" applyBorder="1" applyAlignment="1">
      <alignment vertical="center"/>
    </xf>
    <xf numFmtId="4" fontId="1" fillId="0" borderId="25" xfId="0" applyNumberFormat="1" applyFont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4" fontId="1" fillId="0" borderId="22" xfId="0" applyNumberFormat="1" applyFont="1" applyBorder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tabSelected="1" workbookViewId="0">
      <selection activeCell="G42" sqref="G42"/>
    </sheetView>
  </sheetViews>
  <sheetFormatPr defaultRowHeight="15" x14ac:dyDescent="0.25"/>
  <cols>
    <col min="1" max="1" width="3.85546875" customWidth="1"/>
    <col min="2" max="2" width="5.140625" customWidth="1"/>
    <col min="3" max="3" width="31.7109375" customWidth="1"/>
    <col min="4" max="4" width="5" customWidth="1"/>
    <col min="6" max="6" width="10.42578125" bestFit="1" customWidth="1"/>
    <col min="7" max="7" width="10.42578125" customWidth="1"/>
    <col min="11" max="11" width="8.5703125" customWidth="1"/>
  </cols>
  <sheetData>
    <row r="2" spans="2:10" ht="15.75" x14ac:dyDescent="0.25">
      <c r="B2" s="5" t="s">
        <v>72</v>
      </c>
      <c r="C2" s="5"/>
      <c r="D2" s="5"/>
      <c r="E2" s="5"/>
      <c r="F2" s="5"/>
      <c r="G2" s="5"/>
    </row>
    <row r="3" spans="2:10" ht="15.75" thickBot="1" x14ac:dyDescent="0.3"/>
    <row r="4" spans="2:10" ht="15.75" thickBot="1" x14ac:dyDescent="0.3">
      <c r="B4" s="6" t="s">
        <v>0</v>
      </c>
      <c r="C4" s="7" t="s">
        <v>1</v>
      </c>
      <c r="D4" s="7" t="s">
        <v>5</v>
      </c>
      <c r="E4" s="7" t="s">
        <v>3</v>
      </c>
      <c r="F4" s="7" t="s">
        <v>4</v>
      </c>
      <c r="G4" s="8" t="s">
        <v>31</v>
      </c>
      <c r="H4" s="59" t="s">
        <v>57</v>
      </c>
      <c r="I4" s="60" t="s">
        <v>58</v>
      </c>
      <c r="J4" s="61" t="s">
        <v>59</v>
      </c>
    </row>
    <row r="5" spans="2:10" x14ac:dyDescent="0.25">
      <c r="B5" s="9" t="s">
        <v>7</v>
      </c>
      <c r="C5" s="10"/>
      <c r="D5" s="10"/>
      <c r="E5" s="10"/>
      <c r="F5" s="11"/>
      <c r="G5" s="33">
        <f>G6+G7</f>
        <v>0</v>
      </c>
      <c r="H5" s="46"/>
      <c r="I5" s="42"/>
      <c r="J5" s="47"/>
    </row>
    <row r="6" spans="2:10" x14ac:dyDescent="0.25">
      <c r="B6" s="12"/>
      <c r="C6" s="13" t="s">
        <v>8</v>
      </c>
      <c r="D6" s="13" t="s">
        <v>9</v>
      </c>
      <c r="E6" s="13">
        <v>0</v>
      </c>
      <c r="F6" s="14">
        <v>1500</v>
      </c>
      <c r="G6" s="34">
        <f>F6*E6</f>
        <v>0</v>
      </c>
      <c r="H6" s="48"/>
      <c r="I6" s="43"/>
      <c r="J6" s="49"/>
    </row>
    <row r="7" spans="2:10" ht="15.75" thickBot="1" x14ac:dyDescent="0.3">
      <c r="B7" s="15"/>
      <c r="C7" s="16" t="s">
        <v>6</v>
      </c>
      <c r="D7" s="16" t="s">
        <v>9</v>
      </c>
      <c r="E7" s="16">
        <v>0</v>
      </c>
      <c r="F7" s="17">
        <v>2000</v>
      </c>
      <c r="G7" s="35">
        <f t="shared" ref="G7:G47" si="0">F7*E7</f>
        <v>0</v>
      </c>
      <c r="H7" s="48"/>
      <c r="I7" s="43"/>
      <c r="J7" s="49"/>
    </row>
    <row r="8" spans="2:10" x14ac:dyDescent="0.25">
      <c r="B8" s="9" t="s">
        <v>10</v>
      </c>
      <c r="C8" s="10"/>
      <c r="D8" s="10"/>
      <c r="E8" s="10"/>
      <c r="F8" s="11"/>
      <c r="G8" s="36">
        <f>SUM(G9:G11)</f>
        <v>3296.5815126050411</v>
      </c>
      <c r="H8" s="46">
        <f>G8</f>
        <v>3296.5815126050411</v>
      </c>
      <c r="I8" s="42">
        <f>G8</f>
        <v>3296.5815126050411</v>
      </c>
      <c r="J8" s="47">
        <f>G8</f>
        <v>3296.5815126050411</v>
      </c>
    </row>
    <row r="9" spans="2:10" x14ac:dyDescent="0.25">
      <c r="B9" s="18"/>
      <c r="C9" s="19" t="s">
        <v>11</v>
      </c>
      <c r="D9" s="19" t="s">
        <v>29</v>
      </c>
      <c r="E9" s="19">
        <f>540-90</f>
        <v>450</v>
      </c>
      <c r="F9" s="20">
        <f>1.2*4.85</f>
        <v>5.8199999999999994</v>
      </c>
      <c r="G9" s="37">
        <f t="shared" ref="G9" si="1">F9*E9</f>
        <v>2618.9999999999995</v>
      </c>
      <c r="H9" s="48"/>
      <c r="I9" s="43"/>
      <c r="J9" s="49"/>
    </row>
    <row r="10" spans="2:10" x14ac:dyDescent="0.25">
      <c r="B10" s="18"/>
      <c r="C10" s="31" t="s">
        <v>12</v>
      </c>
      <c r="D10" s="31" t="s">
        <v>29</v>
      </c>
      <c r="E10" s="31">
        <v>90</v>
      </c>
      <c r="F10" s="20">
        <f>1.2*4.85</f>
        <v>5.8199999999999994</v>
      </c>
      <c r="G10" s="38">
        <f t="shared" si="0"/>
        <v>523.79999999999995</v>
      </c>
      <c r="H10" s="48"/>
      <c r="I10" s="43"/>
      <c r="J10" s="49"/>
    </row>
    <row r="11" spans="2:10" ht="15.75" thickBot="1" x14ac:dyDescent="0.3">
      <c r="B11" s="32"/>
      <c r="C11" s="22" t="s">
        <v>54</v>
      </c>
      <c r="D11" s="22" t="s">
        <v>20</v>
      </c>
      <c r="E11" s="22">
        <v>6</v>
      </c>
      <c r="F11" s="23">
        <f>30.5/1.19</f>
        <v>25.630252100840337</v>
      </c>
      <c r="G11" s="39">
        <f t="shared" si="0"/>
        <v>153.78151260504202</v>
      </c>
      <c r="H11" s="53"/>
      <c r="I11" s="54"/>
      <c r="J11" s="52"/>
    </row>
    <row r="12" spans="2:10" x14ac:dyDescent="0.25">
      <c r="B12" s="9" t="s">
        <v>32</v>
      </c>
      <c r="C12" s="10"/>
      <c r="D12" s="10"/>
      <c r="E12" s="10"/>
      <c r="F12" s="11"/>
      <c r="G12" s="36">
        <f>SUM(G13:G18)</f>
        <v>2326.4053680672273</v>
      </c>
      <c r="H12" s="48"/>
      <c r="I12" s="43">
        <f>G12</f>
        <v>2326.4053680672273</v>
      </c>
      <c r="J12" s="49">
        <f>G12</f>
        <v>2326.4053680672273</v>
      </c>
    </row>
    <row r="13" spans="2:10" x14ac:dyDescent="0.25">
      <c r="B13" s="24"/>
      <c r="C13" s="19" t="s">
        <v>74</v>
      </c>
      <c r="D13" s="19" t="s">
        <v>22</v>
      </c>
      <c r="E13" s="27">
        <f>(2.2*4+3.2*2.2*2+1*4-2)*1.1</f>
        <v>27.368000000000006</v>
      </c>
      <c r="F13" s="20">
        <f>9.2*1.25*4.85</f>
        <v>55.774999999999999</v>
      </c>
      <c r="G13" s="37">
        <f t="shared" ref="G13" si="2">F13*E13</f>
        <v>1526.4502000000002</v>
      </c>
      <c r="H13" s="48"/>
      <c r="I13" s="43"/>
      <c r="J13" s="49"/>
    </row>
    <row r="14" spans="2:10" x14ac:dyDescent="0.25">
      <c r="B14" s="25"/>
      <c r="C14" s="26" t="s">
        <v>33</v>
      </c>
      <c r="D14" s="26" t="s">
        <v>22</v>
      </c>
      <c r="E14" s="27">
        <f>(2.2*4+3.2*2.2*2+1*4-2)*1.1</f>
        <v>27.368000000000006</v>
      </c>
      <c r="F14" s="27">
        <f>8.2*4.85</f>
        <v>39.769999999999996</v>
      </c>
      <c r="G14" s="38"/>
      <c r="H14" s="48"/>
      <c r="I14" s="43"/>
      <c r="J14" s="49"/>
    </row>
    <row r="15" spans="2:10" x14ac:dyDescent="0.25">
      <c r="B15" s="25"/>
      <c r="C15" s="26" t="s">
        <v>17</v>
      </c>
      <c r="D15" s="26" t="s">
        <v>22</v>
      </c>
      <c r="E15" s="27">
        <f>(2.2*4+3.2*2.2*2+1*4-2)*1.1</f>
        <v>27.368000000000006</v>
      </c>
      <c r="F15" s="27">
        <f>2.67/1.19</f>
        <v>2.2436974789915967</v>
      </c>
      <c r="G15" s="38">
        <f t="shared" ref="G15:G16" si="3">F15*E15</f>
        <v>61.405512605042027</v>
      </c>
      <c r="H15" s="48"/>
      <c r="I15" s="43"/>
      <c r="J15" s="49"/>
    </row>
    <row r="16" spans="2:10" x14ac:dyDescent="0.25">
      <c r="B16" s="25"/>
      <c r="C16" s="26" t="s">
        <v>18</v>
      </c>
      <c r="D16" s="26" t="s">
        <v>21</v>
      </c>
      <c r="E16" s="26">
        <v>2</v>
      </c>
      <c r="F16" s="27">
        <f>30/1.19</f>
        <v>25.210084033613448</v>
      </c>
      <c r="G16" s="38">
        <f t="shared" si="3"/>
        <v>50.420168067226896</v>
      </c>
      <c r="H16" s="48"/>
      <c r="I16" s="43"/>
      <c r="J16" s="49"/>
    </row>
    <row r="17" spans="2:10" x14ac:dyDescent="0.25">
      <c r="B17" s="25"/>
      <c r="C17" s="26" t="s">
        <v>70</v>
      </c>
      <c r="D17" s="26" t="s">
        <v>20</v>
      </c>
      <c r="E17" s="26">
        <f>2.2*2+1*2+5+4</f>
        <v>15.4</v>
      </c>
      <c r="F17" s="27">
        <f>1.9*4.85</f>
        <v>9.2149999999999981</v>
      </c>
      <c r="G17" s="38">
        <f t="shared" si="0"/>
        <v>141.91099999999997</v>
      </c>
      <c r="H17" s="48"/>
      <c r="I17" s="43"/>
      <c r="J17" s="49"/>
    </row>
    <row r="18" spans="2:10" ht="15.75" thickBot="1" x14ac:dyDescent="0.3">
      <c r="B18" s="21"/>
      <c r="C18" s="22" t="s">
        <v>48</v>
      </c>
      <c r="D18" s="22" t="s">
        <v>22</v>
      </c>
      <c r="E18" s="22">
        <f>5*1.3+1*6</f>
        <v>12.5</v>
      </c>
      <c r="F18" s="23">
        <f>52/1.19</f>
        <v>43.69747899159664</v>
      </c>
      <c r="G18" s="40">
        <f t="shared" si="0"/>
        <v>546.21848739495795</v>
      </c>
      <c r="H18" s="48"/>
      <c r="I18" s="43"/>
      <c r="J18" s="49"/>
    </row>
    <row r="19" spans="2:10" x14ac:dyDescent="0.25">
      <c r="B19" s="9" t="s">
        <v>13</v>
      </c>
      <c r="C19" s="10"/>
      <c r="D19" s="10"/>
      <c r="E19" s="10"/>
      <c r="F19" s="11"/>
      <c r="G19" s="36">
        <f>SUM(G20:G24)</f>
        <v>1633.6050420168069</v>
      </c>
      <c r="H19" s="46">
        <f>G19</f>
        <v>1633.6050420168069</v>
      </c>
      <c r="I19" s="42">
        <f>G19</f>
        <v>1633.6050420168069</v>
      </c>
      <c r="J19" s="47">
        <f>G19</f>
        <v>1633.6050420168069</v>
      </c>
    </row>
    <row r="20" spans="2:10" x14ac:dyDescent="0.25">
      <c r="B20" s="24"/>
      <c r="C20" s="19" t="s">
        <v>38</v>
      </c>
      <c r="D20" s="19" t="s">
        <v>9</v>
      </c>
      <c r="E20" s="19">
        <v>1</v>
      </c>
      <c r="F20" s="20">
        <f>985.34/1.19</f>
        <v>828.01680672268913</v>
      </c>
      <c r="G20" s="37">
        <f t="shared" ref="G20" si="4">F20*E20</f>
        <v>828.01680672268913</v>
      </c>
      <c r="H20" s="48"/>
      <c r="I20" s="43"/>
      <c r="J20" s="49"/>
    </row>
    <row r="21" spans="2:10" x14ac:dyDescent="0.25">
      <c r="B21" s="25"/>
      <c r="C21" s="26" t="s">
        <v>39</v>
      </c>
      <c r="D21" s="26" t="s">
        <v>9</v>
      </c>
      <c r="E21" s="26">
        <v>1</v>
      </c>
      <c r="F21" s="27">
        <f>393.36/1.19</f>
        <v>330.55462184873954</v>
      </c>
      <c r="G21" s="38">
        <f t="shared" si="0"/>
        <v>330.55462184873954</v>
      </c>
      <c r="H21" s="48"/>
      <c r="I21" s="43"/>
      <c r="J21" s="49"/>
    </row>
    <row r="22" spans="2:10" x14ac:dyDescent="0.25">
      <c r="B22" s="25"/>
      <c r="C22" s="26" t="s">
        <v>40</v>
      </c>
      <c r="D22" s="26" t="s">
        <v>9</v>
      </c>
      <c r="E22" s="26">
        <v>1</v>
      </c>
      <c r="F22" s="27">
        <f>177.07/1.19</f>
        <v>148.79831932773109</v>
      </c>
      <c r="G22" s="38">
        <f t="shared" si="0"/>
        <v>148.79831932773109</v>
      </c>
      <c r="H22" s="48"/>
      <c r="I22" s="43"/>
      <c r="J22" s="49"/>
    </row>
    <row r="23" spans="2:10" x14ac:dyDescent="0.25">
      <c r="B23" s="25"/>
      <c r="C23" s="26" t="s">
        <v>41</v>
      </c>
      <c r="D23" s="26" t="s">
        <v>9</v>
      </c>
      <c r="E23" s="26">
        <v>1</v>
      </c>
      <c r="F23" s="27">
        <f>388.22/1.19</f>
        <v>326.23529411764707</v>
      </c>
      <c r="G23" s="38">
        <f t="shared" si="0"/>
        <v>326.23529411764707</v>
      </c>
      <c r="H23" s="50"/>
      <c r="I23" s="44"/>
      <c r="J23" s="49"/>
    </row>
    <row r="24" spans="2:10" ht="15.75" thickBot="1" x14ac:dyDescent="0.3">
      <c r="B24" s="21"/>
      <c r="C24" s="22"/>
      <c r="D24" s="22"/>
      <c r="E24" s="22"/>
      <c r="F24" s="22"/>
      <c r="G24" s="40">
        <f t="shared" si="0"/>
        <v>0</v>
      </c>
      <c r="H24" s="51"/>
      <c r="I24" s="45"/>
      <c r="J24" s="52"/>
    </row>
    <row r="25" spans="2:10" x14ac:dyDescent="0.25">
      <c r="B25" s="9" t="s">
        <v>43</v>
      </c>
      <c r="C25" s="10"/>
      <c r="D25" s="10"/>
      <c r="E25" s="10"/>
      <c r="F25" s="11"/>
      <c r="G25" s="36">
        <f>SUM(G26:G30)</f>
        <v>125</v>
      </c>
      <c r="H25" s="50"/>
      <c r="I25" s="44"/>
      <c r="J25" s="49">
        <f>G25</f>
        <v>125</v>
      </c>
    </row>
    <row r="26" spans="2:10" x14ac:dyDescent="0.25">
      <c r="B26" s="24"/>
      <c r="C26" s="19" t="s">
        <v>45</v>
      </c>
      <c r="D26" s="19" t="s">
        <v>9</v>
      </c>
      <c r="E26" s="19">
        <v>1</v>
      </c>
      <c r="F26" s="19">
        <v>15</v>
      </c>
      <c r="G26" s="37">
        <f t="shared" ref="G26" si="5">F26*E26</f>
        <v>15</v>
      </c>
      <c r="H26" s="50"/>
      <c r="I26" s="44"/>
      <c r="J26" s="49"/>
    </row>
    <row r="27" spans="2:10" x14ac:dyDescent="0.25">
      <c r="B27" s="24"/>
      <c r="C27" s="19" t="s">
        <v>44</v>
      </c>
      <c r="D27" s="19" t="s">
        <v>20</v>
      </c>
      <c r="E27" s="19">
        <f>1.5+5.5+9</f>
        <v>16</v>
      </c>
      <c r="F27" s="19">
        <v>3</v>
      </c>
      <c r="G27" s="37">
        <f t="shared" ref="G27" si="6">F27*E27</f>
        <v>48</v>
      </c>
      <c r="H27" s="50"/>
      <c r="I27" s="44"/>
      <c r="J27" s="49"/>
    </row>
    <row r="28" spans="2:10" x14ac:dyDescent="0.25">
      <c r="B28" s="24"/>
      <c r="C28" s="19" t="s">
        <v>47</v>
      </c>
      <c r="D28" s="19" t="s">
        <v>9</v>
      </c>
      <c r="E28" s="19">
        <v>2</v>
      </c>
      <c r="F28" s="19">
        <v>16</v>
      </c>
      <c r="G28" s="37">
        <f t="shared" ref="G28:G30" si="7">F28*E28</f>
        <v>32</v>
      </c>
      <c r="H28" s="50"/>
      <c r="I28" s="44"/>
      <c r="J28" s="49"/>
    </row>
    <row r="29" spans="2:10" x14ac:dyDescent="0.25">
      <c r="B29" s="25"/>
      <c r="C29" s="26" t="s">
        <v>46</v>
      </c>
      <c r="D29" s="26" t="s">
        <v>9</v>
      </c>
      <c r="E29" s="26">
        <v>1</v>
      </c>
      <c r="F29" s="26">
        <v>10</v>
      </c>
      <c r="G29" s="38">
        <f t="shared" si="7"/>
        <v>10</v>
      </c>
      <c r="H29" s="50"/>
      <c r="I29" s="44"/>
      <c r="J29" s="49"/>
    </row>
    <row r="30" spans="2:10" ht="15.75" thickBot="1" x14ac:dyDescent="0.3">
      <c r="B30" s="21"/>
      <c r="C30" s="22" t="s">
        <v>68</v>
      </c>
      <c r="D30" s="22" t="s">
        <v>9</v>
      </c>
      <c r="E30" s="22">
        <v>1</v>
      </c>
      <c r="F30" s="22">
        <v>20</v>
      </c>
      <c r="G30" s="40">
        <f t="shared" si="7"/>
        <v>20</v>
      </c>
      <c r="H30" s="50"/>
      <c r="I30" s="44"/>
      <c r="J30" s="49"/>
    </row>
    <row r="31" spans="2:10" x14ac:dyDescent="0.25">
      <c r="B31" s="9" t="s">
        <v>64</v>
      </c>
      <c r="C31" s="10"/>
      <c r="D31" s="10"/>
      <c r="E31" s="10"/>
      <c r="F31" s="11"/>
      <c r="G31" s="36">
        <f>SUM(G32:G35)</f>
        <v>1219.2426470588234</v>
      </c>
      <c r="H31" s="55"/>
      <c r="I31" s="56"/>
      <c r="J31" s="47">
        <f>G31</f>
        <v>1219.2426470588234</v>
      </c>
    </row>
    <row r="32" spans="2:10" x14ac:dyDescent="0.25">
      <c r="B32" s="24"/>
      <c r="C32" s="19" t="s">
        <v>69</v>
      </c>
      <c r="D32" s="19" t="s">
        <v>9</v>
      </c>
      <c r="E32" s="19">
        <v>28.8</v>
      </c>
      <c r="F32" s="20">
        <f>10.5/1.19</f>
        <v>8.8235294117647065</v>
      </c>
      <c r="G32" s="37">
        <f t="shared" ref="G32:G35" si="8">F32*E32</f>
        <v>254.11764705882356</v>
      </c>
      <c r="H32" s="50"/>
      <c r="I32" s="44">
        <f>G32</f>
        <v>254.11764705882356</v>
      </c>
      <c r="J32" s="49"/>
    </row>
    <row r="33" spans="1:10" x14ac:dyDescent="0.25">
      <c r="B33" s="25"/>
      <c r="C33" s="26" t="s">
        <v>71</v>
      </c>
      <c r="D33" s="26" t="s">
        <v>22</v>
      </c>
      <c r="E33" s="26">
        <f>25*2*1.1+6*3.125</f>
        <v>73.75</v>
      </c>
      <c r="F33" s="27">
        <v>6.5</v>
      </c>
      <c r="G33" s="38">
        <f t="shared" si="8"/>
        <v>479.375</v>
      </c>
      <c r="H33" s="50"/>
      <c r="I33" s="44">
        <f>G33</f>
        <v>479.375</v>
      </c>
      <c r="J33" s="49"/>
    </row>
    <row r="34" spans="1:10" x14ac:dyDescent="0.25">
      <c r="B34" s="15"/>
      <c r="C34" s="16" t="s">
        <v>63</v>
      </c>
      <c r="D34" s="16" t="s">
        <v>22</v>
      </c>
      <c r="E34" s="16">
        <f>25*1.1</f>
        <v>27.500000000000004</v>
      </c>
      <c r="F34" s="17">
        <v>1.3</v>
      </c>
      <c r="G34" s="38">
        <f t="shared" si="8"/>
        <v>35.750000000000007</v>
      </c>
      <c r="H34" s="50"/>
      <c r="I34" s="44"/>
      <c r="J34" s="49"/>
    </row>
    <row r="35" spans="1:10" ht="15.75" thickBot="1" x14ac:dyDescent="0.3">
      <c r="B35" s="21"/>
      <c r="C35" s="22" t="s">
        <v>61</v>
      </c>
      <c r="D35" s="22" t="s">
        <v>22</v>
      </c>
      <c r="E35" s="22">
        <f>25+20</f>
        <v>45</v>
      </c>
      <c r="F35" s="23">
        <v>10</v>
      </c>
      <c r="G35" s="40">
        <f t="shared" si="8"/>
        <v>450</v>
      </c>
      <c r="H35" s="51"/>
      <c r="I35" s="45"/>
      <c r="J35" s="52"/>
    </row>
    <row r="36" spans="1:10" x14ac:dyDescent="0.25">
      <c r="B36" s="9" t="s">
        <v>42</v>
      </c>
      <c r="C36" s="10"/>
      <c r="D36" s="10"/>
      <c r="E36" s="10"/>
      <c r="F36" s="11"/>
      <c r="G36" s="36">
        <f>SUM(G37:G39)</f>
        <v>1486.5546218487395</v>
      </c>
      <c r="H36" s="55"/>
      <c r="I36" s="56"/>
      <c r="J36" s="47">
        <f>G36</f>
        <v>1486.5546218487395</v>
      </c>
    </row>
    <row r="37" spans="1:10" x14ac:dyDescent="0.25">
      <c r="B37" s="24"/>
      <c r="C37" s="19" t="s">
        <v>52</v>
      </c>
      <c r="D37" s="19" t="s">
        <v>9</v>
      </c>
      <c r="E37" s="19">
        <v>1</v>
      </c>
      <c r="F37" s="20">
        <f>479/1.19</f>
        <v>402.52100840336135</v>
      </c>
      <c r="G37" s="37">
        <f t="shared" ref="G37:G39" si="9">F37*E37</f>
        <v>402.52100840336135</v>
      </c>
      <c r="H37" s="50"/>
      <c r="I37" s="44">
        <f>G37</f>
        <v>402.52100840336135</v>
      </c>
      <c r="J37" s="49"/>
    </row>
    <row r="38" spans="1:10" x14ac:dyDescent="0.25">
      <c r="B38" s="25"/>
      <c r="C38" s="26" t="s">
        <v>53</v>
      </c>
      <c r="D38" s="26" t="s">
        <v>9</v>
      </c>
      <c r="E38" s="26">
        <v>1</v>
      </c>
      <c r="F38" s="27">
        <f>320/1.19</f>
        <v>268.9075630252101</v>
      </c>
      <c r="G38" s="38">
        <f t="shared" si="9"/>
        <v>268.9075630252101</v>
      </c>
      <c r="H38" s="50"/>
      <c r="I38" s="44">
        <f>G38</f>
        <v>268.9075630252101</v>
      </c>
      <c r="J38" s="49"/>
    </row>
    <row r="39" spans="1:10" ht="15.75" thickBot="1" x14ac:dyDescent="0.3">
      <c r="B39" s="21"/>
      <c r="C39" s="22" t="s">
        <v>60</v>
      </c>
      <c r="D39" s="22" t="s">
        <v>9</v>
      </c>
      <c r="E39" s="22">
        <v>1</v>
      </c>
      <c r="F39" s="23">
        <f>(715+255)/1.19</f>
        <v>815.1260504201681</v>
      </c>
      <c r="G39" s="40">
        <f t="shared" si="9"/>
        <v>815.1260504201681</v>
      </c>
      <c r="H39" s="51"/>
      <c r="I39" s="45"/>
      <c r="J39" s="52"/>
    </row>
    <row r="40" spans="1:10" x14ac:dyDescent="0.25">
      <c r="B40" s="9" t="s">
        <v>34</v>
      </c>
      <c r="C40" s="10"/>
      <c r="D40" s="10"/>
      <c r="E40" s="10"/>
      <c r="F40" s="11"/>
      <c r="G40" s="36">
        <f>SUM(G41:G47)</f>
        <v>4191.79</v>
      </c>
      <c r="H40" s="50"/>
      <c r="I40" s="44"/>
      <c r="J40" s="49">
        <f>G40</f>
        <v>4191.79</v>
      </c>
    </row>
    <row r="41" spans="1:10" x14ac:dyDescent="0.25">
      <c r="B41" s="24"/>
      <c r="C41" s="19" t="s">
        <v>55</v>
      </c>
      <c r="D41" s="19" t="s">
        <v>29</v>
      </c>
      <c r="E41" s="19">
        <v>540</v>
      </c>
      <c r="F41" s="19">
        <f>0.25*4.85</f>
        <v>1.2124999999999999</v>
      </c>
      <c r="G41" s="37">
        <f t="shared" ref="G41:G42" si="10">F41*E41</f>
        <v>654.75</v>
      </c>
      <c r="H41" s="50">
        <f>G41</f>
        <v>654.75</v>
      </c>
      <c r="I41" s="44">
        <f>G41</f>
        <v>654.75</v>
      </c>
      <c r="J41" s="49"/>
    </row>
    <row r="42" spans="1:10" x14ac:dyDescent="0.25">
      <c r="B42" s="24"/>
      <c r="C42" s="19" t="s">
        <v>56</v>
      </c>
      <c r="D42" s="19" t="s">
        <v>29</v>
      </c>
      <c r="E42" s="19">
        <v>540</v>
      </c>
      <c r="F42" s="19">
        <f>0.25*4.85</f>
        <v>1.2124999999999999</v>
      </c>
      <c r="G42" s="37">
        <f t="shared" si="10"/>
        <v>654.75</v>
      </c>
      <c r="H42" s="50"/>
      <c r="I42" s="44">
        <f>G42</f>
        <v>654.75</v>
      </c>
      <c r="J42" s="49"/>
    </row>
    <row r="43" spans="1:10" x14ac:dyDescent="0.25">
      <c r="B43" s="25"/>
      <c r="C43" s="26" t="s">
        <v>51</v>
      </c>
      <c r="D43" s="26" t="s">
        <v>22</v>
      </c>
      <c r="E43" s="26">
        <f>2.2*4+3.2*2.2*2+1*4+15.4</f>
        <v>42.28</v>
      </c>
      <c r="F43" s="26">
        <f>5*4.85</f>
        <v>24.25</v>
      </c>
      <c r="G43" s="38">
        <f t="shared" si="0"/>
        <v>1025.29</v>
      </c>
      <c r="H43" s="50"/>
      <c r="I43" s="44">
        <f>G43</f>
        <v>1025.29</v>
      </c>
      <c r="J43" s="49"/>
    </row>
    <row r="44" spans="1:10" x14ac:dyDescent="0.25">
      <c r="B44" s="15"/>
      <c r="C44" s="16" t="s">
        <v>43</v>
      </c>
      <c r="D44" s="16" t="s">
        <v>9</v>
      </c>
      <c r="E44" s="16">
        <v>1</v>
      </c>
      <c r="F44" s="16">
        <v>100</v>
      </c>
      <c r="G44" s="38">
        <f t="shared" si="0"/>
        <v>100</v>
      </c>
      <c r="H44" s="50"/>
      <c r="I44" s="44"/>
      <c r="J44" s="49"/>
    </row>
    <row r="45" spans="1:10" x14ac:dyDescent="0.25">
      <c r="B45" s="15"/>
      <c r="C45" s="16" t="s">
        <v>62</v>
      </c>
      <c r="D45" s="16" t="s">
        <v>22</v>
      </c>
      <c r="E45" s="16">
        <f>25+20</f>
        <v>45</v>
      </c>
      <c r="F45" s="16">
        <v>25</v>
      </c>
      <c r="G45" s="38">
        <f t="shared" si="0"/>
        <v>1125</v>
      </c>
      <c r="H45" s="50"/>
      <c r="I45" s="44"/>
      <c r="J45" s="49"/>
    </row>
    <row r="46" spans="1:10" x14ac:dyDescent="0.25">
      <c r="B46" s="15"/>
      <c r="C46" s="16" t="s">
        <v>65</v>
      </c>
      <c r="D46" s="16" t="s">
        <v>9</v>
      </c>
      <c r="E46" s="16">
        <v>2</v>
      </c>
      <c r="F46" s="16">
        <v>100</v>
      </c>
      <c r="G46" s="38">
        <f t="shared" si="0"/>
        <v>200</v>
      </c>
      <c r="H46" s="50"/>
      <c r="I46" s="44">
        <f>G46</f>
        <v>200</v>
      </c>
      <c r="J46" s="49"/>
    </row>
    <row r="47" spans="1:10" ht="15.75" thickBot="1" x14ac:dyDescent="0.3">
      <c r="B47" s="21"/>
      <c r="C47" s="22" t="s">
        <v>66</v>
      </c>
      <c r="D47" s="22" t="s">
        <v>22</v>
      </c>
      <c r="E47" s="22">
        <f>3.6*6</f>
        <v>21.6</v>
      </c>
      <c r="F47" s="22">
        <v>20</v>
      </c>
      <c r="G47" s="40">
        <f t="shared" si="0"/>
        <v>432</v>
      </c>
      <c r="H47" s="51"/>
      <c r="I47" s="45">
        <f>G47</f>
        <v>432</v>
      </c>
      <c r="J47" s="52"/>
    </row>
    <row r="48" spans="1:10" ht="15.75" thickBot="1" x14ac:dyDescent="0.3">
      <c r="A48" s="1"/>
      <c r="B48" s="28" t="s">
        <v>73</v>
      </c>
      <c r="C48" s="29"/>
      <c r="D48" s="29"/>
      <c r="E48" s="29"/>
      <c r="F48" s="30"/>
      <c r="G48" s="41">
        <f>G5+G8+G12+G19+G25+G31+G36+G40</f>
        <v>14279.179191596639</v>
      </c>
      <c r="H48" s="57">
        <f>SUM(H5:H47)</f>
        <v>5584.9365546218478</v>
      </c>
      <c r="I48" s="57">
        <f t="shared" ref="I48:J48" si="11">SUM(I5:I47)</f>
        <v>11628.303141176468</v>
      </c>
      <c r="J48" s="58">
        <f t="shared" si="11"/>
        <v>14279.179191596639</v>
      </c>
    </row>
    <row r="49" spans="1:11" ht="15.75" thickBot="1" x14ac:dyDescent="0.3">
      <c r="A49" s="1"/>
      <c r="B49" s="28" t="s">
        <v>67</v>
      </c>
      <c r="C49" s="29"/>
      <c r="D49" s="29"/>
      <c r="E49" s="29"/>
      <c r="F49" s="30"/>
      <c r="G49" s="41"/>
      <c r="H49" s="62">
        <f>H48*0.5</f>
        <v>2792.4682773109239</v>
      </c>
      <c r="I49" s="58">
        <f t="shared" ref="I49:J49" si="12">I48*0.5</f>
        <v>5814.1515705882339</v>
      </c>
      <c r="J49" s="58">
        <f t="shared" si="12"/>
        <v>7139.5895957983194</v>
      </c>
      <c r="K49" s="63"/>
    </row>
    <row r="50" spans="1:11" ht="15.75" thickBot="1" x14ac:dyDescent="0.3">
      <c r="B50" s="28" t="s">
        <v>49</v>
      </c>
      <c r="C50" s="29"/>
      <c r="D50" s="29"/>
      <c r="E50" s="29"/>
      <c r="F50" s="30"/>
      <c r="G50" s="41"/>
      <c r="H50" s="41">
        <f>(H48+H49)*1.19</f>
        <v>9969.1117499999982</v>
      </c>
      <c r="I50" s="41">
        <f>(I48+I49)*1.19</f>
        <v>20756.521106999993</v>
      </c>
      <c r="J50" s="41">
        <f>(J48+J49)*1.19</f>
        <v>25488.334856999998</v>
      </c>
    </row>
    <row r="51" spans="1:11" ht="15.75" thickBot="1" x14ac:dyDescent="0.3">
      <c r="B51" s="28" t="s">
        <v>50</v>
      </c>
      <c r="C51" s="29"/>
      <c r="D51" s="29"/>
      <c r="E51" s="29"/>
      <c r="F51" s="30"/>
      <c r="G51" s="41"/>
      <c r="H51" s="41">
        <f t="shared" ref="H51:I51" si="13">H50/4.85</f>
        <v>2055.4869587628864</v>
      </c>
      <c r="I51" s="41">
        <f t="shared" si="13"/>
        <v>4279.6950736082463</v>
      </c>
      <c r="J51" s="41">
        <f>J50/4.85</f>
        <v>5255.3267746391748</v>
      </c>
    </row>
    <row r="52" spans="1:11" x14ac:dyDescent="0.25">
      <c r="B52" s="1"/>
    </row>
    <row r="54" spans="1:11" x14ac:dyDescent="0.25">
      <c r="B54" s="1" t="s">
        <v>35</v>
      </c>
    </row>
    <row r="55" spans="1:11" x14ac:dyDescent="0.25">
      <c r="C55" t="s">
        <v>36</v>
      </c>
    </row>
    <row r="56" spans="1:11" x14ac:dyDescent="0.25">
      <c r="C56" t="s">
        <v>37</v>
      </c>
    </row>
  </sheetData>
  <mergeCells count="13">
    <mergeCell ref="B48:F48"/>
    <mergeCell ref="B36:F36"/>
    <mergeCell ref="B25:F25"/>
    <mergeCell ref="B50:F50"/>
    <mergeCell ref="B51:F51"/>
    <mergeCell ref="B31:F31"/>
    <mergeCell ref="B49:F49"/>
    <mergeCell ref="B2:G2"/>
    <mergeCell ref="B5:F5"/>
    <mergeCell ref="B8:F8"/>
    <mergeCell ref="B12:F12"/>
    <mergeCell ref="B19:F19"/>
    <mergeCell ref="B40:F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1"/>
  <sheetViews>
    <sheetView workbookViewId="0">
      <selection activeCell="B18" sqref="B18"/>
    </sheetView>
  </sheetViews>
  <sheetFormatPr defaultRowHeight="15" x14ac:dyDescent="0.25"/>
  <cols>
    <col min="2" max="2" width="28.140625" bestFit="1" customWidth="1"/>
    <col min="3" max="3" width="25" bestFit="1" customWidth="1"/>
    <col min="4" max="4" width="12.140625" bestFit="1" customWidth="1"/>
    <col min="5" max="5" width="6.42578125" customWidth="1"/>
    <col min="7" max="7" width="10.42578125" bestFit="1" customWidth="1"/>
    <col min="8" max="8" width="10.42578125" customWidth="1"/>
  </cols>
  <sheetData>
    <row r="4" spans="2:11" x14ac:dyDescent="0.25">
      <c r="B4" s="1" t="s">
        <v>0</v>
      </c>
      <c r="C4" s="1" t="s">
        <v>1</v>
      </c>
      <c r="D4" s="1" t="s">
        <v>2</v>
      </c>
      <c r="E4" s="1" t="s">
        <v>5</v>
      </c>
      <c r="F4" s="1" t="s">
        <v>3</v>
      </c>
      <c r="G4" s="1" t="s">
        <v>4</v>
      </c>
      <c r="H4" s="1" t="s">
        <v>31</v>
      </c>
      <c r="I4" s="2" t="s">
        <v>26</v>
      </c>
      <c r="J4" s="2" t="s">
        <v>27</v>
      </c>
      <c r="K4" s="2" t="s">
        <v>28</v>
      </c>
    </row>
    <row r="5" spans="2:11" x14ac:dyDescent="0.25">
      <c r="B5" t="s">
        <v>7</v>
      </c>
      <c r="C5" t="s">
        <v>8</v>
      </c>
      <c r="E5" t="s">
        <v>9</v>
      </c>
      <c r="F5">
        <v>1</v>
      </c>
      <c r="G5" s="4">
        <v>1500</v>
      </c>
      <c r="H5" s="4">
        <f>G5*F5</f>
        <v>1500</v>
      </c>
      <c r="I5" s="3"/>
      <c r="J5" s="3"/>
      <c r="K5" s="3"/>
    </row>
    <row r="6" spans="2:11" x14ac:dyDescent="0.25">
      <c r="C6" t="s">
        <v>6</v>
      </c>
      <c r="E6" t="s">
        <v>9</v>
      </c>
      <c r="F6">
        <v>1</v>
      </c>
      <c r="G6" s="4">
        <v>1500</v>
      </c>
      <c r="H6" s="4">
        <f t="shared" ref="H6:H18" si="0">G6*F6</f>
        <v>1500</v>
      </c>
      <c r="I6" s="3"/>
      <c r="J6" s="3"/>
      <c r="K6" s="3"/>
    </row>
    <row r="7" spans="2:11" x14ac:dyDescent="0.25">
      <c r="B7" t="s">
        <v>10</v>
      </c>
      <c r="C7" t="s">
        <v>11</v>
      </c>
      <c r="E7" t="s">
        <v>29</v>
      </c>
      <c r="F7">
        <f>540-90</f>
        <v>450</v>
      </c>
      <c r="G7" s="4">
        <f>1.15*4.85</f>
        <v>5.5774999999999988</v>
      </c>
      <c r="H7" s="4">
        <f t="shared" si="0"/>
        <v>2509.8749999999995</v>
      </c>
      <c r="I7" s="3"/>
      <c r="J7" s="3"/>
      <c r="K7" s="3"/>
    </row>
    <row r="8" spans="2:11" x14ac:dyDescent="0.25">
      <c r="C8" t="s">
        <v>12</v>
      </c>
      <c r="F8">
        <v>90</v>
      </c>
      <c r="G8" s="4">
        <f>1.15*4.85</f>
        <v>5.5774999999999988</v>
      </c>
      <c r="H8" s="4">
        <f t="shared" si="0"/>
        <v>501.97499999999991</v>
      </c>
      <c r="I8" s="3"/>
      <c r="J8" s="3"/>
      <c r="K8" s="3"/>
    </row>
    <row r="9" spans="2:11" x14ac:dyDescent="0.25">
      <c r="B9" t="s">
        <v>13</v>
      </c>
      <c r="C9" t="s">
        <v>30</v>
      </c>
      <c r="E9" t="s">
        <v>9</v>
      </c>
      <c r="F9">
        <v>1</v>
      </c>
      <c r="G9" s="4">
        <f>1945/1.19</f>
        <v>1634.453781512605</v>
      </c>
      <c r="H9" s="4">
        <f t="shared" si="0"/>
        <v>1634.453781512605</v>
      </c>
      <c r="I9" s="3"/>
      <c r="J9" s="3"/>
      <c r="K9" s="3"/>
    </row>
    <row r="10" spans="2:11" x14ac:dyDescent="0.25">
      <c r="G10" s="4"/>
      <c r="H10" s="4">
        <f t="shared" si="0"/>
        <v>0</v>
      </c>
      <c r="I10" s="3"/>
      <c r="J10" s="3"/>
      <c r="K10" s="3"/>
    </row>
    <row r="11" spans="2:11" x14ac:dyDescent="0.25">
      <c r="G11" s="4"/>
      <c r="H11" s="4">
        <f t="shared" si="0"/>
        <v>0</v>
      </c>
      <c r="I11" s="3"/>
      <c r="J11" s="3"/>
      <c r="K11" s="3"/>
    </row>
    <row r="12" spans="2:11" x14ac:dyDescent="0.25">
      <c r="B12" t="s">
        <v>25</v>
      </c>
      <c r="C12" t="s">
        <v>17</v>
      </c>
      <c r="E12" t="s">
        <v>22</v>
      </c>
      <c r="G12" s="4"/>
      <c r="H12" s="4">
        <f t="shared" si="0"/>
        <v>0</v>
      </c>
      <c r="I12" s="3"/>
      <c r="J12" s="3"/>
      <c r="K12" s="3"/>
    </row>
    <row r="13" spans="2:11" x14ac:dyDescent="0.25">
      <c r="C13" t="s">
        <v>14</v>
      </c>
      <c r="E13" t="s">
        <v>22</v>
      </c>
      <c r="G13" s="4"/>
      <c r="H13" s="4">
        <f t="shared" si="0"/>
        <v>0</v>
      </c>
      <c r="I13" s="3"/>
      <c r="J13" s="3"/>
      <c r="K13" s="3"/>
    </row>
    <row r="14" spans="2:11" x14ac:dyDescent="0.25">
      <c r="C14" t="s">
        <v>15</v>
      </c>
      <c r="E14" t="s">
        <v>22</v>
      </c>
      <c r="G14" s="4"/>
      <c r="H14" s="4">
        <f t="shared" si="0"/>
        <v>0</v>
      </c>
      <c r="I14" s="3"/>
      <c r="J14" s="3"/>
      <c r="K14" s="3"/>
    </row>
    <row r="15" spans="2:11" x14ac:dyDescent="0.25">
      <c r="C15" t="s">
        <v>16</v>
      </c>
      <c r="E15" t="s">
        <v>22</v>
      </c>
      <c r="G15" s="4"/>
      <c r="H15" s="4">
        <f t="shared" si="0"/>
        <v>0</v>
      </c>
      <c r="I15" s="3"/>
      <c r="J15" s="3"/>
      <c r="K15" s="3"/>
    </row>
    <row r="16" spans="2:11" x14ac:dyDescent="0.25">
      <c r="C16" t="s">
        <v>24</v>
      </c>
      <c r="E16" t="s">
        <v>23</v>
      </c>
      <c r="G16" s="4"/>
      <c r="H16" s="4">
        <f t="shared" si="0"/>
        <v>0</v>
      </c>
      <c r="I16" s="3"/>
      <c r="J16" s="3"/>
      <c r="K16" s="3"/>
    </row>
    <row r="17" spans="3:11" x14ac:dyDescent="0.25">
      <c r="C17" t="s">
        <v>18</v>
      </c>
      <c r="E17" t="s">
        <v>21</v>
      </c>
      <c r="G17" s="4"/>
      <c r="H17" s="4">
        <f t="shared" si="0"/>
        <v>0</v>
      </c>
      <c r="I17" s="3"/>
      <c r="J17" s="3"/>
      <c r="K17" s="3"/>
    </row>
    <row r="18" spans="3:11" x14ac:dyDescent="0.25">
      <c r="C18" t="s">
        <v>19</v>
      </c>
      <c r="E18" t="s">
        <v>20</v>
      </c>
      <c r="G18" s="4"/>
      <c r="H18" s="4">
        <f t="shared" si="0"/>
        <v>0</v>
      </c>
      <c r="I18" s="3"/>
      <c r="J18" s="3"/>
      <c r="K18" s="3"/>
    </row>
    <row r="19" spans="3:11" x14ac:dyDescent="0.25">
      <c r="G19" s="4"/>
      <c r="H19" s="4"/>
      <c r="I19" s="3"/>
      <c r="J19" s="3"/>
      <c r="K19" s="3"/>
    </row>
    <row r="20" spans="3:11" x14ac:dyDescent="0.25">
      <c r="G20" s="4"/>
      <c r="H20" s="4"/>
      <c r="I20" s="3"/>
      <c r="J20" s="3"/>
      <c r="K20" s="3"/>
    </row>
    <row r="21" spans="3:11" x14ac:dyDescent="0.25">
      <c r="G21" s="4"/>
      <c r="H21" s="4"/>
      <c r="I21" s="3"/>
      <c r="J21" s="3"/>
      <c r="K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Caretta</dc:creator>
  <cp:lastModifiedBy>Caretta</cp:lastModifiedBy>
  <dcterms:created xsi:type="dcterms:W3CDTF">2020-04-06T09:02:17Z</dcterms:created>
  <dcterms:modified xsi:type="dcterms:W3CDTF">2020-04-10T12:41:41Z</dcterms:modified>
</cp:coreProperties>
</file>