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D76FF3EA-8977-42F6-B306-1D2A80C84573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8" l="1"/>
  <c r="B31" i="8"/>
  <c r="C31" i="8"/>
  <c r="D31" i="8"/>
  <c r="E31" i="8"/>
  <c r="G31" i="8"/>
  <c r="H31" i="8"/>
  <c r="I31" i="8"/>
  <c r="J31" i="8"/>
  <c r="K31" i="8"/>
  <c r="L31" i="8"/>
  <c r="M31" i="8"/>
  <c r="N31" i="8"/>
  <c r="O31" i="8"/>
  <c r="P31" i="8"/>
  <c r="Q31" i="8"/>
  <c r="R31" i="8" a="1"/>
  <c r="R31" i="8" s="1"/>
  <c r="J4" i="5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I29" i="8"/>
  <c r="J29" i="8"/>
  <c r="K29" i="8"/>
  <c r="L29" i="8"/>
  <c r="A30" i="8"/>
  <c r="B30" i="8"/>
  <c r="C30" i="8"/>
  <c r="D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I21" i="8"/>
  <c r="J21" i="8"/>
  <c r="K21" i="8"/>
  <c r="L21" i="8"/>
  <c r="A22" i="8"/>
  <c r="B22" i="8"/>
  <c r="C22" i="8"/>
  <c r="D22" i="8"/>
  <c r="G22" i="8"/>
  <c r="I22" i="8"/>
  <c r="J22" i="8"/>
  <c r="K22" i="8"/>
  <c r="L22" i="8"/>
  <c r="A23" i="8"/>
  <c r="B23" i="8"/>
  <c r="C23" i="8"/>
  <c r="D23" i="8"/>
  <c r="I23" i="8"/>
  <c r="J23" i="8"/>
  <c r="K23" i="8"/>
  <c r="L23" i="8"/>
  <c r="A24" i="8"/>
  <c r="B24" i="8"/>
  <c r="C24" i="8"/>
  <c r="D24" i="8"/>
  <c r="H24" i="8"/>
  <c r="I24" i="8"/>
  <c r="J24" i="8"/>
  <c r="K24" i="8"/>
  <c r="L24" i="8"/>
  <c r="A25" i="8"/>
  <c r="B25" i="8"/>
  <c r="C25" i="8"/>
  <c r="D25" i="8"/>
  <c r="I25" i="8"/>
  <c r="J25" i="8"/>
  <c r="K25" i="8"/>
  <c r="L25" i="8"/>
  <c r="A26" i="8"/>
  <c r="B26" i="8"/>
  <c r="C26" i="8"/>
  <c r="D26" i="8"/>
  <c r="I26" i="8"/>
  <c r="J26" i="8"/>
  <c r="K26" i="8"/>
  <c r="L26" i="8"/>
  <c r="A27" i="8"/>
  <c r="B27" i="8"/>
  <c r="C27" i="8"/>
  <c r="D27" i="8"/>
  <c r="I27" i="8"/>
  <c r="J27" i="8"/>
  <c r="K27" i="8"/>
  <c r="L27" i="8"/>
  <c r="A28" i="8"/>
  <c r="B28" i="8"/>
  <c r="C28" i="8"/>
  <c r="D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G21" i="8" s="1"/>
  <c r="J21" i="5"/>
  <c r="H21" i="8" s="1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G25" i="8" s="1"/>
  <c r="J25" i="5"/>
  <c r="H25" i="8" s="1"/>
  <c r="H24" i="5"/>
  <c r="J24" i="5"/>
  <c r="H27" i="5"/>
  <c r="J27" i="5"/>
  <c r="H27" i="8" s="1"/>
  <c r="H26" i="5"/>
  <c r="G26" i="8" s="1"/>
  <c r="J26" i="5"/>
  <c r="B6" i="7" s="1"/>
  <c r="H23" i="5"/>
  <c r="G23" i="8" s="1"/>
  <c r="J23" i="5"/>
  <c r="H23" i="8" s="1"/>
  <c r="H30" i="5"/>
  <c r="J30" i="5"/>
  <c r="H30" i="8" s="1"/>
  <c r="H29" i="5"/>
  <c r="G29" i="8" s="1"/>
  <c r="J29" i="5"/>
  <c r="H29" i="8" s="1"/>
  <c r="H28" i="5"/>
  <c r="G28" i="8" s="1"/>
  <c r="J28" i="5"/>
  <c r="H28" i="8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G6" i="8" s="1"/>
  <c r="J6" i="5"/>
  <c r="H6" i="8" s="1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4" i="7" l="1"/>
  <c r="D4" i="7" s="1"/>
  <c r="F26" i="6"/>
  <c r="B5" i="7"/>
  <c r="D5" i="7" s="1"/>
  <c r="G30" i="8"/>
  <c r="E13" i="6"/>
  <c r="B7" i="7"/>
  <c r="D7" i="7" s="1"/>
  <c r="G27" i="8"/>
  <c r="R27" i="8" s="1" a="1"/>
  <c r="R27" i="8" s="1"/>
  <c r="H26" i="8"/>
  <c r="B9" i="7"/>
  <c r="D9" i="7" s="1"/>
  <c r="I45" i="6"/>
  <c r="B13" i="7"/>
  <c r="D13" i="7" s="1"/>
  <c r="C37" i="6"/>
  <c r="B8" i="7"/>
  <c r="D8" i="7" s="1"/>
  <c r="G24" i="8"/>
  <c r="H17" i="6"/>
  <c r="C13" i="6"/>
  <c r="B10" i="7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5" i="7" l="1"/>
  <c r="R30" i="8" a="1"/>
  <c r="R30" i="8" s="1"/>
  <c r="R26" i="8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E36" i="6"/>
  <c r="D28" i="6" l="1"/>
  <c r="F31" i="8"/>
  <c r="F28" i="6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<sst xmlns="http://schemas.openxmlformats.org/spreadsheetml/2006/main" count="301" uniqueCount="102">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</sst>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Q31" sqref="Q31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>
        <f t="shared" si="4"/>
        <v>0</v>
      </c>
      <c r="I21" s="6" t="s">
        <v>17</v>
      </c>
      <c r="J21" s="66">
        <f t="shared" si="5"/>
        <v>2</v>
      </c>
      <c r="K21" s="94">
        <f t="shared" si="6"/>
        <v>0</v>
      </c>
      <c r="L21" s="101">
        <v>15</v>
      </c>
      <c r="M21" s="6" t="s">
        <v>17</v>
      </c>
      <c r="N21" s="102">
        <v>21</v>
      </c>
      <c r="O21" s="102">
        <v>15</v>
      </c>
      <c r="P21" s="6" t="s">
        <v>17</v>
      </c>
      <c r="Q21" s="102">
        <v>21</v>
      </c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>
        <f t="shared" si="4"/>
        <v>0</v>
      </c>
      <c r="I22" s="7" t="s">
        <v>17</v>
      </c>
      <c r="J22" s="67">
        <f t="shared" si="5"/>
        <v>2</v>
      </c>
      <c r="K22" s="98">
        <f t="shared" si="6"/>
        <v>0</v>
      </c>
      <c r="L22" s="99">
        <v>15</v>
      </c>
      <c r="M22" s="7" t="s">
        <v>17</v>
      </c>
      <c r="N22" s="100">
        <v>21</v>
      </c>
      <c r="O22" s="100">
        <v>15</v>
      </c>
      <c r="P22" s="7" t="s">
        <v>17</v>
      </c>
      <c r="Q22" s="100">
        <v>21</v>
      </c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>
        <f t="shared" si="4"/>
        <v>0</v>
      </c>
      <c r="I23" s="6" t="s">
        <v>17</v>
      </c>
      <c r="J23" s="66">
        <f t="shared" si="5"/>
        <v>2</v>
      </c>
      <c r="K23" s="94">
        <f t="shared" si="6"/>
        <v>0</v>
      </c>
      <c r="L23" s="101">
        <v>15</v>
      </c>
      <c r="M23" s="6" t="s">
        <v>17</v>
      </c>
      <c r="N23" s="102">
        <v>21</v>
      </c>
      <c r="O23" s="102">
        <v>15</v>
      </c>
      <c r="P23" s="6" t="s">
        <v>17</v>
      </c>
      <c r="Q23" s="102">
        <v>21</v>
      </c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>
        <f t="shared" si="4"/>
        <v>0</v>
      </c>
      <c r="I24" s="7" t="s">
        <v>17</v>
      </c>
      <c r="J24" s="67">
        <f t="shared" si="5"/>
        <v>2</v>
      </c>
      <c r="K24" s="98">
        <f t="shared" si="6"/>
        <v>0</v>
      </c>
      <c r="L24" s="99">
        <v>15</v>
      </c>
      <c r="M24" s="7" t="s">
        <v>17</v>
      </c>
      <c r="N24" s="100">
        <v>21</v>
      </c>
      <c r="O24" s="100">
        <v>15</v>
      </c>
      <c r="P24" s="7" t="s">
        <v>17</v>
      </c>
      <c r="Q24" s="100">
        <v>21</v>
      </c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Adamson / Müller</v>
      </c>
      <c r="H25" s="66">
        <f t="shared" si="4"/>
        <v>2</v>
      </c>
      <c r="I25" s="6" t="s">
        <v>17</v>
      </c>
      <c r="J25" s="66">
        <f t="shared" si="5"/>
        <v>0</v>
      </c>
      <c r="K25" s="94">
        <f t="shared" si="6"/>
        <v>0</v>
      </c>
      <c r="L25" s="101">
        <v>21</v>
      </c>
      <c r="M25" s="6" t="s">
        <v>17</v>
      </c>
      <c r="N25" s="102">
        <v>15</v>
      </c>
      <c r="O25" s="102">
        <v>21</v>
      </c>
      <c r="P25" s="6" t="s">
        <v>17</v>
      </c>
      <c r="Q25" s="102">
        <v>15</v>
      </c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Lendl / Kurzawa</v>
      </c>
      <c r="F26" s="7" t="s">
        <v>7</v>
      </c>
      <c r="G26" s="7" t="str">
        <f>IF($H$23=$J$23,CONCATENATE("Loser Match #",$A$23),IF($H$23&lt;$J$23,$E$23,$G$23))</f>
        <v>Allemann / Schaller</v>
      </c>
      <c r="H26" s="67">
        <f t="shared" si="4"/>
        <v>0</v>
      </c>
      <c r="I26" s="7" t="s">
        <v>17</v>
      </c>
      <c r="J26" s="67">
        <f t="shared" si="5"/>
        <v>2</v>
      </c>
      <c r="K26" s="98">
        <f t="shared" si="6"/>
        <v>0</v>
      </c>
      <c r="L26" s="99">
        <v>15</v>
      </c>
      <c r="M26" s="7" t="s">
        <v>17</v>
      </c>
      <c r="N26" s="100">
        <v>21</v>
      </c>
      <c r="O26" s="100">
        <v>15</v>
      </c>
      <c r="P26" s="7" t="s">
        <v>17</v>
      </c>
      <c r="Q26" s="100">
        <v>21</v>
      </c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2</v>
      </c>
      <c r="D27" s="93">
        <v>0.60416666666666663</v>
      </c>
      <c r="E27" s="6" t="str">
        <f>IF($H$25=$J$25,CONCATENATE("Winner Match #",$A$25),IF($H$25&gt;$J$25,$E$25,$G$25))</f>
        <v>Bothen / Arndt</v>
      </c>
      <c r="F27" s="6" t="s">
        <v>7</v>
      </c>
      <c r="G27" s="6" t="str">
        <f>IF($H$22=$J$22,CONCATENATE("Loser Match #",$A$22),IF($H$22&lt;$J$22,$E$22,$G$22))</f>
        <v>Baltermi / Hill Azpeitia</v>
      </c>
      <c r="H27" s="66">
        <f t="shared" si="4"/>
        <v>2</v>
      </c>
      <c r="I27" s="6" t="s">
        <v>17</v>
      </c>
      <c r="J27" s="66">
        <f t="shared" si="5"/>
        <v>0</v>
      </c>
      <c r="K27" s="94">
        <f t="shared" si="6"/>
        <v>0</v>
      </c>
      <c r="L27" s="101">
        <v>21</v>
      </c>
      <c r="M27" s="6" t="s">
        <v>17</v>
      </c>
      <c r="N27" s="102">
        <v>15</v>
      </c>
      <c r="O27" s="102">
        <v>21</v>
      </c>
      <c r="P27" s="6" t="s">
        <v>17</v>
      </c>
      <c r="Q27" s="102">
        <v>15</v>
      </c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3</v>
      </c>
      <c r="D28" s="97">
        <v>0.63541666666666663</v>
      </c>
      <c r="E28" s="7" t="str">
        <f>IF($H$22=$J$22,CONCATENATE("Winner Match #",$A$22),IF($H$22&gt;$J$22,$E$22,$G$22))</f>
        <v>Bosshard / Strebel</v>
      </c>
      <c r="F28" s="7" t="s">
        <v>7</v>
      </c>
      <c r="G28" s="7" t="str">
        <f>IF($H$26=$J$26,CONCATENATE("Winner Match #",$A$26),IF($H$26&gt;$J$26,$E$26,$G$26))</f>
        <v>Allemann / Schaller</v>
      </c>
      <c r="H28" s="67">
        <f t="shared" si="4"/>
        <v>0</v>
      </c>
      <c r="I28" s="7" t="s">
        <v>17</v>
      </c>
      <c r="J28" s="67">
        <f t="shared" si="5"/>
        <v>2</v>
      </c>
      <c r="K28" s="98">
        <f t="shared" si="6"/>
        <v>0</v>
      </c>
      <c r="L28" s="99">
        <v>15</v>
      </c>
      <c r="M28" s="7" t="s">
        <v>17</v>
      </c>
      <c r="N28" s="100">
        <v>21</v>
      </c>
      <c r="O28" s="100">
        <v>15</v>
      </c>
      <c r="P28" s="7" t="s">
        <v>17</v>
      </c>
      <c r="Q28" s="100">
        <v>21</v>
      </c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Addiechi / Flückiger</v>
      </c>
      <c r="F29" s="6" t="s">
        <v>7</v>
      </c>
      <c r="G29" s="6" t="str">
        <f>IF($H$27=$J$27,CONCATENATE("Winner Match #",$A$27),IF($H$27&gt;$J$27,$E$27,$G$27))</f>
        <v>Bothen / Arndt</v>
      </c>
      <c r="H29" s="66">
        <f t="shared" si="4"/>
        <v>2</v>
      </c>
      <c r="I29" s="6" t="s">
        <v>17</v>
      </c>
      <c r="J29" s="66">
        <f t="shared" si="5"/>
        <v>1</v>
      </c>
      <c r="K29" s="94">
        <f t="shared" si="6"/>
        <v>0</v>
      </c>
      <c r="L29" s="101">
        <v>21</v>
      </c>
      <c r="M29" s="6" t="s">
        <v>17</v>
      </c>
      <c r="N29" s="102">
        <v>15</v>
      </c>
      <c r="O29" s="102">
        <v>15</v>
      </c>
      <c r="P29" s="6" t="s">
        <v>17</v>
      </c>
      <c r="Q29" s="102">
        <v>21</v>
      </c>
      <c r="R29" s="92">
        <v>15</v>
      </c>
      <c r="S29" s="6" t="s">
        <v>17</v>
      </c>
      <c r="T29" s="92">
        <v>8</v>
      </c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Bosshard / Strebel</v>
      </c>
      <c r="F30" s="7" t="s">
        <v>7</v>
      </c>
      <c r="G30" s="7" t="str">
        <f>IF($H$29=$J$29,CONCATENATE("Loser Match #",$A$29),IF($H$29&lt;$J$29,$E$29,$G$29))</f>
        <v>Bothen / Arndt</v>
      </c>
      <c r="H30" s="67">
        <f>IF(L30=N30,"",SUM(IF(L30&gt;N30,1,0),IF(O30&gt;Q30,1,0),IF(R30&lt;=T30,0,1)))</f>
        <v>0</v>
      </c>
      <c r="I30" s="7" t="s">
        <v>17</v>
      </c>
      <c r="J30" s="67">
        <f>IF(L30=N30,"",SUM(IF(L30&lt;N30,1,0),IF(O30&lt;Q30,1,0),IF(R30&gt;=T30,0,1)))</f>
        <v>2</v>
      </c>
      <c r="K30" s="98">
        <f>SUM(V30-U30)</f>
        <v>0</v>
      </c>
      <c r="L30" s="99">
        <v>15</v>
      </c>
      <c r="M30" s="7" t="s">
        <v>17</v>
      </c>
      <c r="N30" s="100">
        <v>21</v>
      </c>
      <c r="O30" s="100">
        <v>15</v>
      </c>
      <c r="P30" s="7" t="s">
        <v>17</v>
      </c>
      <c r="Q30" s="100">
        <v>21</v>
      </c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3</v>
      </c>
      <c r="D31" s="93">
        <v>0.66666666666666663</v>
      </c>
      <c r="E31" s="6" t="str">
        <f>IF($H$28=$J$28,CONCATENATE("Winner Match #",$A$28),IF($H$28&gt;$J$28,$E$28,$G$28))</f>
        <v>Allemann / Schaller</v>
      </c>
      <c r="F31" s="6" t="s">
        <v>7</v>
      </c>
      <c r="G31" s="6" t="str">
        <f>IF($H$29=$J$29,CONCATENATE("Winner Match #",$A$29),IF($H$29&gt;$J$29,$E$29,$G$29))</f>
        <v>Addiechi / Flückiger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2"/>
  <sheetViews>
    <sheetView workbookViewId="0">
      <selection activeCell="E38" sqref="E38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>
        <f>Resultate!H21</f>
        <v>0</v>
      </c>
      <c r="H21">
        <f>Resultate!J21</f>
        <v>2</v>
      </c>
      <c r="I21" s="129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>
        <f>Resultate!H22</f>
        <v>0</v>
      </c>
      <c r="H22">
        <f>Resultate!J22</f>
        <v>2</v>
      </c>
      <c r="I22" s="129">
        <f>Resultate!K22</f>
        <v>0</v>
      </c>
      <c r="J22">
        <f>Resultate!L22</f>
        <v>15</v>
      </c>
      <c r="K22">
        <f>Resultate!N22</f>
        <v>21</v>
      </c>
      <c r="L22">
        <f>Resultate!O22</f>
        <v>15</v>
      </c>
      <c r="M22">
        <f>Resultate!Q22</f>
        <v>21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>
        <f>Resultate!H23</f>
        <v>0</v>
      </c>
      <c r="H23">
        <f>Resultate!J23</f>
        <v>2</v>
      </c>
      <c r="I23" s="129">
        <f>Resultate!K23</f>
        <v>0</v>
      </c>
      <c r="J23">
        <f>Resultate!L23</f>
        <v>15</v>
      </c>
      <c r="K23">
        <f>Resultate!N23</f>
        <v>21</v>
      </c>
      <c r="L23">
        <f>Resultate!O23</f>
        <v>15</v>
      </c>
      <c r="M23">
        <f>Resultate!Q23</f>
        <v>21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>
        <f>Resultate!H24</f>
        <v>0</v>
      </c>
      <c r="H24">
        <f>Resultate!J24</f>
        <v>2</v>
      </c>
      <c r="I24" s="129">
        <f>Resultate!K24</f>
        <v>0</v>
      </c>
      <c r="J24">
        <f>Resultate!L24</f>
        <v>15</v>
      </c>
      <c r="K24">
        <f>Resultate!N24</f>
        <v>21</v>
      </c>
      <c r="L24">
        <f>Resultate!O24</f>
        <v>15</v>
      </c>
      <c r="M24">
        <f>Resultate!Q24</f>
        <v>21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Adamson / Müller</v>
      </c>
      <c r="G25">
        <f>Resultate!H25</f>
        <v>2</v>
      </c>
      <c r="H25">
        <f>Resultate!J25</f>
        <v>0</v>
      </c>
      <c r="I25" s="129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Lendl / Kurzawa</v>
      </c>
      <c r="F26" t="str">
        <f>Resultate!G26</f>
        <v>Allemann / Schaller</v>
      </c>
      <c r="G26">
        <f>Resultate!H26</f>
        <v>0</v>
      </c>
      <c r="H26">
        <f>Resultate!J26</f>
        <v>2</v>
      </c>
      <c r="I26" s="129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2</v>
      </c>
      <c r="D27" s="129">
        <f>Resultate!D27</f>
        <v>0.60416666666666663</v>
      </c>
      <c r="E27" t="str">
        <f>Resultate!E27</f>
        <v>Bothen / Arndt</v>
      </c>
      <c r="F27" t="str">
        <f>Resultate!G27</f>
        <v>Baltermi / Hill Azpeitia</v>
      </c>
      <c r="G27">
        <f>Resultate!H27</f>
        <v>2</v>
      </c>
      <c r="H27">
        <f>Resultate!J27</f>
        <v>0</v>
      </c>
      <c r="I27" s="129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3</v>
      </c>
      <c r="D28" s="129">
        <f>Resultate!D28</f>
        <v>0.63541666666666663</v>
      </c>
      <c r="E28" t="str">
        <f>Resultate!E28</f>
        <v>Bosshard / Strebel</v>
      </c>
      <c r="F28" t="str">
        <f>Resultate!G28</f>
        <v>Allemann / Schaller</v>
      </c>
      <c r="G28">
        <f>Resultate!H28</f>
        <v>0</v>
      </c>
      <c r="H28">
        <f>Resultate!J28</f>
        <v>2</v>
      </c>
      <c r="I28" s="129">
        <f>Resultate!K28</f>
        <v>0</v>
      </c>
      <c r="J28">
        <f>Resultate!L28</f>
        <v>15</v>
      </c>
      <c r="K28">
        <f>Resultate!N28</f>
        <v>21</v>
      </c>
      <c r="L28">
        <f>Resultate!O28</f>
        <v>15</v>
      </c>
      <c r="M28">
        <f>Resultate!Q28</f>
        <v>21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Addiechi / Flückiger</v>
      </c>
      <c r="F29" t="str">
        <f>Resultate!G29</f>
        <v>Bothen / Arndt</v>
      </c>
      <c r="G29">
        <f>Resultate!H29</f>
        <v>2</v>
      </c>
      <c r="H29">
        <f>Resultate!J29</f>
        <v>1</v>
      </c>
      <c r="I29" s="129">
        <f>Resultate!K29</f>
        <v>0</v>
      </c>
      <c r="J29">
        <f>Resultate!L29</f>
        <v>21</v>
      </c>
      <c r="K29">
        <f>Resultate!N29</f>
        <v>15</v>
      </c>
      <c r="L29">
        <f>Resultate!O29</f>
        <v>15</v>
      </c>
      <c r="M29">
        <f>Resultate!Q29</f>
        <v>21</v>
      </c>
      <c r="N29">
        <f>Resultate!R29</f>
        <v>15</v>
      </c>
      <c r="O29">
        <f>Resultate!T29</f>
        <v>8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Bosshard / Strebel</v>
      </c>
      <c r="F30" t="str">
        <f>Resultate!G30</f>
        <v>Bothen / Arndt</v>
      </c>
      <c r="G30">
        <f>Resultate!H30</f>
        <v>0</v>
      </c>
      <c r="H30">
        <f>Resultate!J30</f>
        <v>2</v>
      </c>
      <c r="I30" s="129">
        <f>Resultate!K30</f>
        <v>0</v>
      </c>
      <c r="J30">
        <f>Resultate!L30</f>
        <v>15</v>
      </c>
      <c r="K30">
        <f>Resultate!N30</f>
        <v>21</v>
      </c>
      <c r="L30">
        <f>Resultate!O30</f>
        <v>15</v>
      </c>
      <c r="M30">
        <f>Resultate!Q30</f>
        <v>21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0" t="s">
        <v>96</v>
      </c>
    </row>
    <row r="31" spans="1:19" x14ac:dyDescent="0.35">
      <c r="A31">
        <f>Resultate!A31</f>
        <v>30</v>
      </c>
      <c r="B31" s="130" t="str">
        <f>Resultate!B31</f>
        <v>F</v>
      </c>
      <c r="C31">
        <f>Resultate!C31</f>
        <v>3</v>
      </c>
      <c r="D31" s="129">
        <f>Resultate!D31</f>
        <v>0.66666666666666663</v>
      </c>
      <c r="E31" t="str">
        <f>Resultate!E31</f>
        <v>Allemann / Schaller</v>
      </c>
      <c r="F31" t="str">
        <f>Resultate!G31</f>
        <v>Addiechi / Flückiger</v>
      </c>
      <c r="G31" t="str">
        <f>Resultate!H31</f>
        <v/>
      </c>
      <c r="H31" t="str">
        <f>Resultate!J31</f>
        <v/>
      </c>
      <c r="I31" s="129">
        <f>Resultate!K31</f>
        <v>0</v>
      </c>
      <c r="J31">
        <f>Resultate!L31</f>
        <v>0</v>
      </c>
      <c r="K31">
        <f>Resultate!N31</f>
        <v>0</v>
      </c>
      <c r="L31">
        <f>Resultate!O31</f>
        <v>0</v>
      </c>
      <c r="M31">
        <f>Resultate!Q31</f>
        <v>0</v>
      </c>
      <c r="N31">
        <f>Resultate!R31</f>
        <v>0</v>
      </c>
      <c r="O31">
        <f>Resultate!T31</f>
        <v>0</v>
      </c>
      <c r="P31" s="129">
        <f>Resultate!U31</f>
        <v>0</v>
      </c>
      <c r="Q31" s="129">
        <f>Resultate!V31</f>
        <v>0</v>
      </c>
      <c r="R31" t="str" cm="1">
        <f t="array" ref="R31">IF(C31=0,"",_xlfn.LET(
_xlpm.court,$C31,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_xlpm.currBlank,AND($G31="",$H31=""),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1" t="s">
        <v>96</v>
      </c>
    </row>
    <row r="32" spans="1:19" x14ac:dyDescent="0.35">
      <c r="P32" s="129"/>
      <c r="Q32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C61" sqref="C61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Allemann / Schaller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Bosshard / Strebel </v>
      </c>
      <c r="E12" s="20" t="str">
        <f>CONCATENATE("",Resultate!$A$28,"")</f>
        <v>27</v>
      </c>
      <c r="F12" s="14" t="str">
        <f>CONCATENATE(Resultate!$G$28," ")</f>
        <v xml:space="preserve">Allemann / Schaller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(0 : 2)</v>
      </c>
      <c r="D13" s="22"/>
      <c r="E13" s="117" t="str">
        <f>CONCATENATE("(",Resultate!$H$28," : ",Resultate!$J$28,")")</f>
        <v>(0 : 2)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Lendl / Kurzawa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(0 : 2)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Allemann / Schaller </v>
      </c>
      <c r="E20" s="122"/>
      <c r="F20" s="121" t="str">
        <f>CONCATENATE(Resultate!$E$30," ")</f>
        <v xml:space="preserve">Bosshard / Strebel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(0 : 2)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Addiechi / Flückiger </v>
      </c>
      <c r="F28" s="125" t="str">
        <f>CONCATENATE(Resultate!$G$30," ")</f>
        <v xml:space="preserve">Bothen / Arndt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Baltermi / Hill Azpeitia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Addiechi / Flückiger </v>
      </c>
      <c r="E36" s="128" t="str">
        <f>CONCATENATE("",Resultate!$A$29,"")</f>
        <v>28</v>
      </c>
      <c r="F36" s="14" t="str">
        <f>CONCATENATE(Resultate!$G$29," ")</f>
        <v xml:space="preserve">Bothen / Arndt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(0 : 2)</v>
      </c>
      <c r="D37" s="22"/>
      <c r="E37" s="36" t="str">
        <f>CONCATENATE("(",Resultate!$H$29," : ",Resultate!$J$29,")")</f>
        <v>(2 : 1)</v>
      </c>
      <c r="F37" s="26"/>
      <c r="G37" s="23" t="str">
        <f>CONCATENATE("(",Resultate!$J$27," : ",Resultate!$H$27,")")</f>
        <v>(0 : 2)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Bothen / Arndt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Adamson / Müller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Bothen / Arndt</v>
      </c>
      <c r="C4" s="2" t="str">
        <f>IF(B4="3. Rang","mal schauen",VLOOKUP(B4,Anmeldung!$L$2:$M$17,2,FALSE))</f>
        <v>Jacob Bothen / Tommy Arndt</v>
      </c>
      <c r="D4" s="42">
        <f>IF(B4="3. Rang","zu Hause",VLOOKUP(B4,Anmeldung!$I$2:$J$17,2,FALSE))</f>
        <v>0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Bosshard / Strebel</v>
      </c>
      <c r="C5" s="2" t="str">
        <f>IF(B5="4. Rang","mal schauen",VLOOKUP(B5,Anmeldung!$L$2:$M$17,2,FALSE))</f>
        <v>Julian Bosshard / Raphael Strebel</v>
      </c>
      <c r="D5" s="42">
        <f>IF(B5="4. Rang","zu Hause",VLOOKUP(B5,Anmeldung!$I$2:$J$17,2,FALSE))</f>
        <v>0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Lendl / Kurzawa</v>
      </c>
      <c r="C6" s="2" t="str">
        <f>IF(B6="5. Rang","mal schauen",VLOOKUP(B6,Anmeldung!$L$2:$M$17,2,FALSE))</f>
        <v>Patrick Lendl / Kacper Kurzawa</v>
      </c>
      <c r="D6" s="42">
        <f>IF(B6="5. Rang","zu Hause",VLOOKUP(B6,Anmeldung!$I$2:$J$17,2,FALSE))</f>
        <v>0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Baltermi / Hill Azpeitia</v>
      </c>
      <c r="C7" s="2" t="str">
        <f>IF(B7="5. Rang","mal schauen",VLOOKUP(B7,Anmeldung!$L$2:$M$17,2,FALSE))</f>
        <v>Andrin Baltermi / Oscar Hill Azpeitia</v>
      </c>
      <c r="D7" s="42">
        <f>IF(B7="5. Rang","zu Hause",VLOOKUP(B7,Anmeldung!$I$2:$J$17,2,FALSE))</f>
        <v>0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Charkin / Hrytsuk</v>
      </c>
      <c r="C8" s="2" t="str">
        <f>IF(B8="7. Rang","mal schauen",VLOOKUP(B8,Anmeldung!$L$2:$M$17,2,FALSE))</f>
        <v>Kanstantsin Charkin / Yury Hrytsuk</v>
      </c>
      <c r="D8" s="42">
        <f>IF(B8="7. Rang","zu Hause",VLOOKUP(B8,Anmeldung!$I$2:$J$17,2,FALSE))</f>
        <v>0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Adamson / Müller</v>
      </c>
      <c r="C9" s="2" t="str">
        <f>IF(B9="7. Rang","mal schauen",VLOOKUP(B9,Anmeldung!$L$2:$M$17,2,FALSE))</f>
        <v>Roberto Adamson / Alexander Müller</v>
      </c>
      <c r="D9" s="42">
        <f>IF(B9="7. Rang","zu Hause",VLOOKUP(B9,Anmeldung!$I$2:$J$17,2,FALSE))</f>
        <v>0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Mikami / Hofmann</v>
      </c>
      <c r="C13" s="2" t="str">
        <f>IF(B13="9. Rang","mal schauen",VLOOKUP(B13,Anmeldung!$L$2:$M$17,2,FALSE))</f>
        <v>Toshiki Mikami / Yannick Hofmann</v>
      </c>
      <c r="D13" s="42">
        <f>IF(B13="9. Rang","zu Hause",VLOOKUP(B13,Anmeldung!$I$2:$J$17,2,FALSE))</f>
        <v>0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2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