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15E3D4EE-68C3-4BBE-860C-6F4ED1D3DFAB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J1" i="8" l="1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I7" i="8"/>
  <c r="J7" i="8"/>
  <c r="K7" i="8"/>
  <c r="L7" i="8"/>
  <c r="A8" i="8"/>
  <c r="B8" i="8"/>
  <c r="D8" i="8"/>
  <c r="I8" i="8"/>
  <c r="J8" i="8"/>
  <c r="K8" i="8"/>
  <c r="L8" i="8"/>
  <c r="A9" i="8"/>
  <c r="B9" i="8"/>
  <c r="D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I11" i="8"/>
  <c r="J11" i="8"/>
  <c r="K11" i="8"/>
  <c r="L11" i="8"/>
  <c r="A12" i="8"/>
  <c r="B12" i="8"/>
  <c r="D12" i="8"/>
  <c r="I12" i="8"/>
  <c r="J12" i="8"/>
  <c r="K12" i="8"/>
  <c r="L12" i="8"/>
  <c r="A13" i="8"/>
  <c r="B13" i="8"/>
  <c r="D13" i="8"/>
  <c r="I13" i="8"/>
  <c r="J13" i="8"/>
  <c r="K13" i="8"/>
  <c r="L13" i="8"/>
  <c r="A14" i="8"/>
  <c r="B14" i="8"/>
  <c r="D14" i="8"/>
  <c r="I14" i="8"/>
  <c r="J14" i="8"/>
  <c r="K14" i="8"/>
  <c r="L14" i="8"/>
  <c r="A15" i="8"/>
  <c r="B15" i="8"/>
  <c r="D15" i="8"/>
  <c r="I15" i="8"/>
  <c r="J15" i="8"/>
  <c r="K15" i="8"/>
  <c r="L15" i="8"/>
  <c r="A16" i="8"/>
  <c r="B16" i="8"/>
  <c r="D16" i="8"/>
  <c r="I16" i="8"/>
  <c r="J16" i="8"/>
  <c r="K16" i="8"/>
  <c r="L16" i="8"/>
  <c r="A17" i="8"/>
  <c r="B17" i="8"/>
  <c r="C17" i="8"/>
  <c r="D17" i="8"/>
  <c r="I17" i="8"/>
  <c r="J17" i="8"/>
  <c r="K17" i="8"/>
  <c r="L17" i="8"/>
  <c r="A18" i="8"/>
  <c r="B18" i="8"/>
  <c r="C18" i="8"/>
  <c r="D18" i="8"/>
  <c r="I18" i="8"/>
  <c r="J18" i="8"/>
  <c r="K18" i="8"/>
  <c r="L18" i="8"/>
  <c r="A19" i="8"/>
  <c r="B19" i="8"/>
  <c r="C19" i="8"/>
  <c r="D19" i="8"/>
  <c r="H19" i="8"/>
  <c r="I19" i="8"/>
  <c r="J19" i="8"/>
  <c r="K19" i="8"/>
  <c r="L19" i="8"/>
  <c r="A20" i="8"/>
  <c r="B20" i="8"/>
  <c r="C20" i="8"/>
  <c r="D20" i="8"/>
  <c r="I20" i="8"/>
  <c r="J20" i="8"/>
  <c r="K20" i="8"/>
  <c r="L20" i="8"/>
  <c r="A21" i="8"/>
  <c r="B21" i="8"/>
  <c r="C21" i="8"/>
  <c r="D21" i="8"/>
  <c r="I21" i="8"/>
  <c r="J21" i="8"/>
  <c r="K21" i="8"/>
  <c r="L21" i="8"/>
  <c r="A22" i="8"/>
  <c r="B22" i="8"/>
  <c r="C22" i="8"/>
  <c r="D22" i="8"/>
  <c r="G22" i="8"/>
  <c r="I22" i="8"/>
  <c r="J22" i="8"/>
  <c r="K22" i="8"/>
  <c r="L22" i="8"/>
  <c r="A23" i="8"/>
  <c r="B23" i="8"/>
  <c r="C23" i="8"/>
  <c r="D23" i="8"/>
  <c r="I23" i="8"/>
  <c r="J23" i="8"/>
  <c r="K23" i="8"/>
  <c r="L23" i="8"/>
  <c r="A24" i="8"/>
  <c r="B24" i="8"/>
  <c r="C24" i="8"/>
  <c r="D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J13" i="5"/>
  <c r="H13" i="8" s="1"/>
  <c r="H12" i="5"/>
  <c r="G12" i="8" s="1"/>
  <c r="J12" i="5"/>
  <c r="J19" i="6" s="1"/>
  <c r="B16" i="7"/>
  <c r="D16" i="7" s="1"/>
  <c r="H11" i="5"/>
  <c r="G11" i="8" s="1"/>
  <c r="J11" i="5"/>
  <c r="H21" i="5"/>
  <c r="G21" i="8" s="1"/>
  <c r="J21" i="5"/>
  <c r="H21" i="8" s="1"/>
  <c r="H20" i="5"/>
  <c r="G20" i="8" s="1"/>
  <c r="J20" i="5"/>
  <c r="B12" i="7" s="1"/>
  <c r="D12" i="7" s="1"/>
  <c r="H19" i="5"/>
  <c r="G19" i="8" s="1"/>
  <c r="J19" i="5"/>
  <c r="H18" i="5"/>
  <c r="J18" i="5"/>
  <c r="H18" i="8" s="1"/>
  <c r="H25" i="5"/>
  <c r="J25" i="5"/>
  <c r="B9" i="7"/>
  <c r="D9" i="7" s="1"/>
  <c r="H24" i="5"/>
  <c r="J24" i="5"/>
  <c r="H27" i="5"/>
  <c r="B7" i="7" s="1"/>
  <c r="D7" i="7" s="1"/>
  <c r="J27" i="5"/>
  <c r="H26" i="5"/>
  <c r="J26" i="5"/>
  <c r="B6" i="7" s="1"/>
  <c r="H23" i="5"/>
  <c r="G23" i="8" s="1"/>
  <c r="J23" i="5"/>
  <c r="H23" i="8" s="1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J17" i="5"/>
  <c r="H17" i="8" s="1"/>
  <c r="H9" i="5"/>
  <c r="G9" i="8" s="1"/>
  <c r="J9" i="5"/>
  <c r="H9" i="8" s="1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8" i="8" s="1"/>
  <c r="H16" i="5"/>
  <c r="G16" i="8" s="1"/>
  <c r="J16" i="5"/>
  <c r="H16" i="8" s="1"/>
  <c r="I8" i="4"/>
  <c r="E8" i="5" s="1"/>
  <c r="A37" i="6" s="1"/>
  <c r="H4" i="5"/>
  <c r="G4" i="8" s="1"/>
  <c r="H4" i="8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H22" i="8" s="1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J15" i="5"/>
  <c r="H15" i="8" s="1"/>
  <c r="I14" i="4"/>
  <c r="E5" i="5" s="1"/>
  <c r="A19" i="6" s="1"/>
  <c r="I13" i="4"/>
  <c r="G4" i="5" s="1"/>
  <c r="A17" i="6" s="1"/>
  <c r="H14" i="5"/>
  <c r="G14" i="8" s="1"/>
  <c r="J14" i="5"/>
  <c r="H14" i="8" s="1"/>
  <c r="E13" i="6"/>
  <c r="I6" i="4"/>
  <c r="E4" i="5" s="1"/>
  <c r="A13" i="6" s="1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I45" i="6" l="1"/>
  <c r="B13" i="7"/>
  <c r="D13" i="7" s="1"/>
  <c r="C37" i="6"/>
  <c r="B8" i="7"/>
  <c r="D8" i="7" s="1"/>
  <c r="G24" i="8"/>
  <c r="H17" i="6"/>
  <c r="C13" i="6"/>
  <c r="B10" i="7"/>
  <c r="D10" i="7" s="1"/>
  <c r="G18" i="8"/>
  <c r="I37" i="6"/>
  <c r="H20" i="8"/>
  <c r="R20" i="8" s="1" a="1"/>
  <c r="R20" i="8" s="1"/>
  <c r="B11" i="7"/>
  <c r="D11" i="7" s="1"/>
  <c r="R28" i="8" a="1"/>
  <c r="R28" i="8" s="1"/>
  <c r="B43" i="6"/>
  <c r="G17" i="8"/>
  <c r="R23" i="8" s="1" a="1"/>
  <c r="R23" i="8" s="1"/>
  <c r="R29" i="8" a="1"/>
  <c r="R29" i="8" s="1"/>
  <c r="R27" i="8" a="1"/>
  <c r="R27" i="8" s="1"/>
  <c r="R30" i="8" a="1"/>
  <c r="R30" i="8" s="1"/>
  <c r="B19" i="6"/>
  <c r="G15" i="8"/>
  <c r="R22" i="8" s="1" a="1"/>
  <c r="R22" i="8" s="1"/>
  <c r="H12" i="8"/>
  <c r="B17" i="7"/>
  <c r="J11" i="6"/>
  <c r="G13" i="8"/>
  <c r="J35" i="6"/>
  <c r="H11" i="8"/>
  <c r="A40" i="6"/>
  <c r="G8" i="8"/>
  <c r="A28" i="6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5" i="8" a="1"/>
  <c r="R25" i="8" s="1"/>
  <c r="R18" i="8" a="1"/>
  <c r="R18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R26" i="8" l="1" a="1"/>
  <c r="R26" i="8" s="1"/>
  <c r="R15" i="8" a="1"/>
  <c r="R15" i="8" s="1"/>
  <c r="R16" i="8" a="1"/>
  <c r="R16" i="8" s="1"/>
  <c r="C14" i="7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<sst xmlns="http://schemas.openxmlformats.org/spreadsheetml/2006/main" count="300" uniqueCount="102">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</sst>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R24" sqref="R24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>
        <f t="shared" si="2"/>
        <v>2</v>
      </c>
      <c r="I7" s="5" t="s">
        <v>17</v>
      </c>
      <c r="J7" s="65">
        <f t="shared" si="3"/>
        <v>0</v>
      </c>
      <c r="K7" s="90">
        <f t="shared" si="0"/>
        <v>0</v>
      </c>
      <c r="L7" s="83">
        <v>21</v>
      </c>
      <c r="M7" s="5" t="s">
        <v>17</v>
      </c>
      <c r="N7" s="81">
        <v>15</v>
      </c>
      <c r="O7" s="81">
        <v>21</v>
      </c>
      <c r="P7" s="5" t="s">
        <v>17</v>
      </c>
      <c r="Q7" s="81">
        <v>15</v>
      </c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>
        <f t="shared" si="2"/>
        <v>0</v>
      </c>
      <c r="I8" s="5" t="s">
        <v>17</v>
      </c>
      <c r="J8" s="65">
        <f t="shared" si="3"/>
        <v>2</v>
      </c>
      <c r="K8" s="90">
        <f t="shared" si="0"/>
        <v>0</v>
      </c>
      <c r="L8" s="83">
        <v>15</v>
      </c>
      <c r="M8" s="5" t="s">
        <v>17</v>
      </c>
      <c r="N8" s="81">
        <v>21</v>
      </c>
      <c r="O8" s="81">
        <v>15</v>
      </c>
      <c r="P8" s="5" t="s">
        <v>17</v>
      </c>
      <c r="Q8" s="81">
        <v>21</v>
      </c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>
        <f t="shared" si="2"/>
        <v>0</v>
      </c>
      <c r="I9" s="6" t="s">
        <v>17</v>
      </c>
      <c r="J9" s="66">
        <f t="shared" si="3"/>
        <v>2</v>
      </c>
      <c r="K9" s="94">
        <f t="shared" si="0"/>
        <v>0</v>
      </c>
      <c r="L9" s="101">
        <v>19</v>
      </c>
      <c r="M9" s="6" t="s">
        <v>17</v>
      </c>
      <c r="N9" s="102">
        <v>21</v>
      </c>
      <c r="O9" s="102">
        <v>15</v>
      </c>
      <c r="P9" s="6" t="s">
        <v>17</v>
      </c>
      <c r="Q9" s="102">
        <v>21</v>
      </c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>
        <v>0</v>
      </c>
      <c r="M10" s="7" t="s">
        <v>17</v>
      </c>
      <c r="N10" s="100">
        <v>21</v>
      </c>
      <c r="O10" s="100">
        <v>0</v>
      </c>
      <c r="P10" s="7" t="s">
        <v>17</v>
      </c>
      <c r="Q10" s="100">
        <v>21</v>
      </c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3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>
        <f t="shared" si="2"/>
        <v>2</v>
      </c>
      <c r="I11" s="5" t="s">
        <v>17</v>
      </c>
      <c r="J11" s="65">
        <f t="shared" si="3"/>
        <v>0</v>
      </c>
      <c r="K11" s="90">
        <f t="shared" si="0"/>
        <v>0</v>
      </c>
      <c r="L11" s="83">
        <v>21</v>
      </c>
      <c r="M11" s="5" t="s">
        <v>17</v>
      </c>
      <c r="N11" s="81">
        <v>15</v>
      </c>
      <c r="O11" s="81">
        <v>21</v>
      </c>
      <c r="P11" s="5" t="s">
        <v>17</v>
      </c>
      <c r="Q11" s="81">
        <v>15</v>
      </c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2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Lendl / Kurzawa</v>
      </c>
      <c r="H12" s="65">
        <f t="shared" si="2"/>
        <v>0</v>
      </c>
      <c r="I12" s="5" t="s">
        <v>17</v>
      </c>
      <c r="J12" s="65">
        <f t="shared" si="3"/>
        <v>2</v>
      </c>
      <c r="K12" s="90">
        <f t="shared" si="0"/>
        <v>0</v>
      </c>
      <c r="L12" s="83">
        <v>15</v>
      </c>
      <c r="M12" s="5" t="s">
        <v>17</v>
      </c>
      <c r="N12" s="81">
        <v>21</v>
      </c>
      <c r="O12" s="81">
        <v>15</v>
      </c>
      <c r="P12" s="5" t="s">
        <v>17</v>
      </c>
      <c r="Q12" s="81">
        <v>21</v>
      </c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Charkin / Hrytsuk</v>
      </c>
      <c r="F13" s="6" t="s">
        <v>7</v>
      </c>
      <c r="G13" s="6" t="str">
        <f>IF($H$9=$J$9,CONCATENATE("Loser Match #",$A$9),IF($H$9&lt;$J$9,$E$9,$G$9))</f>
        <v>Dürst / Dürst</v>
      </c>
      <c r="H13" s="66">
        <f t="shared" si="2"/>
        <v>2</v>
      </c>
      <c r="I13" s="6" t="s">
        <v>17</v>
      </c>
      <c r="J13" s="66">
        <f t="shared" si="3"/>
        <v>0</v>
      </c>
      <c r="K13" s="94">
        <f t="shared" si="0"/>
        <v>0</v>
      </c>
      <c r="L13" s="101">
        <v>21</v>
      </c>
      <c r="M13" s="6" t="s">
        <v>17</v>
      </c>
      <c r="N13" s="102">
        <v>15</v>
      </c>
      <c r="O13" s="102">
        <v>21</v>
      </c>
      <c r="P13" s="6" t="s">
        <v>17</v>
      </c>
      <c r="Q13" s="102">
        <v>15</v>
      </c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3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>
        <f t="shared" si="2"/>
        <v>2</v>
      </c>
      <c r="I14" s="7" t="s">
        <v>17</v>
      </c>
      <c r="J14" s="67">
        <f t="shared" si="3"/>
        <v>0</v>
      </c>
      <c r="K14" s="98">
        <f t="shared" si="0"/>
        <v>0</v>
      </c>
      <c r="L14" s="99">
        <v>21</v>
      </c>
      <c r="M14" s="7" t="s">
        <v>17</v>
      </c>
      <c r="N14" s="100">
        <v>15</v>
      </c>
      <c r="O14" s="100">
        <v>21</v>
      </c>
      <c r="P14" s="7" t="s">
        <v>17</v>
      </c>
      <c r="Q14" s="100">
        <v>15</v>
      </c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1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>
        <f t="shared" si="2"/>
        <v>2</v>
      </c>
      <c r="I15" s="5" t="s">
        <v>17</v>
      </c>
      <c r="J15" s="65">
        <f t="shared" si="3"/>
        <v>0</v>
      </c>
      <c r="K15" s="90">
        <f t="shared" si="0"/>
        <v>0</v>
      </c>
      <c r="L15" s="83">
        <v>21</v>
      </c>
      <c r="M15" s="5" t="s">
        <v>17</v>
      </c>
      <c r="N15" s="81">
        <v>15</v>
      </c>
      <c r="O15" s="81">
        <v>21</v>
      </c>
      <c r="P15" s="5" t="s">
        <v>17</v>
      </c>
      <c r="Q15" s="81">
        <v>15</v>
      </c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3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Bothen / Arndt</v>
      </c>
      <c r="H16" s="65">
        <f t="shared" ref="H16:H29" si="4">IF(L16=N16,"",SUM(IF(L16&gt;N16,1,0),IF(O16&gt;Q16,1,0),IF(R16&lt;=T16,0,1)))</f>
        <v>2</v>
      </c>
      <c r="I16" s="5" t="s">
        <v>17</v>
      </c>
      <c r="J16" s="65">
        <f t="shared" ref="J16:J29" si="5">IF(L16=N16,"",SUM(IF(L16&lt;N16,1,0),IF(O16&lt;Q16,1,0),IF(R16&gt;=T16,0,1)))</f>
        <v>0</v>
      </c>
      <c r="K16" s="90">
        <f t="shared" ref="K16:K29" si="6">SUM(V16-U16)</f>
        <v>0</v>
      </c>
      <c r="L16" s="83">
        <v>21</v>
      </c>
      <c r="M16" s="5" t="s">
        <v>17</v>
      </c>
      <c r="N16" s="81">
        <v>15</v>
      </c>
      <c r="O16" s="81">
        <v>21</v>
      </c>
      <c r="P16" s="5" t="s">
        <v>17</v>
      </c>
      <c r="Q16" s="81">
        <v>15</v>
      </c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Addiechi / Flückiger</v>
      </c>
      <c r="F17" s="6" t="s">
        <v>7</v>
      </c>
      <c r="G17" s="6" t="str">
        <f>IF($H$9=$J$9,CONCATENATE("Winner Match #",$A$9),IF($H$9&gt;$J$9,$E$9,$G$9))</f>
        <v>Adamson / Müller</v>
      </c>
      <c r="H17" s="66">
        <f t="shared" si="4"/>
        <v>2</v>
      </c>
      <c r="I17" s="6" t="s">
        <v>17</v>
      </c>
      <c r="J17" s="66">
        <f t="shared" si="5"/>
        <v>0</v>
      </c>
      <c r="K17" s="94">
        <f t="shared" si="6"/>
        <v>0</v>
      </c>
      <c r="L17" s="101">
        <v>21</v>
      </c>
      <c r="M17" s="6" t="s">
        <v>17</v>
      </c>
      <c r="N17" s="102">
        <v>15</v>
      </c>
      <c r="O17" s="102">
        <v>21</v>
      </c>
      <c r="P17" s="6" t="s">
        <v>17</v>
      </c>
      <c r="Q17" s="102">
        <v>15</v>
      </c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1</v>
      </c>
      <c r="D18" s="97">
        <v>0.53125</v>
      </c>
      <c r="E18" s="7" t="str">
        <f>IF($H$13=$J$13,CONCATENATE("Winner Match #",$A$13),IF($H$13&gt;$J$13,$E$13,$G$13))</f>
        <v>Charkin / Hrytsuk</v>
      </c>
      <c r="F18" s="7" t="s">
        <v>7</v>
      </c>
      <c r="G18" s="7" t="str">
        <f>IF($H$14=$J$14,CONCATENATE("Loser Match #",$A$14),IF($H$14&lt;$J$14,$E$14,$G$14))</f>
        <v>Raffi / Röthlisberger</v>
      </c>
      <c r="H18" s="67">
        <f t="shared" si="4"/>
        <v>2</v>
      </c>
      <c r="I18" s="7" t="s">
        <v>17</v>
      </c>
      <c r="J18" s="67">
        <f t="shared" si="5"/>
        <v>1</v>
      </c>
      <c r="K18" s="98">
        <f t="shared" si="6"/>
        <v>0</v>
      </c>
      <c r="L18" s="99">
        <v>21</v>
      </c>
      <c r="M18" s="7" t="s">
        <v>17</v>
      </c>
      <c r="N18" s="100">
        <v>15</v>
      </c>
      <c r="O18" s="100">
        <v>15</v>
      </c>
      <c r="P18" s="7" t="s">
        <v>17</v>
      </c>
      <c r="Q18" s="100">
        <v>21</v>
      </c>
      <c r="R18" s="96">
        <v>15</v>
      </c>
      <c r="S18" s="7" t="s">
        <v>17</v>
      </c>
      <c r="T18" s="96">
        <v>8</v>
      </c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2</v>
      </c>
      <c r="D19" s="93">
        <v>0.5625</v>
      </c>
      <c r="E19" s="5" t="str">
        <f>IF($H$12=$J$12,CONCATENATE("Winner Match #",$A$12),IF($H$12&gt;$J$12,$E$12,$G$12))</f>
        <v>Lendl / Kurzawa</v>
      </c>
      <c r="F19" s="5" t="s">
        <v>7</v>
      </c>
      <c r="G19" s="5" t="str">
        <f>IF($H$15=$J$15,CONCATENATE("Loser Match #",$A$15),IF($H$15&lt;$J$15,$E$15,$G$15))</f>
        <v>Stöckli / Stöckli</v>
      </c>
      <c r="H19" s="65">
        <f t="shared" si="4"/>
        <v>2</v>
      </c>
      <c r="I19" s="5" t="s">
        <v>17</v>
      </c>
      <c r="J19" s="65">
        <f t="shared" si="5"/>
        <v>0</v>
      </c>
      <c r="K19" s="90">
        <f t="shared" si="6"/>
        <v>0</v>
      </c>
      <c r="L19" s="83">
        <v>21</v>
      </c>
      <c r="M19" s="5" t="s">
        <v>17</v>
      </c>
      <c r="N19" s="81">
        <v>15</v>
      </c>
      <c r="O19" s="81">
        <v>21</v>
      </c>
      <c r="P19" s="5" t="s">
        <v>17</v>
      </c>
      <c r="Q19" s="81">
        <v>15</v>
      </c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3</v>
      </c>
      <c r="D20" s="93">
        <v>0.5625</v>
      </c>
      <c r="E20" s="5" t="str">
        <f>IF($H$11=$J$11,CONCATENATE("Winner Match #",$A$11),IF($H$11&gt;$J$11,$E$11,$G$11))</f>
        <v>Sieber / Müller</v>
      </c>
      <c r="F20" s="5" t="s">
        <v>7</v>
      </c>
      <c r="G20" s="5" t="str">
        <f>IF($H$16=$J$16,CONCATENATE("Loser Match #",$A$16),IF($H$16&lt;$J$16,$E$16,$G$16))</f>
        <v>Bothen / Arndt</v>
      </c>
      <c r="H20" s="65">
        <f t="shared" si="4"/>
        <v>0</v>
      </c>
      <c r="I20" s="5" t="s">
        <v>17</v>
      </c>
      <c r="J20" s="65">
        <f t="shared" si="5"/>
        <v>2</v>
      </c>
      <c r="K20" s="90">
        <f t="shared" si="6"/>
        <v>0</v>
      </c>
      <c r="L20" s="83">
        <v>15</v>
      </c>
      <c r="M20" s="5" t="s">
        <v>17</v>
      </c>
      <c r="N20" s="81">
        <v>21</v>
      </c>
      <c r="O20" s="81">
        <v>15</v>
      </c>
      <c r="P20" s="5" t="s">
        <v>17</v>
      </c>
      <c r="Q20" s="81">
        <v>21</v>
      </c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2</v>
      </c>
      <c r="D21" s="93">
        <v>0.5625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Adamson / Müller</v>
      </c>
      <c r="H21" s="66">
        <f t="shared" si="4"/>
        <v>0</v>
      </c>
      <c r="I21" s="6" t="s">
        <v>17</v>
      </c>
      <c r="J21" s="66">
        <f t="shared" si="5"/>
        <v>2</v>
      </c>
      <c r="K21" s="94">
        <f t="shared" si="6"/>
        <v>0</v>
      </c>
      <c r="L21" s="101">
        <v>15</v>
      </c>
      <c r="M21" s="6" t="s">
        <v>17</v>
      </c>
      <c r="N21" s="102">
        <v>21</v>
      </c>
      <c r="O21" s="102">
        <v>15</v>
      </c>
      <c r="P21" s="6" t="s">
        <v>17</v>
      </c>
      <c r="Q21" s="102">
        <v>21</v>
      </c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3</v>
      </c>
      <c r="D22" s="80">
        <v>0.59375</v>
      </c>
      <c r="E22" s="7" t="str">
        <f>IF($H$14=$J$14,CONCATENATE("Winner Match #",$A$14),IF($H$14&gt;$J$14,$E$14,$G$14))</f>
        <v>Baltermi / Hill Azpeitia</v>
      </c>
      <c r="F22" s="7" t="s">
        <v>7</v>
      </c>
      <c r="G22" s="7" t="str">
        <f>IF($H$15=$J$15,CONCATENATE("Winner Match #",$A$15),IF($H$15&gt;$J$15,$E$15,$G$15))</f>
        <v>Bosshard / Strebel</v>
      </c>
      <c r="H22" s="67">
        <f t="shared" si="4"/>
        <v>0</v>
      </c>
      <c r="I22" s="7" t="s">
        <v>17</v>
      </c>
      <c r="J22" s="67">
        <f t="shared" si="5"/>
        <v>2</v>
      </c>
      <c r="K22" s="98">
        <f t="shared" si="6"/>
        <v>0</v>
      </c>
      <c r="L22" s="99">
        <v>15</v>
      </c>
      <c r="M22" s="7" t="s">
        <v>17</v>
      </c>
      <c r="N22" s="100">
        <v>21</v>
      </c>
      <c r="O22" s="100">
        <v>15</v>
      </c>
      <c r="P22" s="7" t="s">
        <v>17</v>
      </c>
      <c r="Q22" s="100">
        <v>21</v>
      </c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1</v>
      </c>
      <c r="D23" s="80">
        <v>0.58333333333333337</v>
      </c>
      <c r="E23" s="6" t="str">
        <f>IF($H$16=$J$16,CONCATENATE("Winner Match #",$A$16),IF($H$16&gt;$J$16,$E$16,$G$16))</f>
        <v>Allemann / Schaller</v>
      </c>
      <c r="F23" s="6" t="s">
        <v>7</v>
      </c>
      <c r="G23" s="6" t="str">
        <f>IF($H$17=$J$17,CONCATENATE("Winner Match #",$A$17),IF($H$17&gt;$J$17,$E$17,$G$17))</f>
        <v>Addiechi / Flückiger</v>
      </c>
      <c r="H23" s="66">
        <f t="shared" si="4"/>
        <v>0</v>
      </c>
      <c r="I23" s="6" t="s">
        <v>17</v>
      </c>
      <c r="J23" s="66">
        <f t="shared" si="5"/>
        <v>2</v>
      </c>
      <c r="K23" s="94">
        <f t="shared" si="6"/>
        <v>0</v>
      </c>
      <c r="L23" s="101">
        <v>15</v>
      </c>
      <c r="M23" s="6" t="s">
        <v>17</v>
      </c>
      <c r="N23" s="102">
        <v>21</v>
      </c>
      <c r="O23" s="102">
        <v>15</v>
      </c>
      <c r="P23" s="6" t="s">
        <v>17</v>
      </c>
      <c r="Q23" s="102">
        <v>21</v>
      </c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3</v>
      </c>
      <c r="D24" s="80">
        <v>0.58333333333333337</v>
      </c>
      <c r="E24" s="7" t="str">
        <f>IF($H$18=$J$18,CONCATENATE("Winner Match #",$A$18),IF($H$18&gt;$J$18,$E$18,$G$18))</f>
        <v>Charkin / Hrytsuk</v>
      </c>
      <c r="F24" s="7" t="s">
        <v>7</v>
      </c>
      <c r="G24" s="7" t="str">
        <f>IF($H$19=$J$19,CONCATENATE("Winner Match #",$A$19),IF($H$19&gt;$J$19,$E$19,$G$19))</f>
        <v>Lendl / Kurzawa</v>
      </c>
      <c r="H24" s="67">
        <f t="shared" si="4"/>
        <v>0</v>
      </c>
      <c r="I24" s="7" t="s">
        <v>17</v>
      </c>
      <c r="J24" s="67">
        <f t="shared" si="5"/>
        <v>2</v>
      </c>
      <c r="K24" s="98">
        <f t="shared" si="6"/>
        <v>0</v>
      </c>
      <c r="L24" s="99">
        <v>15</v>
      </c>
      <c r="M24" s="7" t="s">
        <v>17</v>
      </c>
      <c r="N24" s="100">
        <v>21</v>
      </c>
      <c r="O24" s="100">
        <v>15</v>
      </c>
      <c r="P24" s="7" t="s">
        <v>17</v>
      </c>
      <c r="Q24" s="100">
        <v>21</v>
      </c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>
        <v>2</v>
      </c>
      <c r="D25" s="93">
        <v>0.60416666666666663</v>
      </c>
      <c r="E25" s="6" t="str">
        <f>IF($H$20=$J$20,CONCATENATE("Winner Match #",$A$20),IF($H$20&gt;$J$20,$E$20,$G$20))</f>
        <v>Bothen / Arndt</v>
      </c>
      <c r="F25" s="6" t="s">
        <v>7</v>
      </c>
      <c r="G25" s="6" t="str">
        <f>IF($H$21=$J$21,CONCATENATE("Winner Match #",$A$21),IF($H$21&gt;$J$21,$E$21,$G$21))</f>
        <v>Adamson / Müller</v>
      </c>
      <c r="H25" s="66" t="str">
        <f t="shared" si="4"/>
        <v/>
      </c>
      <c r="I25" s="6" t="s">
        <v>17</v>
      </c>
      <c r="J25" s="66" t="str">
        <f t="shared" si="5"/>
        <v/>
      </c>
      <c r="K25" s="94">
        <f t="shared" si="6"/>
        <v>0</v>
      </c>
      <c r="L25" s="101"/>
      <c r="M25" s="6" t="s">
        <v>17</v>
      </c>
      <c r="N25" s="102"/>
      <c r="O25" s="102"/>
      <c r="P25" s="6" t="s">
        <v>17</v>
      </c>
      <c r="Q25" s="102"/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>
        <v>1</v>
      </c>
      <c r="D26" s="97">
        <v>0.60416666666666663</v>
      </c>
      <c r="E26" s="7" t="str">
        <f>IF($H$24=$J$24,CONCATENATE("Winner Match #",$A$24),IF($H$24&gt;$J$24,$E$24,$G$24))</f>
        <v>Lendl / Kurzawa</v>
      </c>
      <c r="F26" s="7" t="s">
        <v>7</v>
      </c>
      <c r="G26" s="7" t="str">
        <f>IF($H$23=$J$23,CONCATENATE("Loser Match #",$A$23),IF($H$23&lt;$J$23,$E$23,$G$23))</f>
        <v>Allemann / Schaller</v>
      </c>
      <c r="H26" s="67" t="str">
        <f t="shared" si="4"/>
        <v/>
      </c>
      <c r="I26" s="7" t="s">
        <v>17</v>
      </c>
      <c r="J26" s="67" t="str">
        <f t="shared" si="5"/>
        <v/>
      </c>
      <c r="K26" s="98">
        <f t="shared" si="6"/>
        <v>0</v>
      </c>
      <c r="L26" s="99"/>
      <c r="M26" s="7" t="s">
        <v>17</v>
      </c>
      <c r="N26" s="100"/>
      <c r="O26" s="100"/>
      <c r="P26" s="7" t="s">
        <v>17</v>
      </c>
      <c r="Q26" s="100"/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>
        <v>3</v>
      </c>
      <c r="D27" s="93">
        <v>0.60416666666666663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Baltermi / Hill Azpeitia</v>
      </c>
      <c r="H27" s="66" t="str">
        <f t="shared" si="4"/>
        <v/>
      </c>
      <c r="I27" s="6" t="s">
        <v>17</v>
      </c>
      <c r="J27" s="66" t="str">
        <f t="shared" si="5"/>
        <v/>
      </c>
      <c r="K27" s="94">
        <f t="shared" si="6"/>
        <v>0</v>
      </c>
      <c r="L27" s="101"/>
      <c r="M27" s="6" t="s">
        <v>17</v>
      </c>
      <c r="N27" s="102"/>
      <c r="O27" s="102"/>
      <c r="P27" s="6" t="s">
        <v>17</v>
      </c>
      <c r="Q27" s="102"/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>
        <v>1</v>
      </c>
      <c r="D28" s="97">
        <v>0.63541666666666663</v>
      </c>
      <c r="E28" s="7" t="str">
        <f>IF($H$22=$J$22,CONCATENATE("Winner Match #",$A$22),IF($H$22&gt;$J$22,$E$22,$G$22))</f>
        <v>Bosshard / Strebel</v>
      </c>
      <c r="F28" s="7" t="s">
        <v>7</v>
      </c>
      <c r="G28" s="7" t="str">
        <f>IF($H$26=$J$26,CONCATENATE("Winner Match #",$A$26),IF($H$26&gt;$J$26,$E$26,$G$26))</f>
        <v>Winner Match #25</v>
      </c>
      <c r="H28" s="67" t="str">
        <f t="shared" si="4"/>
        <v/>
      </c>
      <c r="I28" s="7" t="s">
        <v>17</v>
      </c>
      <c r="J28" s="67" t="str">
        <f t="shared" si="5"/>
        <v/>
      </c>
      <c r="K28" s="98">
        <f t="shared" si="6"/>
        <v>0</v>
      </c>
      <c r="L28" s="99"/>
      <c r="M28" s="7" t="s">
        <v>17</v>
      </c>
      <c r="N28" s="100"/>
      <c r="O28" s="100"/>
      <c r="P28" s="7" t="s">
        <v>17</v>
      </c>
      <c r="Q28" s="100"/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>
        <v>2</v>
      </c>
      <c r="D29" s="93">
        <v>0.63541666666666663</v>
      </c>
      <c r="E29" s="6" t="str">
        <f>IF($H$23=$J$23,CONCATENATE("Winner Match #",$A$23),IF($H$23&gt;$J$23,$E$23,$G$23))</f>
        <v>Addiechi / Flückiger</v>
      </c>
      <c r="F29" s="6" t="s">
        <v>7</v>
      </c>
      <c r="G29" s="6" t="str">
        <f>IF($H$27=$J$27,CONCATENATE("Winner Match #",$A$27),IF($H$27&gt;$J$27,$E$27,$G$27))</f>
        <v>Winner Match #26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>
        <v>2</v>
      </c>
      <c r="D30" s="97">
        <v>0.66666666666666663</v>
      </c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>
        <v>1</v>
      </c>
      <c r="D31" s="93">
        <v>0.66666666666666663</v>
      </c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E21" sqref="E21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796875" bestFit="1" customWidth="1"/>
    <col min="5" max="6" width="20.53125" bestFit="1" customWidth="1"/>
    <col min="7" max="7" width="5.9296875" bestFit="1" customWidth="1"/>
    <col min="8" max="8" width="1.73046875" bestFit="1" customWidth="1"/>
    <col min="9" max="9" width="7.796875" bestFit="1" customWidth="1"/>
    <col min="10" max="10" width="5.53125" bestFit="1" customWidth="1"/>
    <col min="11" max="11" width="2.73046875" bestFit="1" customWidth="1"/>
    <col min="12" max="12" width="5.53125" bestFit="1" customWidth="1"/>
    <col min="13" max="13" width="2.73046875" bestFit="1" customWidth="1"/>
    <col min="14" max="14" width="5.53125" bestFit="1" customWidth="1"/>
    <col min="15" max="15" width="2.73046875" bestFit="1" customWidth="1"/>
    <col min="16" max="16" width="8.53125" bestFit="1" customWidth="1"/>
    <col min="17" max="17" width="7.86328125" bestFit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>
        <f>Resultate!H7</f>
        <v>2</v>
      </c>
      <c r="H7">
        <f>Resultate!J7</f>
        <v>0</v>
      </c>
      <c r="I7" s="129">
        <f>Resultate!K7</f>
        <v>0</v>
      </c>
      <c r="J7">
        <f>Resultate!L7</f>
        <v>21</v>
      </c>
      <c r="K7">
        <f>Resultate!N7</f>
        <v>15</v>
      </c>
      <c r="L7">
        <f>Resultate!O7</f>
        <v>21</v>
      </c>
      <c r="M7">
        <f>Resultate!Q7</f>
        <v>15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>
        <f>Resultate!H8</f>
        <v>0</v>
      </c>
      <c r="H8">
        <f>Resultate!J8</f>
        <v>2</v>
      </c>
      <c r="I8" s="129">
        <f>Resultate!K8</f>
        <v>0</v>
      </c>
      <c r="J8">
        <f>Resultate!L8</f>
        <v>15</v>
      </c>
      <c r="K8">
        <f>Resultate!N8</f>
        <v>21</v>
      </c>
      <c r="L8">
        <f>Resultate!O8</f>
        <v>15</v>
      </c>
      <c r="M8">
        <f>Resultate!Q8</f>
        <v>21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>
        <f>Resultate!H9</f>
        <v>0</v>
      </c>
      <c r="H9">
        <f>Resultate!J9</f>
        <v>2</v>
      </c>
      <c r="I9" s="129">
        <f>Resultate!K9</f>
        <v>0</v>
      </c>
      <c r="J9">
        <f>Resultate!L9</f>
        <v>19</v>
      </c>
      <c r="K9">
        <f>Resultate!N9</f>
        <v>21</v>
      </c>
      <c r="L9">
        <f>Resultate!O9</f>
        <v>15</v>
      </c>
      <c r="M9">
        <f>Resultate!Q9</f>
        <v>21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21</v>
      </c>
      <c r="L10">
        <f>Resultate!O10</f>
        <v>0</v>
      </c>
      <c r="M10">
        <f>Resultate!Q10</f>
        <v>21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3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>
        <f>Resultate!H11</f>
        <v>2</v>
      </c>
      <c r="H11">
        <f>Resultate!J11</f>
        <v>0</v>
      </c>
      <c r="I11" s="129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2</v>
      </c>
      <c r="D12" s="129">
        <f>Resultate!D12</f>
        <v>0.46875</v>
      </c>
      <c r="E12" t="str">
        <f>Resultate!E12</f>
        <v>Péter-Contesse / Känzig</v>
      </c>
      <c r="F12" t="str">
        <f>Resultate!G12</f>
        <v>Lendl / Kurzawa</v>
      </c>
      <c r="G12">
        <f>Resultate!H12</f>
        <v>0</v>
      </c>
      <c r="H12">
        <f>Resultate!J12</f>
        <v>2</v>
      </c>
      <c r="I12" s="129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Charkin / Hrytsuk</v>
      </c>
      <c r="F13" t="str">
        <f>Resultate!G13</f>
        <v>Dürst / Dürst</v>
      </c>
      <c r="G13">
        <f>Resultate!H13</f>
        <v>2</v>
      </c>
      <c r="H13">
        <f>Resultate!J13</f>
        <v>0</v>
      </c>
      <c r="I13" s="129">
        <f>Resultate!K13</f>
        <v>0</v>
      </c>
      <c r="J13">
        <f>Resultate!L13</f>
        <v>21</v>
      </c>
      <c r="K13">
        <f>Resultate!N13</f>
        <v>15</v>
      </c>
      <c r="L13">
        <f>Resultate!O13</f>
        <v>21</v>
      </c>
      <c r="M13">
        <f>Resultate!Q13</f>
        <v>15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3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>
        <f>Resultate!H14</f>
        <v>2</v>
      </c>
      <c r="H14">
        <f>Resultate!J14</f>
        <v>0</v>
      </c>
      <c r="I14" s="129">
        <f>Resultate!K14</f>
        <v>0</v>
      </c>
      <c r="J14">
        <f>Resultate!L14</f>
        <v>21</v>
      </c>
      <c r="K14">
        <f>Resultate!N14</f>
        <v>15</v>
      </c>
      <c r="L14">
        <f>Resultate!O14</f>
        <v>21</v>
      </c>
      <c r="M14">
        <f>Resultate!Q14</f>
        <v>15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1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>
        <f>Resultate!H15</f>
        <v>2</v>
      </c>
      <c r="H15">
        <f>Resultate!J15</f>
        <v>0</v>
      </c>
      <c r="I15" s="129">
        <f>Resultate!K15</f>
        <v>0</v>
      </c>
      <c r="J15">
        <f>Resultate!L15</f>
        <v>21</v>
      </c>
      <c r="K15">
        <f>Resultate!N15</f>
        <v>15</v>
      </c>
      <c r="L15">
        <f>Resultate!O15</f>
        <v>21</v>
      </c>
      <c r="M15">
        <f>Resultate!Q15</f>
        <v>15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3</v>
      </c>
      <c r="D16" s="129">
        <f>Resultate!D16</f>
        <v>0.53125</v>
      </c>
      <c r="E16" t="str">
        <f>Resultate!E16</f>
        <v>Allemann / Schaller</v>
      </c>
      <c r="F16" t="str">
        <f>Resultate!G16</f>
        <v>Bothen / Arndt</v>
      </c>
      <c r="G16">
        <f>Resultate!H16</f>
        <v>2</v>
      </c>
      <c r="H16">
        <f>Resultate!J16</f>
        <v>0</v>
      </c>
      <c r="I16" s="129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Addiechi / Flückiger</v>
      </c>
      <c r="F17" t="str">
        <f>Resultate!G17</f>
        <v>Adamson / Müller</v>
      </c>
      <c r="G17">
        <f>Resultate!H17</f>
        <v>2</v>
      </c>
      <c r="H17">
        <f>Resultate!J17</f>
        <v>0</v>
      </c>
      <c r="I17" s="129">
        <f>Resultate!K17</f>
        <v>0</v>
      </c>
      <c r="J17">
        <f>Resultate!L17</f>
        <v>21</v>
      </c>
      <c r="K17">
        <f>Resultate!N17</f>
        <v>15</v>
      </c>
      <c r="L17">
        <f>Resultate!O17</f>
        <v>21</v>
      </c>
      <c r="M17">
        <f>Resultate!Q17</f>
        <v>15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1</v>
      </c>
      <c r="D18" s="129">
        <f>Resultate!D18</f>
        <v>0.53125</v>
      </c>
      <c r="E18" t="str">
        <f>Resultate!E18</f>
        <v>Charkin / Hrytsuk</v>
      </c>
      <c r="F18" t="str">
        <f>Resultate!G18</f>
        <v>Raffi / Röthlisberger</v>
      </c>
      <c r="G18">
        <f>Resultate!H18</f>
        <v>2</v>
      </c>
      <c r="H18">
        <f>Resultate!J18</f>
        <v>1</v>
      </c>
      <c r="I18" s="129">
        <f>Resultate!K18</f>
        <v>0</v>
      </c>
      <c r="J18">
        <f>Resultate!L18</f>
        <v>21</v>
      </c>
      <c r="K18">
        <f>Resultate!N18</f>
        <v>15</v>
      </c>
      <c r="L18">
        <f>Resultate!O18</f>
        <v>15</v>
      </c>
      <c r="M18">
        <f>Resultate!Q18</f>
        <v>21</v>
      </c>
      <c r="N18">
        <f>Resultate!R18</f>
        <v>15</v>
      </c>
      <c r="O18">
        <f>Resultate!T18</f>
        <v>8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2</v>
      </c>
      <c r="D19" s="129">
        <f>Resultate!D19</f>
        <v>0.5625</v>
      </c>
      <c r="E19" t="str">
        <f>Resultate!E19</f>
        <v>Lendl / Kurzawa</v>
      </c>
      <c r="F19" t="str">
        <f>Resultate!G19</f>
        <v>Stöckli / Stöckli</v>
      </c>
      <c r="G19">
        <f>Resultate!H19</f>
        <v>2</v>
      </c>
      <c r="H19">
        <f>Resultate!J19</f>
        <v>0</v>
      </c>
      <c r="I19" s="129">
        <f>Resultate!K19</f>
        <v>0</v>
      </c>
      <c r="J19">
        <f>Resultate!L19</f>
        <v>21</v>
      </c>
      <c r="K19">
        <f>Resultate!N19</f>
        <v>15</v>
      </c>
      <c r="L19">
        <f>Resultate!O19</f>
        <v>21</v>
      </c>
      <c r="M19">
        <f>Resultate!Q19</f>
        <v>15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3</v>
      </c>
      <c r="D20" s="129">
        <f>Resultate!D20</f>
        <v>0.5625</v>
      </c>
      <c r="E20" t="str">
        <f>Resultate!E20</f>
        <v>Sieber / Müller</v>
      </c>
      <c r="F20" t="str">
        <f>Resultate!G20</f>
        <v>Bothen / Arndt</v>
      </c>
      <c r="G20">
        <f>Resultate!H20</f>
        <v>0</v>
      </c>
      <c r="H20">
        <f>Resultate!J20</f>
        <v>2</v>
      </c>
      <c r="I20" s="129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2</v>
      </c>
      <c r="D21" s="129">
        <f>Resultate!D21</f>
        <v>0.5625</v>
      </c>
      <c r="E21" t="str">
        <f>Resultate!E21</f>
        <v>Mikami / Hofmann</v>
      </c>
      <c r="F21" t="str">
        <f>Resultate!G21</f>
        <v>Adamson / Müller</v>
      </c>
      <c r="G21">
        <f>Resultate!H21</f>
        <v>0</v>
      </c>
      <c r="H21">
        <f>Resultate!J21</f>
        <v>2</v>
      </c>
      <c r="I21" s="129">
        <f>Resultate!K21</f>
        <v>0</v>
      </c>
      <c r="J21">
        <f>Resultate!L21</f>
        <v>15</v>
      </c>
      <c r="K21">
        <f>Resultate!N21</f>
        <v>21</v>
      </c>
      <c r="L21">
        <f>Resultate!O21</f>
        <v>15</v>
      </c>
      <c r="M21">
        <f>Resultate!Q21</f>
        <v>21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3</v>
      </c>
      <c r="D22" s="129">
        <f>Resultate!D22</f>
        <v>0.59375</v>
      </c>
      <c r="E22" t="str">
        <f>Resultate!E22</f>
        <v>Baltermi / Hill Azpeitia</v>
      </c>
      <c r="F22" t="str">
        <f>Resultate!G22</f>
        <v>Bosshard / Strebel</v>
      </c>
      <c r="G22">
        <f>Resultate!H22</f>
        <v>0</v>
      </c>
      <c r="H22">
        <f>Resultate!J22</f>
        <v>2</v>
      </c>
      <c r="I22" s="129">
        <f>Resultate!K22</f>
        <v>0</v>
      </c>
      <c r="J22">
        <f>Resultate!L22</f>
        <v>15</v>
      </c>
      <c r="K22">
        <f>Resultate!N22</f>
        <v>21</v>
      </c>
      <c r="L22">
        <f>Resultate!O22</f>
        <v>15</v>
      </c>
      <c r="M22">
        <f>Resultate!Q22</f>
        <v>21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1</v>
      </c>
      <c r="D23" s="129">
        <f>Resultate!D23</f>
        <v>0.58333333333333337</v>
      </c>
      <c r="E23" t="str">
        <f>Resultate!E23</f>
        <v>Allemann / Schaller</v>
      </c>
      <c r="F23" t="str">
        <f>Resultate!G23</f>
        <v>Addiechi / Flückiger</v>
      </c>
      <c r="G23">
        <f>Resultate!H23</f>
        <v>0</v>
      </c>
      <c r="H23">
        <f>Resultate!J23</f>
        <v>2</v>
      </c>
      <c r="I23" s="129">
        <f>Resultate!K23</f>
        <v>0</v>
      </c>
      <c r="J23">
        <f>Resultate!L23</f>
        <v>15</v>
      </c>
      <c r="K23">
        <f>Resultate!N23</f>
        <v>21</v>
      </c>
      <c r="L23">
        <f>Resultate!O23</f>
        <v>15</v>
      </c>
      <c r="M23">
        <f>Resultate!Q23</f>
        <v>21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Charkin / Hrytsuk</v>
      </c>
      <c r="F24" t="str">
        <f>Resultate!G24</f>
        <v>Lendl / Kurzawa</v>
      </c>
      <c r="G24">
        <f>Resultate!H24</f>
        <v>0</v>
      </c>
      <c r="H24">
        <f>Resultate!J24</f>
        <v>2</v>
      </c>
      <c r="I24" s="129">
        <f>Resultate!K24</f>
        <v>0</v>
      </c>
      <c r="J24">
        <f>Resultate!L24</f>
        <v>15</v>
      </c>
      <c r="K24">
        <f>Resultate!N24</f>
        <v>21</v>
      </c>
      <c r="L24">
        <f>Resultate!O24</f>
        <v>15</v>
      </c>
      <c r="M24">
        <f>Resultate!Q24</f>
        <v>21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2</v>
      </c>
      <c r="D25" s="129">
        <f>Resultate!D25</f>
        <v>0.60416666666666663</v>
      </c>
      <c r="E25" t="str">
        <f>Resultate!E25</f>
        <v>Bothen / Arndt</v>
      </c>
      <c r="F25" t="str">
        <f>Resultate!G25</f>
        <v>Adamson / Müller</v>
      </c>
      <c r="G25" t="str">
        <f>Resultate!H25</f>
        <v/>
      </c>
      <c r="H25" t="str">
        <f>Resultate!J25</f>
        <v/>
      </c>
      <c r="I25" s="129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1</v>
      </c>
      <c r="D26" s="129">
        <f>Resultate!D26</f>
        <v>0.60416666666666663</v>
      </c>
      <c r="E26" t="str">
        <f>Resultate!E26</f>
        <v>Lendl / Kurzawa</v>
      </c>
      <c r="F26" t="str">
        <f>Resultate!G26</f>
        <v>Allemann / Schaller</v>
      </c>
      <c r="G26" t="str">
        <f>Resultate!H26</f>
        <v/>
      </c>
      <c r="H26" t="str">
        <f>Resultate!J26</f>
        <v/>
      </c>
      <c r="I26" s="129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3</v>
      </c>
      <c r="D27" s="129">
        <f>Resultate!D27</f>
        <v>0.60416666666666663</v>
      </c>
      <c r="E27" t="str">
        <f>Resultate!E27</f>
        <v>Winner Match #24</v>
      </c>
      <c r="F27" t="str">
        <f>Resultate!G27</f>
        <v>Baltermi / Hill Azpeitia</v>
      </c>
      <c r="G27" t="str">
        <f>Resultate!H27</f>
        <v/>
      </c>
      <c r="H27" t="str">
        <f>Resultate!J27</f>
        <v/>
      </c>
      <c r="I27" s="129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1</v>
      </c>
      <c r="D28" s="129">
        <f>Resultate!D28</f>
        <v>0.63541666666666663</v>
      </c>
      <c r="E28" t="str">
        <f>Resultate!E28</f>
        <v>Bosshard / Strebel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29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upcoming_1_court1</v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2</v>
      </c>
      <c r="D29" s="129">
        <f>Resultate!D29</f>
        <v>0.63541666666666663</v>
      </c>
      <c r="E29" t="str">
        <f>Resultate!E29</f>
        <v>Addiechi / Flückiger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2</v>
      </c>
      <c r="D30" s="129">
        <f>Resultate!D30</f>
        <v>0.66666666666666663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upcoming_2_court2</v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Baltermi / Hill Azpeitia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(2 : 0)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Allemann / Schaller </v>
      </c>
      <c r="I8"/>
      <c r="J8" s="108" t="str">
        <f>CONCATENATE(Resultate!$G$13," ")</f>
        <v xml:space="preserve">Dürst / Dürst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Charkin / Hrytsuk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(0 : 2)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Bosshard / Strebel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08" t="str">
        <f>CONCATENATE(Resultate!$E$24," ")</f>
        <v xml:space="preserve">Charkin / Hrytsuk </v>
      </c>
      <c r="I12" s="21" t="str">
        <f>CONCATENATE("",Resultate!$A$18,"")</f>
        <v>17</v>
      </c>
      <c r="J12" s="116" t="str">
        <f>CONCATENATE(Resultate!$E$13," ")</f>
        <v xml:space="preserve">Charkin / Hrytsuk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(0 : 2)</v>
      </c>
      <c r="D13" s="22"/>
      <c r="E13" s="117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(2 : 1)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Raffi / Röthlisberger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Lendl / Kurzawa </v>
      </c>
      <c r="H16" s="21" t="str">
        <f>CONCATENATE("",Resultate!$A$24,"")</f>
        <v>23</v>
      </c>
      <c r="I16"/>
      <c r="J16" s="108" t="str">
        <f>CONCATENATE(Resultate!$G$12," ")</f>
        <v xml:space="preserve">Lendl / Kurzawa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(0 : 2)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Bosshard / Strebel </v>
      </c>
      <c r="D18" s="14"/>
      <c r="H18" s="24"/>
      <c r="I18" s="113" t="str">
        <f>CONCATENATE(Resultate!$E$19," ")</f>
        <v xml:space="preserve">Lendl / Kurzawa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(2 : 0)</v>
      </c>
      <c r="C19" s="22"/>
      <c r="D19" s="14"/>
      <c r="H19" s="24"/>
      <c r="I19" s="115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Winner Match #27 </v>
      </c>
      <c r="E20" s="122"/>
      <c r="F20" s="121" t="str">
        <f>CONCATENATE(Resultate!$E$30," ")</f>
        <v xml:space="preserve">Loser Match #27 </v>
      </c>
      <c r="H20" s="123" t="str">
        <f>CONCATENATE(Resultate!$G$24," ")</f>
        <v xml:space="preserve">Lendl / Kurzawa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(2 : 0)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Stöckli / Stöckli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Allemann / Schaller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Baltermi / Hill Azpeitia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Bothen / Arndt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(2 : 0)</v>
      </c>
      <c r="B34" s="22"/>
      <c r="C34" s="10"/>
      <c r="D34" s="14"/>
      <c r="G34" s="112"/>
      <c r="I34" s="113" t="str">
        <f>CONCATENATE(Resultate!$E$20," ")</f>
        <v xml:space="preserve">Sieber / Müller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(0 : 2)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Addiechi / Flückiger </v>
      </c>
      <c r="E36" s="128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(0 : 2)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3" t="str">
        <f>CONCATENATE(Resultate!$E$25," ")</f>
        <v xml:space="preserve">Bothen / Arndt </v>
      </c>
      <c r="I37" s="23" t="str">
        <f>CONCATENATE("(",Resultate!$H$20," : ",Resultate!$J$20,")")</f>
        <v>(0 : 2)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Bothen / Arndt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Addiechi / Flückiger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(0 : 2)</v>
      </c>
      <c r="B40" s="13"/>
      <c r="C40" s="16"/>
      <c r="D40"/>
      <c r="E40"/>
      <c r="F40"/>
      <c r="G40" s="118" t="str">
        <f>CONCATENATE(Resultate!$E$27," ")</f>
        <v xml:space="preserve">Winner Match #24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Addiechi / Flückiger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(2 : 0)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Adamson / Müller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Adamson / Müller </v>
      </c>
      <c r="C45" s="14"/>
      <c r="D45" s="14"/>
      <c r="E45"/>
      <c r="H45" s="26"/>
      <c r="I45" s="23" t="str">
        <f>CONCATENATE("(",Resultate!$H$21," : ",Resultate!$J$21,")")</f>
        <v>(0 : 2)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(0 : 2)</v>
      </c>
      <c r="B46" s="22"/>
      <c r="C46" s="14"/>
      <c r="D46" s="14"/>
      <c r="E46"/>
      <c r="H46"/>
      <c r="I46" s="116" t="str">
        <f>CONCATENATE(Resultate!$G$21," ")</f>
        <v xml:space="preserve">Adamson / Müller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2" t="str">
        <f>IF(B6="5. Rang","zu Hause",VLOOKUP(B6,Anmeldung!$I$2:$J$17,2,FALSE))</f>
        <v>zu Hause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2" t="str">
        <f>IF(B7="5. Rang","zu Hause",VLOOKUP(B7,Anmeldung!$I$2:$J$17,2,FALSE))</f>
        <v>zu Hause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Charkin / Hrytsuk</v>
      </c>
      <c r="C8" s="2" t="str">
        <f>IF(B8="7. Rang","mal schauen",VLOOKUP(B8,Anmeldung!$L$2:$M$17,2,FALSE))</f>
        <v>Kanstantsin Charkin / Yury Hrytsuk</v>
      </c>
      <c r="D8" s="42">
        <f>IF(B8="7. Rang","zu Hause",VLOOKUP(B8,Anmeldung!$I$2:$J$17,2,FALSE))</f>
        <v>0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2" t="str">
        <f>IF(B9="7. Rang","zu Hause",VLOOKUP(B9,Anmeldung!$I$2:$J$17,2,FALSE))</f>
        <v>zu Hause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Raffi / Röthlisberger</v>
      </c>
      <c r="C10" s="2" t="str">
        <f>IF(B10="9. Rang","mal schauen",VLOOKUP(B10,Anmeldung!$L$2:$M$17,2,FALSE))</f>
        <v>Luca Raffi / Marc Röthlisberger</v>
      </c>
      <c r="D10" s="42">
        <f>IF(B10="9. Rang","zu Hause",VLOOKUP(B10,Anmeldung!$I$2:$J$17,2,FALSE))</f>
        <v>0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Stöckli / Stöckli</v>
      </c>
      <c r="C11" s="2" t="str">
        <f>IF(B11="9. Rang","mal schauen",VLOOKUP(B11,Anmeldung!$L$2:$M$17,2,FALSE))</f>
        <v>Vivian Stöckli / Julian Stöckli</v>
      </c>
      <c r="D11" s="42">
        <f>IF(B11="9. Rang","zu Hause",VLOOKUP(B11,Anmeldung!$I$2:$J$17,2,FALSE))</f>
        <v>0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Sieber / Müller</v>
      </c>
      <c r="C12" s="2" t="str">
        <f>IF(B12="9. Rang","mal schauen",VLOOKUP(B12,Anmeldung!$L$2:$M$17,2,FALSE))</f>
        <v>Jonatan Sieber / Tim Müller</v>
      </c>
      <c r="D12" s="42">
        <f>IF(B12="9. Rang","zu Hause",VLOOKUP(B12,Anmeldung!$I$2:$J$17,2,FALSE))</f>
        <v>0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Mikami / Hofmann</v>
      </c>
      <c r="C13" s="2" t="str">
        <f>IF(B13="9. Rang","mal schauen",VLOOKUP(B13,Anmeldung!$L$2:$M$17,2,FALSE))</f>
        <v>Toshiki Mikami / Yannick Hofmann</v>
      </c>
      <c r="D13" s="42">
        <f>IF(B13="9. Rang","zu Hause",VLOOKUP(B13,Anmeldung!$I$2:$J$17,2,FALSE))</f>
        <v>0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Ducret / Abassi</v>
      </c>
      <c r="C15" s="2" t="str">
        <f>IF(B15="13. Rang","mal schauen",VLOOKUP(B15,Anmeldung!$L$2:$M$17,2,FALSE))</f>
        <v>Noah Ducret / Mike Abassi</v>
      </c>
      <c r="D15" s="42">
        <f>IF(B15="13. Rang","zu Hause",VLOOKUP(B15,Anmeldung!$I$2:$J$17,2,FALSE))</f>
        <v>0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Péter-Contesse / Känzig</v>
      </c>
      <c r="C16" s="2" t="str">
        <f>IF(B16="13. Rang","mal schauen",VLOOKUP(B16,Anmeldung!$L$2:$M$17,2,FALSE))</f>
        <v>Luc Péter-Contesse / Yanis Känzig</v>
      </c>
      <c r="D16" s="42">
        <f>IF(B16="13. Rang","zu Hause",VLOOKUP(B16,Anmeldung!$I$2:$J$17,2,FALSE))</f>
        <v>0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Dürst / Dürst</v>
      </c>
      <c r="C17" s="43" t="str">
        <f>IF(B17="13. Rang","mal schauen",VLOOKUP(B17,Anmeldung!$L$2:$M$17,2,FALSE))</f>
        <v>Linus Dürst / Marwin Dürst</v>
      </c>
      <c r="D17" s="44">
        <f>IF(B17="13. Rang","zu Hause",VLOOKUP(B17,Anmeldung!$I$2:$J$17,2,FALSE))</f>
        <v>0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customXml/itemProps3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2025-09-20T13:11:47Z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