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Claudia Morandi\Documents\SVRZ Beach\Saison 2025\Spielpläne\"/>
    </mc:Choice>
  </mc:AlternateContent>
  <xr:revisionPtr revIDLastSave="0" documentId="8_{64FB8E00-178D-4849-8A64-84A2C0184E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meldung" sheetId="4" r:id="rId1"/>
    <sheet name="Resultate" sheetId="5" r:id="rId2"/>
    <sheet name="Tableau" sheetId="6" r:id="rId3"/>
    <sheet name="Rangliste" sheetId="7" r:id="rId4"/>
  </sheets>
  <definedNames>
    <definedName name="_Fill" hidden="1">#REF!</definedName>
    <definedName name="_xlnm.Print_Area" localSheetId="0">Anmeldung!$A$1:$K$17</definedName>
    <definedName name="_xlnm.Print_Area" localSheetId="3">Rangliste!$A$1:$D$17</definedName>
    <definedName name="_xlnm.Print_Area" localSheetId="1">Resultate!$A$1:$T$31</definedName>
    <definedName name="_xlnm.Print_Area" localSheetId="2">Tableau!$A$1:$J$48</definedName>
    <definedName name="_xlnm.Print_Area">#REF!</definedName>
    <definedName name="_xlnm.Print_Titles" localSheetId="1">Resultate!$1:$1</definedName>
    <definedName name="fillPlayers" localSheetId="0">Anmeldung!$B$2</definedName>
    <definedName name="fillPlayers_1" localSheetId="0">Anmeldung!$B$2</definedName>
    <definedName name="fillPlayers_10" localSheetId="0">Anmeldung!$B$2:$K$9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Anmeldung!$B$2:$H$23</definedName>
    <definedName name="fillPlayers_6" localSheetId="0">Anmeldung!$B$2:$H$18</definedName>
    <definedName name="fillPlayers_7" localSheetId="0">Anmeldung!$B$2:$I$9</definedName>
    <definedName name="fillPlayers_8" localSheetId="0">Anmeldung!$B$2:$K$9</definedName>
    <definedName name="fillPlayers_9" localSheetId="0">Anmeldung!$B$2:$K$9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H13" i="5"/>
  <c r="B17" i="7" s="1"/>
  <c r="J13" i="5"/>
  <c r="H12" i="5"/>
  <c r="J12" i="5"/>
  <c r="B16" i="7"/>
  <c r="D16" i="7" s="1"/>
  <c r="H11" i="5"/>
  <c r="J11" i="5"/>
  <c r="H10" i="5"/>
  <c r="B14" i="7" s="1"/>
  <c r="D14" i="7" s="1"/>
  <c r="J10" i="5"/>
  <c r="H21" i="5"/>
  <c r="B13" i="7" s="1"/>
  <c r="D13" i="7" s="1"/>
  <c r="J21" i="5"/>
  <c r="H20" i="5"/>
  <c r="J20" i="5"/>
  <c r="B12" i="7" s="1"/>
  <c r="D12" i="7" s="1"/>
  <c r="H19" i="5"/>
  <c r="B11" i="7" s="1"/>
  <c r="D11" i="7" s="1"/>
  <c r="J19" i="5"/>
  <c r="H18" i="5"/>
  <c r="B10" i="7" s="1"/>
  <c r="D10" i="7" s="1"/>
  <c r="J18" i="5"/>
  <c r="H25" i="5"/>
  <c r="J25" i="5"/>
  <c r="B9" i="7"/>
  <c r="D9" i="7" s="1"/>
  <c r="H24" i="5"/>
  <c r="B8" i="7" s="1"/>
  <c r="D8" i="7" s="1"/>
  <c r="J24" i="5"/>
  <c r="H27" i="5"/>
  <c r="B7" i="7" s="1"/>
  <c r="D7" i="7" s="1"/>
  <c r="J27" i="5"/>
  <c r="H26" i="5"/>
  <c r="J26" i="5"/>
  <c r="B6" i="7" s="1"/>
  <c r="H23" i="5"/>
  <c r="C37" i="6" s="1"/>
  <c r="J23" i="5"/>
  <c r="H30" i="5"/>
  <c r="B5" i="7" s="1"/>
  <c r="D5" i="7" s="1"/>
  <c r="J30" i="5"/>
  <c r="H29" i="5"/>
  <c r="J29" i="5"/>
  <c r="H28" i="5"/>
  <c r="J28" i="5"/>
  <c r="B4" i="7"/>
  <c r="D4" i="7" s="1"/>
  <c r="H31" i="5"/>
  <c r="J31" i="5"/>
  <c r="D26" i="6" s="1"/>
  <c r="M16" i="4"/>
  <c r="M15" i="4"/>
  <c r="M14" i="4"/>
  <c r="M13" i="4"/>
  <c r="M12" i="4"/>
  <c r="M11" i="4"/>
  <c r="M10" i="4"/>
  <c r="A3" i="7"/>
  <c r="A4" i="7"/>
  <c r="A5" i="7" s="1"/>
  <c r="A6" i="7" s="1"/>
  <c r="I3" i="4"/>
  <c r="G9" i="5" s="1"/>
  <c r="A47" i="6" s="1"/>
  <c r="H17" i="5"/>
  <c r="B43" i="6" s="1"/>
  <c r="J17" i="5"/>
  <c r="H9" i="5"/>
  <c r="J9" i="5"/>
  <c r="I45" i="6"/>
  <c r="H2" i="5"/>
  <c r="J2" i="5"/>
  <c r="I16" i="4"/>
  <c r="E9" i="5" s="1"/>
  <c r="A43" i="6" s="1"/>
  <c r="I11" i="4"/>
  <c r="G8" i="5" s="1"/>
  <c r="A41" i="6" s="1"/>
  <c r="H3" i="5"/>
  <c r="A10" i="6" s="1"/>
  <c r="J3" i="5"/>
  <c r="H8" i="5"/>
  <c r="A40" i="6" s="1"/>
  <c r="J8" i="5"/>
  <c r="H16" i="5"/>
  <c r="J16" i="5"/>
  <c r="I37" i="6"/>
  <c r="I8" i="4"/>
  <c r="E8" i="5" s="1"/>
  <c r="A37" i="6" s="1"/>
  <c r="H4" i="5"/>
  <c r="J4" i="5"/>
  <c r="J35" i="6"/>
  <c r="I7" i="4"/>
  <c r="G7" i="5" s="1"/>
  <c r="A35" i="6" s="1"/>
  <c r="H7" i="5"/>
  <c r="J7" i="5"/>
  <c r="H5" i="5"/>
  <c r="A22" i="6" s="1"/>
  <c r="J5" i="5"/>
  <c r="J22" i="5"/>
  <c r="I12" i="4"/>
  <c r="E7" i="5" s="1"/>
  <c r="A31" i="6" s="1"/>
  <c r="I15" i="4"/>
  <c r="G6" i="5" s="1"/>
  <c r="A29" i="6" s="1"/>
  <c r="H6" i="5"/>
  <c r="J6" i="5"/>
  <c r="A28" i="6"/>
  <c r="F26" i="6"/>
  <c r="I4" i="4"/>
  <c r="E6" i="5" s="1"/>
  <c r="A25" i="6" s="1"/>
  <c r="I5" i="4"/>
  <c r="G5" i="5" s="1"/>
  <c r="A23" i="6" s="1"/>
  <c r="H15" i="5"/>
  <c r="B19" i="6" s="1"/>
  <c r="J15" i="5"/>
  <c r="J19" i="6"/>
  <c r="I14" i="4"/>
  <c r="E5" i="5" s="1"/>
  <c r="A19" i="6" s="1"/>
  <c r="H17" i="6"/>
  <c r="I13" i="4"/>
  <c r="G4" i="5" s="1"/>
  <c r="A17" i="6" s="1"/>
  <c r="H14" i="5"/>
  <c r="J14" i="5"/>
  <c r="E13" i="6"/>
  <c r="C13" i="6"/>
  <c r="I6" i="4"/>
  <c r="E4" i="5" s="1"/>
  <c r="A13" i="6" s="1"/>
  <c r="J11" i="6"/>
  <c r="I9" i="4"/>
  <c r="G3" i="5" s="1"/>
  <c r="A11" i="6" s="1"/>
  <c r="I10" i="4"/>
  <c r="E3" i="5" s="1"/>
  <c r="A7" i="6" s="1"/>
  <c r="I17" i="4"/>
  <c r="G2" i="5" s="1"/>
  <c r="A5" i="6" s="1"/>
  <c r="A4" i="6"/>
  <c r="A3" i="6"/>
  <c r="I2" i="4"/>
  <c r="E2" i="5" s="1"/>
  <c r="A1" i="6" s="1"/>
  <c r="A3" i="5"/>
  <c r="A4" i="5" s="1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M17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M9" i="4"/>
  <c r="M8" i="4"/>
  <c r="M7" i="4"/>
  <c r="M6" i="4"/>
  <c r="M5" i="4"/>
  <c r="M4" i="4"/>
  <c r="M3" i="4"/>
  <c r="M2" i="4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D17" i="7" l="1"/>
  <c r="C17" i="7"/>
  <c r="B15" i="7"/>
  <c r="D15" i="7" s="1"/>
  <c r="H41" i="6"/>
  <c r="E10" i="5"/>
  <c r="J44" i="6" s="1"/>
  <c r="C4" i="7"/>
  <c r="E37" i="6"/>
  <c r="J43" i="6"/>
  <c r="A46" i="6"/>
  <c r="C6" i="7"/>
  <c r="D6" i="7"/>
  <c r="G10" i="5"/>
  <c r="J40" i="6" s="1"/>
  <c r="G13" i="6"/>
  <c r="I21" i="6"/>
  <c r="I13" i="6"/>
  <c r="A34" i="6"/>
  <c r="E11" i="5"/>
  <c r="J36" i="6" s="1"/>
  <c r="G37" i="6"/>
  <c r="C5" i="7"/>
  <c r="B2" i="7"/>
  <c r="D2" i="7" s="1"/>
  <c r="E14" i="5"/>
  <c r="B3" i="6" s="1"/>
  <c r="B7" i="6"/>
  <c r="C9" i="7"/>
  <c r="C13" i="7"/>
  <c r="A15" i="6"/>
  <c r="A5" i="5"/>
  <c r="E15" i="5"/>
  <c r="B15" i="6" s="1"/>
  <c r="G11" i="5"/>
  <c r="J32" i="6" s="1"/>
  <c r="A9" i="6"/>
  <c r="A16" i="6"/>
  <c r="C10" i="7"/>
  <c r="C14" i="7"/>
  <c r="B3" i="7"/>
  <c r="G15" i="5"/>
  <c r="B21" i="6" s="1"/>
  <c r="B31" i="6"/>
  <c r="C7" i="7"/>
  <c r="C11" i="7"/>
  <c r="G14" i="5"/>
  <c r="B9" i="6" s="1"/>
  <c r="C8" i="7"/>
  <c r="C12" i="7"/>
  <c r="C16" i="7"/>
  <c r="C2" i="7" l="1"/>
  <c r="C15" i="7"/>
  <c r="D3" i="7"/>
  <c r="C3" i="7"/>
  <c r="A6" i="5"/>
  <c r="A21" i="6"/>
  <c r="E16" i="5" l="1"/>
  <c r="B27" i="6" s="1"/>
  <c r="E12" i="5"/>
  <c r="J20" i="6" s="1"/>
  <c r="A7" i="5"/>
  <c r="A27" i="6"/>
  <c r="A8" i="5" l="1"/>
  <c r="A33" i="6"/>
  <c r="G12" i="5"/>
  <c r="J16" i="6" s="1"/>
  <c r="G16" i="5"/>
  <c r="B33" i="6" s="1"/>
  <c r="A39" i="6" l="1"/>
  <c r="E13" i="5"/>
  <c r="J12" i="6" s="1"/>
  <c r="A9" i="5"/>
  <c r="E17" i="5"/>
  <c r="B39" i="6" s="1"/>
  <c r="G17" i="5" l="1"/>
  <c r="B45" i="6" s="1"/>
  <c r="G13" i="5"/>
  <c r="J8" i="6" s="1"/>
  <c r="A10" i="5"/>
  <c r="A45" i="6"/>
  <c r="J42" i="6" l="1"/>
  <c r="A11" i="5"/>
  <c r="E21" i="5"/>
  <c r="I42" i="6" s="1"/>
  <c r="A12" i="5" l="1"/>
  <c r="J34" i="6"/>
  <c r="E20" i="5"/>
  <c r="I34" i="6" s="1"/>
  <c r="J18" i="6" l="1"/>
  <c r="E19" i="5"/>
  <c r="I18" i="6" s="1"/>
  <c r="A13" i="5"/>
  <c r="J10" i="6" l="1"/>
  <c r="E18" i="5"/>
  <c r="I10" i="6" s="1"/>
  <c r="A14" i="5"/>
  <c r="A15" i="5" l="1"/>
  <c r="B6" i="6"/>
  <c r="G18" i="5"/>
  <c r="I14" i="6" s="1"/>
  <c r="E22" i="5"/>
  <c r="C6" i="6" s="1"/>
  <c r="A16" i="5" l="1"/>
  <c r="B18" i="6"/>
  <c r="G22" i="5"/>
  <c r="C18" i="6" s="1"/>
  <c r="G19" i="5"/>
  <c r="I22" i="6" s="1"/>
  <c r="A17" i="5" l="1"/>
  <c r="B30" i="6"/>
  <c r="G20" i="5"/>
  <c r="I38" i="6" s="1"/>
  <c r="E23" i="5"/>
  <c r="C30" i="6" s="1"/>
  <c r="G23" i="5" l="1"/>
  <c r="C42" i="6" s="1"/>
  <c r="B42" i="6"/>
  <c r="A18" i="5"/>
  <c r="G21" i="5"/>
  <c r="I46" i="6" s="1"/>
  <c r="A19" i="5" l="1"/>
  <c r="E24" i="5"/>
  <c r="H12" i="6" s="1"/>
  <c r="I12" i="6"/>
  <c r="A20" i="5" l="1"/>
  <c r="I20" i="6"/>
  <c r="G24" i="5"/>
  <c r="H20" i="6" s="1"/>
  <c r="E25" i="5" l="1"/>
  <c r="H37" i="6" s="1"/>
  <c r="I36" i="6"/>
  <c r="A21" i="5"/>
  <c r="I44" i="6" l="1"/>
  <c r="G25" i="5"/>
  <c r="H44" i="6" s="1"/>
  <c r="A22" i="5"/>
  <c r="A23" i="5" l="1"/>
  <c r="C12" i="6"/>
  <c r="E28" i="5"/>
  <c r="D12" i="6" s="1"/>
  <c r="G27" i="5"/>
  <c r="G32" i="6" s="1"/>
  <c r="C36" i="6" l="1"/>
  <c r="A24" i="5"/>
  <c r="E29" i="5"/>
  <c r="D36" i="6" s="1"/>
  <c r="G26" i="5"/>
  <c r="G8" i="6" s="1"/>
  <c r="H16" i="6" l="1"/>
  <c r="A25" i="5"/>
  <c r="E26" i="5"/>
  <c r="G16" i="6" s="1"/>
  <c r="E27" i="5" l="1"/>
  <c r="G40" i="6" s="1"/>
  <c r="A26" i="5"/>
  <c r="H40" i="6"/>
  <c r="G28" i="5" l="1"/>
  <c r="F12" i="6" s="1"/>
  <c r="A27" i="5"/>
  <c r="G12" i="6"/>
  <c r="G36" i="6" l="1"/>
  <c r="G29" i="5"/>
  <c r="F36" i="6" s="1"/>
  <c r="A28" i="5"/>
  <c r="E12" i="6" l="1"/>
  <c r="E30" i="5"/>
  <c r="F20" i="6" s="1"/>
  <c r="A29" i="5"/>
  <c r="E31" i="5"/>
  <c r="D20" i="6" s="1"/>
  <c r="G30" i="5" l="1"/>
  <c r="F28" i="6" s="1"/>
  <c r="A30" i="5"/>
  <c r="G31" i="5"/>
  <c r="D28" i="6" s="1"/>
  <c r="E36" i="6"/>
  <c r="F24" i="6" l="1"/>
  <c r="A31" i="5"/>
  <c r="D24" i="6" s="1"/>
</calcChain>
</file>

<file path=xl/sharedStrings.xml><?xml version="1.0" encoding="utf-8"?>
<sst xmlns="http://schemas.openxmlformats.org/spreadsheetml/2006/main" count="269" uniqueCount="101">
  <si>
    <t>Seed</t>
  </si>
  <si>
    <t>Team
Ranking</t>
  </si>
  <si>
    <t>Teamname
Player 1/Player 2</t>
  </si>
  <si>
    <t>Match
Number</t>
  </si>
  <si>
    <t>Round</t>
  </si>
  <si>
    <t>Court</t>
  </si>
  <si>
    <t>Team 1</t>
  </si>
  <si>
    <t>vs</t>
  </si>
  <si>
    <t>Team 2</t>
  </si>
  <si>
    <t>Result</t>
  </si>
  <si>
    <t>Time</t>
  </si>
  <si>
    <t>1. Set</t>
  </si>
  <si>
    <t>2. Set</t>
  </si>
  <si>
    <t>3. Set</t>
  </si>
  <si>
    <t>Start time</t>
  </si>
  <si>
    <t>End time</t>
  </si>
  <si>
    <t>I</t>
  </si>
  <si>
    <t>&lt;-&gt;</t>
  </si>
  <si>
    <t>II</t>
  </si>
  <si>
    <t>SF</t>
  </si>
  <si>
    <t>3/4</t>
  </si>
  <si>
    <t>F</t>
  </si>
  <si>
    <t>Semi finals</t>
  </si>
  <si>
    <t>Final</t>
  </si>
  <si>
    <t>3./4. Rank</t>
  </si>
  <si>
    <t>Team</t>
  </si>
  <si>
    <t>Player1</t>
  </si>
  <si>
    <t>Player2</t>
  </si>
  <si>
    <t>Vorname</t>
  </si>
  <si>
    <t>Turnier- gebühr</t>
  </si>
  <si>
    <t>Wohnort</t>
  </si>
  <si>
    <t>Eingabe nötig</t>
  </si>
  <si>
    <t>Eingabe erwünscht</t>
  </si>
  <si>
    <t>Team Name
Player 1/Player 2</t>
  </si>
  <si>
    <t>Player 1/Player 2</t>
  </si>
  <si>
    <t>Player 1 / Player 2</t>
  </si>
  <si>
    <t>Rang</t>
  </si>
  <si>
    <t>Startzeit</t>
  </si>
  <si>
    <t>Zur einfacheren Bedienung wird die Aufhebung des Blattschutzes nicht empfohlen (rvz)</t>
  </si>
  <si>
    <t>III</t>
  </si>
  <si>
    <t>Lizenz</t>
  </si>
  <si>
    <t>Tim</t>
  </si>
  <si>
    <t>Röthlisberger</t>
  </si>
  <si>
    <t>Marc</t>
  </si>
  <si>
    <t>Baltermi</t>
  </si>
  <si>
    <t>Andrin</t>
  </si>
  <si>
    <t>Adamson</t>
  </si>
  <si>
    <t>Roberto</t>
  </si>
  <si>
    <t>Allemann</t>
  </si>
  <si>
    <t>Jacques</t>
  </si>
  <si>
    <t>Pérez</t>
  </si>
  <si>
    <t>José</t>
  </si>
  <si>
    <t>Stöckli</t>
  </si>
  <si>
    <t>Vivian</t>
  </si>
  <si>
    <t>Bosshard</t>
  </si>
  <si>
    <t>Julian</t>
  </si>
  <si>
    <t>Lendl</t>
  </si>
  <si>
    <t>Patrick</t>
  </si>
  <si>
    <t>Charkin</t>
  </si>
  <si>
    <t>Kanstantsin</t>
  </si>
  <si>
    <t>Raffi</t>
  </si>
  <si>
    <t>Luca</t>
  </si>
  <si>
    <t>Mikami</t>
  </si>
  <si>
    <t>Toshiki</t>
  </si>
  <si>
    <t>Addiechi</t>
  </si>
  <si>
    <t>Federico</t>
  </si>
  <si>
    <t>Bothen</t>
  </si>
  <si>
    <t>Jacob</t>
  </si>
  <si>
    <t>Sieber</t>
  </si>
  <si>
    <t>Jonatan</t>
  </si>
  <si>
    <t>Ducret</t>
  </si>
  <si>
    <t>Noah</t>
  </si>
  <si>
    <t>Péter-Contesse</t>
  </si>
  <si>
    <t>Luc</t>
  </si>
  <si>
    <t>Dürst</t>
  </si>
  <si>
    <t>Linus</t>
  </si>
  <si>
    <t>Hill Azpeitia</t>
  </si>
  <si>
    <t>Oscar</t>
  </si>
  <si>
    <t>Müller</t>
  </si>
  <si>
    <t>Alexander</t>
  </si>
  <si>
    <t>Schaller</t>
  </si>
  <si>
    <t>Til</t>
  </si>
  <si>
    <t>Lendzian</t>
  </si>
  <si>
    <t>Maciej</t>
  </si>
  <si>
    <t>Strebel</t>
  </si>
  <si>
    <t>Raphael</t>
  </si>
  <si>
    <t>Kurzawa</t>
  </si>
  <si>
    <t>Kacper</t>
  </si>
  <si>
    <t>Hrytsuk</t>
  </si>
  <si>
    <t>Yury</t>
  </si>
  <si>
    <t>Hofmann</t>
  </si>
  <si>
    <t>Yannick</t>
  </si>
  <si>
    <t>Flückiger</t>
  </si>
  <si>
    <t>Martin</t>
  </si>
  <si>
    <t>Arndt</t>
  </si>
  <si>
    <t>Tommy</t>
  </si>
  <si>
    <t>Abassi</t>
  </si>
  <si>
    <t>Mike</t>
  </si>
  <si>
    <t>Känzig</t>
  </si>
  <si>
    <t>Yanis</t>
  </si>
  <si>
    <t>Marwin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</si>
</sst>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11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7"/>
      <name val="Arial Narrow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gray06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>
      <alignment horizontal="left"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5" xfId="0" applyBorder="1"/>
    <xf numFmtId="37" fontId="5" fillId="2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37" fontId="3" fillId="0" borderId="7" xfId="0" applyNumberFormat="1" applyFont="1" applyBorder="1" applyAlignment="1">
      <alignment horizontal="right" vertical="center"/>
    </xf>
    <xf numFmtId="0" fontId="0" fillId="0" borderId="8" xfId="0" applyBorder="1"/>
    <xf numFmtId="0" fontId="5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37" fontId="5" fillId="2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37" fontId="3" fillId="0" borderId="0" xfId="0" applyNumberFormat="1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alignment horizontal="left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 vertical="center" textRotation="90" wrapText="1"/>
    </xf>
    <xf numFmtId="0" fontId="1" fillId="0" borderId="16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textRotation="90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1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64" fontId="0" fillId="4" borderId="2" xfId="0" applyNumberFormat="1" applyFill="1" applyBorder="1" applyAlignment="1" applyProtection="1">
      <alignment horizontal="center" vertical="center"/>
      <protection locked="0"/>
    </xf>
    <xf numFmtId="164" fontId="0" fillId="4" borderId="3" xfId="0" applyNumberFormat="1" applyFill="1" applyBorder="1" applyAlignment="1" applyProtection="1">
      <alignment horizontal="center" vertical="center"/>
      <protection locked="0"/>
    </xf>
    <xf numFmtId="164" fontId="0" fillId="4" borderId="4" xfId="0" applyNumberFormat="1" applyFill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3" borderId="4" xfId="0" applyFill="1" applyBorder="1" applyAlignment="1" applyProtection="1">
      <alignment horizontal="left" vertical="center"/>
      <protection locked="0"/>
    </xf>
    <xf numFmtId="0" fontId="0" fillId="4" borderId="4" xfId="0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Continuous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20" fontId="2" fillId="4" borderId="2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1" fillId="0" borderId="26" xfId="0" applyFont="1" applyBorder="1" applyAlignment="1">
      <alignment horizontal="centerContinuous" vertical="center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Continuous" vertical="center"/>
    </xf>
    <xf numFmtId="0" fontId="1" fillId="0" borderId="12" xfId="0" applyFont="1" applyBorder="1" applyAlignment="1">
      <alignment horizontal="center" vertical="center" textRotation="90" wrapText="1"/>
    </xf>
    <xf numFmtId="0" fontId="2" fillId="0" borderId="23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  <protection locked="0"/>
    </xf>
    <xf numFmtId="20" fontId="2" fillId="4" borderId="3" xfId="0" applyNumberFormat="1" applyFont="1" applyFill="1" applyBorder="1" applyAlignment="1" applyProtection="1">
      <alignment horizontal="center" vertical="center"/>
      <protection locked="0"/>
    </xf>
    <xf numFmtId="164" fontId="2" fillId="0" borderId="14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  <protection locked="0"/>
    </xf>
    <xf numFmtId="20" fontId="2" fillId="4" borderId="4" xfId="0" applyNumberFormat="1" applyFont="1" applyFill="1" applyBorder="1" applyAlignment="1" applyProtection="1">
      <alignment horizontal="center" vertical="center"/>
      <protection locked="0"/>
    </xf>
    <xf numFmtId="164" fontId="2" fillId="0" borderId="28" xfId="0" applyNumberFormat="1" applyFont="1" applyBorder="1" applyAlignment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30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37" fontId="1" fillId="0" borderId="5" xfId="0" applyNumberFormat="1" applyFont="1" applyBorder="1" applyAlignment="1">
      <alignment horizontal="right" vertical="center"/>
    </xf>
    <xf numFmtId="37" fontId="3" fillId="0" borderId="29" xfId="0" applyNumberFormat="1" applyFont="1" applyBorder="1" applyAlignment="1">
      <alignment horizontal="left" vertical="center"/>
    </xf>
    <xf numFmtId="37" fontId="3" fillId="0" borderId="0" xfId="0" applyNumberFormat="1" applyFont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37" fontId="9" fillId="0" borderId="5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7" fontId="3" fillId="0" borderId="10" xfId="0" applyNumberFormat="1" applyFont="1" applyBorder="1" applyAlignment="1">
      <alignment horizontal="right" vertical="center"/>
    </xf>
    <xf numFmtId="37" fontId="3" fillId="0" borderId="5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right" vertical="center"/>
    </xf>
    <xf numFmtId="37" fontId="3" fillId="0" borderId="32" xfId="0" applyNumberFormat="1" applyFont="1" applyBorder="1" applyAlignment="1">
      <alignment horizontal="right" vertical="center"/>
    </xf>
    <xf numFmtId="37" fontId="1" fillId="0" borderId="4" xfId="0" applyNumberFormat="1" applyFont="1" applyBorder="1" applyAlignment="1">
      <alignment horizontal="center" vertical="center"/>
    </xf>
    <xf numFmtId="37" fontId="3" fillId="0" borderId="4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37" fontId="3" fillId="0" borderId="5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3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32" xfId="0" applyFont="1" applyBorder="1" applyAlignment="1">
      <alignment horizontal="left" vertical="center"/>
    </xf>
    <xf numFmtId="0" fontId="5" fillId="2" borderId="3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333375</xdr:colOff>
      <xdr:row>13</xdr:row>
      <xdr:rowOff>28575</xdr:rowOff>
    </xdr:from>
    <xdr:to>
      <xdr:col>4</xdr:col>
      <xdr:colOff>333375</xdr:colOff>
      <xdr:row>19</xdr:row>
      <xdr:rowOff>9525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ShapeType="1"/>
        </xdr:cNvSpPr>
      </xdr:nvSpPr>
      <xdr:spPr bwMode="auto">
        <a:xfrm>
          <a:off x="3857625" y="1638300"/>
          <a:ext cx="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4</xdr:col>
      <xdr:colOff>361950</xdr:colOff>
      <xdr:row>28</xdr:row>
      <xdr:rowOff>85725</xdr:rowOff>
    </xdr:from>
    <xdr:to>
      <xdr:col>4</xdr:col>
      <xdr:colOff>361950</xdr:colOff>
      <xdr:row>34</xdr:row>
      <xdr:rowOff>76200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ShapeType="1"/>
        </xdr:cNvSpPr>
      </xdr:nvSpPr>
      <xdr:spPr bwMode="auto">
        <a:xfrm flipV="1">
          <a:off x="3886200" y="3552825"/>
          <a:ext cx="0" cy="733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M23"/>
  <sheetViews>
    <sheetView zoomScaleNormal="100" workbookViewId="0">
      <selection activeCell="B9" sqref="B9"/>
    </sheetView>
  </sheetViews>
  <sheetFormatPr baseColWidth="10" defaultColWidth="8.6640625" defaultRowHeight="13.2" x14ac:dyDescent="0.25"/>
  <cols>
    <col min="1" max="1" width="3" style="59" customWidth="1"/>
    <col min="2" max="2" width="13.88671875" style="60" customWidth="1"/>
    <col min="3" max="3" width="11.33203125" style="60" customWidth="1"/>
    <col min="4" max="4" width="6.44140625" customWidth="1"/>
    <col min="5" max="5" width="16.88671875" style="60" customWidth="1"/>
    <col min="6" max="6" width="12.109375" style="60" customWidth="1"/>
    <col min="7" max="7" width="7.109375" customWidth="1"/>
    <col min="8" max="8" width="4.44140625" customWidth="1"/>
    <col min="9" max="9" width="23.5546875" bestFit="1" customWidth="1"/>
    <col min="10" max="10" width="18.5546875" style="59" customWidth="1"/>
    <col min="11" max="11" width="6.109375" style="59" customWidth="1"/>
    <col min="12" max="13" width="14.5546875" hidden="1" customWidth="1"/>
  </cols>
  <sheetData>
    <row r="1" spans="1:13" ht="43.5" customHeight="1" thickTop="1" thickBot="1" x14ac:dyDescent="0.3">
      <c r="A1" s="48" t="s">
        <v>0</v>
      </c>
      <c r="B1" s="65" t="s">
        <v>26</v>
      </c>
      <c r="C1" s="65" t="s">
        <v>28</v>
      </c>
      <c r="D1" s="49" t="s">
        <v>40</v>
      </c>
      <c r="E1" s="65" t="s">
        <v>27</v>
      </c>
      <c r="F1" s="65" t="s">
        <v>28</v>
      </c>
      <c r="G1" s="49" t="s">
        <v>40</v>
      </c>
      <c r="H1" s="49" t="s">
        <v>29</v>
      </c>
      <c r="I1" s="50" t="s">
        <v>2</v>
      </c>
      <c r="J1" s="50" t="s">
        <v>30</v>
      </c>
      <c r="K1" s="49" t="s">
        <v>1</v>
      </c>
      <c r="L1" s="51" t="s">
        <v>33</v>
      </c>
      <c r="M1" s="52" t="s">
        <v>34</v>
      </c>
    </row>
    <row r="2" spans="1:13" s="56" customFormat="1" ht="13.5" customHeight="1" thickTop="1" x14ac:dyDescent="0.25">
      <c r="A2" s="53">
        <v>1</v>
      </c>
      <c r="B2" s="37" t="s">
        <v>44</v>
      </c>
      <c r="C2" s="40" t="s">
        <v>45</v>
      </c>
      <c r="D2" s="1"/>
      <c r="E2" s="37" t="s">
        <v>76</v>
      </c>
      <c r="F2" s="40" t="s">
        <v>77</v>
      </c>
      <c r="G2" s="1"/>
      <c r="H2" s="1"/>
      <c r="I2" s="54" t="str">
        <f>CONCATENATE($B$2," / ",$E$2)</f>
        <v>Baltermi / Hill Azpeitia</v>
      </c>
      <c r="J2" s="40"/>
      <c r="K2" s="39"/>
      <c r="L2" s="54" t="str">
        <f>CONCATENATE($B$2," / ",$E$2)</f>
        <v>Baltermi / Hill Azpeitia</v>
      </c>
      <c r="M2" s="55" t="str">
        <f>CONCATENATE($C$2," ",$B$2," / ",$F$2," ",$E$2)</f>
        <v>Andrin Baltermi / Oscar Hill Azpeitia</v>
      </c>
    </row>
    <row r="3" spans="1:13" s="56" customFormat="1" ht="13.5" customHeight="1" x14ac:dyDescent="0.25">
      <c r="A3" s="57">
        <v>2</v>
      </c>
      <c r="B3" s="38" t="s">
        <v>46</v>
      </c>
      <c r="C3" s="41" t="s">
        <v>47</v>
      </c>
      <c r="D3" s="3"/>
      <c r="E3" s="38" t="s">
        <v>78</v>
      </c>
      <c r="F3" s="41" t="s">
        <v>79</v>
      </c>
      <c r="G3" s="3"/>
      <c r="H3" s="3"/>
      <c r="I3" s="58" t="str">
        <f>CONCATENATE($B$3," / ",$E$3)</f>
        <v>Adamson / Müller</v>
      </c>
      <c r="J3" s="41"/>
      <c r="K3" s="39"/>
      <c r="L3" s="58" t="str">
        <f>CONCATENATE($B$3," / ",$E$3)</f>
        <v>Adamson / Müller</v>
      </c>
      <c r="M3" s="55" t="str">
        <f>CONCATENATE($C$3," ",$B$3," / ",$F$3," ",$E$3)</f>
        <v>Roberto Adamson / Alexander Müller</v>
      </c>
    </row>
    <row r="4" spans="1:13" s="56" customFormat="1" ht="13.5" customHeight="1" x14ac:dyDescent="0.25">
      <c r="A4" s="57">
        <v>3</v>
      </c>
      <c r="B4" s="38" t="s">
        <v>48</v>
      </c>
      <c r="C4" s="41" t="s">
        <v>49</v>
      </c>
      <c r="D4" s="3"/>
      <c r="E4" s="38" t="s">
        <v>80</v>
      </c>
      <c r="F4" s="41" t="s">
        <v>81</v>
      </c>
      <c r="G4" s="3"/>
      <c r="H4" s="3"/>
      <c r="I4" s="58" t="str">
        <f>CONCATENATE($B$4," / ",$E$4)</f>
        <v>Allemann / Schaller</v>
      </c>
      <c r="J4" s="41"/>
      <c r="K4" s="39"/>
      <c r="L4" s="58" t="str">
        <f>CONCATENATE($B$4," / ",$E$4)</f>
        <v>Allemann / Schaller</v>
      </c>
      <c r="M4" s="55" t="str">
        <f>CONCATENATE($C$4," ",$B$4," / ",$F$4," ",$E$4)</f>
        <v>Jacques Allemann / Til Schaller</v>
      </c>
    </row>
    <row r="5" spans="1:13" s="56" customFormat="1" ht="13.5" customHeight="1" x14ac:dyDescent="0.25">
      <c r="A5" s="57">
        <v>4</v>
      </c>
      <c r="B5" s="38" t="s">
        <v>50</v>
      </c>
      <c r="C5" s="41" t="s">
        <v>51</v>
      </c>
      <c r="D5" s="3"/>
      <c r="E5" s="38" t="s">
        <v>82</v>
      </c>
      <c r="F5" s="41" t="s">
        <v>83</v>
      </c>
      <c r="G5" s="3"/>
      <c r="H5" s="3"/>
      <c r="I5" s="58" t="str">
        <f>CONCATENATE($B$5," / ",$E$5)</f>
        <v>Pérez / Lendzian</v>
      </c>
      <c r="J5" s="41"/>
      <c r="K5" s="39"/>
      <c r="L5" s="58" t="str">
        <f>CONCATENATE($B$5," / ",$E$5)</f>
        <v>Pérez / Lendzian</v>
      </c>
      <c r="M5" s="55" t="str">
        <f>CONCATENATE($C$5," ",$B$5," / ",$F$5," ",$E$5)</f>
        <v>José Pérez / Maciej Lendzian</v>
      </c>
    </row>
    <row r="6" spans="1:13" s="56" customFormat="1" ht="13.5" customHeight="1" x14ac:dyDescent="0.25">
      <c r="A6" s="57">
        <v>5</v>
      </c>
      <c r="B6" s="38" t="s">
        <v>52</v>
      </c>
      <c r="C6" s="41" t="s">
        <v>53</v>
      </c>
      <c r="D6" s="3"/>
      <c r="E6" s="38" t="s">
        <v>52</v>
      </c>
      <c r="F6" s="41" t="s">
        <v>55</v>
      </c>
      <c r="G6" s="3"/>
      <c r="H6" s="3"/>
      <c r="I6" s="58" t="str">
        <f>CONCATENATE($B$6," / ",$E$6)</f>
        <v>Stöckli / Stöckli</v>
      </c>
      <c r="J6" s="41"/>
      <c r="K6" s="39"/>
      <c r="L6" s="58" t="str">
        <f>CONCATENATE($B$6," / ",$E$6)</f>
        <v>Stöckli / Stöckli</v>
      </c>
      <c r="M6" s="55" t="str">
        <f>CONCATENATE($C$6," ",$B$6," / ",$F$6," ",$E$6)</f>
        <v>Vivian Stöckli / Julian Stöckli</v>
      </c>
    </row>
    <row r="7" spans="1:13" s="56" customFormat="1" ht="13.5" customHeight="1" x14ac:dyDescent="0.25">
      <c r="A7" s="57">
        <v>6</v>
      </c>
      <c r="B7" s="38" t="s">
        <v>54</v>
      </c>
      <c r="C7" s="41" t="s">
        <v>55</v>
      </c>
      <c r="D7" s="3"/>
      <c r="E7" s="38" t="s">
        <v>84</v>
      </c>
      <c r="F7" s="41" t="s">
        <v>85</v>
      </c>
      <c r="G7" s="3"/>
      <c r="H7" s="3"/>
      <c r="I7" s="58" t="str">
        <f>CONCATENATE($B$7," / ",$E$7)</f>
        <v>Bosshard / Strebel</v>
      </c>
      <c r="J7" s="41"/>
      <c r="K7" s="39"/>
      <c r="L7" s="58" t="str">
        <f>CONCATENATE($B$7," / ",$E$7)</f>
        <v>Bosshard / Strebel</v>
      </c>
      <c r="M7" s="55" t="str">
        <f>CONCATENATE($C$7," ",$B$7," / ",$F$7," ",$E$7)</f>
        <v>Julian Bosshard / Raphael Strebel</v>
      </c>
    </row>
    <row r="8" spans="1:13" s="56" customFormat="1" ht="13.5" customHeight="1" x14ac:dyDescent="0.25">
      <c r="A8" s="57">
        <v>7</v>
      </c>
      <c r="B8" s="38" t="s">
        <v>56</v>
      </c>
      <c r="C8" s="41" t="s">
        <v>57</v>
      </c>
      <c r="D8" s="3"/>
      <c r="E8" s="38" t="s">
        <v>86</v>
      </c>
      <c r="F8" s="41" t="s">
        <v>87</v>
      </c>
      <c r="G8" s="3"/>
      <c r="H8" s="3"/>
      <c r="I8" s="58" t="str">
        <f>CONCATENATE($B$8," / ",$E$8)</f>
        <v>Lendl / Kurzawa</v>
      </c>
      <c r="J8" s="41"/>
      <c r="K8" s="39"/>
      <c r="L8" s="58" t="str">
        <f>CONCATENATE($B$8," / ",$E$8)</f>
        <v>Lendl / Kurzawa</v>
      </c>
      <c r="M8" s="55" t="str">
        <f>CONCATENATE($C$8," ",$B$8," / ",$F$8," ",$E$8)</f>
        <v>Patrick Lendl / Kacper Kurzawa</v>
      </c>
    </row>
    <row r="9" spans="1:13" s="56" customFormat="1" ht="13.5" customHeight="1" x14ac:dyDescent="0.25">
      <c r="A9" s="57">
        <v>8</v>
      </c>
      <c r="B9" s="38" t="s">
        <v>58</v>
      </c>
      <c r="C9" s="41" t="s">
        <v>59</v>
      </c>
      <c r="D9" s="3"/>
      <c r="E9" s="38" t="s">
        <v>88</v>
      </c>
      <c r="F9" s="41" t="s">
        <v>89</v>
      </c>
      <c r="G9" s="3"/>
      <c r="H9" s="3"/>
      <c r="I9" s="58" t="str">
        <f>CONCATENATE($B$9," / ",$E$9)</f>
        <v>Charkin / Hrytsuk</v>
      </c>
      <c r="J9" s="41"/>
      <c r="K9" s="39"/>
      <c r="L9" s="58" t="str">
        <f>CONCATENATE($B$9," / ",$E$9)</f>
        <v>Charkin / Hrytsuk</v>
      </c>
      <c r="M9" s="55" t="str">
        <f>CONCATENATE($C$9," ",$B$9," / ",$F$9," ",$E$9)</f>
        <v>Kanstantsin Charkin / Yury Hrytsuk</v>
      </c>
    </row>
    <row r="10" spans="1:13" s="56" customFormat="1" ht="13.5" customHeight="1" x14ac:dyDescent="0.25">
      <c r="A10" s="76">
        <v>9</v>
      </c>
      <c r="B10" s="77" t="s">
        <v>60</v>
      </c>
      <c r="C10" s="78" t="s">
        <v>61</v>
      </c>
      <c r="D10" s="79"/>
      <c r="E10" s="77" t="s">
        <v>42</v>
      </c>
      <c r="F10" s="78" t="s">
        <v>43</v>
      </c>
      <c r="G10" s="79"/>
      <c r="H10" s="79"/>
      <c r="I10" s="58" t="str">
        <f>CONCATENATE($B$10," / ",$E$10)</f>
        <v>Raffi / Röthlisberger</v>
      </c>
      <c r="J10" s="78"/>
      <c r="K10" s="39"/>
      <c r="L10" s="58" t="str">
        <f>CONCATENATE($B$10," / ",$E$10)</f>
        <v>Raffi / Röthlisberger</v>
      </c>
      <c r="M10" s="55" t="str">
        <f>CONCATENATE($C$10," ",$B$10," / ",$F$10," ",$E$10)</f>
        <v>Luca Raffi / Marc Röthlisberger</v>
      </c>
    </row>
    <row r="11" spans="1:13" s="56" customFormat="1" ht="13.5" customHeight="1" x14ac:dyDescent="0.25">
      <c r="A11" s="57">
        <v>10</v>
      </c>
      <c r="B11" s="38" t="s">
        <v>62</v>
      </c>
      <c r="C11" s="41" t="s">
        <v>63</v>
      </c>
      <c r="D11" s="3"/>
      <c r="E11" s="38" t="s">
        <v>90</v>
      </c>
      <c r="F11" s="41" t="s">
        <v>91</v>
      </c>
      <c r="G11" s="3"/>
      <c r="H11" s="3"/>
      <c r="I11" s="58" t="str">
        <f>CONCATENATE($B$11," / ",$E$11)</f>
        <v>Mikami / Hofmann</v>
      </c>
      <c r="J11" s="41"/>
      <c r="K11" s="39"/>
      <c r="L11" s="58" t="str">
        <f>CONCATENATE($B$11," / ",$E$11)</f>
        <v>Mikami / Hofmann</v>
      </c>
      <c r="M11" s="55" t="str">
        <f>CONCATENATE($C$11," ",$B$11," / ",$F$11," ",$E$11)</f>
        <v>Toshiki Mikami / Yannick Hofmann</v>
      </c>
    </row>
    <row r="12" spans="1:13" s="56" customFormat="1" ht="13.5" customHeight="1" x14ac:dyDescent="0.25">
      <c r="A12" s="57">
        <v>11</v>
      </c>
      <c r="B12" s="38" t="s">
        <v>64</v>
      </c>
      <c r="C12" s="41" t="s">
        <v>65</v>
      </c>
      <c r="D12" s="3"/>
      <c r="E12" s="38" t="s">
        <v>92</v>
      </c>
      <c r="F12" s="41" t="s">
        <v>93</v>
      </c>
      <c r="G12" s="3"/>
      <c r="H12" s="3"/>
      <c r="I12" s="58" t="str">
        <f>CONCATENATE($B$12," / ",$E$12)</f>
        <v>Addiechi / Flückiger</v>
      </c>
      <c r="J12" s="41"/>
      <c r="K12" s="39"/>
      <c r="L12" s="58" t="str">
        <f>CONCATENATE($B$12," / ",$E$12)</f>
        <v>Addiechi / Flückiger</v>
      </c>
      <c r="M12" s="55" t="str">
        <f>CONCATENATE($C$12," ",$B$12," / ",$F$12," ",$E$12)</f>
        <v>Federico Addiechi / Martin Flückiger</v>
      </c>
    </row>
    <row r="13" spans="1:13" s="56" customFormat="1" ht="13.5" customHeight="1" x14ac:dyDescent="0.25">
      <c r="A13" s="57">
        <v>12</v>
      </c>
      <c r="B13" s="38" t="s">
        <v>66</v>
      </c>
      <c r="C13" s="41" t="s">
        <v>67</v>
      </c>
      <c r="D13" s="3"/>
      <c r="E13" s="38" t="s">
        <v>94</v>
      </c>
      <c r="F13" s="41" t="s">
        <v>95</v>
      </c>
      <c r="G13" s="3"/>
      <c r="H13" s="3"/>
      <c r="I13" s="58" t="str">
        <f>CONCATENATE($B$13," / ",$E$13)</f>
        <v>Bothen / Arndt</v>
      </c>
      <c r="J13" s="41"/>
      <c r="K13" s="39"/>
      <c r="L13" s="58" t="str">
        <f>CONCATENATE($B$13," / ",$E$13)</f>
        <v>Bothen / Arndt</v>
      </c>
      <c r="M13" s="55" t="str">
        <f>CONCATENATE($C$13," ",$B$13," / ",$F$13," ",$E$13)</f>
        <v>Jacob Bothen / Tommy Arndt</v>
      </c>
    </row>
    <row r="14" spans="1:13" s="56" customFormat="1" ht="13.5" customHeight="1" x14ac:dyDescent="0.25">
      <c r="A14" s="57">
        <v>13</v>
      </c>
      <c r="B14" s="38" t="s">
        <v>68</v>
      </c>
      <c r="C14" s="41" t="s">
        <v>69</v>
      </c>
      <c r="D14" s="3"/>
      <c r="E14" s="38" t="s">
        <v>78</v>
      </c>
      <c r="F14" s="41" t="s">
        <v>41</v>
      </c>
      <c r="G14" s="3"/>
      <c r="H14" s="3"/>
      <c r="I14" s="58" t="str">
        <f>CONCATENATE($B$14," / ",$E$14)</f>
        <v>Sieber / Müller</v>
      </c>
      <c r="J14" s="41"/>
      <c r="K14" s="39"/>
      <c r="L14" s="58" t="str">
        <f>CONCATENATE($B$14," / ",$E$14)</f>
        <v>Sieber / Müller</v>
      </c>
      <c r="M14" s="55" t="str">
        <f>CONCATENATE($C$14," ",$B$14," / ",$F$14," ",$E$14)</f>
        <v>Jonatan Sieber / Tim Müller</v>
      </c>
    </row>
    <row r="15" spans="1:13" s="56" customFormat="1" ht="13.5" customHeight="1" x14ac:dyDescent="0.25">
      <c r="A15" s="57">
        <v>14</v>
      </c>
      <c r="B15" s="38" t="s">
        <v>70</v>
      </c>
      <c r="C15" s="41" t="s">
        <v>71</v>
      </c>
      <c r="D15" s="3"/>
      <c r="E15" s="38" t="s">
        <v>96</v>
      </c>
      <c r="F15" s="41" t="s">
        <v>97</v>
      </c>
      <c r="G15" s="3"/>
      <c r="H15" s="3"/>
      <c r="I15" s="58" t="str">
        <f>CONCATENATE($B$15," / ",$E$15)</f>
        <v>Ducret / Abassi</v>
      </c>
      <c r="J15" s="41"/>
      <c r="K15" s="39"/>
      <c r="L15" s="58" t="str">
        <f>CONCATENATE($B$15," / ",$E$15)</f>
        <v>Ducret / Abassi</v>
      </c>
      <c r="M15" s="55" t="str">
        <f>CONCATENATE($C$15," ",$B$15," / ",$F$15," ",$E$15)</f>
        <v>Noah Ducret / Mike Abassi</v>
      </c>
    </row>
    <row r="16" spans="1:13" s="56" customFormat="1" ht="13.5" customHeight="1" x14ac:dyDescent="0.25">
      <c r="A16" s="57">
        <v>15</v>
      </c>
      <c r="B16" s="38" t="s">
        <v>72</v>
      </c>
      <c r="C16" s="41" t="s">
        <v>73</v>
      </c>
      <c r="D16" s="3"/>
      <c r="E16" s="38" t="s">
        <v>98</v>
      </c>
      <c r="F16" s="41" t="s">
        <v>99</v>
      </c>
      <c r="G16" s="3"/>
      <c r="H16" s="3"/>
      <c r="I16" s="58" t="str">
        <f>CONCATENATE($B$16," / ",$E$16)</f>
        <v>Péter-Contesse / Känzig</v>
      </c>
      <c r="J16" s="41"/>
      <c r="K16" s="39"/>
      <c r="L16" s="58" t="str">
        <f>CONCATENATE($B$16," / ",$E$16)</f>
        <v>Péter-Contesse / Känzig</v>
      </c>
      <c r="M16" s="55" t="str">
        <f>CONCATENATE($C$16," ",$B$16," / ",$F$16," ",$E$16)</f>
        <v>Luc Péter-Contesse / Yanis Känzig</v>
      </c>
    </row>
    <row r="17" spans="1:13" s="56" customFormat="1" ht="13.5" customHeight="1" x14ac:dyDescent="0.25">
      <c r="A17" s="57">
        <v>16</v>
      </c>
      <c r="B17" s="38" t="s">
        <v>74</v>
      </c>
      <c r="C17" s="41" t="s">
        <v>75</v>
      </c>
      <c r="D17" s="3"/>
      <c r="E17" s="38" t="s">
        <v>74</v>
      </c>
      <c r="F17" s="41" t="s">
        <v>100</v>
      </c>
      <c r="G17" s="3"/>
      <c r="H17" s="3"/>
      <c r="I17" s="58" t="str">
        <f>CONCATENATE($B$17," / ",$E$17)</f>
        <v>Dürst / Dürst</v>
      </c>
      <c r="J17" s="41"/>
      <c r="K17" s="39"/>
      <c r="L17" s="58" t="str">
        <f>CONCATENATE($B$17," / ",$E$17)</f>
        <v>Dürst / Dürst</v>
      </c>
      <c r="M17" s="55" t="str">
        <f>CONCATENATE($C$17," ",$B$17," / ",$F$17," ",$E$17)</f>
        <v>Linus Dürst / Marwin Dürst</v>
      </c>
    </row>
    <row r="19" spans="1:13" x14ac:dyDescent="0.25">
      <c r="A19" s="61" t="s">
        <v>31</v>
      </c>
      <c r="B19" s="62"/>
      <c r="D19" s="63" t="s">
        <v>32</v>
      </c>
      <c r="E19" s="64"/>
      <c r="J19"/>
    </row>
    <row r="20" spans="1:13" x14ac:dyDescent="0.25">
      <c r="J20"/>
    </row>
    <row r="21" spans="1:13" x14ac:dyDescent="0.25">
      <c r="J21"/>
    </row>
    <row r="22" spans="1:13" x14ac:dyDescent="0.25">
      <c r="J22"/>
    </row>
    <row r="23" spans="1:13" x14ac:dyDescent="0.25">
      <c r="J23"/>
    </row>
  </sheetData>
  <sheetProtection algorithmName="SHA-512" hashValue="2XgZ3DH5ZO31Du5Ce5/zm+RO4VHDLESBh0qBNhxYmJEzp99HKQlVKcxAlB2IEICIxTP9nPJLOTqHj3QFaPT54g==" saltValue="+kTXqXUxpmjj3N4v7zILUw==" spinCount="100000" sheet="1" objects="1" scenarios="1" formatCells="0" formatColumns="0" formatRows="0" selectLockedCells="1"/>
  <phoneticPr fontId="0" type="noConversion"/>
  <printOptions horizontalCentered="1"/>
  <pageMargins left="0.74803149606299213" right="0.74803149606299213" top="1.4960629921259843" bottom="0.39370078740157483" header="0.51181102362204722" footer="0.39370078740157483"/>
  <pageSetup paperSize="9" orientation="landscape" horizontalDpi="300" verticalDpi="300" r:id="rId1"/>
  <headerFooter alignWithMargins="0">
    <oddHeader>&amp;L&amp;F
&amp;D&amp;C&amp;16B2 M Turnier
20.9.25
Kloten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X31"/>
  <sheetViews>
    <sheetView tabSelected="1" zoomScale="75" zoomScaleNormal="75" workbookViewId="0">
      <selection activeCell="C4" sqref="C4"/>
    </sheetView>
  </sheetViews>
  <sheetFormatPr baseColWidth="10" defaultColWidth="9.109375" defaultRowHeight="15" x14ac:dyDescent="0.25"/>
  <cols>
    <col min="1" max="3" width="4.6640625" style="66" customWidth="1"/>
    <col min="4" max="4" width="7.109375" style="66" bestFit="1" customWidth="1"/>
    <col min="5" max="5" width="29.44140625" style="66" customWidth="1"/>
    <col min="6" max="6" width="3.5546875" style="66" customWidth="1"/>
    <col min="7" max="7" width="29.44140625" style="66" customWidth="1"/>
    <col min="8" max="10" width="3.88671875" style="66" customWidth="1"/>
    <col min="11" max="11" width="6.109375" style="66" customWidth="1"/>
    <col min="12" max="20" width="3.88671875" style="66" customWidth="1"/>
    <col min="21" max="16384" width="9.109375" style="4"/>
  </cols>
  <sheetData>
    <row r="1" spans="1:24" ht="64.5" customHeight="1" x14ac:dyDescent="0.25">
      <c r="A1" s="87" t="s">
        <v>3</v>
      </c>
      <c r="B1" s="88" t="s">
        <v>4</v>
      </c>
      <c r="C1" s="88" t="s">
        <v>5</v>
      </c>
      <c r="D1" s="88" t="s">
        <v>37</v>
      </c>
      <c r="E1" s="89" t="s">
        <v>6</v>
      </c>
      <c r="F1" s="89" t="s">
        <v>7</v>
      </c>
      <c r="G1" s="89" t="s">
        <v>8</v>
      </c>
      <c r="H1" s="90" t="s">
        <v>9</v>
      </c>
      <c r="I1" s="90"/>
      <c r="J1" s="90"/>
      <c r="K1" s="91" t="s">
        <v>10</v>
      </c>
      <c r="L1" s="85" t="s">
        <v>11</v>
      </c>
      <c r="M1" s="81"/>
      <c r="N1" s="81"/>
      <c r="O1" s="81" t="s">
        <v>12</v>
      </c>
      <c r="P1" s="81"/>
      <c r="Q1" s="81"/>
      <c r="R1" s="81" t="s">
        <v>13</v>
      </c>
      <c r="S1" s="81"/>
      <c r="T1" s="81"/>
      <c r="U1" s="80" t="s">
        <v>14</v>
      </c>
      <c r="V1" s="80" t="s">
        <v>15</v>
      </c>
    </row>
    <row r="2" spans="1:24" ht="18" customHeight="1" x14ac:dyDescent="0.25">
      <c r="A2" s="92">
        <v>1</v>
      </c>
      <c r="B2" s="5" t="s">
        <v>16</v>
      </c>
      <c r="C2" s="82">
        <v>1</v>
      </c>
      <c r="D2" s="83">
        <v>0.40625</v>
      </c>
      <c r="E2" s="5" t="str">
        <f>IF(Anmeldung!$I$2=" / ",CONCATENATE("Seed #",Anmeldung!$A$2),Anmeldung!$I$2)</f>
        <v>Baltermi / Hill Azpeitia</v>
      </c>
      <c r="F2" s="5" t="s">
        <v>7</v>
      </c>
      <c r="G2" s="5" t="str">
        <f>IF(Anmeldung!$I$17=" / ",CONCATENATE("Seed #",Anmeldung!$A$17),Anmeldung!$I$17)</f>
        <v>Dürst / Dürst</v>
      </c>
      <c r="H2" s="67" t="str">
        <f t="shared" ref="H2:H15" si="0">IF(L2=N2,"",SUM(IF(L2&gt;N2,1,0),IF(O2&gt;Q2,1,0),IF(R2&lt;=T2,0,1)))</f>
        <v/>
      </c>
      <c r="I2" s="5" t="s">
        <v>17</v>
      </c>
      <c r="J2" s="67" t="str">
        <f t="shared" ref="J2:J15" si="1">IF(L2=N2,"",SUM(IF(L2&lt;N2,1,0),IF(O2&lt;Q2,1,0),IF(R2&gt;=T2,0,1)))</f>
        <v/>
      </c>
      <c r="K2" s="93">
        <f t="shared" ref="K2:K15" si="2">SUM(V2-U2)</f>
        <v>0</v>
      </c>
      <c r="L2" s="86"/>
      <c r="M2" s="5" t="s">
        <v>17</v>
      </c>
      <c r="N2" s="84"/>
      <c r="O2" s="84"/>
      <c r="P2" s="5" t="s">
        <v>17</v>
      </c>
      <c r="Q2" s="84"/>
      <c r="R2" s="82"/>
      <c r="S2" s="5" t="s">
        <v>17</v>
      </c>
      <c r="T2" s="82"/>
      <c r="U2" s="70"/>
      <c r="V2" s="70"/>
      <c r="W2"/>
      <c r="X2"/>
    </row>
    <row r="3" spans="1:24" ht="18" customHeight="1" x14ac:dyDescent="0.25">
      <c r="A3" s="92">
        <f t="shared" ref="A3:A31" si="3">SUM(A2,1)</f>
        <v>2</v>
      </c>
      <c r="B3" s="5" t="s">
        <v>16</v>
      </c>
      <c r="C3" s="82">
        <v>2</v>
      </c>
      <c r="D3" s="83">
        <v>0.40625</v>
      </c>
      <c r="E3" s="5" t="str">
        <f>IF(Anmeldung!$I$10=" / ",CONCATENATE("Seed #",Anmeldung!$A$10),Anmeldung!$I$10)</f>
        <v>Raffi / Röthlisberger</v>
      </c>
      <c r="F3" s="5" t="s">
        <v>7</v>
      </c>
      <c r="G3" s="5" t="str">
        <f>IF(Anmeldung!$I$9=" / ",CONCATENATE("Seed #",Anmeldung!$A$9),Anmeldung!$I$9)</f>
        <v>Charkin / Hrytsuk</v>
      </c>
      <c r="H3" s="67" t="str">
        <f t="shared" si="0"/>
        <v/>
      </c>
      <c r="I3" s="5" t="s">
        <v>17</v>
      </c>
      <c r="J3" s="67" t="str">
        <f t="shared" si="1"/>
        <v/>
      </c>
      <c r="K3" s="93">
        <f t="shared" si="2"/>
        <v>0</v>
      </c>
      <c r="L3" s="86"/>
      <c r="M3" s="5" t="s">
        <v>17</v>
      </c>
      <c r="N3" s="84"/>
      <c r="O3" s="84"/>
      <c r="P3" s="5" t="s">
        <v>17</v>
      </c>
      <c r="Q3" s="84"/>
      <c r="R3" s="82"/>
      <c r="S3" s="5" t="s">
        <v>17</v>
      </c>
      <c r="T3" s="82"/>
      <c r="U3" s="70"/>
      <c r="V3" s="70"/>
      <c r="W3"/>
      <c r="X3"/>
    </row>
    <row r="4" spans="1:24" ht="18" customHeight="1" x14ac:dyDescent="0.25">
      <c r="A4" s="92">
        <f t="shared" si="3"/>
        <v>3</v>
      </c>
      <c r="B4" s="5" t="s">
        <v>16</v>
      </c>
      <c r="C4" s="82">
        <v>3</v>
      </c>
      <c r="D4" s="83">
        <v>0.40625</v>
      </c>
      <c r="E4" s="5" t="str">
        <f>IF(Anmeldung!$I$6=" / ",CONCATENATE("Seed #",Anmeldung!$A$6),Anmeldung!$I$6)</f>
        <v>Stöckli / Stöckli</v>
      </c>
      <c r="F4" s="5" t="s">
        <v>7</v>
      </c>
      <c r="G4" s="5" t="str">
        <f>IF(Anmeldung!$I$13=" / ",CONCATENATE("Seed #",Anmeldung!$A$13),Anmeldung!$I$13)</f>
        <v>Bothen / Arndt</v>
      </c>
      <c r="H4" s="67" t="str">
        <f t="shared" si="0"/>
        <v/>
      </c>
      <c r="I4" s="5" t="s">
        <v>17</v>
      </c>
      <c r="J4" s="67" t="str">
        <f t="shared" si="1"/>
        <v/>
      </c>
      <c r="K4" s="93">
        <f t="shared" si="2"/>
        <v>0</v>
      </c>
      <c r="L4" s="86"/>
      <c r="M4" s="5" t="s">
        <v>17</v>
      </c>
      <c r="N4" s="84"/>
      <c r="O4" s="84"/>
      <c r="P4" s="5" t="s">
        <v>17</v>
      </c>
      <c r="Q4" s="84"/>
      <c r="R4" s="82"/>
      <c r="S4" s="5" t="s">
        <v>17</v>
      </c>
      <c r="T4" s="82"/>
      <c r="U4" s="70"/>
      <c r="V4" s="70"/>
      <c r="W4"/>
      <c r="X4"/>
    </row>
    <row r="5" spans="1:24" ht="18" customHeight="1" x14ac:dyDescent="0.25">
      <c r="A5" s="92">
        <f t="shared" si="3"/>
        <v>4</v>
      </c>
      <c r="B5" s="5" t="s">
        <v>16</v>
      </c>
      <c r="C5" s="82"/>
      <c r="D5" s="83">
        <v>0.42708333333333331</v>
      </c>
      <c r="E5" s="5" t="str">
        <f>IF(Anmeldung!$I$14=" / ",CONCATENATE("Seed #",Anmeldung!$A$14),Anmeldung!$I$14)</f>
        <v>Sieber / Müller</v>
      </c>
      <c r="F5" s="5" t="s">
        <v>7</v>
      </c>
      <c r="G5" s="5" t="str">
        <f>IF(Anmeldung!$I$5=" / ",CONCATENATE("Seed #",Anmeldung!$A$5),Anmeldung!$I$5)</f>
        <v>Pérez / Lendzian</v>
      </c>
      <c r="H5" s="67" t="str">
        <f t="shared" si="0"/>
        <v/>
      </c>
      <c r="I5" s="5" t="s">
        <v>17</v>
      </c>
      <c r="J5" s="67" t="str">
        <f t="shared" si="1"/>
        <v/>
      </c>
      <c r="K5" s="93">
        <f t="shared" si="2"/>
        <v>0</v>
      </c>
      <c r="L5" s="86"/>
      <c r="M5" s="5" t="s">
        <v>17</v>
      </c>
      <c r="N5" s="84"/>
      <c r="O5" s="84"/>
      <c r="P5" s="5" t="s">
        <v>17</v>
      </c>
      <c r="Q5" s="84"/>
      <c r="R5" s="82"/>
      <c r="S5" s="5" t="s">
        <v>17</v>
      </c>
      <c r="T5" s="82"/>
      <c r="U5" s="70"/>
      <c r="V5" s="70"/>
      <c r="W5"/>
      <c r="X5"/>
    </row>
    <row r="6" spans="1:24" ht="18" customHeight="1" x14ac:dyDescent="0.25">
      <c r="A6" s="92">
        <f t="shared" si="3"/>
        <v>5</v>
      </c>
      <c r="B6" s="5" t="s">
        <v>16</v>
      </c>
      <c r="C6" s="82"/>
      <c r="D6" s="83">
        <v>0.42708333333333331</v>
      </c>
      <c r="E6" s="5" t="str">
        <f>IF(Anmeldung!$I$4=" / ",CONCATENATE("Seed #",Anmeldung!$A$4),Anmeldung!$I$4)</f>
        <v>Allemann / Schaller</v>
      </c>
      <c r="F6" s="5" t="s">
        <v>7</v>
      </c>
      <c r="G6" s="5" t="str">
        <f>IF(Anmeldung!$I$15=" / ",CONCATENATE("Seed #",Anmeldung!$A$15),Anmeldung!$I$15)</f>
        <v>Ducret / Abassi</v>
      </c>
      <c r="H6" s="67" t="str">
        <f t="shared" si="0"/>
        <v/>
      </c>
      <c r="I6" s="5" t="s">
        <v>17</v>
      </c>
      <c r="J6" s="67" t="str">
        <f t="shared" si="1"/>
        <v/>
      </c>
      <c r="K6" s="93">
        <f t="shared" si="2"/>
        <v>0</v>
      </c>
      <c r="L6" s="86"/>
      <c r="M6" s="5" t="s">
        <v>17</v>
      </c>
      <c r="N6" s="84"/>
      <c r="O6" s="84"/>
      <c r="P6" s="5" t="s">
        <v>17</v>
      </c>
      <c r="Q6" s="84"/>
      <c r="R6" s="82"/>
      <c r="S6" s="5" t="s">
        <v>17</v>
      </c>
      <c r="T6" s="82"/>
      <c r="U6" s="70"/>
      <c r="V6" s="70"/>
      <c r="W6"/>
      <c r="X6"/>
    </row>
    <row r="7" spans="1:24" ht="18" customHeight="1" thickBot="1" x14ac:dyDescent="0.3">
      <c r="A7" s="92">
        <f t="shared" si="3"/>
        <v>6</v>
      </c>
      <c r="B7" s="5" t="s">
        <v>16</v>
      </c>
      <c r="C7" s="82"/>
      <c r="D7" s="96">
        <v>0.42708333333333331</v>
      </c>
      <c r="E7" s="5" t="str">
        <f>IF(Anmeldung!$I$12=" / ",CONCATENATE("Seed #",Anmeldung!$A$12),Anmeldung!$I$12)</f>
        <v>Addiechi / Flückiger</v>
      </c>
      <c r="F7" s="5" t="s">
        <v>7</v>
      </c>
      <c r="G7" s="5" t="str">
        <f>IF(Anmeldung!$I$7=" / ",CONCATENATE("Seed #",Anmeldung!$A$7),Anmeldung!$I$7)</f>
        <v>Bosshard / Strebel</v>
      </c>
      <c r="H7" s="67" t="str">
        <f t="shared" si="0"/>
        <v/>
      </c>
      <c r="I7" s="5" t="s">
        <v>17</v>
      </c>
      <c r="J7" s="67" t="str">
        <f t="shared" si="1"/>
        <v/>
      </c>
      <c r="K7" s="93">
        <f t="shared" si="2"/>
        <v>0</v>
      </c>
      <c r="L7" s="86"/>
      <c r="M7" s="5" t="s">
        <v>17</v>
      </c>
      <c r="N7" s="84"/>
      <c r="O7" s="84"/>
      <c r="P7" s="5" t="s">
        <v>17</v>
      </c>
      <c r="Q7" s="84"/>
      <c r="R7" s="82"/>
      <c r="S7" s="5" t="s">
        <v>17</v>
      </c>
      <c r="T7" s="82"/>
      <c r="U7" s="70"/>
      <c r="V7" s="70"/>
      <c r="W7"/>
      <c r="X7"/>
    </row>
    <row r="8" spans="1:24" ht="18" customHeight="1" x14ac:dyDescent="0.25">
      <c r="A8" s="92">
        <f t="shared" si="3"/>
        <v>7</v>
      </c>
      <c r="B8" s="5" t="s">
        <v>16</v>
      </c>
      <c r="C8" s="82"/>
      <c r="D8" s="83">
        <v>0.44791666666666669</v>
      </c>
      <c r="E8" s="5" t="str">
        <f>IF(Anmeldung!$I$8=" / ",CONCATENATE("Seed #",Anmeldung!$A$8),Anmeldung!$I$8)</f>
        <v>Lendl / Kurzawa</v>
      </c>
      <c r="F8" s="5" t="s">
        <v>7</v>
      </c>
      <c r="G8" s="5" t="str">
        <f>IF(Anmeldung!$I$11=" / ",CONCATENATE("Seed #",Anmeldung!$A$11),Anmeldung!$I$11)</f>
        <v>Mikami / Hofmann</v>
      </c>
      <c r="H8" s="67" t="str">
        <f t="shared" si="0"/>
        <v/>
      </c>
      <c r="I8" s="5" t="s">
        <v>17</v>
      </c>
      <c r="J8" s="67" t="str">
        <f t="shared" si="1"/>
        <v/>
      </c>
      <c r="K8" s="93">
        <f t="shared" si="2"/>
        <v>0</v>
      </c>
      <c r="L8" s="86"/>
      <c r="M8" s="5" t="s">
        <v>17</v>
      </c>
      <c r="N8" s="84"/>
      <c r="O8" s="84"/>
      <c r="P8" s="5" t="s">
        <v>17</v>
      </c>
      <c r="Q8" s="84"/>
      <c r="R8" s="82"/>
      <c r="S8" s="5" t="s">
        <v>17</v>
      </c>
      <c r="T8" s="82"/>
      <c r="U8" s="70"/>
      <c r="V8" s="70"/>
      <c r="W8"/>
      <c r="X8"/>
    </row>
    <row r="9" spans="1:24" ht="18" customHeight="1" thickBot="1" x14ac:dyDescent="0.3">
      <c r="A9" s="94">
        <f t="shared" si="3"/>
        <v>8</v>
      </c>
      <c r="B9" s="6" t="s">
        <v>16</v>
      </c>
      <c r="C9" s="95"/>
      <c r="D9" s="96">
        <v>0.44791666666666669</v>
      </c>
      <c r="E9" s="6" t="str">
        <f>IF(Anmeldung!$I$16=" / ",CONCATENATE("Seed #",Anmeldung!$A$16),Anmeldung!$I$16)</f>
        <v>Péter-Contesse / Känzig</v>
      </c>
      <c r="F9" s="6" t="s">
        <v>7</v>
      </c>
      <c r="G9" s="6" t="str">
        <f>IF(Anmeldung!$I$3=" / ",CONCATENATE("Seed #",Anmeldung!$A$3),Anmeldung!$I$3)</f>
        <v>Adamson / Müller</v>
      </c>
      <c r="H9" s="68" t="str">
        <f t="shared" si="0"/>
        <v/>
      </c>
      <c r="I9" s="6" t="s">
        <v>17</v>
      </c>
      <c r="J9" s="68" t="str">
        <f t="shared" si="1"/>
        <v/>
      </c>
      <c r="K9" s="97">
        <f t="shared" si="2"/>
        <v>0</v>
      </c>
      <c r="L9" s="104"/>
      <c r="M9" s="6" t="s">
        <v>17</v>
      </c>
      <c r="N9" s="105"/>
      <c r="O9" s="105"/>
      <c r="P9" s="6" t="s">
        <v>17</v>
      </c>
      <c r="Q9" s="105"/>
      <c r="R9" s="95"/>
      <c r="S9" s="6" t="s">
        <v>17</v>
      </c>
      <c r="T9" s="95"/>
      <c r="U9" s="71"/>
      <c r="V9" s="71"/>
      <c r="W9"/>
      <c r="X9"/>
    </row>
    <row r="10" spans="1:24" ht="18" customHeight="1" x14ac:dyDescent="0.25">
      <c r="A10" s="98">
        <f t="shared" si="3"/>
        <v>9</v>
      </c>
      <c r="B10" s="7">
        <v>13</v>
      </c>
      <c r="C10" s="99"/>
      <c r="D10" s="100"/>
      <c r="E10" s="7" t="str">
        <f>IF($H$2=$J$2,CONCATENATE("Loser Match #",$A$2),IF($H$2&lt;$J$2,$E$2,$G$2))</f>
        <v>Loser Match #1</v>
      </c>
      <c r="F10" s="7" t="s">
        <v>7</v>
      </c>
      <c r="G10" s="7" t="str">
        <f>IF($H$3=$J$3,CONCATENATE("Loser Match #",$A$3),IF($H$3&lt;$J$3,$E$3,$G$3))</f>
        <v>Loser Match #2</v>
      </c>
      <c r="H10" s="69" t="str">
        <f t="shared" si="0"/>
        <v/>
      </c>
      <c r="I10" s="7" t="s">
        <v>17</v>
      </c>
      <c r="J10" s="69" t="str">
        <f t="shared" si="1"/>
        <v/>
      </c>
      <c r="K10" s="101">
        <f t="shared" si="2"/>
        <v>0</v>
      </c>
      <c r="L10" s="102"/>
      <c r="M10" s="7" t="s">
        <v>17</v>
      </c>
      <c r="N10" s="103"/>
      <c r="O10" s="103"/>
      <c r="P10" s="7" t="s">
        <v>17</v>
      </c>
      <c r="Q10" s="103"/>
      <c r="R10" s="99"/>
      <c r="S10" s="7" t="s">
        <v>17</v>
      </c>
      <c r="T10" s="99"/>
      <c r="U10" s="72"/>
      <c r="V10" s="72"/>
      <c r="W10"/>
      <c r="X10"/>
    </row>
    <row r="11" spans="1:24" ht="18" customHeight="1" x14ac:dyDescent="0.25">
      <c r="A11" s="92">
        <f t="shared" si="3"/>
        <v>10</v>
      </c>
      <c r="B11" s="5">
        <v>13</v>
      </c>
      <c r="C11" s="82"/>
      <c r="D11" s="83"/>
      <c r="E11" s="5" t="str">
        <f>IF($H$4=$J$4,CONCATENATE("Loser Match #",$A$4),IF($H$4&lt;$J$4,$E$4,$G$4))</f>
        <v>Loser Match #3</v>
      </c>
      <c r="F11" s="5" t="s">
        <v>7</v>
      </c>
      <c r="G11" s="5" t="str">
        <f>IF($H$5=$J$5,CONCATENATE("Loser Match #",$A$5),IF($H$5&lt;$J$5,$E$5,$G$5))</f>
        <v>Loser Match #4</v>
      </c>
      <c r="H11" s="67" t="str">
        <f t="shared" si="0"/>
        <v/>
      </c>
      <c r="I11" s="5" t="s">
        <v>17</v>
      </c>
      <c r="J11" s="67" t="str">
        <f t="shared" si="1"/>
        <v/>
      </c>
      <c r="K11" s="93">
        <f t="shared" si="2"/>
        <v>0</v>
      </c>
      <c r="L11" s="86"/>
      <c r="M11" s="5" t="s">
        <v>17</v>
      </c>
      <c r="N11" s="84"/>
      <c r="O11" s="84"/>
      <c r="P11" s="5" t="s">
        <v>17</v>
      </c>
      <c r="Q11" s="84"/>
      <c r="R11" s="82"/>
      <c r="S11" s="5" t="s">
        <v>17</v>
      </c>
      <c r="T11" s="82"/>
      <c r="U11" s="70"/>
      <c r="V11" s="70"/>
      <c r="W11"/>
      <c r="X11"/>
    </row>
    <row r="12" spans="1:24" ht="18" customHeight="1" x14ac:dyDescent="0.25">
      <c r="A12" s="92">
        <f t="shared" si="3"/>
        <v>11</v>
      </c>
      <c r="B12" s="5">
        <v>13</v>
      </c>
      <c r="C12" s="82"/>
      <c r="D12" s="83"/>
      <c r="E12" s="5" t="str">
        <f>IF($H$6=$J$6,CONCATENATE("Loser Match #",$A$6),IF($H$6&lt;$J$6,$E$6,$G$6))</f>
        <v>Loser Match #5</v>
      </c>
      <c r="F12" s="5" t="s">
        <v>7</v>
      </c>
      <c r="G12" s="5" t="str">
        <f>IF($H$7=$J$7,CONCATENATE("Loser Match #",$A$7),IF($H$7&lt;$J$7,$E$7,$G$7))</f>
        <v>Loser Match #6</v>
      </c>
      <c r="H12" s="67" t="str">
        <f t="shared" si="0"/>
        <v/>
      </c>
      <c r="I12" s="5" t="s">
        <v>17</v>
      </c>
      <c r="J12" s="67" t="str">
        <f t="shared" si="1"/>
        <v/>
      </c>
      <c r="K12" s="93">
        <f t="shared" si="2"/>
        <v>0</v>
      </c>
      <c r="L12" s="86"/>
      <c r="M12" s="5" t="s">
        <v>17</v>
      </c>
      <c r="N12" s="84"/>
      <c r="O12" s="84"/>
      <c r="P12" s="5" t="s">
        <v>17</v>
      </c>
      <c r="Q12" s="84"/>
      <c r="R12" s="82"/>
      <c r="S12" s="5" t="s">
        <v>17</v>
      </c>
      <c r="T12" s="82"/>
      <c r="U12" s="70"/>
      <c r="V12" s="70"/>
      <c r="W12"/>
      <c r="X12"/>
    </row>
    <row r="13" spans="1:24" ht="18" customHeight="1" thickBot="1" x14ac:dyDescent="0.3">
      <c r="A13" s="94">
        <f t="shared" si="3"/>
        <v>12</v>
      </c>
      <c r="B13" s="6">
        <v>13</v>
      </c>
      <c r="C13" s="95"/>
      <c r="D13" s="96"/>
      <c r="E13" s="6" t="str">
        <f>IF($H$8=$J$8,CONCATENATE("Loser Match #",$A$8),IF($H$8&lt;$J$8,$E$8,$G$8))</f>
        <v>Loser Match #7</v>
      </c>
      <c r="F13" s="6" t="s">
        <v>7</v>
      </c>
      <c r="G13" s="6" t="str">
        <f>IF($H$9=$J$9,CONCATENATE("Loser Match #",$A$9),IF($H$9&lt;$J$9,$E$9,$G$9))</f>
        <v>Loser Match #8</v>
      </c>
      <c r="H13" s="68" t="str">
        <f t="shared" si="0"/>
        <v/>
      </c>
      <c r="I13" s="6" t="s">
        <v>17</v>
      </c>
      <c r="J13" s="68" t="str">
        <f t="shared" si="1"/>
        <v/>
      </c>
      <c r="K13" s="97">
        <f t="shared" si="2"/>
        <v>0</v>
      </c>
      <c r="L13" s="104"/>
      <c r="M13" s="6" t="s">
        <v>17</v>
      </c>
      <c r="N13" s="105"/>
      <c r="O13" s="105"/>
      <c r="P13" s="6" t="s">
        <v>17</v>
      </c>
      <c r="Q13" s="105"/>
      <c r="R13" s="95"/>
      <c r="S13" s="6" t="s">
        <v>17</v>
      </c>
      <c r="T13" s="95"/>
      <c r="U13" s="71"/>
      <c r="V13" s="71"/>
      <c r="W13"/>
      <c r="X13"/>
    </row>
    <row r="14" spans="1:24" ht="18" customHeight="1" x14ac:dyDescent="0.25">
      <c r="A14" s="98">
        <f t="shared" si="3"/>
        <v>13</v>
      </c>
      <c r="B14" s="7" t="s">
        <v>18</v>
      </c>
      <c r="C14" s="99"/>
      <c r="D14" s="100"/>
      <c r="E14" s="7" t="str">
        <f>IF($H$2=$J$2,CONCATENATE("Winner Match #",$A$2),IF($H$2&gt;$J$2,$E$2,$G$2))</f>
        <v>Winner Match #1</v>
      </c>
      <c r="F14" s="7" t="s">
        <v>7</v>
      </c>
      <c r="G14" s="7" t="str">
        <f>IF($H$3=$J$3,CONCATENATE("Winner Match #",$A$3),IF($H$3&gt;$J$3,$E$3,$G$3))</f>
        <v>Winner Match #2</v>
      </c>
      <c r="H14" s="69" t="str">
        <f t="shared" si="0"/>
        <v/>
      </c>
      <c r="I14" s="7" t="s">
        <v>17</v>
      </c>
      <c r="J14" s="69" t="str">
        <f t="shared" si="1"/>
        <v/>
      </c>
      <c r="K14" s="101">
        <f t="shared" si="2"/>
        <v>0</v>
      </c>
      <c r="L14" s="102"/>
      <c r="M14" s="7" t="s">
        <v>17</v>
      </c>
      <c r="N14" s="103"/>
      <c r="O14" s="103"/>
      <c r="P14" s="7" t="s">
        <v>17</v>
      </c>
      <c r="Q14" s="103"/>
      <c r="R14" s="99"/>
      <c r="S14" s="7" t="s">
        <v>17</v>
      </c>
      <c r="T14" s="99"/>
      <c r="U14" s="72"/>
      <c r="V14" s="72"/>
      <c r="W14"/>
      <c r="X14"/>
    </row>
    <row r="15" spans="1:24" ht="18" customHeight="1" x14ac:dyDescent="0.25">
      <c r="A15" s="92">
        <f t="shared" si="3"/>
        <v>14</v>
      </c>
      <c r="B15" s="5" t="s">
        <v>18</v>
      </c>
      <c r="C15" s="82"/>
      <c r="D15" s="83"/>
      <c r="E15" s="5" t="str">
        <f>IF($H$4=$J$4,CONCATENATE("Winner Match #",$A$4),IF($H$4&gt;$J$4,$E$4,$G$4))</f>
        <v>Winner Match #3</v>
      </c>
      <c r="F15" s="5" t="s">
        <v>7</v>
      </c>
      <c r="G15" s="5" t="str">
        <f>IF($H$5=$J$5,CONCATENATE("Winner Match #",$A$5),IF($H$5&gt;$J$5,$E$5,$G$5))</f>
        <v>Winner Match #4</v>
      </c>
      <c r="H15" s="67" t="str">
        <f t="shared" si="0"/>
        <v/>
      </c>
      <c r="I15" s="5" t="s">
        <v>17</v>
      </c>
      <c r="J15" s="67" t="str">
        <f t="shared" si="1"/>
        <v/>
      </c>
      <c r="K15" s="93">
        <f t="shared" si="2"/>
        <v>0</v>
      </c>
      <c r="L15" s="86"/>
      <c r="M15" s="5" t="s">
        <v>17</v>
      </c>
      <c r="N15" s="84"/>
      <c r="O15" s="84"/>
      <c r="P15" s="5" t="s">
        <v>17</v>
      </c>
      <c r="Q15" s="84"/>
      <c r="R15" s="82"/>
      <c r="S15" s="5" t="s">
        <v>17</v>
      </c>
      <c r="T15" s="82"/>
      <c r="U15" s="70"/>
      <c r="V15" s="70"/>
      <c r="W15"/>
      <c r="X15"/>
    </row>
    <row r="16" spans="1:24" ht="18" customHeight="1" x14ac:dyDescent="0.25">
      <c r="A16" s="92">
        <f t="shared" si="3"/>
        <v>15</v>
      </c>
      <c r="B16" s="5" t="s">
        <v>18</v>
      </c>
      <c r="C16" s="82"/>
      <c r="D16" s="83"/>
      <c r="E16" s="5" t="str">
        <f>IF($H$6=$J$6,CONCATENATE("Winner Match #",$A$6),IF($H$6&gt;$J$6,$E$6,$G$6))</f>
        <v>Winner Match #5</v>
      </c>
      <c r="F16" s="5" t="s">
        <v>7</v>
      </c>
      <c r="G16" s="5" t="str">
        <f>IF($H$7=$J$7,CONCATENATE("Winner Match #",$A$7),IF($H$7&gt;$J$7,$E$7,$G$7))</f>
        <v>Winner Match #6</v>
      </c>
      <c r="H16" s="67" t="str">
        <f t="shared" ref="H16:H29" si="4">IF(L16=N16,"",SUM(IF(L16&gt;N16,1,0),IF(O16&gt;Q16,1,0),IF(R16&lt;=T16,0,1)))</f>
        <v/>
      </c>
      <c r="I16" s="5" t="s">
        <v>17</v>
      </c>
      <c r="J16" s="67" t="str">
        <f t="shared" ref="J16:J29" si="5">IF(L16=N16,"",SUM(IF(L16&lt;N16,1,0),IF(O16&lt;Q16,1,0),IF(R16&gt;=T16,0,1)))</f>
        <v/>
      </c>
      <c r="K16" s="93">
        <f t="shared" ref="K16:K29" si="6">SUM(V16-U16)</f>
        <v>0</v>
      </c>
      <c r="L16" s="86"/>
      <c r="M16" s="5" t="s">
        <v>17</v>
      </c>
      <c r="N16" s="84"/>
      <c r="O16" s="84"/>
      <c r="P16" s="5" t="s">
        <v>17</v>
      </c>
      <c r="Q16" s="84"/>
      <c r="R16" s="82"/>
      <c r="S16" s="5" t="s">
        <v>17</v>
      </c>
      <c r="T16" s="82"/>
      <c r="U16" s="70"/>
      <c r="V16" s="70"/>
      <c r="W16"/>
      <c r="X16"/>
    </row>
    <row r="17" spans="1:24" ht="18" customHeight="1" thickBot="1" x14ac:dyDescent="0.3">
      <c r="A17" s="94">
        <f t="shared" si="3"/>
        <v>16</v>
      </c>
      <c r="B17" s="6" t="s">
        <v>18</v>
      </c>
      <c r="C17" s="95"/>
      <c r="D17" s="96"/>
      <c r="E17" s="6" t="str">
        <f>IF($H$8=$J$8,CONCATENATE("Winner Match #",$A$8),IF($H$8&gt;$J$8,$E$8,$G$8))</f>
        <v>Winner Match #7</v>
      </c>
      <c r="F17" s="6" t="s">
        <v>7</v>
      </c>
      <c r="G17" s="6" t="str">
        <f>IF($H$9=$J$9,CONCATENATE("Winner Match #",$A$9),IF($H$9&gt;$J$9,$E$9,$G$9))</f>
        <v>Winner Match #8</v>
      </c>
      <c r="H17" s="68" t="str">
        <f t="shared" si="4"/>
        <v/>
      </c>
      <c r="I17" s="6" t="s">
        <v>17</v>
      </c>
      <c r="J17" s="68" t="str">
        <f t="shared" si="5"/>
        <v/>
      </c>
      <c r="K17" s="97">
        <f t="shared" si="6"/>
        <v>0</v>
      </c>
      <c r="L17" s="104"/>
      <c r="M17" s="6" t="s">
        <v>17</v>
      </c>
      <c r="N17" s="105"/>
      <c r="O17" s="105"/>
      <c r="P17" s="6" t="s">
        <v>17</v>
      </c>
      <c r="Q17" s="105"/>
      <c r="R17" s="95"/>
      <c r="S17" s="6" t="s">
        <v>17</v>
      </c>
      <c r="T17" s="95"/>
      <c r="U17" s="71"/>
      <c r="V17" s="71"/>
      <c r="W17"/>
      <c r="X17"/>
    </row>
    <row r="18" spans="1:24" ht="18" customHeight="1" x14ac:dyDescent="0.25">
      <c r="A18" s="98">
        <f t="shared" si="3"/>
        <v>17</v>
      </c>
      <c r="B18" s="7">
        <v>9</v>
      </c>
      <c r="C18" s="99"/>
      <c r="D18" s="100"/>
      <c r="E18" s="7" t="str">
        <f>IF($H$13=$J$13,CONCATENATE("Winner Match #",$A$13),IF($H$13&gt;$J$13,$E$13,$G$13))</f>
        <v>Winner Match #12</v>
      </c>
      <c r="F18" s="7" t="s">
        <v>7</v>
      </c>
      <c r="G18" s="7" t="str">
        <f>IF($H$14=$J$14,CONCATENATE("Loser Match #",$A$14),IF($H$14&lt;$J$14,$E$14,$G$14))</f>
        <v>Loser Match #13</v>
      </c>
      <c r="H18" s="69" t="str">
        <f t="shared" si="4"/>
        <v/>
      </c>
      <c r="I18" s="7" t="s">
        <v>17</v>
      </c>
      <c r="J18" s="69" t="str">
        <f t="shared" si="5"/>
        <v/>
      </c>
      <c r="K18" s="101">
        <f t="shared" si="6"/>
        <v>0</v>
      </c>
      <c r="L18" s="102"/>
      <c r="M18" s="7" t="s">
        <v>17</v>
      </c>
      <c r="N18" s="103"/>
      <c r="O18" s="103"/>
      <c r="P18" s="7" t="s">
        <v>17</v>
      </c>
      <c r="Q18" s="103"/>
      <c r="R18" s="99"/>
      <c r="S18" s="7" t="s">
        <v>17</v>
      </c>
      <c r="T18" s="99"/>
      <c r="U18" s="72"/>
      <c r="V18" s="72"/>
      <c r="W18"/>
      <c r="X18"/>
    </row>
    <row r="19" spans="1:24" ht="18" customHeight="1" x14ac:dyDescent="0.25">
      <c r="A19" s="92">
        <f t="shared" si="3"/>
        <v>18</v>
      </c>
      <c r="B19" s="5">
        <v>9</v>
      </c>
      <c r="C19" s="82"/>
      <c r="D19" s="83"/>
      <c r="E19" s="5" t="str">
        <f>IF($H$12=$J$12,CONCATENATE("Winner Match #",$A$12),IF($H$12&gt;$J$12,$E$12,$G$12))</f>
        <v>Winner Match #11</v>
      </c>
      <c r="F19" s="5" t="s">
        <v>7</v>
      </c>
      <c r="G19" s="5" t="str">
        <f>IF($H$15=$J$15,CONCATENATE("Loser Match #",$A$15),IF($H$15&lt;$J$15,$E$15,$G$15))</f>
        <v>Loser Match #14</v>
      </c>
      <c r="H19" s="67" t="str">
        <f t="shared" si="4"/>
        <v/>
      </c>
      <c r="I19" s="5" t="s">
        <v>17</v>
      </c>
      <c r="J19" s="67" t="str">
        <f t="shared" si="5"/>
        <v/>
      </c>
      <c r="K19" s="93">
        <f t="shared" si="6"/>
        <v>0</v>
      </c>
      <c r="L19" s="86"/>
      <c r="M19" s="5" t="s">
        <v>17</v>
      </c>
      <c r="N19" s="84"/>
      <c r="O19" s="84"/>
      <c r="P19" s="5" t="s">
        <v>17</v>
      </c>
      <c r="Q19" s="84"/>
      <c r="R19" s="82"/>
      <c r="S19" s="5" t="s">
        <v>17</v>
      </c>
      <c r="T19" s="82"/>
      <c r="U19" s="70"/>
      <c r="V19" s="70"/>
      <c r="W19"/>
      <c r="X19"/>
    </row>
    <row r="20" spans="1:24" ht="18" customHeight="1" x14ac:dyDescent="0.25">
      <c r="A20" s="92">
        <f t="shared" si="3"/>
        <v>19</v>
      </c>
      <c r="B20" s="5">
        <v>9</v>
      </c>
      <c r="C20" s="82"/>
      <c r="D20" s="83"/>
      <c r="E20" s="5" t="str">
        <f>IF($H$11=$J$11,CONCATENATE("Winner Match #",$A$11),IF($H$11&gt;$J$11,$E$11,$G$11))</f>
        <v>Winner Match #10</v>
      </c>
      <c r="F20" s="5" t="s">
        <v>7</v>
      </c>
      <c r="G20" s="5" t="str">
        <f>IF($H$16=$J$16,CONCATENATE("Loser Match #",$A$16),IF($H$16&lt;$J$16,$E$16,$G$16))</f>
        <v>Loser Match #15</v>
      </c>
      <c r="H20" s="67" t="str">
        <f t="shared" si="4"/>
        <v/>
      </c>
      <c r="I20" s="5" t="s">
        <v>17</v>
      </c>
      <c r="J20" s="67" t="str">
        <f t="shared" si="5"/>
        <v/>
      </c>
      <c r="K20" s="93">
        <f t="shared" si="6"/>
        <v>0</v>
      </c>
      <c r="L20" s="86"/>
      <c r="M20" s="5" t="s">
        <v>17</v>
      </c>
      <c r="N20" s="84"/>
      <c r="O20" s="84"/>
      <c r="P20" s="5" t="s">
        <v>17</v>
      </c>
      <c r="Q20" s="84"/>
      <c r="R20" s="82"/>
      <c r="S20" s="5" t="s">
        <v>17</v>
      </c>
      <c r="T20" s="82"/>
      <c r="U20" s="70"/>
      <c r="V20" s="70"/>
      <c r="W20"/>
      <c r="X20"/>
    </row>
    <row r="21" spans="1:24" ht="18" customHeight="1" thickBot="1" x14ac:dyDescent="0.3">
      <c r="A21" s="94">
        <f t="shared" si="3"/>
        <v>20</v>
      </c>
      <c r="B21" s="6">
        <v>9</v>
      </c>
      <c r="C21" s="95"/>
      <c r="D21" s="96"/>
      <c r="E21" s="6" t="str">
        <f>IF($H$10=$J$10,CONCATENATE("Winner Match #",$A$10),IF($H$10&gt;$J$10,$E$10,$G$10))</f>
        <v>Winner Match #9</v>
      </c>
      <c r="F21" s="6" t="s">
        <v>7</v>
      </c>
      <c r="G21" s="6" t="str">
        <f>IF($H$17=$J$17,CONCATENATE("Loser Match #",$A$17),IF($H$17&lt;$J$17,$E$17,$G$17))</f>
        <v>Loser Match #16</v>
      </c>
      <c r="H21" s="68" t="str">
        <f t="shared" si="4"/>
        <v/>
      </c>
      <c r="I21" s="6" t="s">
        <v>17</v>
      </c>
      <c r="J21" s="68" t="str">
        <f t="shared" si="5"/>
        <v/>
      </c>
      <c r="K21" s="97">
        <f t="shared" si="6"/>
        <v>0</v>
      </c>
      <c r="L21" s="104"/>
      <c r="M21" s="6" t="s">
        <v>17</v>
      </c>
      <c r="N21" s="105"/>
      <c r="O21" s="105"/>
      <c r="P21" s="6" t="s">
        <v>17</v>
      </c>
      <c r="Q21" s="105"/>
      <c r="R21" s="95"/>
      <c r="S21" s="6" t="s">
        <v>17</v>
      </c>
      <c r="T21" s="95"/>
      <c r="U21" s="71"/>
      <c r="V21" s="71"/>
      <c r="W21"/>
      <c r="X21"/>
    </row>
    <row r="22" spans="1:24" ht="18" customHeight="1" x14ac:dyDescent="0.25">
      <c r="A22" s="98">
        <f t="shared" si="3"/>
        <v>21</v>
      </c>
      <c r="B22" s="7" t="s">
        <v>39</v>
      </c>
      <c r="C22" s="99"/>
      <c r="D22" s="100"/>
      <c r="E22" s="7" t="str">
        <f>IF($H$14=$J$14,CONCATENATE("Winner Match #",$A$14),IF($H$14&gt;$J$14,$E$14,$G$14))</f>
        <v>Winner Match #13</v>
      </c>
      <c r="F22" s="7" t="s">
        <v>7</v>
      </c>
      <c r="G22" s="7" t="str">
        <f>IF($H$15=$J$15,CONCATENATE("Winner Match #",$A$15),IF($H$15&gt;$J$15,$E$15,$G$15))</f>
        <v>Winner Match #14</v>
      </c>
      <c r="H22" s="69" t="str">
        <f t="shared" si="4"/>
        <v/>
      </c>
      <c r="I22" s="7" t="s">
        <v>17</v>
      </c>
      <c r="J22" s="69" t="str">
        <f t="shared" si="5"/>
        <v/>
      </c>
      <c r="K22" s="101">
        <f t="shared" si="6"/>
        <v>0</v>
      </c>
      <c r="L22" s="102"/>
      <c r="M22" s="7" t="s">
        <v>17</v>
      </c>
      <c r="N22" s="103"/>
      <c r="O22" s="103"/>
      <c r="P22" s="7" t="s">
        <v>17</v>
      </c>
      <c r="Q22" s="103"/>
      <c r="R22" s="99"/>
      <c r="S22" s="7" t="s">
        <v>17</v>
      </c>
      <c r="T22" s="99"/>
      <c r="U22" s="72"/>
      <c r="V22" s="72"/>
      <c r="W22"/>
      <c r="X22"/>
    </row>
    <row r="23" spans="1:24" ht="18" customHeight="1" thickBot="1" x14ac:dyDescent="0.3">
      <c r="A23" s="94">
        <f t="shared" si="3"/>
        <v>22</v>
      </c>
      <c r="B23" s="6" t="s">
        <v>39</v>
      </c>
      <c r="C23" s="95"/>
      <c r="D23" s="96"/>
      <c r="E23" s="6" t="str">
        <f>IF($H$16=$J$16,CONCATENATE("Winner Match #",$A$16),IF($H$16&gt;$J$16,$E$16,$G$16))</f>
        <v>Winner Match #15</v>
      </c>
      <c r="F23" s="6" t="s">
        <v>7</v>
      </c>
      <c r="G23" s="6" t="str">
        <f>IF($H$17=$J$17,CONCATENATE("Winner Match #",$A$17),IF($H$17&gt;$J$17,$E$17,$G$17))</f>
        <v>Winner Match #16</v>
      </c>
      <c r="H23" s="68" t="str">
        <f t="shared" si="4"/>
        <v/>
      </c>
      <c r="I23" s="6" t="s">
        <v>17</v>
      </c>
      <c r="J23" s="68" t="str">
        <f t="shared" si="5"/>
        <v/>
      </c>
      <c r="K23" s="97">
        <f t="shared" si="6"/>
        <v>0</v>
      </c>
      <c r="L23" s="104"/>
      <c r="M23" s="6" t="s">
        <v>17</v>
      </c>
      <c r="N23" s="105"/>
      <c r="O23" s="105"/>
      <c r="P23" s="6" t="s">
        <v>17</v>
      </c>
      <c r="Q23" s="105"/>
      <c r="R23" s="95"/>
      <c r="S23" s="6" t="s">
        <v>17</v>
      </c>
      <c r="T23" s="95"/>
      <c r="U23" s="71"/>
      <c r="V23" s="71"/>
      <c r="W23"/>
      <c r="X23"/>
    </row>
    <row r="24" spans="1:24" ht="18" customHeight="1" x14ac:dyDescent="0.25">
      <c r="A24" s="98">
        <f t="shared" si="3"/>
        <v>23</v>
      </c>
      <c r="B24" s="7">
        <v>7</v>
      </c>
      <c r="C24" s="99"/>
      <c r="D24" s="100"/>
      <c r="E24" s="7" t="str">
        <f>IF($H$18=$J$18,CONCATENATE("Winner Match #",$A$18),IF($H$18&gt;$J$18,$E$18,$G$18))</f>
        <v>Winner Match #17</v>
      </c>
      <c r="F24" s="7" t="s">
        <v>7</v>
      </c>
      <c r="G24" s="7" t="str">
        <f>IF($H$19=$J$19,CONCATENATE("Winner Match #",$A$19),IF($H$19&gt;$J$19,$E$19,$G$19))</f>
        <v>Winner Match #18</v>
      </c>
      <c r="H24" s="69" t="str">
        <f t="shared" si="4"/>
        <v/>
      </c>
      <c r="I24" s="7" t="s">
        <v>17</v>
      </c>
      <c r="J24" s="69" t="str">
        <f t="shared" si="5"/>
        <v/>
      </c>
      <c r="K24" s="101">
        <f t="shared" si="6"/>
        <v>0</v>
      </c>
      <c r="L24" s="102"/>
      <c r="M24" s="7" t="s">
        <v>17</v>
      </c>
      <c r="N24" s="103"/>
      <c r="O24" s="103"/>
      <c r="P24" s="7" t="s">
        <v>17</v>
      </c>
      <c r="Q24" s="103"/>
      <c r="R24" s="99"/>
      <c r="S24" s="7" t="s">
        <v>17</v>
      </c>
      <c r="T24" s="99"/>
      <c r="U24" s="72"/>
      <c r="V24" s="72"/>
      <c r="W24"/>
      <c r="X24"/>
    </row>
    <row r="25" spans="1:24" ht="18" customHeight="1" thickBot="1" x14ac:dyDescent="0.3">
      <c r="A25" s="94">
        <f t="shared" si="3"/>
        <v>24</v>
      </c>
      <c r="B25" s="6">
        <v>7</v>
      </c>
      <c r="C25" s="95"/>
      <c r="D25" s="96"/>
      <c r="E25" s="6" t="str">
        <f>IF($H$20=$J$20,CONCATENATE("Winner Match #",$A$20),IF($H$20&gt;$J$20,$E$20,$G$20))</f>
        <v>Winner Match #19</v>
      </c>
      <c r="F25" s="6" t="s">
        <v>7</v>
      </c>
      <c r="G25" s="6" t="str">
        <f>IF($H$21=$J$21,CONCATENATE("Winner Match #",$A$21),IF($H$21&gt;$J$21,$E$21,$G$21))</f>
        <v>Winner Match #20</v>
      </c>
      <c r="H25" s="68" t="str">
        <f t="shared" si="4"/>
        <v/>
      </c>
      <c r="I25" s="6" t="s">
        <v>17</v>
      </c>
      <c r="J25" s="68" t="str">
        <f t="shared" si="5"/>
        <v/>
      </c>
      <c r="K25" s="97">
        <f t="shared" si="6"/>
        <v>0</v>
      </c>
      <c r="L25" s="104"/>
      <c r="M25" s="6" t="s">
        <v>17</v>
      </c>
      <c r="N25" s="105"/>
      <c r="O25" s="105"/>
      <c r="P25" s="6" t="s">
        <v>17</v>
      </c>
      <c r="Q25" s="105"/>
      <c r="R25" s="95"/>
      <c r="S25" s="6" t="s">
        <v>17</v>
      </c>
      <c r="T25" s="95"/>
      <c r="U25" s="71"/>
      <c r="V25" s="71"/>
      <c r="W25"/>
      <c r="X25"/>
    </row>
    <row r="26" spans="1:24" ht="18" customHeight="1" x14ac:dyDescent="0.25">
      <c r="A26" s="98">
        <f t="shared" si="3"/>
        <v>25</v>
      </c>
      <c r="B26" s="7">
        <v>5</v>
      </c>
      <c r="C26" s="99"/>
      <c r="D26" s="100"/>
      <c r="E26" s="7" t="str">
        <f>IF($H$24=$J$24,CONCATENATE("Winner Match #",$A$24),IF($H$24&gt;$J$24,$E$24,$G$24))</f>
        <v>Winner Match #23</v>
      </c>
      <c r="F26" s="7" t="s">
        <v>7</v>
      </c>
      <c r="G26" s="7" t="str">
        <f>IF($H$23=$J$23,CONCATENATE("Loser Match #",$A$23),IF($H$23&lt;$J$23,$E$23,$G$23))</f>
        <v>Loser Match #22</v>
      </c>
      <c r="H26" s="69" t="str">
        <f t="shared" si="4"/>
        <v/>
      </c>
      <c r="I26" s="7" t="s">
        <v>17</v>
      </c>
      <c r="J26" s="69" t="str">
        <f t="shared" si="5"/>
        <v/>
      </c>
      <c r="K26" s="101">
        <f t="shared" si="6"/>
        <v>0</v>
      </c>
      <c r="L26" s="102"/>
      <c r="M26" s="7" t="s">
        <v>17</v>
      </c>
      <c r="N26" s="103"/>
      <c r="O26" s="103"/>
      <c r="P26" s="7" t="s">
        <v>17</v>
      </c>
      <c r="Q26" s="103"/>
      <c r="R26" s="99"/>
      <c r="S26" s="7" t="s">
        <v>17</v>
      </c>
      <c r="T26" s="99"/>
      <c r="U26" s="72"/>
      <c r="V26" s="72"/>
      <c r="W26"/>
      <c r="X26"/>
    </row>
    <row r="27" spans="1:24" ht="18" customHeight="1" thickBot="1" x14ac:dyDescent="0.3">
      <c r="A27" s="94">
        <f t="shared" si="3"/>
        <v>26</v>
      </c>
      <c r="B27" s="6">
        <v>5</v>
      </c>
      <c r="C27" s="95"/>
      <c r="D27" s="96"/>
      <c r="E27" s="6" t="str">
        <f>IF($H$25=$J$25,CONCATENATE("Winner Match #",$A$25),IF($H$25&gt;$J$25,$E$25,$G$25))</f>
        <v>Winner Match #24</v>
      </c>
      <c r="F27" s="6" t="s">
        <v>7</v>
      </c>
      <c r="G27" s="6" t="str">
        <f>IF($H$22=$J$22,CONCATENATE("Loser Match #",$A$22),IF($H$22&lt;$J$22,$E$22,$G$22))</f>
        <v>Loser Match #21</v>
      </c>
      <c r="H27" s="68" t="str">
        <f t="shared" si="4"/>
        <v/>
      </c>
      <c r="I27" s="6" t="s">
        <v>17</v>
      </c>
      <c r="J27" s="68" t="str">
        <f t="shared" si="5"/>
        <v/>
      </c>
      <c r="K27" s="97">
        <f t="shared" si="6"/>
        <v>0</v>
      </c>
      <c r="L27" s="104"/>
      <c r="M27" s="6" t="s">
        <v>17</v>
      </c>
      <c r="N27" s="105"/>
      <c r="O27" s="105"/>
      <c r="P27" s="6" t="s">
        <v>17</v>
      </c>
      <c r="Q27" s="105"/>
      <c r="R27" s="95"/>
      <c r="S27" s="6" t="s">
        <v>17</v>
      </c>
      <c r="T27" s="95"/>
      <c r="U27" s="71"/>
      <c r="V27" s="71"/>
      <c r="W27"/>
      <c r="X27"/>
    </row>
    <row r="28" spans="1:24" ht="18" customHeight="1" x14ac:dyDescent="0.25">
      <c r="A28" s="98">
        <f t="shared" si="3"/>
        <v>27</v>
      </c>
      <c r="B28" s="7" t="s">
        <v>19</v>
      </c>
      <c r="C28" s="99"/>
      <c r="D28" s="100"/>
      <c r="E28" s="7" t="str">
        <f>IF($H$22=$J$22,CONCATENATE("Winner Match #",$A$22),IF($H$22&gt;$J$22,$E$22,$G$22))</f>
        <v>Winner Match #21</v>
      </c>
      <c r="F28" s="7" t="s">
        <v>7</v>
      </c>
      <c r="G28" s="7" t="str">
        <f>IF($H$26=$J$26,CONCATENATE("Winner Match #",$A$26),IF($H$26&gt;$J$26,$E$26,$G$26))</f>
        <v>Winner Match #25</v>
      </c>
      <c r="H28" s="69" t="str">
        <f t="shared" si="4"/>
        <v/>
      </c>
      <c r="I28" s="7" t="s">
        <v>17</v>
      </c>
      <c r="J28" s="69" t="str">
        <f t="shared" si="5"/>
        <v/>
      </c>
      <c r="K28" s="101">
        <f t="shared" si="6"/>
        <v>0</v>
      </c>
      <c r="L28" s="102"/>
      <c r="M28" s="7" t="s">
        <v>17</v>
      </c>
      <c r="N28" s="103"/>
      <c r="O28" s="103"/>
      <c r="P28" s="7" t="s">
        <v>17</v>
      </c>
      <c r="Q28" s="103"/>
      <c r="R28" s="99"/>
      <c r="S28" s="7" t="s">
        <v>17</v>
      </c>
      <c r="T28" s="99"/>
      <c r="U28" s="72"/>
      <c r="V28" s="72"/>
      <c r="W28"/>
      <c r="X28"/>
    </row>
    <row r="29" spans="1:24" ht="18" customHeight="1" thickBot="1" x14ac:dyDescent="0.3">
      <c r="A29" s="94">
        <f t="shared" si="3"/>
        <v>28</v>
      </c>
      <c r="B29" s="6" t="s">
        <v>19</v>
      </c>
      <c r="C29" s="95"/>
      <c r="D29" s="96"/>
      <c r="E29" s="6" t="str">
        <f>IF($H$23=$J$23,CONCATENATE("Winner Match #",$A$23),IF($H$23&gt;$J$23,$E$23,$G$23))</f>
        <v>Winner Match #22</v>
      </c>
      <c r="F29" s="6" t="s">
        <v>7</v>
      </c>
      <c r="G29" s="6" t="str">
        <f>IF($H$27=$J$27,CONCATENATE("Winner Match #",$A$27),IF($H$27&gt;$J$27,$E$27,$G$27))</f>
        <v>Winner Match #26</v>
      </c>
      <c r="H29" s="68" t="str">
        <f t="shared" si="4"/>
        <v/>
      </c>
      <c r="I29" s="6" t="s">
        <v>17</v>
      </c>
      <c r="J29" s="68" t="str">
        <f t="shared" si="5"/>
        <v/>
      </c>
      <c r="K29" s="97">
        <f t="shared" si="6"/>
        <v>0</v>
      </c>
      <c r="L29" s="104"/>
      <c r="M29" s="6" t="s">
        <v>17</v>
      </c>
      <c r="N29" s="105"/>
      <c r="O29" s="105"/>
      <c r="P29" s="6" t="s">
        <v>17</v>
      </c>
      <c r="Q29" s="105"/>
      <c r="R29" s="95"/>
      <c r="S29" s="6" t="s">
        <v>17</v>
      </c>
      <c r="T29" s="95"/>
      <c r="U29" s="71"/>
      <c r="V29" s="71"/>
      <c r="W29"/>
      <c r="X29"/>
    </row>
    <row r="30" spans="1:24" ht="18" customHeight="1" x14ac:dyDescent="0.25">
      <c r="A30" s="98">
        <f t="shared" si="3"/>
        <v>29</v>
      </c>
      <c r="B30" s="106" t="s">
        <v>20</v>
      </c>
      <c r="C30" s="99"/>
      <c r="D30" s="100"/>
      <c r="E30" s="7" t="str">
        <f>IF($H$28=$J$28,CONCATENATE("Loser Match #",$A$28),IF($H$28&lt;$J$28,$E$28,$G$28))</f>
        <v>Loser Match #27</v>
      </c>
      <c r="F30" s="7" t="s">
        <v>7</v>
      </c>
      <c r="G30" s="7" t="str">
        <f>IF($H$29=$J$29,CONCATENATE("Loser Match #",$A$29),IF($H$29&lt;$J$29,$E$29,$G$29))</f>
        <v>Loser Match #28</v>
      </c>
      <c r="H30" s="69" t="str">
        <f>IF(L30=N30,"",SUM(IF(L30&gt;N30,1,0),IF(O30&gt;Q30,1,0),IF(R30&lt;=T30,0,1)))</f>
        <v/>
      </c>
      <c r="I30" s="7" t="s">
        <v>17</v>
      </c>
      <c r="J30" s="69" t="str">
        <f>IF(L30=N30,"",SUM(IF(L30&lt;N30,1,0),IF(O30&lt;Q30,1,0),IF(R30&gt;=T30,0,1)))</f>
        <v/>
      </c>
      <c r="K30" s="101">
        <f>SUM(V30-U30)</f>
        <v>0</v>
      </c>
      <c r="L30" s="102"/>
      <c r="M30" s="7" t="s">
        <v>17</v>
      </c>
      <c r="N30" s="103"/>
      <c r="O30" s="103"/>
      <c r="P30" s="7" t="s">
        <v>17</v>
      </c>
      <c r="Q30" s="103"/>
      <c r="R30" s="99"/>
      <c r="S30" s="7" t="s">
        <v>17</v>
      </c>
      <c r="T30" s="99"/>
      <c r="U30" s="72"/>
      <c r="V30" s="72"/>
      <c r="W30"/>
      <c r="X30"/>
    </row>
    <row r="31" spans="1:24" ht="18" customHeight="1" thickBot="1" x14ac:dyDescent="0.3">
      <c r="A31" s="94">
        <f t="shared" si="3"/>
        <v>30</v>
      </c>
      <c r="B31" s="6" t="s">
        <v>21</v>
      </c>
      <c r="C31" s="95"/>
      <c r="D31" s="96"/>
      <c r="E31" s="6" t="str">
        <f>IF($H$28=$J$28,CONCATENATE("Winner Match #",$A$28),IF($H$28&gt;$J$28,$E$28,$G$28))</f>
        <v>Winner Match #27</v>
      </c>
      <c r="F31" s="6" t="s">
        <v>7</v>
      </c>
      <c r="G31" s="6" t="str">
        <f>IF($H$29=$J$29,CONCATENATE("Winner Match #",$A$29),IF($H$29&gt;$J$29,$E$29,$G$29))</f>
        <v>Winner Match #28</v>
      </c>
      <c r="H31" s="68" t="str">
        <f>IF(L31=N31,"",SUM(IF(L31&gt;N31,1,0),IF(O31&gt;Q31,1,0),IF(R31&lt;=T31,0,1)))</f>
        <v/>
      </c>
      <c r="I31" s="6" t="s">
        <v>17</v>
      </c>
      <c r="J31" s="68" t="str">
        <f>IF(L31=N31,"",SUM(IF(L31&lt;N31,1,0),IF(O31&lt;Q31,1,0),IF(R31&gt;=T31,0,1)))</f>
        <v/>
      </c>
      <c r="K31" s="97">
        <f>SUM(V31-U31)</f>
        <v>0</v>
      </c>
      <c r="L31" s="86"/>
      <c r="M31" s="5" t="s">
        <v>17</v>
      </c>
      <c r="N31" s="84"/>
      <c r="O31" s="84"/>
      <c r="P31" s="5" t="s">
        <v>17</v>
      </c>
      <c r="Q31" s="84"/>
      <c r="R31" s="82"/>
      <c r="S31" s="5" t="s">
        <v>17</v>
      </c>
      <c r="T31" s="82"/>
      <c r="U31" s="70"/>
      <c r="V31" s="70"/>
      <c r="W31"/>
      <c r="X31"/>
    </row>
  </sheetData>
  <sheetProtection algorithmName="SHA-512" hashValue="BL6oN8I9vbXYtN4/xV91yLUIPYdBXxm5pNJD36MQlilXLo4zi7dgI5EgYbrrzfqhPD1hiOkKgeBhAc4njb2NVw==" saltValue="BmBg/VukSSPVF8oG8f5E4Q==" spinCount="100000" sheet="1" objects="1" scenarios="1" formatCells="0" formatColumns="0" formatRows="0" selectLockedCells="1"/>
  <phoneticPr fontId="0" type="noConversion"/>
  <printOptions horizontalCentered="1"/>
  <pageMargins left="0.59055118110236227" right="0.59055118110236227" top="1.1811023622047245" bottom="0.39370078740157483" header="0.51181102362204722" footer="0.51181102362204722"/>
  <pageSetup paperSize="9" scale="80" orientation="landscape" horizontalDpi="300" verticalDpi="300" r:id="rId1"/>
  <headerFooter alignWithMargins="0">
    <oddHeader>&amp;C&amp;"Arial,Fett"&amp;16Spielplan 
B2 M Turnier
20.9.25 Kloten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N48"/>
  <sheetViews>
    <sheetView topLeftCell="A10" workbookViewId="0">
      <selection activeCell="D9" sqref="D9"/>
    </sheetView>
  </sheetViews>
  <sheetFormatPr baseColWidth="10" defaultColWidth="9.109375" defaultRowHeight="9.6" x14ac:dyDescent="0.25"/>
  <cols>
    <col min="1" max="1" width="14.6640625" style="8" customWidth="1"/>
    <col min="2" max="4" width="12.6640625" style="8" customWidth="1"/>
    <col min="5" max="5" width="10.33203125" style="8" customWidth="1"/>
    <col min="6" max="10" width="12.6640625" style="8" customWidth="1"/>
    <col min="11" max="16384" width="9.109375" style="8"/>
  </cols>
  <sheetData>
    <row r="1" spans="1:14" ht="9.9" customHeight="1" x14ac:dyDescent="0.25">
      <c r="A1" s="34" t="str">
        <f>CONCATENATE(Resultate!$E$2," ")</f>
        <v xml:space="preserve">Baltermi / Hill Azpeitia </v>
      </c>
      <c r="B1"/>
      <c r="C1" s="14"/>
      <c r="D1" s="14"/>
      <c r="I1"/>
      <c r="J1"/>
      <c r="K1" s="9"/>
      <c r="L1" s="9"/>
      <c r="M1" s="9"/>
      <c r="N1" s="9"/>
    </row>
    <row r="2" spans="1:14" ht="9.9" customHeight="1" x14ac:dyDescent="0.25">
      <c r="A2" s="107"/>
      <c r="B2"/>
      <c r="C2" s="14"/>
      <c r="D2" s="14"/>
      <c r="I2"/>
      <c r="J2"/>
      <c r="K2" s="9"/>
      <c r="L2" s="9"/>
      <c r="M2" s="9"/>
      <c r="N2" s="9"/>
    </row>
    <row r="3" spans="1:14" ht="9.9" customHeight="1" x14ac:dyDescent="0.25">
      <c r="A3" s="11" t="str">
        <f>CONCATENATE("",Resultate!$A$2,"")</f>
        <v>1</v>
      </c>
      <c r="B3" s="108" t="str">
        <f>CONCATENATE(Resultate!$E$14," ")</f>
        <v xml:space="preserve">Winner Match #1 </v>
      </c>
      <c r="C3"/>
      <c r="D3" s="14"/>
      <c r="G3"/>
      <c r="H3"/>
      <c r="I3"/>
      <c r="J3"/>
      <c r="K3" s="9"/>
      <c r="L3" s="9"/>
      <c r="M3" s="9"/>
      <c r="N3" s="9"/>
    </row>
    <row r="4" spans="1:14" ht="9.9" customHeight="1" x14ac:dyDescent="0.25">
      <c r="A4" s="109" t="str">
        <f>CONCATENATE("(",Resultate!$H$2," : ",Resultate!$J$2,")")</f>
        <v>( : )</v>
      </c>
      <c r="B4" s="13"/>
      <c r="C4"/>
      <c r="D4" s="14"/>
      <c r="G4"/>
      <c r="H4"/>
      <c r="I4"/>
      <c r="J4"/>
      <c r="K4" s="9"/>
      <c r="L4" s="9"/>
      <c r="M4" s="9"/>
      <c r="N4" s="9"/>
    </row>
    <row r="5" spans="1:14" ht="9.9" customHeight="1" x14ac:dyDescent="0.25">
      <c r="A5" s="110" t="str">
        <f>CONCATENATE(Resultate!$G$2," ")</f>
        <v xml:space="preserve">Dürst / Dürst </v>
      </c>
      <c r="B5" s="10"/>
      <c r="C5"/>
      <c r="D5" s="14"/>
      <c r="E5"/>
      <c r="G5"/>
      <c r="I5"/>
      <c r="J5"/>
      <c r="K5" s="9"/>
      <c r="L5" s="9"/>
      <c r="M5" s="9"/>
      <c r="N5" s="9"/>
    </row>
    <row r="6" spans="1:14" ht="9.9" customHeight="1" x14ac:dyDescent="0.25">
      <c r="A6" s="111"/>
      <c r="B6" s="11" t="str">
        <f>CONCATENATE("",Resultate!$A$14,"")</f>
        <v>13</v>
      </c>
      <c r="C6" s="112" t="str">
        <f>CONCATENATE(Resultate!$E$22," ")</f>
        <v xml:space="preserve">Winner Match #13 </v>
      </c>
      <c r="D6"/>
      <c r="E6"/>
      <c r="F6"/>
      <c r="G6"/>
      <c r="J6"/>
      <c r="K6" s="9"/>
      <c r="L6" s="9"/>
      <c r="M6" s="9"/>
      <c r="N6" s="9"/>
    </row>
    <row r="7" spans="1:14" ht="9.9" customHeight="1" x14ac:dyDescent="0.25">
      <c r="A7" s="34" t="str">
        <f>CONCATENATE(Resultate!$E$3," ")</f>
        <v xml:space="preserve">Raffi / Röthlisberger </v>
      </c>
      <c r="B7" s="12" t="str">
        <f>CONCATENATE("(",Resultate!$H$14," : ",Resultate!$J$14,")")</f>
        <v>( : )</v>
      </c>
      <c r="C7" s="13"/>
      <c r="D7"/>
      <c r="E7"/>
      <c r="F7"/>
      <c r="G7"/>
      <c r="H7"/>
      <c r="I7"/>
      <c r="J7"/>
      <c r="K7" s="9"/>
      <c r="L7" s="9"/>
      <c r="M7" s="9"/>
      <c r="N7" s="9"/>
    </row>
    <row r="8" spans="1:14" ht="9.9" customHeight="1" x14ac:dyDescent="0.25">
      <c r="A8" s="107"/>
      <c r="B8" s="16"/>
      <c r="C8" s="16"/>
      <c r="D8"/>
      <c r="E8"/>
      <c r="F8"/>
      <c r="G8" s="111" t="str">
        <f>CONCATENATE(Resultate!$G$26," ")</f>
        <v xml:space="preserve">Loser Match #22 </v>
      </c>
      <c r="I8"/>
      <c r="J8" s="111" t="str">
        <f>CONCATENATE(Resultate!$G$13," ")</f>
        <v xml:space="preserve">Loser Match #8 </v>
      </c>
      <c r="K8"/>
      <c r="L8" s="9"/>
      <c r="M8" s="9"/>
      <c r="N8" s="9"/>
    </row>
    <row r="9" spans="1:14" ht="9.9" customHeight="1" x14ac:dyDescent="0.25">
      <c r="A9" s="11" t="str">
        <f>CONCATENATE("",Resultate!$A$3,"")</f>
        <v>2</v>
      </c>
      <c r="B9" s="113" t="str">
        <f>CONCATENATE(Resultate!$G$14," ")</f>
        <v xml:space="preserve">Winner Match #2 </v>
      </c>
      <c r="C9" s="16"/>
      <c r="D9" s="14"/>
      <c r="E9" s="15" t="s">
        <v>22</v>
      </c>
      <c r="G9" s="18"/>
      <c r="H9"/>
      <c r="I9"/>
      <c r="J9" s="114"/>
      <c r="K9"/>
      <c r="L9"/>
      <c r="M9" s="9"/>
      <c r="N9" s="9"/>
    </row>
    <row r="10" spans="1:14" ht="9.9" customHeight="1" x14ac:dyDescent="0.25">
      <c r="A10" s="109" t="str">
        <f>CONCATENATE("(",Resultate!$H$3," : ",Resultate!$J$3,")")</f>
        <v>( : )</v>
      </c>
      <c r="B10" s="22"/>
      <c r="C10" s="10"/>
      <c r="D10" s="14"/>
      <c r="E10" s="17"/>
      <c r="G10" s="115"/>
      <c r="H10"/>
      <c r="I10" s="116" t="str">
        <f>CONCATENATE(Resultate!$E$18," ")</f>
        <v xml:space="preserve">Winner Match #12 </v>
      </c>
      <c r="J10" s="21" t="str">
        <f>CONCATENATE("",Resultate!$A$13,"")</f>
        <v>12</v>
      </c>
      <c r="K10"/>
      <c r="L10"/>
      <c r="M10" s="9"/>
      <c r="N10" s="9"/>
    </row>
    <row r="11" spans="1:14" ht="9.9" customHeight="1" x14ac:dyDescent="0.25">
      <c r="A11" s="110" t="str">
        <f>CONCATENATE(Resultate!$G$3," ")</f>
        <v xml:space="preserve">Charkin / Hrytsuk </v>
      </c>
      <c r="B11" s="14"/>
      <c r="C11" s="117"/>
      <c r="D11" s="14"/>
      <c r="E11"/>
      <c r="G11" s="19"/>
      <c r="H11"/>
      <c r="I11" s="118"/>
      <c r="J11" s="23" t="str">
        <f>CONCATENATE("(",Resultate!$J$13," : ",Resultate!$H$13,")")</f>
        <v>( : )</v>
      </c>
      <c r="K11"/>
      <c r="L11"/>
      <c r="M11" s="9"/>
      <c r="N11" s="9"/>
    </row>
    <row r="12" spans="1:14" ht="9.9" customHeight="1" x14ac:dyDescent="0.25">
      <c r="A12" s="111"/>
      <c r="B12" s="14"/>
      <c r="C12" s="11" t="str">
        <f>CONCATENATE("",Resultate!$A$22,"")</f>
        <v>21</v>
      </c>
      <c r="D12" s="112" t="str">
        <f>CONCATENATE(Resultate!$E$28," ")</f>
        <v xml:space="preserve">Winner Match #21 </v>
      </c>
      <c r="E12" s="20" t="str">
        <f>CONCATENATE("",Resultate!$A$28,"")</f>
        <v>27</v>
      </c>
      <c r="F12" s="14" t="str">
        <f>CONCATENATE(Resultate!$G$28," ")</f>
        <v xml:space="preserve">Winner Match #25 </v>
      </c>
      <c r="G12" s="21" t="str">
        <f>CONCATENATE("",Resultate!$A$26,"")</f>
        <v>25</v>
      </c>
      <c r="H12" s="111" t="str">
        <f>CONCATENATE(Resultate!$E$24," ")</f>
        <v xml:space="preserve">Winner Match #17 </v>
      </c>
      <c r="I12" s="21" t="str">
        <f>CONCATENATE("",Resultate!$A$18,"")</f>
        <v>17</v>
      </c>
      <c r="J12" s="119" t="str">
        <f>CONCATENATE(Resultate!$E$13," ")</f>
        <v xml:space="preserve">Loser Match #7 </v>
      </c>
      <c r="K12"/>
      <c r="L12" s="9"/>
      <c r="M12" s="9"/>
      <c r="N12" s="9"/>
    </row>
    <row r="13" spans="1:14" ht="9.9" customHeight="1" x14ac:dyDescent="0.25">
      <c r="A13" s="34" t="str">
        <f>CONCATENATE(Resultate!$E$4," ")</f>
        <v xml:space="preserve">Stöckli / Stöckli </v>
      </c>
      <c r="B13" s="14"/>
      <c r="C13" s="12" t="str">
        <f>CONCATENATE("(",Resultate!$H$22," : ",Resultate!$J$22,")")</f>
        <v>( : )</v>
      </c>
      <c r="D13" s="22"/>
      <c r="E13" s="120" t="str">
        <f>CONCATENATE("(",Resultate!$H$28," : ",Resultate!$J$28,")")</f>
        <v>( : )</v>
      </c>
      <c r="F13" s="26"/>
      <c r="G13" s="23" t="str">
        <f>CONCATENATE("(",Resultate!$J$26," : ",Resultate!$H$26,")")</f>
        <v>( : )</v>
      </c>
      <c r="H13" s="25"/>
      <c r="I13" s="23" t="str">
        <f>CONCATENATE("(",Resultate!$H$18," : ",Resultate!$J$18,")")</f>
        <v>( : )</v>
      </c>
      <c r="J13"/>
      <c r="K13"/>
      <c r="L13"/>
      <c r="M13" s="9"/>
      <c r="N13" s="9"/>
    </row>
    <row r="14" spans="1:14" ht="9.9" customHeight="1" x14ac:dyDescent="0.25">
      <c r="A14" s="107"/>
      <c r="B14" s="14"/>
      <c r="C14" s="16"/>
      <c r="D14" s="14"/>
      <c r="E14"/>
      <c r="G14" s="24"/>
      <c r="H14" s="24"/>
      <c r="I14" s="119" t="str">
        <f>CONCATENATE(Resultate!$G$18," ")</f>
        <v xml:space="preserve">Loser Match #13 </v>
      </c>
      <c r="J14"/>
      <c r="K14" s="9"/>
      <c r="L14"/>
      <c r="M14" s="9"/>
      <c r="N14" s="9"/>
    </row>
    <row r="15" spans="1:14" ht="9.9" customHeight="1" x14ac:dyDescent="0.25">
      <c r="A15" s="11" t="str">
        <f>CONCATENATE("",Resultate!$A$4,"")</f>
        <v>3</v>
      </c>
      <c r="B15" s="112" t="str">
        <f>CONCATENATE(Resultate!$E$15," ")</f>
        <v xml:space="preserve">Winner Match #3 </v>
      </c>
      <c r="C15" s="16"/>
      <c r="D15" s="14"/>
      <c r="G15" s="24"/>
      <c r="H15" s="19"/>
      <c r="I15"/>
      <c r="J15"/>
      <c r="K15" s="9"/>
      <c r="L15" s="9"/>
      <c r="M15" s="9"/>
      <c r="N15" s="9"/>
    </row>
    <row r="16" spans="1:14" ht="9.9" customHeight="1" x14ac:dyDescent="0.25">
      <c r="A16" s="109" t="str">
        <f>CONCATENATE("(",Resultate!$H$4," : ",Resultate!$J$4,")")</f>
        <v>( : )</v>
      </c>
      <c r="B16" s="13"/>
      <c r="C16" s="16"/>
      <c r="D16" s="14"/>
      <c r="G16" s="121" t="str">
        <f>CONCATENATE(Resultate!$E$26," ")</f>
        <v xml:space="preserve">Winner Match #23 </v>
      </c>
      <c r="H16" s="21" t="str">
        <f>CONCATENATE("",Resultate!$A$24,"")</f>
        <v>23</v>
      </c>
      <c r="I16"/>
      <c r="J16" s="111" t="str">
        <f>CONCATENATE(Resultate!$G$12," ")</f>
        <v xml:space="preserve">Loser Match #6 </v>
      </c>
      <c r="K16" s="9"/>
      <c r="L16" s="9"/>
      <c r="M16" s="9"/>
      <c r="N16" s="9"/>
    </row>
    <row r="17" spans="1:14" ht="9.9" customHeight="1" x14ac:dyDescent="0.25">
      <c r="A17" s="110" t="str">
        <f>CONCATENATE(Resultate!$G$4," ")</f>
        <v xml:space="preserve">Bothen / Arndt </v>
      </c>
      <c r="B17" s="16"/>
      <c r="C17" s="16"/>
      <c r="D17" s="14"/>
      <c r="G17" s="26"/>
      <c r="H17" s="23" t="str">
        <f>CONCATENATE("(",Resultate!$H$24," : ",Resultate!$J$24,")")</f>
        <v>( : )</v>
      </c>
      <c r="I17"/>
      <c r="J17" s="114"/>
      <c r="K17" s="9"/>
      <c r="L17" s="9"/>
      <c r="M17" s="9"/>
      <c r="N17" s="9"/>
    </row>
    <row r="18" spans="1:14" ht="9.9" customHeight="1" x14ac:dyDescent="0.25">
      <c r="A18" s="122"/>
      <c r="B18" s="11" t="str">
        <f>CONCATENATE("",Resultate!$A$15,"")</f>
        <v>14</v>
      </c>
      <c r="C18" s="123" t="str">
        <f>CONCATENATE(Resultate!$G$22," ")</f>
        <v xml:space="preserve">Winner Match #14 </v>
      </c>
      <c r="D18" s="14"/>
      <c r="H18" s="24"/>
      <c r="I18" s="116" t="str">
        <f>CONCATENATE(Resultate!$E$19," ")</f>
        <v xml:space="preserve">Winner Match #11 </v>
      </c>
      <c r="J18" s="21" t="str">
        <f>CONCATENATE("",Resultate!$A$12,"")</f>
        <v>11</v>
      </c>
      <c r="K18" s="9"/>
      <c r="L18"/>
      <c r="M18" s="9"/>
      <c r="N18" s="9"/>
    </row>
    <row r="19" spans="1:14" ht="9.9" customHeight="1" x14ac:dyDescent="0.25">
      <c r="A19" s="34" t="str">
        <f>CONCATENATE(Resultate!$E$5," ")</f>
        <v xml:space="preserve">Sieber / Müller </v>
      </c>
      <c r="B19" s="12" t="str">
        <f>CONCATENATE("(",Resultate!$H$15," : ",Resultate!$J$15,")")</f>
        <v>( : )</v>
      </c>
      <c r="C19" s="22"/>
      <c r="D19" s="14"/>
      <c r="H19" s="24"/>
      <c r="I19" s="118"/>
      <c r="J19" s="23" t="str">
        <f>CONCATENATE("(",Resultate!$J$12," : ",Resultate!$H$12,")")</f>
        <v>( : )</v>
      </c>
      <c r="K19" s="9"/>
      <c r="L19"/>
      <c r="M19" s="9"/>
      <c r="N19" s="9"/>
    </row>
    <row r="20" spans="1:14" ht="9.9" customHeight="1" x14ac:dyDescent="0.25">
      <c r="A20" s="107"/>
      <c r="B20" s="16"/>
      <c r="C20"/>
      <c r="D20" s="124" t="str">
        <f>CONCATENATE(Resultate!$E$31," ")</f>
        <v xml:space="preserve">Winner Match #27 </v>
      </c>
      <c r="E20" s="125"/>
      <c r="F20" s="124" t="str">
        <f>CONCATENATE(Resultate!$E$30," ")</f>
        <v xml:space="preserve">Loser Match #27 </v>
      </c>
      <c r="H20" s="126" t="str">
        <f>CONCATENATE(Resultate!$G$24," ")</f>
        <v xml:space="preserve">Winner Match #18 </v>
      </c>
      <c r="I20" s="21" t="str">
        <f>CONCATENATE("",Resultate!$A$19,"")</f>
        <v>18</v>
      </c>
      <c r="J20" s="119" t="str">
        <f>CONCATENATE(Resultate!$E$12," ")</f>
        <v xml:space="preserve">Loser Match #5 </v>
      </c>
      <c r="K20" s="9"/>
      <c r="L20" s="9"/>
      <c r="M20" s="9"/>
      <c r="N20" s="9"/>
    </row>
    <row r="21" spans="1:14" ht="9.9" customHeight="1" x14ac:dyDescent="0.25">
      <c r="A21" s="11" t="str">
        <f>CONCATENATE("",Resultate!$A$5,"")</f>
        <v>4</v>
      </c>
      <c r="B21" s="123" t="str">
        <f>CONCATENATE(Resultate!$G$15," ")</f>
        <v xml:space="preserve">Winner Match #4 </v>
      </c>
      <c r="C21" s="14"/>
      <c r="D21" s="25"/>
      <c r="F21" s="27"/>
      <c r="H21" s="26"/>
      <c r="I21" s="23" t="str">
        <f>CONCATENATE("(",Resultate!$H$19," : ",Resultate!$J$19,")")</f>
        <v>( : )</v>
      </c>
      <c r="J21" s="9"/>
      <c r="K21" s="9"/>
      <c r="L21" s="9"/>
      <c r="M21" s="9"/>
      <c r="N21" s="9"/>
    </row>
    <row r="22" spans="1:14" ht="9.9" customHeight="1" x14ac:dyDescent="0.25">
      <c r="A22" s="109" t="str">
        <f>CONCATENATE("(",Resultate!$H$5," : ",Resultate!$J$5,")")</f>
        <v>( : )</v>
      </c>
      <c r="B22" s="22"/>
      <c r="C22" s="14"/>
      <c r="D22" s="31" t="s">
        <v>23</v>
      </c>
      <c r="F22" s="32" t="s">
        <v>24</v>
      </c>
      <c r="H22"/>
      <c r="I22" s="119" t="str">
        <f>CONCATENATE(Resultate!$G$19," ")</f>
        <v xml:space="preserve">Loser Match #14 </v>
      </c>
      <c r="J22"/>
      <c r="K22" s="9"/>
      <c r="L22" s="9"/>
      <c r="M22" s="9"/>
      <c r="N22" s="9"/>
    </row>
    <row r="23" spans="1:14" ht="9.9" customHeight="1" x14ac:dyDescent="0.25">
      <c r="A23" s="110" t="str">
        <f>CONCATENATE(Resultate!$G$5," ")</f>
        <v xml:space="preserve">Pérez / Lendzian </v>
      </c>
      <c r="B23"/>
      <c r="C23" s="14"/>
      <c r="D23" s="31"/>
      <c r="F23" s="28"/>
      <c r="H23"/>
      <c r="I23"/>
      <c r="J23" s="9"/>
      <c r="K23" s="9"/>
      <c r="L23" s="9"/>
      <c r="M23" s="9"/>
      <c r="N23" s="9"/>
    </row>
    <row r="24" spans="1:14" ht="9.9" customHeight="1" x14ac:dyDescent="0.25">
      <c r="A24"/>
      <c r="B24" s="14"/>
      <c r="C24"/>
      <c r="D24" s="29" t="str">
        <f>CONCATENATE("",Resultate!$A$31,"")</f>
        <v>30</v>
      </c>
      <c r="F24" s="11" t="str">
        <f>CONCATENATE("",Resultate!$A$30,"")</f>
        <v>29</v>
      </c>
      <c r="G24"/>
      <c r="I24"/>
      <c r="J24" s="9"/>
      <c r="K24" s="9"/>
      <c r="L24" s="9"/>
      <c r="M24" s="9"/>
      <c r="N24" s="9"/>
    </row>
    <row r="25" spans="1:14" ht="9.9" customHeight="1" x14ac:dyDescent="0.25">
      <c r="A25" s="34" t="str">
        <f>CONCATENATE(Resultate!$E$6," ")</f>
        <v xml:space="preserve">Allemann / Schaller </v>
      </c>
      <c r="B25"/>
      <c r="C25" s="14"/>
      <c r="D25" s="30"/>
      <c r="F25" s="10"/>
      <c r="G25" s="9"/>
      <c r="I25"/>
      <c r="J25"/>
      <c r="K25" s="9"/>
      <c r="L25" s="9"/>
      <c r="M25" s="9"/>
      <c r="N25" s="9"/>
    </row>
    <row r="26" spans="1:14" ht="9.9" customHeight="1" x14ac:dyDescent="0.25">
      <c r="A26" s="107"/>
      <c r="B26"/>
      <c r="C26" s="14"/>
      <c r="D26" s="30" t="str">
        <f>CONCATENATE("(",Resultate!$H$31," : ",Resultate!$J$31,")")</f>
        <v>( : )</v>
      </c>
      <c r="F26" s="32" t="str">
        <f>CONCATENATE("(",Resultate!$H$30," : ",Resultate!$J$30,")")</f>
        <v>( : )</v>
      </c>
      <c r="G26"/>
      <c r="H26"/>
      <c r="I26"/>
      <c r="J26"/>
      <c r="K26" s="9"/>
      <c r="L26" s="9"/>
      <c r="M26" s="9"/>
      <c r="N26" s="9"/>
    </row>
    <row r="27" spans="1:14" ht="9.9" customHeight="1" x14ac:dyDescent="0.25">
      <c r="A27" s="11" t="str">
        <f>CONCATENATE("",Resultate!$A$6,"")</f>
        <v>5</v>
      </c>
      <c r="B27" s="34" t="str">
        <f>CONCATENATE(Resultate!$E$16," ")</f>
        <v xml:space="preserve">Winner Match #5 </v>
      </c>
      <c r="C27"/>
      <c r="D27" s="30"/>
      <c r="F27" s="33"/>
      <c r="I27" s="9"/>
    </row>
    <row r="28" spans="1:14" ht="9.9" customHeight="1" x14ac:dyDescent="0.25">
      <c r="A28" s="109" t="str">
        <f>CONCATENATE("(",Resultate!$H$6," : ",Resultate!$J$6,")")</f>
        <v>( : )</v>
      </c>
      <c r="B28" s="13"/>
      <c r="C28"/>
      <c r="D28" s="127" t="str">
        <f>CONCATENATE(Resultate!$G$31," ")</f>
        <v xml:space="preserve">Winner Match #28 </v>
      </c>
      <c r="F28" s="128" t="str">
        <f>CONCATENATE(Resultate!$G$30," ")</f>
        <v xml:space="preserve">Loser Match #28 </v>
      </c>
      <c r="H28"/>
      <c r="J28"/>
    </row>
    <row r="29" spans="1:14" ht="9.9" customHeight="1" x14ac:dyDescent="0.25">
      <c r="A29" s="110" t="str">
        <f>CONCATENATE(Resultate!$G$6," ")</f>
        <v xml:space="preserve">Ducret / Abassi </v>
      </c>
      <c r="B29" s="16"/>
      <c r="C29"/>
      <c r="D29" s="14"/>
      <c r="G29"/>
      <c r="J29"/>
    </row>
    <row r="30" spans="1:14" ht="9.9" customHeight="1" x14ac:dyDescent="0.25">
      <c r="A30" s="9"/>
      <c r="B30" s="11" t="str">
        <f>CONCATENATE("",Resultate!$A$16,"")</f>
        <v>15</v>
      </c>
      <c r="C30" s="34" t="str">
        <f>CONCATENATE(Resultate!$E$23," ")</f>
        <v xml:space="preserve">Winner Match #15 </v>
      </c>
      <c r="D30"/>
      <c r="F30"/>
      <c r="G30"/>
      <c r="H30"/>
      <c r="I30"/>
      <c r="J30"/>
    </row>
    <row r="31" spans="1:14" ht="9.9" customHeight="1" x14ac:dyDescent="0.25">
      <c r="A31" s="34" t="str">
        <f>CONCATENATE(Resultate!$E$7," ")</f>
        <v xml:space="preserve">Addiechi / Flückiger </v>
      </c>
      <c r="B31" s="12" t="str">
        <f>CONCATENATE("(",Resultate!$H$16," : ",Resultate!$J$16,")")</f>
        <v>( : )</v>
      </c>
      <c r="C31" s="13"/>
      <c r="D31"/>
      <c r="F31"/>
      <c r="H31"/>
      <c r="I31"/>
      <c r="J31"/>
    </row>
    <row r="32" spans="1:14" ht="9.9" customHeight="1" x14ac:dyDescent="0.25">
      <c r="A32" s="107"/>
      <c r="B32" s="16"/>
      <c r="C32" s="16"/>
      <c r="D32" s="14"/>
      <c r="G32" s="111" t="str">
        <f>CONCATENATE(Resultate!$G$27," ")</f>
        <v xml:space="preserve">Loser Match #21 </v>
      </c>
      <c r="I32"/>
      <c r="J32" s="111" t="str">
        <f>CONCATENATE(Resultate!$G$11," ")</f>
        <v xml:space="preserve">Loser Match #4 </v>
      </c>
      <c r="K32"/>
    </row>
    <row r="33" spans="1:12" ht="9.9" customHeight="1" x14ac:dyDescent="0.25">
      <c r="A33" s="11" t="str">
        <f>CONCATENATE("",Resultate!$A$7,"")</f>
        <v>6</v>
      </c>
      <c r="B33" s="110" t="str">
        <f>CONCATENATE(Resultate!$G$16," ")</f>
        <v xml:space="preserve">Winner Match #6 </v>
      </c>
      <c r="C33" s="16"/>
      <c r="D33" s="14"/>
      <c r="G33" s="18"/>
      <c r="I33"/>
      <c r="J33" s="114"/>
      <c r="K33"/>
    </row>
    <row r="34" spans="1:12" ht="9.9" customHeight="1" x14ac:dyDescent="0.25">
      <c r="A34" s="109" t="str">
        <f>CONCATENATE("(",Resultate!$H$7," : ",Resultate!$J$7,")")</f>
        <v>( : )</v>
      </c>
      <c r="B34" s="22"/>
      <c r="C34" s="10"/>
      <c r="D34" s="14"/>
      <c r="G34" s="115"/>
      <c r="I34" s="116" t="str">
        <f>CONCATENATE(Resultate!$E$20," ")</f>
        <v xml:space="preserve">Winner Match #10 </v>
      </c>
      <c r="J34" s="21" t="str">
        <f>CONCATENATE("",Resultate!$A$11,"")</f>
        <v>10</v>
      </c>
      <c r="K34"/>
      <c r="L34"/>
    </row>
    <row r="35" spans="1:12" ht="9.9" customHeight="1" x14ac:dyDescent="0.25">
      <c r="A35" s="110" t="str">
        <f>CONCATENATE(Resultate!$G$7," ")</f>
        <v xml:space="preserve">Bosshard / Strebel </v>
      </c>
      <c r="B35"/>
      <c r="C35" s="129"/>
      <c r="D35" s="14"/>
      <c r="E35" s="35"/>
      <c r="G35" s="24"/>
      <c r="H35"/>
      <c r="I35" s="118"/>
      <c r="J35" s="23" t="str">
        <f>CONCATENATE("(",Resultate!$J$11," : ",Resultate!$H$11,")")</f>
        <v>( : )</v>
      </c>
      <c r="K35"/>
    </row>
    <row r="36" spans="1:12" ht="9.9" customHeight="1" x14ac:dyDescent="0.25">
      <c r="A36" s="122"/>
      <c r="B36"/>
      <c r="C36" s="11" t="str">
        <f>CONCATENATE("",Resultate!$A$23,"")</f>
        <v>22</v>
      </c>
      <c r="D36" s="130" t="str">
        <f>CONCATENATE(Resultate!$E$29," ")</f>
        <v xml:space="preserve">Winner Match #22 </v>
      </c>
      <c r="E36" s="131" t="str">
        <f>CONCATENATE("",Resultate!$A$29,"")</f>
        <v>28</v>
      </c>
      <c r="F36" s="14" t="str">
        <f>CONCATENATE(Resultate!$G$29," ")</f>
        <v xml:space="preserve">Winner Match #26 </v>
      </c>
      <c r="G36" s="21" t="str">
        <f>CONCATENATE("",Resultate!$A$27,"")</f>
        <v>26</v>
      </c>
      <c r="H36"/>
      <c r="I36" s="21" t="str">
        <f>CONCATENATE("",Resultate!$A$20,"")</f>
        <v>19</v>
      </c>
      <c r="J36" s="119" t="str">
        <f>CONCATENATE(Resultate!$E$11," ")</f>
        <v xml:space="preserve">Loser Match #3 </v>
      </c>
      <c r="K36"/>
    </row>
    <row r="37" spans="1:12" ht="9.9" customHeight="1" x14ac:dyDescent="0.25">
      <c r="A37" s="34" t="str">
        <f>CONCATENATE(Resultate!$E$8," ")</f>
        <v xml:space="preserve">Lendl / Kurzawa </v>
      </c>
      <c r="B37" s="14"/>
      <c r="C37" s="12" t="str">
        <f>CONCATENATE("(",Resultate!$H$23," : ",Resultate!$J$23,")")</f>
        <v>( : )</v>
      </c>
      <c r="D37" s="22"/>
      <c r="E37" s="36" t="str">
        <f>CONCATENATE("(",Resultate!$H$29," : ",Resultate!$J$29,")")</f>
        <v>( : )</v>
      </c>
      <c r="F37" s="26"/>
      <c r="G37" s="23" t="str">
        <f>CONCATENATE("(",Resultate!$J$27," : ",Resultate!$H$27,")")</f>
        <v>( : )</v>
      </c>
      <c r="H37" s="116" t="str">
        <f>CONCATENATE(Resultate!$E$25," ")</f>
        <v xml:space="preserve">Winner Match #19 </v>
      </c>
      <c r="I37" s="23" t="str">
        <f>CONCATENATE("(",Resultate!$H$20," : ",Resultate!$J$20,")")</f>
        <v>( : )</v>
      </c>
      <c r="K37"/>
    </row>
    <row r="38" spans="1:12" ht="9.9" customHeight="1" x14ac:dyDescent="0.25">
      <c r="A38" s="107"/>
      <c r="B38" s="14"/>
      <c r="C38" s="16"/>
      <c r="D38" s="14"/>
      <c r="E38" s="9"/>
      <c r="G38" s="24"/>
      <c r="H38" s="24"/>
      <c r="I38" s="119" t="str">
        <f>CONCATENATE(Resultate!$G$20," ")</f>
        <v xml:space="preserve">Loser Match #15 </v>
      </c>
      <c r="J38"/>
      <c r="K38" s="9"/>
      <c r="L38"/>
    </row>
    <row r="39" spans="1:12" ht="9.9" customHeight="1" x14ac:dyDescent="0.25">
      <c r="A39" s="11" t="str">
        <f>CONCATENATE("",Resultate!$A$8,"")</f>
        <v>7</v>
      </c>
      <c r="B39" s="34" t="str">
        <f>CONCATENATE(Resultate!$E$17," ")</f>
        <v xml:space="preserve">Winner Match #7 </v>
      </c>
      <c r="C39" s="16"/>
      <c r="D39" s="14"/>
      <c r="E39" s="15"/>
      <c r="G39" s="24"/>
      <c r="H39" s="24"/>
      <c r="J39" s="9"/>
      <c r="K39" s="9"/>
    </row>
    <row r="40" spans="1:12" ht="9.9" customHeight="1" x14ac:dyDescent="0.25">
      <c r="A40" s="109" t="str">
        <f>CONCATENATE("(",Resultate!$H$8," : ",Resultate!$J$8,")")</f>
        <v>( : )</v>
      </c>
      <c r="B40" s="13"/>
      <c r="C40" s="16"/>
      <c r="D40"/>
      <c r="E40"/>
      <c r="F40"/>
      <c r="G40" s="121" t="str">
        <f>CONCATENATE(Resultate!$E$27," ")</f>
        <v xml:space="preserve">Winner Match #24 </v>
      </c>
      <c r="H40" s="21" t="str">
        <f>CONCATENATE("",Resultate!$A$25,"")</f>
        <v>24</v>
      </c>
      <c r="I40"/>
      <c r="J40" s="116" t="str">
        <f>CONCATENATE(Resultate!$G$10," ")</f>
        <v xml:space="preserve">Loser Match #2 </v>
      </c>
      <c r="K40" s="9"/>
      <c r="L40"/>
    </row>
    <row r="41" spans="1:12" ht="9.9" customHeight="1" x14ac:dyDescent="0.25">
      <c r="A41" s="110" t="str">
        <f>CONCATENATE(Resultate!$G$8," ")</f>
        <v xml:space="preserve">Mikami / Hofmann </v>
      </c>
      <c r="B41" s="16"/>
      <c r="C41" s="16"/>
      <c r="D41"/>
      <c r="E41"/>
      <c r="F41"/>
      <c r="G41" s="26"/>
      <c r="H41" s="23" t="str">
        <f>CONCATENATE("(",Resultate!$H$25," : ",Resultate!$J$25,")")</f>
        <v>( : )</v>
      </c>
      <c r="I41"/>
      <c r="J41" s="19"/>
      <c r="K41" s="9"/>
    </row>
    <row r="42" spans="1:12" ht="9.9" customHeight="1" x14ac:dyDescent="0.25">
      <c r="A42" s="122"/>
      <c r="B42" s="11" t="str">
        <f>CONCATENATE("",Resultate!$A$17,"")</f>
        <v>16</v>
      </c>
      <c r="C42" s="110" t="str">
        <f>CONCATENATE(Resultate!$G$23," ")</f>
        <v xml:space="preserve">Winner Match #16 </v>
      </c>
      <c r="D42"/>
      <c r="E42"/>
      <c r="F42"/>
      <c r="G42"/>
      <c r="H42" s="24"/>
      <c r="I42" s="116" t="str">
        <f>CONCATENATE(Resultate!$E$21," ")</f>
        <v xml:space="preserve">Winner Match #9 </v>
      </c>
      <c r="J42" s="21" t="str">
        <f>CONCATENATE("",Resultate!$A$10,"")</f>
        <v>9</v>
      </c>
      <c r="K42" s="9"/>
      <c r="L42"/>
    </row>
    <row r="43" spans="1:12" ht="9.9" customHeight="1" x14ac:dyDescent="0.25">
      <c r="A43" s="34" t="str">
        <f>CONCATENATE(Resultate!$E$9," ")</f>
        <v xml:space="preserve">Péter-Contesse / Känzig </v>
      </c>
      <c r="B43" s="12" t="str">
        <f>CONCATENATE("(",Resultate!$H$17," : ",Resultate!$J$17,")")</f>
        <v>( : )</v>
      </c>
      <c r="C43" s="22"/>
      <c r="D43"/>
      <c r="E43"/>
      <c r="F43"/>
      <c r="G43"/>
      <c r="H43" s="24"/>
      <c r="I43" s="118"/>
      <c r="J43" s="23" t="str">
        <f>CONCATENATE("(",Resultate!$J$10," : ",Resultate!$H$10,")")</f>
        <v>( : )</v>
      </c>
      <c r="K43" s="9"/>
    </row>
    <row r="44" spans="1:12" ht="9.9" customHeight="1" x14ac:dyDescent="0.25">
      <c r="A44" s="107"/>
      <c r="B44" s="16"/>
      <c r="C44"/>
      <c r="D44"/>
      <c r="E44"/>
      <c r="F44"/>
      <c r="G44"/>
      <c r="H44" s="126" t="str">
        <f>CONCATENATE(Resultate!$G$25," ")</f>
        <v xml:space="preserve">Winner Match #20 </v>
      </c>
      <c r="I44" s="21" t="str">
        <f>CONCATENATE("",Resultate!$A$21,"")</f>
        <v>20</v>
      </c>
      <c r="J44" s="119" t="str">
        <f>CONCATENATE(Resultate!$E$10," ")</f>
        <v xml:space="preserve">Loser Match #1 </v>
      </c>
      <c r="K44" s="9"/>
    </row>
    <row r="45" spans="1:12" ht="9.9" customHeight="1" x14ac:dyDescent="0.25">
      <c r="A45" s="11" t="str">
        <f>CONCATENATE("",Resultate!$A$9,"")</f>
        <v>8</v>
      </c>
      <c r="B45" s="110" t="str">
        <f>CONCATENATE(Resultate!$G$17," ")</f>
        <v xml:space="preserve">Winner Match #8 </v>
      </c>
      <c r="C45" s="14"/>
      <c r="D45" s="14"/>
      <c r="E45"/>
      <c r="H45" s="26"/>
      <c r="I45" s="23" t="str">
        <f>CONCATENATE("(",Resultate!$H$21," : ",Resultate!$J$21,")")</f>
        <v>( : )</v>
      </c>
      <c r="J45" s="9"/>
      <c r="K45" s="9"/>
    </row>
    <row r="46" spans="1:12" ht="9.9" customHeight="1" x14ac:dyDescent="0.25">
      <c r="A46" s="109" t="str">
        <f>CONCATENATE("(",Resultate!$H$9," : ",Resultate!$J$9,")")</f>
        <v>( : )</v>
      </c>
      <c r="B46" s="22"/>
      <c r="C46" s="14"/>
      <c r="D46" s="14"/>
      <c r="E46"/>
      <c r="H46"/>
      <c r="I46" s="119" t="str">
        <f>CONCATENATE(Resultate!$G$21," ")</f>
        <v xml:space="preserve">Loser Match #16 </v>
      </c>
      <c r="J46"/>
      <c r="K46" s="9"/>
    </row>
    <row r="47" spans="1:12" ht="9.9" customHeight="1" x14ac:dyDescent="0.25">
      <c r="A47" s="110" t="str">
        <f>CONCATENATE(Resultate!$G$9," ")</f>
        <v xml:space="preserve">Adamson / Müller </v>
      </c>
      <c r="B47"/>
      <c r="C47" s="14"/>
      <c r="D47" s="14"/>
      <c r="H47"/>
      <c r="I47"/>
      <c r="J47"/>
      <c r="K47" s="9"/>
    </row>
    <row r="48" spans="1:12" ht="13.2" x14ac:dyDescent="0.25">
      <c r="A48"/>
      <c r="B48"/>
      <c r="C48"/>
      <c r="D48" s="14"/>
      <c r="H48"/>
      <c r="I48"/>
      <c r="J48"/>
      <c r="K48" s="9"/>
    </row>
  </sheetData>
  <sheetProtection formatCells="0" formatColumns="0" formatRows="0" selectLockedCells="1"/>
  <phoneticPr fontId="0" type="noConversion"/>
  <printOptions horizontalCentered="1" verticalCentered="1"/>
  <pageMargins left="0.39370078740157483" right="0.39370078740157483" top="0.27559055118110237" bottom="0.39370078740157483" header="0.51181102362204722" footer="0.27559055118110237"/>
  <pageSetup paperSize="9" orientation="landscape" r:id="rId1"/>
  <headerFooter alignWithMargins="0">
    <oddHeader>&amp;C&amp;16Tableau DE 16 Teams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D19"/>
  <sheetViews>
    <sheetView workbookViewId="0">
      <selection activeCell="A20" sqref="A20"/>
    </sheetView>
  </sheetViews>
  <sheetFormatPr baseColWidth="10" defaultColWidth="8.6640625" defaultRowHeight="13.2" x14ac:dyDescent="0.25"/>
  <cols>
    <col min="1" max="1" width="3" style="4" customWidth="1"/>
    <col min="2" max="2" width="19.5546875" customWidth="1"/>
    <col min="3" max="3" width="32" customWidth="1"/>
    <col min="4" max="4" width="21" customWidth="1"/>
  </cols>
  <sheetData>
    <row r="1" spans="1:4" ht="39" customHeight="1" x14ac:dyDescent="0.25">
      <c r="A1" s="47" t="s">
        <v>36</v>
      </c>
      <c r="B1" s="42" t="s">
        <v>25</v>
      </c>
      <c r="C1" s="42" t="s">
        <v>35</v>
      </c>
      <c r="D1" s="43" t="s">
        <v>30</v>
      </c>
    </row>
    <row r="2" spans="1:4" ht="15.75" customHeight="1" x14ac:dyDescent="0.25">
      <c r="A2" s="73">
        <v>1</v>
      </c>
      <c r="B2" s="2" t="str">
        <f>IF(Resultate!$H$31=Resultate!$J$31,"1. Rang",IF(Resultate!$H$31&gt;Resultate!$J$31,Resultate!$E$31,Resultate!$G$31))</f>
        <v>1. Rang</v>
      </c>
      <c r="C2" s="2" t="str">
        <f>IF(B2="1. Rang","mal schauen",VLOOKUP(B2,Anmeldung!$L$2:$M$17,2,FALSE))</f>
        <v>mal schauen</v>
      </c>
      <c r="D2" s="44" t="str">
        <f>IF(B2="1. Rang","zu Hause",VLOOKUP(B2,Anmeldung!$I$2:$J$17,2,FALSE))</f>
        <v>zu Hause</v>
      </c>
    </row>
    <row r="3" spans="1:4" ht="15.75" customHeight="1" x14ac:dyDescent="0.25">
      <c r="A3" s="73">
        <f>SUM(A2,1)</f>
        <v>2</v>
      </c>
      <c r="B3" s="2" t="str">
        <f>IF(Resultate!$H$31=Resultate!$J$31,"2. Rang",IF(Resultate!$H$31&lt;Resultate!$J$31,Resultate!$E$31,Resultate!$G$31))</f>
        <v>2. Rang</v>
      </c>
      <c r="C3" s="2" t="str">
        <f>IF(B3="2. Rang","mal schauen",VLOOKUP(B3,Anmeldung!$L$2:$M$17,2,FALSE))</f>
        <v>mal schauen</v>
      </c>
      <c r="D3" s="44" t="str">
        <f>IF(B3="2. Rang","zu Hause",VLOOKUP(B3,Anmeldung!$I$2:$J$17,2,FALSE))</f>
        <v>zu Hause</v>
      </c>
    </row>
    <row r="4" spans="1:4" ht="15.75" customHeight="1" x14ac:dyDescent="0.25">
      <c r="A4" s="73">
        <f>SUM(A3,1)</f>
        <v>3</v>
      </c>
      <c r="B4" s="2" t="str">
        <f>IF(Resultate!$H$30=Resultate!$J$30,"3. Rang",IF(Resultate!$H$30&gt;Resultate!$J$30,Resultate!$E$30,Resultate!$G$30))</f>
        <v>3. Rang</v>
      </c>
      <c r="C4" s="2" t="str">
        <f>IF(B4="3. Rang","mal schauen",VLOOKUP(B4,Anmeldung!$L$2:$M$17,2,FALSE))</f>
        <v>mal schauen</v>
      </c>
      <c r="D4" s="44" t="str">
        <f>IF(B4="3. Rang","zu Hause",VLOOKUP(B4,Anmeldung!$I$2:$J$17,2,FALSE))</f>
        <v>zu Hause</v>
      </c>
    </row>
    <row r="5" spans="1:4" ht="15.75" customHeight="1" x14ac:dyDescent="0.25">
      <c r="A5" s="73">
        <f>SUM(A4,1)</f>
        <v>4</v>
      </c>
      <c r="B5" s="2" t="str">
        <f>IF(Resultate!$H$30=Resultate!$J$30,"4. Rang",IF(Resultate!$H$30&lt;Resultate!$J$30,Resultate!$E$30,Resultate!$G$30))</f>
        <v>4. Rang</v>
      </c>
      <c r="C5" s="2" t="str">
        <f>IF(B5="4. Rang","mal schauen",VLOOKUP(B5,Anmeldung!$L$2:$M$17,2,FALSE))</f>
        <v>mal schauen</v>
      </c>
      <c r="D5" s="44" t="str">
        <f>IF(B5="4. Rang","zu Hause",VLOOKUP(B5,Anmeldung!$I$2:$J$17,2,FALSE))</f>
        <v>zu Hause</v>
      </c>
    </row>
    <row r="6" spans="1:4" ht="15.75" customHeight="1" x14ac:dyDescent="0.25">
      <c r="A6" s="73">
        <f>SUM(A5,1)</f>
        <v>5</v>
      </c>
      <c r="B6" s="2" t="str">
        <f>IF(Resultate!$H$26=Resultate!$J$26,"5. Rang",IF(Resultate!$H$26&lt;Resultate!$J$26,Resultate!$E$26,Resultate!$G$26))</f>
        <v>5. Rang</v>
      </c>
      <c r="C6" s="2" t="str">
        <f>IF(B6="5. Rang","mal schauen",VLOOKUP(B6,Anmeldung!$L$2:$M$17,2,FALSE))</f>
        <v>mal schauen</v>
      </c>
      <c r="D6" s="44" t="str">
        <f>IF(B6="5. Rang","zu Hause",VLOOKUP(B6,Anmeldung!$I$2:$J$17,2,FALSE))</f>
        <v>zu Hause</v>
      </c>
    </row>
    <row r="7" spans="1:4" ht="15.75" customHeight="1" x14ac:dyDescent="0.25">
      <c r="A7" s="73">
        <v>5</v>
      </c>
      <c r="B7" s="2" t="str">
        <f>IF(Resultate!$H$27=Resultate!$J$27,"5. Rang",IF(Resultate!$H$27&lt;Resultate!$J$27,Resultate!$E$27,Resultate!$G$27))</f>
        <v>5. Rang</v>
      </c>
      <c r="C7" s="2" t="str">
        <f>IF(B7="5. Rang","mal schauen",VLOOKUP(B7,Anmeldung!$L$2:$M$17,2,FALSE))</f>
        <v>mal schauen</v>
      </c>
      <c r="D7" s="44" t="str">
        <f>IF(B7="5. Rang","zu Hause",VLOOKUP(B7,Anmeldung!$I$2:$J$17,2,FALSE))</f>
        <v>zu Hause</v>
      </c>
    </row>
    <row r="8" spans="1:4" ht="15.75" customHeight="1" x14ac:dyDescent="0.25">
      <c r="A8" s="73">
        <v>7</v>
      </c>
      <c r="B8" s="2" t="str">
        <f>IF(Resultate!$H$24=Resultate!$J$24,"7. Rang",IF(Resultate!$H$24&lt;Resultate!$J$24,Resultate!$E$24,Resultate!$G$24))</f>
        <v>7. Rang</v>
      </c>
      <c r="C8" s="2" t="str">
        <f>IF(B8="7. Rang","mal schauen",VLOOKUP(B8,Anmeldung!$L$2:$M$17,2,FALSE))</f>
        <v>mal schauen</v>
      </c>
      <c r="D8" s="44" t="str">
        <f>IF(B8="7. Rang","zu Hause",VLOOKUP(B8,Anmeldung!$I$2:$J$17,2,FALSE))</f>
        <v>zu Hause</v>
      </c>
    </row>
    <row r="9" spans="1:4" ht="15.75" customHeight="1" x14ac:dyDescent="0.25">
      <c r="A9" s="73">
        <v>7</v>
      </c>
      <c r="B9" s="2" t="str">
        <f>IF(Resultate!$H$25=Resultate!$J$25,"7. Rang",IF(Resultate!$H$25&lt;Resultate!$J$25,Resultate!$E$25,Resultate!$G$25))</f>
        <v>7. Rang</v>
      </c>
      <c r="C9" s="2" t="str">
        <f>IF(B9="7. Rang","mal schauen",VLOOKUP(B9,Anmeldung!$L$2:$M$17,2,FALSE))</f>
        <v>mal schauen</v>
      </c>
      <c r="D9" s="44" t="str">
        <f>IF(B9="7. Rang","zu Hause",VLOOKUP(B9,Anmeldung!$I$2:$J$17,2,FALSE))</f>
        <v>zu Hause</v>
      </c>
    </row>
    <row r="10" spans="1:4" ht="15.75" customHeight="1" x14ac:dyDescent="0.25">
      <c r="A10" s="73">
        <v>9</v>
      </c>
      <c r="B10" s="2" t="str">
        <f>IF(Resultate!$H$18=Resultate!$J$18,"9. Rang",IF(Resultate!$H$18&lt;Resultate!$J$18,Resultate!$E$18,Resultate!$G$18))</f>
        <v>9. Rang</v>
      </c>
      <c r="C10" s="2" t="str">
        <f>IF(B10="9. Rang","mal schauen",VLOOKUP(B10,Anmeldung!$L$2:$M$17,2,FALSE))</f>
        <v>mal schauen</v>
      </c>
      <c r="D10" s="44" t="str">
        <f>IF(B10="9. Rang","zu Hause",VLOOKUP(B10,Anmeldung!$I$2:$J$17,2,FALSE))</f>
        <v>zu Hause</v>
      </c>
    </row>
    <row r="11" spans="1:4" ht="15.75" customHeight="1" x14ac:dyDescent="0.25">
      <c r="A11" s="73">
        <v>9</v>
      </c>
      <c r="B11" s="2" t="str">
        <f>IF(Resultate!$H$19=Resultate!$J$19,"9. Rang",IF(Resultate!$H$19&lt;Resultate!$J$19,Resultate!$E$19,Resultate!$G$19))</f>
        <v>9. Rang</v>
      </c>
      <c r="C11" s="2" t="str">
        <f>IF(B11="9. Rang","mal schauen",VLOOKUP(B11,Anmeldung!$L$2:$M$17,2,FALSE))</f>
        <v>mal schauen</v>
      </c>
      <c r="D11" s="44" t="str">
        <f>IF(B11="9. Rang","zu Hause",VLOOKUP(B11,Anmeldung!$I$2:$J$17,2,FALSE))</f>
        <v>zu Hause</v>
      </c>
    </row>
    <row r="12" spans="1:4" ht="15.75" customHeight="1" x14ac:dyDescent="0.25">
      <c r="A12" s="73">
        <v>9</v>
      </c>
      <c r="B12" s="2" t="str">
        <f>IF(Resultate!$H$20=Resultate!$J$20,"9. Rang",IF(Resultate!$H$20&lt;Resultate!$J$20,Resultate!$E$20,Resultate!$G$20))</f>
        <v>9. Rang</v>
      </c>
      <c r="C12" s="2" t="str">
        <f>IF(B12="9. Rang","mal schauen",VLOOKUP(B12,Anmeldung!$L$2:$M$17,2,FALSE))</f>
        <v>mal schauen</v>
      </c>
      <c r="D12" s="44" t="str">
        <f>IF(B12="9. Rang","zu Hause",VLOOKUP(B12,Anmeldung!$I$2:$J$17,2,FALSE))</f>
        <v>zu Hause</v>
      </c>
    </row>
    <row r="13" spans="1:4" ht="15.75" customHeight="1" x14ac:dyDescent="0.25">
      <c r="A13" s="73">
        <v>9</v>
      </c>
      <c r="B13" s="2" t="str">
        <f>IF(Resultate!$H$21=Resultate!$J$21,"9. Rang",IF(Resultate!$H$21&lt;Resultate!$J$21,Resultate!$E$21,Resultate!$G$21))</f>
        <v>9. Rang</v>
      </c>
      <c r="C13" s="2" t="str">
        <f>IF(B13="9. Rang","mal schauen",VLOOKUP(B13,Anmeldung!$L$2:$M$17,2,FALSE))</f>
        <v>mal schauen</v>
      </c>
      <c r="D13" s="44" t="str">
        <f>IF(B13="9. Rang","zu Hause",VLOOKUP(B13,Anmeldung!$I$2:$J$17,2,FALSE))</f>
        <v>zu Hause</v>
      </c>
    </row>
    <row r="14" spans="1:4" ht="15.75" customHeight="1" x14ac:dyDescent="0.25">
      <c r="A14" s="73">
        <v>13</v>
      </c>
      <c r="B14" s="2" t="str">
        <f>IF(Resultate!$H$10=Resultate!$J$10,"13. Rang",IF(Resultate!$H$10&lt;Resultate!$J$10,Resultate!$E$10,Resultate!$G$10))</f>
        <v>13. Rang</v>
      </c>
      <c r="C14" s="2" t="str">
        <f>IF(B14="13. Rang","mal schauen",VLOOKUP(B14,Anmeldung!$L$2:$M$17,2,FALSE))</f>
        <v>mal schauen</v>
      </c>
      <c r="D14" s="44" t="str">
        <f>IF(B14="13. Rang","zu Hause",VLOOKUP(B14,Anmeldung!$I$2:$J$17,2,FALSE))</f>
        <v>zu Hause</v>
      </c>
    </row>
    <row r="15" spans="1:4" ht="15.75" customHeight="1" x14ac:dyDescent="0.25">
      <c r="A15" s="73">
        <v>13</v>
      </c>
      <c r="B15" s="2" t="str">
        <f>IF(Resultate!$H$11=Resultate!$J$11,"13. Rang",IF(Resultate!$H$11&lt;Resultate!$J$11,Resultate!$E$11,Resultate!$G$11))</f>
        <v>13. Rang</v>
      </c>
      <c r="C15" s="2" t="str">
        <f>IF(B15="13. Rang","mal schauen",VLOOKUP(B15,Anmeldung!$L$2:$M$17,2,FALSE))</f>
        <v>mal schauen</v>
      </c>
      <c r="D15" s="44" t="str">
        <f>IF(B15="13. Rang","zu Hause",VLOOKUP(B15,Anmeldung!$I$2:$J$17,2,FALSE))</f>
        <v>zu Hause</v>
      </c>
    </row>
    <row r="16" spans="1:4" ht="15.75" customHeight="1" x14ac:dyDescent="0.25">
      <c r="A16" s="73">
        <v>13</v>
      </c>
      <c r="B16" s="2" t="str">
        <f>IF(Resultate!$H$12=Resultate!$J$12,"13. Rang",IF(Resultate!$H$12&lt;Resultate!$J$12,Resultate!$E$12,Resultate!$G$12))</f>
        <v>13. Rang</v>
      </c>
      <c r="C16" s="2" t="str">
        <f>IF(B16="13. Rang","mal schauen",VLOOKUP(B16,Anmeldung!$L$2:$M$17,2,FALSE))</f>
        <v>mal schauen</v>
      </c>
      <c r="D16" s="44" t="str">
        <f>IF(B16="13. Rang","zu Hause",VLOOKUP(B16,Anmeldung!$I$2:$J$17,2,FALSE))</f>
        <v>zu Hause</v>
      </c>
    </row>
    <row r="17" spans="1:4" ht="15.75" customHeight="1" thickBot="1" x14ac:dyDescent="0.3">
      <c r="A17" s="74">
        <v>13</v>
      </c>
      <c r="B17" s="45" t="str">
        <f>IF(Resultate!$H$13=Resultate!$J$13,"13. Rang",IF(Resultate!$H$13&lt;Resultate!$J$13,Resultate!$E$13,Resultate!$G$13))</f>
        <v>13. Rang</v>
      </c>
      <c r="C17" s="45" t="str">
        <f>IF(B17="13. Rang","mal schauen",VLOOKUP(B17,Anmeldung!$L$2:$M$17,2,FALSE))</f>
        <v>mal schauen</v>
      </c>
      <c r="D17" s="46" t="str">
        <f>IF(B17="13. Rang","zu Hause",VLOOKUP(B17,Anmeldung!$I$2:$J$17,2,FALSE))</f>
        <v>zu Hause</v>
      </c>
    </row>
    <row r="19" spans="1:4" x14ac:dyDescent="0.25">
      <c r="A19" s="75" t="s">
        <v>38</v>
      </c>
    </row>
  </sheetData>
  <sheetProtection password="CCA4" sheet="1" objects="1" scenarios="1" formatCells="0" formatColumns="0" formatRows="0" selectLockedCells="1"/>
  <phoneticPr fontId="0" type="noConversion"/>
  <printOptions horizontalCentered="1" gridLines="1" gridLinesSet="0"/>
  <pageMargins left="0.74803149606299213" right="0.74803149606299213" top="1.45" bottom="0.98425196850393704" header="0.51181102362204722" footer="0.51181102362204722"/>
  <pageSetup paperSize="9" scale="140" orientation="landscape" horizontalDpi="300" verticalDpi="300" r:id="rId1"/>
  <headerFooter alignWithMargins="0">
    <oddHeader>&amp;L&amp;F
&amp;D&amp;C&amp;"Arial,Fett"&amp;12Schlussrangliste DE 16 Teams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9214984AE3BD84C9E574E78850AAA3B" ma:contentTypeVersion="14" ma:contentTypeDescription="Ein neues Dokument erstellen." ma:contentTypeScope="" ma:versionID="6369a39dc7aedec7fd62eeb0a289445a">
  <xsd:schema xmlns:xsd="http://www.w3.org/2001/XMLSchema" xmlns:xs="http://www.w3.org/2001/XMLSchema" xmlns:p="http://schemas.microsoft.com/office/2006/metadata/properties" xmlns:ns2="a67d4247-ceba-4b8b-b2e1-e106cd044048" xmlns:ns3="d704cbfe-ff76-4611-8b34-db3dc32c7f3e" targetNamespace="http://schemas.microsoft.com/office/2006/metadata/properties" ma:root="true" ma:fieldsID="9d3638ed41143bbf6a5e0a931dae7110" ns2:_="" ns3:_="">
    <xsd:import namespace="a67d4247-ceba-4b8b-b2e1-e106cd044048"/>
    <xsd:import namespace="d704cbfe-ff76-4611-8b34-db3dc32c7f3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7d4247-ceba-4b8b-b2e1-e106cd0440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221ffe48-f306-4b4c-91e9-bdfdd4e5151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4cbfe-ff76-4611-8b34-db3dc32c7f3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5b75f73-3253-4421-a267-e8d8ac649f2b}" ma:internalName="TaxCatchAll" ma:showField="CatchAllData" ma:web="d704cbfe-ff76-4611-8b34-db3dc32c7f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04cbfe-ff76-4611-8b34-db3dc32c7f3e" xsi:nil="true"/>
    <lcf76f155ced4ddcb4097134ff3c332f xmlns="a67d4247-ceba-4b8b-b2e1-e106cd04404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3E384A2-CB97-4FA1-A706-347B67FB7B7A}"/>
</file>

<file path=customXml/itemProps2.xml><?xml version="1.0" encoding="utf-8"?>
<ds:datastoreItem xmlns:ds="http://schemas.openxmlformats.org/officeDocument/2006/customXml" ds:itemID="{6BA0585E-29EC-48FB-AE84-B1F7932E2417}"/>
</file>

<file path=customXml/itemProps3.xml><?xml version="1.0" encoding="utf-8"?>
<ds:datastoreItem xmlns:ds="http://schemas.openxmlformats.org/officeDocument/2006/customXml" ds:itemID="{8A45E2ED-7E18-4292-A909-F4D5BE40AF6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17</vt:i4>
      </vt:variant>
    </vt:vector>
  </HeadingPairs>
  <TitlesOfParts>
    <vt:vector size="21" baseType="lpstr">
      <vt:lpstr>Anmeldung</vt:lpstr>
      <vt:lpstr>Resultate</vt:lpstr>
      <vt:lpstr>Tableau</vt:lpstr>
      <vt:lpstr>Rangliste</vt:lpstr>
      <vt:lpstr>Anmeldung!Druckbereich</vt:lpstr>
      <vt:lpstr>Rangliste!Druckbereich</vt:lpstr>
      <vt:lpstr>Resultate!Druckbereich</vt:lpstr>
      <vt:lpstr>Tableau!Druckbereich</vt:lpstr>
      <vt:lpstr>Resultate!Drucktitel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Geschäftsstelle RVZ-Beach</dc:creator>
  <cp:lastModifiedBy>Claudia Morandi</cp:lastModifiedBy>
  <cp:lastPrinted>2025-08-27T19:55:37Z</cp:lastPrinted>
  <dcterms:created xsi:type="dcterms:W3CDTF">2005-06-20T09:17:43Z</dcterms:created>
  <dcterms:modified xsi:type="dcterms:W3CDTF">2025-09-17T21:22:31Z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0x010100D9214984AE3BD84C9E574E78850AAA3B</vt:lpwstr>
  </property>
</Properties>
</file>