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ás\Google Drive\Planillas Análisis Mercado\"/>
    </mc:Choice>
  </mc:AlternateContent>
  <xr:revisionPtr revIDLastSave="0" documentId="13_ncr:1_{2BD8B2BD-854C-49A2-8D70-A6FE594A6DCD}" xr6:coauthVersionLast="47" xr6:coauthVersionMax="47" xr10:uidLastSave="{00000000-0000-0000-0000-000000000000}"/>
  <bookViews>
    <workbookView xWindow="-120" yWindow="-120" windowWidth="29040" windowHeight="15840" tabRatio="905" activeTab="2" xr2:uid="{00000000-000D-0000-FFFF-FFFF00000000}"/>
  </bookViews>
  <sheets>
    <sheet name="BAY23" sheetId="33" r:id="rId1"/>
    <sheet name="Variaciones" sheetId="24" r:id="rId2"/>
    <sheet name="Planilla de datos" sheetId="12" r:id="rId3"/>
    <sheet name="AA22" sheetId="32" r:id="rId4"/>
    <sheet name="TB21" sheetId="15" r:id="rId5"/>
    <sheet name="PR15" sheetId="16" r:id="rId6"/>
    <sheet name="TO21" sheetId="5" r:id="rId7"/>
    <sheet name="TO23" sheetId="21" r:id="rId8"/>
    <sheet name="TO26" sheetId="22" r:id="rId9"/>
    <sheet name="TC21" sheetId="4" r:id="rId10"/>
    <sheet name="TX21" sheetId="11" r:id="rId11"/>
    <sheet name="TX22" sheetId="13" r:id="rId12"/>
    <sheet name="T2X2" sheetId="26" r:id="rId13"/>
    <sheet name="TC23" sheetId="20" r:id="rId14"/>
    <sheet name="TX23" sheetId="17" r:id="rId15"/>
    <sheet name="T2X3" sheetId="44" r:id="rId16"/>
    <sheet name="TX24" sheetId="23" r:id="rId17"/>
    <sheet name="T2X4" sheetId="45" r:id="rId18"/>
    <sheet name="TC25P" sheetId="30" r:id="rId19"/>
    <sheet name="TX26" sheetId="34" r:id="rId20"/>
    <sheet name="TX28" sheetId="35" r:id="rId21"/>
    <sheet name="DICP" sheetId="46" r:id="rId22"/>
    <sheet name="PARP" sheetId="48" r:id="rId23"/>
    <sheet name="CUAP" sheetId="47" r:id="rId24"/>
    <sheet name="LECER" sheetId="14" r:id="rId25"/>
    <sheet name="Lepase" sheetId="40" r:id="rId26"/>
    <sheet name="Serie CER" sheetId="25" r:id="rId27"/>
    <sheet name="Serie BADLAR" sheetId="41" r:id="rId28"/>
    <sheet name="PBY22" sheetId="10" r:id="rId29"/>
    <sheet name="PBA25" sheetId="9" r:id="rId30"/>
    <sheet name="PMJ21" sheetId="31" r:id="rId31"/>
    <sheet name="BDC28" sheetId="28" r:id="rId32"/>
    <sheet name="BDC24" sheetId="43" r:id="rId33"/>
    <sheet name="BDC22" sheetId="42" r:id="rId34"/>
    <sheet name="BNY22" sheetId="37" r:id="rId35"/>
  </sheets>
  <externalReferences>
    <externalReference r:id="rId36"/>
    <externalReference r:id="rId3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2" l="1"/>
  <c r="E46" i="12"/>
  <c r="E44" i="12"/>
  <c r="C57" i="12"/>
  <c r="D64" i="12"/>
  <c r="I6" i="48" l="1"/>
  <c r="C8" i="48"/>
  <c r="C9" i="48" s="1"/>
  <c r="C13" i="48" s="1"/>
  <c r="E6" i="48"/>
  <c r="K39" i="48" s="1"/>
  <c r="K35" i="47"/>
  <c r="K37" i="47"/>
  <c r="I6" i="47"/>
  <c r="K23" i="47"/>
  <c r="K18" i="47"/>
  <c r="C8" i="47"/>
  <c r="C9" i="47" s="1"/>
  <c r="C12" i="47" s="1"/>
  <c r="E6" i="47"/>
  <c r="K24" i="47" s="1"/>
  <c r="I6" i="46"/>
  <c r="K30" i="46"/>
  <c r="C8" i="46"/>
  <c r="C9" i="46" s="1"/>
  <c r="E6" i="46"/>
  <c r="K9" i="46" s="1"/>
  <c r="C41" i="24"/>
  <c r="G41" i="24" s="1"/>
  <c r="C40" i="24"/>
  <c r="G40" i="24" s="1"/>
  <c r="C39" i="24"/>
  <c r="G39" i="24" s="1"/>
  <c r="C38" i="24"/>
  <c r="C37" i="24"/>
  <c r="G37" i="24" s="1"/>
  <c r="C36" i="24"/>
  <c r="G36" i="24" s="1"/>
  <c r="C35" i="24"/>
  <c r="G35" i="24" s="1"/>
  <c r="C34" i="24"/>
  <c r="G34" i="24" s="1"/>
  <c r="C33" i="24"/>
  <c r="C32" i="24"/>
  <c r="G32" i="24" s="1"/>
  <c r="C31" i="24"/>
  <c r="G31" i="24" s="1"/>
  <c r="E34" i="24"/>
  <c r="E33" i="24"/>
  <c r="C21" i="24"/>
  <c r="G21" i="24" s="1"/>
  <c r="C20" i="24"/>
  <c r="G20" i="24" s="1"/>
  <c r="C19" i="24"/>
  <c r="G19" i="24" s="1"/>
  <c r="C18" i="24"/>
  <c r="G18" i="24" s="1"/>
  <c r="C17" i="24"/>
  <c r="G17" i="24" s="1"/>
  <c r="C16" i="24"/>
  <c r="G16" i="24" s="1"/>
  <c r="N34" i="24"/>
  <c r="N33" i="24"/>
  <c r="G38" i="24"/>
  <c r="H10" i="24"/>
  <c r="G10" i="24"/>
  <c r="N19" i="24"/>
  <c r="B27" i="25"/>
  <c r="B29" i="25" s="1"/>
  <c r="B31" i="25" s="1"/>
  <c r="B33" i="25" s="1"/>
  <c r="B35" i="25" s="1"/>
  <c r="B40" i="25" s="1"/>
  <c r="K29" i="46" l="1"/>
  <c r="K28" i="46"/>
  <c r="K8" i="46"/>
  <c r="K10" i="46"/>
  <c r="K53" i="47"/>
  <c r="K17" i="48"/>
  <c r="K26" i="46"/>
  <c r="K11" i="46"/>
  <c r="K51" i="47"/>
  <c r="K21" i="48"/>
  <c r="K45" i="47"/>
  <c r="K16" i="46"/>
  <c r="K19" i="46"/>
  <c r="K7" i="47"/>
  <c r="K43" i="47"/>
  <c r="K42" i="48"/>
  <c r="K22" i="47"/>
  <c r="K52" i="47"/>
  <c r="K44" i="47"/>
  <c r="K36" i="47"/>
  <c r="K30" i="47"/>
  <c r="K50" i="47"/>
  <c r="K42" i="47"/>
  <c r="K34" i="47"/>
  <c r="K15" i="46"/>
  <c r="K27" i="46"/>
  <c r="K8" i="47"/>
  <c r="K31" i="47"/>
  <c r="K49" i="47"/>
  <c r="K41" i="47"/>
  <c r="K33" i="47"/>
  <c r="K10" i="47"/>
  <c r="K48" i="47"/>
  <c r="K40" i="47"/>
  <c r="K32" i="47"/>
  <c r="K17" i="46"/>
  <c r="K14" i="47"/>
  <c r="K55" i="47"/>
  <c r="K47" i="47"/>
  <c r="K39" i="47"/>
  <c r="K18" i="46"/>
  <c r="K7" i="46"/>
  <c r="K15" i="47"/>
  <c r="K54" i="47"/>
  <c r="K46" i="47"/>
  <c r="K38" i="47"/>
  <c r="K29" i="48"/>
  <c r="K10" i="48"/>
  <c r="K13" i="48"/>
  <c r="K25" i="48"/>
  <c r="K33" i="48"/>
  <c r="K8" i="48"/>
  <c r="G7" i="48"/>
  <c r="I7" i="48" s="1"/>
  <c r="G8" i="48"/>
  <c r="I8" i="48" s="1"/>
  <c r="G9" i="48"/>
  <c r="I9" i="48" s="1"/>
  <c r="F6" i="48"/>
  <c r="H42" i="48" s="1"/>
  <c r="G10" i="48"/>
  <c r="I10" i="48" s="1"/>
  <c r="G12" i="48"/>
  <c r="I12" i="48" s="1"/>
  <c r="G11" i="48"/>
  <c r="I11" i="48" s="1"/>
  <c r="K7" i="48"/>
  <c r="K38" i="48"/>
  <c r="K12" i="48"/>
  <c r="K16" i="48"/>
  <c r="K20" i="48"/>
  <c r="K24" i="48"/>
  <c r="K28" i="48"/>
  <c r="K32" i="48"/>
  <c r="K37" i="48"/>
  <c r="K11" i="48"/>
  <c r="K36" i="48"/>
  <c r="K15" i="48"/>
  <c r="K19" i="48"/>
  <c r="K23" i="48"/>
  <c r="K27" i="48"/>
  <c r="K31" i="48"/>
  <c r="K35" i="48"/>
  <c r="K14" i="48"/>
  <c r="K18" i="48"/>
  <c r="K22" i="48"/>
  <c r="K26" i="48"/>
  <c r="K30" i="48"/>
  <c r="K34" i="48"/>
  <c r="K41" i="48"/>
  <c r="K9" i="48"/>
  <c r="K40" i="48"/>
  <c r="G7" i="47"/>
  <c r="I7" i="47" s="1"/>
  <c r="G9" i="47"/>
  <c r="I9" i="47" s="1"/>
  <c r="G8" i="47"/>
  <c r="I8" i="47" s="1"/>
  <c r="F6" i="47"/>
  <c r="G12" i="47"/>
  <c r="G10" i="47"/>
  <c r="I10" i="47" s="1"/>
  <c r="G11" i="47"/>
  <c r="I11" i="47" s="1"/>
  <c r="K13" i="47"/>
  <c r="K21" i="47"/>
  <c r="K29" i="47"/>
  <c r="K11" i="47"/>
  <c r="K12" i="47"/>
  <c r="K20" i="47"/>
  <c r="K28" i="47"/>
  <c r="K19" i="47"/>
  <c r="K27" i="47"/>
  <c r="K26" i="47"/>
  <c r="K17" i="47"/>
  <c r="K25" i="47"/>
  <c r="K9" i="47"/>
  <c r="K16" i="47"/>
  <c r="C12" i="46"/>
  <c r="G7" i="46" s="1"/>
  <c r="I7" i="46" s="1"/>
  <c r="K12" i="46"/>
  <c r="K20" i="46"/>
  <c r="K23" i="46"/>
  <c r="K25" i="46"/>
  <c r="K13" i="46"/>
  <c r="K21" i="46"/>
  <c r="K22" i="46"/>
  <c r="K24" i="46"/>
  <c r="K14" i="46"/>
  <c r="K31" i="46"/>
  <c r="G11" i="46"/>
  <c r="I11" i="46" s="1"/>
  <c r="G33" i="24"/>
  <c r="H24" i="48" l="1"/>
  <c r="H32" i="48"/>
  <c r="H40" i="48"/>
  <c r="H36" i="48"/>
  <c r="H25" i="48"/>
  <c r="H33" i="48"/>
  <c r="H37" i="48"/>
  <c r="H26" i="48"/>
  <c r="H34" i="48"/>
  <c r="H39" i="48"/>
  <c r="H29" i="48"/>
  <c r="H38" i="48"/>
  <c r="H27" i="48"/>
  <c r="H35" i="48"/>
  <c r="H28" i="48"/>
  <c r="H41" i="48"/>
  <c r="H30" i="48"/>
  <c r="H23" i="48"/>
  <c r="H31" i="48"/>
  <c r="H36" i="47"/>
  <c r="H44" i="47"/>
  <c r="H52" i="47"/>
  <c r="H37" i="47"/>
  <c r="H45" i="47"/>
  <c r="H53" i="47"/>
  <c r="H42" i="47"/>
  <c r="H38" i="47"/>
  <c r="H46" i="47"/>
  <c r="H54" i="47"/>
  <c r="H39" i="47"/>
  <c r="H47" i="47"/>
  <c r="H55" i="47"/>
  <c r="H49" i="47"/>
  <c r="H40" i="47"/>
  <c r="H48" i="47"/>
  <c r="H41" i="47"/>
  <c r="H50" i="47"/>
  <c r="H43" i="47"/>
  <c r="H51" i="47"/>
  <c r="F7" i="48"/>
  <c r="F8" i="48" s="1"/>
  <c r="F9" i="48" s="1"/>
  <c r="F10" i="48" s="1"/>
  <c r="F11" i="48" s="1"/>
  <c r="F12" i="48" s="1"/>
  <c r="F13" i="48" s="1"/>
  <c r="F7" i="47"/>
  <c r="F8" i="47" s="1"/>
  <c r="F9" i="47" s="1"/>
  <c r="F10" i="47" s="1"/>
  <c r="F11" i="47" s="1"/>
  <c r="F12" i="47" s="1"/>
  <c r="I12" i="47"/>
  <c r="G12" i="46"/>
  <c r="G10" i="46"/>
  <c r="I10" i="46" s="1"/>
  <c r="G8" i="46"/>
  <c r="I8" i="46" s="1"/>
  <c r="G9" i="46"/>
  <c r="I9" i="46" s="1"/>
  <c r="F6" i="46"/>
  <c r="H14" i="46" s="1"/>
  <c r="H18" i="46"/>
  <c r="G7" i="32"/>
  <c r="E43" i="12"/>
  <c r="H12" i="46" l="1"/>
  <c r="I12" i="46"/>
  <c r="G13" i="48"/>
  <c r="I13" i="48" s="1"/>
  <c r="F14" i="48"/>
  <c r="F13" i="47"/>
  <c r="H26" i="46"/>
  <c r="H24" i="46"/>
  <c r="H16" i="46"/>
  <c r="H20" i="46"/>
  <c r="H25" i="46"/>
  <c r="H27" i="46"/>
  <c r="H13" i="46"/>
  <c r="H28" i="46"/>
  <c r="H31" i="46"/>
  <c r="H22" i="46"/>
  <c r="H17" i="46"/>
  <c r="H23" i="46"/>
  <c r="H21" i="46"/>
  <c r="H15" i="46"/>
  <c r="H30" i="46"/>
  <c r="H19" i="46"/>
  <c r="F7" i="46"/>
  <c r="F8" i="46" s="1"/>
  <c r="F9" i="46" s="1"/>
  <c r="F10" i="46" s="1"/>
  <c r="F11" i="46" s="1"/>
  <c r="F12" i="46" s="1"/>
  <c r="F13" i="46" s="1"/>
  <c r="G13" i="46" s="1"/>
  <c r="I13" i="46" s="1"/>
  <c r="H29" i="46"/>
  <c r="H8" i="16"/>
  <c r="H9" i="16"/>
  <c r="H10" i="16"/>
  <c r="H11" i="16"/>
  <c r="H7" i="16"/>
  <c r="F7" i="16"/>
  <c r="F6" i="16"/>
  <c r="G7" i="16"/>
  <c r="G14" i="48" l="1"/>
  <c r="I14" i="48" s="1"/>
  <c r="F15" i="48"/>
  <c r="G13" i="47"/>
  <c r="I13" i="47" s="1"/>
  <c r="F14" i="47"/>
  <c r="F14" i="46"/>
  <c r="F15" i="46" s="1"/>
  <c r="N10" i="24"/>
  <c r="F16" i="48" l="1"/>
  <c r="G15" i="48"/>
  <c r="I15" i="48" s="1"/>
  <c r="G14" i="47"/>
  <c r="I14" i="47" s="1"/>
  <c r="F15" i="47"/>
  <c r="G14" i="46"/>
  <c r="I14" i="46" s="1"/>
  <c r="G15" i="46"/>
  <c r="I15" i="46" s="1"/>
  <c r="F16" i="46"/>
  <c r="Y203" i="25"/>
  <c r="Y204" i="25" s="1"/>
  <c r="Y205" i="25" s="1"/>
  <c r="Y202" i="25"/>
  <c r="Y201" i="25"/>
  <c r="X202" i="25"/>
  <c r="X203" i="25" s="1"/>
  <c r="I12" i="14"/>
  <c r="E2" i="14"/>
  <c r="E12" i="14"/>
  <c r="F17" i="48" l="1"/>
  <c r="G16" i="48"/>
  <c r="I16" i="48" s="1"/>
  <c r="G15" i="47"/>
  <c r="I15" i="47" s="1"/>
  <c r="F16" i="47"/>
  <c r="G16" i="46"/>
  <c r="I16" i="46" s="1"/>
  <c r="F17" i="46"/>
  <c r="X204" i="25"/>
  <c r="X205" i="25" s="1"/>
  <c r="X206" i="25" s="1"/>
  <c r="X207" i="25" s="1"/>
  <c r="X208" i="25" s="1"/>
  <c r="G17" i="48" l="1"/>
  <c r="I17" i="48" s="1"/>
  <c r="F18" i="48"/>
  <c r="G16" i="47"/>
  <c r="I16" i="47" s="1"/>
  <c r="F17" i="47"/>
  <c r="G17" i="46"/>
  <c r="I17" i="46" s="1"/>
  <c r="F18" i="46"/>
  <c r="I10" i="14"/>
  <c r="G18" i="48" l="1"/>
  <c r="I18" i="48" s="1"/>
  <c r="F19" i="48"/>
  <c r="G17" i="47"/>
  <c r="I17" i="47" s="1"/>
  <c r="F18" i="47"/>
  <c r="G18" i="46"/>
  <c r="I18" i="46" s="1"/>
  <c r="F19" i="46"/>
  <c r="AT38" i="24"/>
  <c r="N38" i="24"/>
  <c r="H7" i="43"/>
  <c r="G7" i="43"/>
  <c r="F20" i="48" l="1"/>
  <c r="G19" i="48"/>
  <c r="I19" i="48" s="1"/>
  <c r="G18" i="47"/>
  <c r="I18" i="47" s="1"/>
  <c r="F19" i="47"/>
  <c r="G19" i="46"/>
  <c r="I19" i="46" s="1"/>
  <c r="F20" i="46"/>
  <c r="B41" i="25"/>
  <c r="G20" i="48" l="1"/>
  <c r="I20" i="48" s="1"/>
  <c r="F21" i="48"/>
  <c r="F20" i="47"/>
  <c r="G19" i="47"/>
  <c r="I19" i="47" s="1"/>
  <c r="G20" i="46"/>
  <c r="I20" i="46" s="1"/>
  <c r="F21" i="46"/>
  <c r="H24" i="37"/>
  <c r="H25" i="37" s="1"/>
  <c r="H26" i="37" s="1"/>
  <c r="E23" i="37"/>
  <c r="E24" i="37"/>
  <c r="E25" i="37"/>
  <c r="E26" i="37"/>
  <c r="O9" i="37"/>
  <c r="O10" i="37" s="1"/>
  <c r="O8" i="37"/>
  <c r="G21" i="48" l="1"/>
  <c r="I21" i="48" s="1"/>
  <c r="F22" i="48"/>
  <c r="G22" i="48" s="1"/>
  <c r="F21" i="47"/>
  <c r="G20" i="47"/>
  <c r="I20" i="47" s="1"/>
  <c r="G21" i="46"/>
  <c r="I21" i="46" s="1"/>
  <c r="F22" i="46"/>
  <c r="J6" i="37"/>
  <c r="G22" i="37" s="1"/>
  <c r="J28" i="37" s="1"/>
  <c r="I22" i="48" l="1"/>
  <c r="F23" i="48"/>
  <c r="G23" i="48" s="1"/>
  <c r="G21" i="47"/>
  <c r="I21" i="47" s="1"/>
  <c r="F22" i="47"/>
  <c r="F23" i="46"/>
  <c r="G22" i="46"/>
  <c r="I22" i="46" s="1"/>
  <c r="P21" i="24"/>
  <c r="Q21" i="24"/>
  <c r="Q20" i="24"/>
  <c r="P20" i="24"/>
  <c r="Q19" i="24"/>
  <c r="P19" i="24"/>
  <c r="P18" i="24"/>
  <c r="P17" i="24"/>
  <c r="P16" i="24"/>
  <c r="P9" i="24"/>
  <c r="P8" i="24"/>
  <c r="P7" i="24"/>
  <c r="P41" i="24"/>
  <c r="P40" i="24"/>
  <c r="P38" i="24"/>
  <c r="P37" i="24"/>
  <c r="P36" i="24"/>
  <c r="P35" i="24"/>
  <c r="P34" i="24"/>
  <c r="P33" i="24"/>
  <c r="P31" i="24"/>
  <c r="Q10" i="24"/>
  <c r="P10" i="24"/>
  <c r="F24" i="48" l="1"/>
  <c r="G24" i="48" s="1"/>
  <c r="I23" i="48"/>
  <c r="G22" i="47"/>
  <c r="I22" i="47" s="1"/>
  <c r="F23" i="47"/>
  <c r="F24" i="46"/>
  <c r="G23" i="46"/>
  <c r="I23" i="46" s="1"/>
  <c r="P32" i="24"/>
  <c r="P39" i="24"/>
  <c r="I24" i="48" l="1"/>
  <c r="F25" i="48"/>
  <c r="G25" i="48" s="1"/>
  <c r="G23" i="47"/>
  <c r="I23" i="47" s="1"/>
  <c r="F24" i="47"/>
  <c r="F25" i="46"/>
  <c r="G24" i="46"/>
  <c r="I24" i="46" s="1"/>
  <c r="G9" i="33"/>
  <c r="G10" i="33"/>
  <c r="G11" i="33"/>
  <c r="G12" i="33"/>
  <c r="G13" i="33"/>
  <c r="G14" i="33"/>
  <c r="G8" i="33"/>
  <c r="G7" i="33"/>
  <c r="C8" i="16"/>
  <c r="C10" i="32"/>
  <c r="C8" i="32"/>
  <c r="E45" i="12"/>
  <c r="I25" i="48" l="1"/>
  <c r="F26" i="48"/>
  <c r="G26" i="48" s="1"/>
  <c r="G24" i="47"/>
  <c r="I24" i="47" s="1"/>
  <c r="F25" i="47"/>
  <c r="F26" i="46"/>
  <c r="G25" i="46"/>
  <c r="I25" i="46" s="1"/>
  <c r="C55" i="12"/>
  <c r="I26" i="48" l="1"/>
  <c r="F27" i="48"/>
  <c r="G27" i="48" s="1"/>
  <c r="G25" i="47"/>
  <c r="I25" i="47" s="1"/>
  <c r="F26" i="47"/>
  <c r="F27" i="46"/>
  <c r="G26" i="46"/>
  <c r="I26" i="46" s="1"/>
  <c r="D56" i="12"/>
  <c r="C56" i="12"/>
  <c r="F28" i="48" l="1"/>
  <c r="G28" i="48" s="1"/>
  <c r="I27" i="48"/>
  <c r="F27" i="47"/>
  <c r="G26" i="47"/>
  <c r="I26" i="47" s="1"/>
  <c r="F28" i="46"/>
  <c r="G27" i="46"/>
  <c r="I27" i="46" s="1"/>
  <c r="B37" i="25"/>
  <c r="I28" i="48" l="1"/>
  <c r="F29" i="48"/>
  <c r="G29" i="48" s="1"/>
  <c r="F28" i="47"/>
  <c r="G27" i="47"/>
  <c r="I27" i="47" s="1"/>
  <c r="F29" i="46"/>
  <c r="G28" i="46"/>
  <c r="I28" i="46" s="1"/>
  <c r="AT40" i="24"/>
  <c r="V40" i="24"/>
  <c r="AT39" i="24"/>
  <c r="V39" i="24"/>
  <c r="I29" i="48" l="1"/>
  <c r="F30" i="48"/>
  <c r="G30" i="48" s="1"/>
  <c r="F29" i="47"/>
  <c r="G28" i="47"/>
  <c r="I28" i="47" s="1"/>
  <c r="F30" i="46"/>
  <c r="G29" i="46"/>
  <c r="I29" i="46" s="1"/>
  <c r="Z45" i="12"/>
  <c r="Y45" i="12"/>
  <c r="F7" i="33"/>
  <c r="F7" i="37"/>
  <c r="G7" i="37"/>
  <c r="I30" i="48" l="1"/>
  <c r="F31" i="48"/>
  <c r="G31" i="48" s="1"/>
  <c r="G29" i="47"/>
  <c r="I29" i="47" s="1"/>
  <c r="F30" i="47"/>
  <c r="F31" i="46"/>
  <c r="G31" i="46" s="1"/>
  <c r="I31" i="46" s="1"/>
  <c r="I34" i="46" s="1"/>
  <c r="E80" i="12" s="1"/>
  <c r="D19" i="24" s="1"/>
  <c r="H19" i="24" s="1"/>
  <c r="G30" i="46"/>
  <c r="I30" i="46" s="1"/>
  <c r="H7" i="10"/>
  <c r="G7" i="10"/>
  <c r="F32" i="48" l="1"/>
  <c r="G32" i="48" s="1"/>
  <c r="I31" i="48"/>
  <c r="G30" i="47"/>
  <c r="I30" i="47" s="1"/>
  <c r="F31" i="47"/>
  <c r="L13" i="46"/>
  <c r="M13" i="46" s="1"/>
  <c r="L21" i="46"/>
  <c r="M21" i="46" s="1"/>
  <c r="L29" i="46"/>
  <c r="M29" i="46" s="1"/>
  <c r="L26" i="46"/>
  <c r="M26" i="46" s="1"/>
  <c r="L14" i="46"/>
  <c r="M14" i="46" s="1"/>
  <c r="L22" i="46"/>
  <c r="M22" i="46" s="1"/>
  <c r="L30" i="46"/>
  <c r="M30" i="46" s="1"/>
  <c r="L15" i="46"/>
  <c r="M15" i="46" s="1"/>
  <c r="L23" i="46"/>
  <c r="M23" i="46" s="1"/>
  <c r="L31" i="46"/>
  <c r="L18" i="46"/>
  <c r="M18" i="46" s="1"/>
  <c r="L8" i="46"/>
  <c r="M8" i="46" s="1"/>
  <c r="L16" i="46"/>
  <c r="M16" i="46" s="1"/>
  <c r="L24" i="46"/>
  <c r="M24" i="46" s="1"/>
  <c r="L7" i="46"/>
  <c r="L9" i="46"/>
  <c r="M9" i="46" s="1"/>
  <c r="L17" i="46"/>
  <c r="M17" i="46" s="1"/>
  <c r="L25" i="46"/>
  <c r="M25" i="46" s="1"/>
  <c r="L11" i="46"/>
  <c r="M11" i="46" s="1"/>
  <c r="L19" i="46"/>
  <c r="M19" i="46" s="1"/>
  <c r="L27" i="46"/>
  <c r="M27" i="46" s="1"/>
  <c r="L12" i="46"/>
  <c r="M12" i="46" s="1"/>
  <c r="L20" i="46"/>
  <c r="M20" i="46" s="1"/>
  <c r="L28" i="46"/>
  <c r="M28" i="46" s="1"/>
  <c r="L10" i="46"/>
  <c r="M10" i="46" s="1"/>
  <c r="AC54" i="12"/>
  <c r="AD56" i="12" s="1"/>
  <c r="AC64" i="12" s="1"/>
  <c r="AC61" i="12"/>
  <c r="AC57" i="12"/>
  <c r="AC59" i="12" s="1"/>
  <c r="AC60" i="12" s="1"/>
  <c r="F33" i="48" l="1"/>
  <c r="G33" i="48" s="1"/>
  <c r="I32" i="48"/>
  <c r="G31" i="47"/>
  <c r="I31" i="47" s="1"/>
  <c r="F32" i="47"/>
  <c r="L32" i="46"/>
  <c r="M31" i="46"/>
  <c r="M7" i="46"/>
  <c r="M32" i="46" s="1"/>
  <c r="M34" i="46" s="1"/>
  <c r="I35" i="46" s="1"/>
  <c r="F80" i="12" s="1"/>
  <c r="AC62" i="12"/>
  <c r="S53" i="14"/>
  <c r="T53" i="14"/>
  <c r="R54" i="14"/>
  <c r="R53" i="14"/>
  <c r="J11" i="14"/>
  <c r="F47" i="12"/>
  <c r="G7" i="28"/>
  <c r="I33" i="48" l="1"/>
  <c r="F34" i="48"/>
  <c r="G34" i="48" s="1"/>
  <c r="F33" i="47"/>
  <c r="G32" i="47"/>
  <c r="I32" i="47" s="1"/>
  <c r="I47" i="12"/>
  <c r="H47" i="12"/>
  <c r="G47" i="12" s="1"/>
  <c r="R55" i="14"/>
  <c r="S54" i="14" s="1"/>
  <c r="S57" i="14" s="1"/>
  <c r="K41" i="12" s="1"/>
  <c r="J47" i="12"/>
  <c r="I34" i="48" l="1"/>
  <c r="F35" i="48"/>
  <c r="G35" i="48" s="1"/>
  <c r="F34" i="47"/>
  <c r="G33" i="47"/>
  <c r="I33" i="47" s="1"/>
  <c r="AR41" i="24"/>
  <c r="AR40" i="24"/>
  <c r="AR39" i="24"/>
  <c r="AR38" i="24"/>
  <c r="AR37" i="24"/>
  <c r="AR36" i="24"/>
  <c r="AR35" i="24"/>
  <c r="AR34" i="24"/>
  <c r="AR33" i="24"/>
  <c r="AT32" i="24"/>
  <c r="V32" i="24"/>
  <c r="AR32" i="24"/>
  <c r="AR31" i="24"/>
  <c r="F36" i="48" l="1"/>
  <c r="G36" i="48" s="1"/>
  <c r="I35" i="48"/>
  <c r="F35" i="47"/>
  <c r="G34" i="47"/>
  <c r="I34" i="47" s="1"/>
  <c r="AS10" i="24"/>
  <c r="AS14" i="24"/>
  <c r="AR10" i="24"/>
  <c r="AR14" i="24"/>
  <c r="I36" i="48" l="1"/>
  <c r="F37" i="48"/>
  <c r="G37" i="48" s="1"/>
  <c r="F36" i="47"/>
  <c r="G35" i="47"/>
  <c r="I35" i="47" s="1"/>
  <c r="AR21" i="24"/>
  <c r="AR20" i="24"/>
  <c r="AS19" i="24"/>
  <c r="AR19" i="24"/>
  <c r="AT18" i="24"/>
  <c r="V18" i="24"/>
  <c r="V16" i="24"/>
  <c r="AR18" i="24"/>
  <c r="AR17" i="24"/>
  <c r="AR16" i="24"/>
  <c r="AT10" i="24"/>
  <c r="V10" i="24"/>
  <c r="X10" i="24" s="1"/>
  <c r="X41" i="24"/>
  <c r="X40" i="24"/>
  <c r="X39" i="24"/>
  <c r="X38" i="24"/>
  <c r="X37" i="24"/>
  <c r="X36" i="24"/>
  <c r="X35" i="24"/>
  <c r="X34" i="24"/>
  <c r="X33" i="24"/>
  <c r="X32" i="24"/>
  <c r="X31" i="24"/>
  <c r="Y14" i="24"/>
  <c r="X14" i="24"/>
  <c r="Y10" i="24"/>
  <c r="I37" i="48" l="1"/>
  <c r="F38" i="48"/>
  <c r="G38" i="48" s="1"/>
  <c r="F37" i="47"/>
  <c r="G36" i="47"/>
  <c r="I36" i="47" s="1"/>
  <c r="X21" i="24"/>
  <c r="X17" i="24"/>
  <c r="X20" i="24"/>
  <c r="X18" i="24"/>
  <c r="Y20" i="24"/>
  <c r="AS20" i="24"/>
  <c r="X19" i="24"/>
  <c r="Y19" i="24"/>
  <c r="Y21" i="24"/>
  <c r="AS21" i="24"/>
  <c r="X16" i="24"/>
  <c r="R32" i="13"/>
  <c r="R36" i="13"/>
  <c r="R34" i="13"/>
  <c r="R27" i="13"/>
  <c r="E6" i="13"/>
  <c r="I6" i="13"/>
  <c r="I38" i="48" l="1"/>
  <c r="F39" i="48"/>
  <c r="G39" i="48" s="1"/>
  <c r="F38" i="47"/>
  <c r="G37" i="47"/>
  <c r="I37" i="47" s="1"/>
  <c r="C54" i="12"/>
  <c r="I39" i="48" l="1"/>
  <c r="F40" i="48"/>
  <c r="G40" i="48" s="1"/>
  <c r="F39" i="47"/>
  <c r="G38" i="47"/>
  <c r="I38" i="47" s="1"/>
  <c r="AH12" i="12"/>
  <c r="AK12" i="12" s="1"/>
  <c r="AG12" i="12"/>
  <c r="AJ12" i="12" s="1"/>
  <c r="B42" i="25"/>
  <c r="AT41" i="24"/>
  <c r="AT37" i="24"/>
  <c r="BK47" i="24"/>
  <c r="AV22" i="24" s="1"/>
  <c r="AT20" i="24"/>
  <c r="AT16" i="24"/>
  <c r="AT15" i="24"/>
  <c r="AT13" i="24"/>
  <c r="AT12" i="24"/>
  <c r="AT11" i="24"/>
  <c r="AT9" i="24"/>
  <c r="AT8" i="24"/>
  <c r="AT7" i="24"/>
  <c r="I40" i="48" l="1"/>
  <c r="F41" i="48"/>
  <c r="F40" i="47"/>
  <c r="G39" i="47"/>
  <c r="I39" i="47" s="1"/>
  <c r="AV42" i="24"/>
  <c r="G41" i="48" l="1"/>
  <c r="F42" i="48"/>
  <c r="I41" i="48"/>
  <c r="F41" i="47"/>
  <c r="G40" i="47"/>
  <c r="I40" i="47" s="1"/>
  <c r="T45" i="14"/>
  <c r="G42" i="48" l="1"/>
  <c r="I42" i="48" s="1"/>
  <c r="F42" i="47"/>
  <c r="G41" i="47"/>
  <c r="I41" i="47" s="1"/>
  <c r="G7" i="15"/>
  <c r="I44" i="48" l="1"/>
  <c r="E81" i="12" s="1"/>
  <c r="D20" i="24" s="1"/>
  <c r="H20" i="24" s="1"/>
  <c r="F43" i="47"/>
  <c r="G42" i="47"/>
  <c r="I42" i="47" s="1"/>
  <c r="AD38" i="24"/>
  <c r="L42" i="48" l="1"/>
  <c r="M42" i="48" s="1"/>
  <c r="F44" i="47"/>
  <c r="G43" i="47"/>
  <c r="I43" i="47" s="1"/>
  <c r="C37" i="13"/>
  <c r="C38" i="13" s="1"/>
  <c r="C39" i="13" s="1"/>
  <c r="C43" i="13" s="1"/>
  <c r="G37" i="13"/>
  <c r="G36" i="13"/>
  <c r="I36" i="13" s="1"/>
  <c r="I35" i="13"/>
  <c r="O35" i="13" s="1"/>
  <c r="O37" i="13"/>
  <c r="N37" i="13"/>
  <c r="M37" i="13"/>
  <c r="K37" i="13"/>
  <c r="H37" i="13"/>
  <c r="O36" i="13"/>
  <c r="M36" i="13"/>
  <c r="K36" i="13"/>
  <c r="E41" i="13"/>
  <c r="F45" i="47" l="1"/>
  <c r="G44" i="47"/>
  <c r="I44" i="47" s="1"/>
  <c r="I37" i="13"/>
  <c r="I39" i="13" s="1"/>
  <c r="I40" i="13"/>
  <c r="K35" i="13"/>
  <c r="AT17" i="24"/>
  <c r="AD17" i="24"/>
  <c r="AH4" i="40"/>
  <c r="AE10" i="40"/>
  <c r="AH5" i="40" s="1"/>
  <c r="AE6" i="40"/>
  <c r="AG5" i="40"/>
  <c r="F46" i="12"/>
  <c r="J46" i="12"/>
  <c r="T46" i="14"/>
  <c r="R45" i="14"/>
  <c r="J10" i="14"/>
  <c r="S45" i="14" s="1"/>
  <c r="F46" i="47" l="1"/>
  <c r="G45" i="47"/>
  <c r="I45" i="47" s="1"/>
  <c r="I46" i="12"/>
  <c r="H46" i="12"/>
  <c r="G46" i="12" s="1"/>
  <c r="O39" i="13"/>
  <c r="O40" i="13" s="1"/>
  <c r="AH6" i="40"/>
  <c r="F52" i="12" s="1"/>
  <c r="F47" i="47" l="1"/>
  <c r="G46" i="47"/>
  <c r="I46" i="47" s="1"/>
  <c r="R46" i="14"/>
  <c r="R47" i="14" s="1"/>
  <c r="S46" i="14" s="1"/>
  <c r="S49" i="14" s="1"/>
  <c r="K40" i="12" s="1"/>
  <c r="F48" i="47" l="1"/>
  <c r="G47" i="47"/>
  <c r="I47" i="47" s="1"/>
  <c r="D51" i="12"/>
  <c r="F49" i="47" l="1"/>
  <c r="G48" i="47"/>
  <c r="I48" i="47" s="1"/>
  <c r="H7" i="42"/>
  <c r="G7" i="42"/>
  <c r="F50" i="47" l="1"/>
  <c r="G49" i="47"/>
  <c r="I49" i="47" s="1"/>
  <c r="AT36" i="24"/>
  <c r="AT35" i="24"/>
  <c r="AD36" i="24"/>
  <c r="AD35" i="24"/>
  <c r="F51" i="47" l="1"/>
  <c r="G50" i="47"/>
  <c r="I50" i="47" s="1"/>
  <c r="T38" i="14"/>
  <c r="T37" i="14"/>
  <c r="R37" i="14"/>
  <c r="R38" i="14"/>
  <c r="R29" i="14"/>
  <c r="T30" i="14"/>
  <c r="T29" i="14"/>
  <c r="R30" i="14"/>
  <c r="J9" i="14"/>
  <c r="S37" i="14" s="1"/>
  <c r="J8" i="14"/>
  <c r="S29" i="14" s="1"/>
  <c r="AB4" i="40"/>
  <c r="AT34" i="24"/>
  <c r="AT33" i="24"/>
  <c r="AT31" i="24"/>
  <c r="AW10" i="24"/>
  <c r="AD42" i="24"/>
  <c r="AF38" i="24"/>
  <c r="AV36" i="24"/>
  <c r="AV35" i="24"/>
  <c r="AF33" i="24"/>
  <c r="C70" i="12"/>
  <c r="C7" i="24" s="1"/>
  <c r="G7" i="24" s="1"/>
  <c r="C71" i="12"/>
  <c r="C9" i="24" s="1"/>
  <c r="G9" i="24" s="1"/>
  <c r="C72" i="12"/>
  <c r="C73" i="12"/>
  <c r="C74" i="12"/>
  <c r="C75" i="12"/>
  <c r="C76" i="12"/>
  <c r="AG21" i="24"/>
  <c r="AF21" i="24"/>
  <c r="AG20" i="24"/>
  <c r="AG19" i="24"/>
  <c r="AF18" i="24"/>
  <c r="AG10" i="24"/>
  <c r="AF10" i="24"/>
  <c r="H7" i="9"/>
  <c r="G7" i="9"/>
  <c r="P15" i="24" l="1"/>
  <c r="C15" i="24"/>
  <c r="G15" i="24" s="1"/>
  <c r="P14" i="24"/>
  <c r="C14" i="24"/>
  <c r="G14" i="24" s="1"/>
  <c r="P13" i="24"/>
  <c r="C13" i="24"/>
  <c r="G13" i="24" s="1"/>
  <c r="P12" i="24"/>
  <c r="C12" i="24"/>
  <c r="G12" i="24" s="1"/>
  <c r="P11" i="24"/>
  <c r="C11" i="24"/>
  <c r="G11" i="24" s="1"/>
  <c r="F52" i="47"/>
  <c r="G51" i="47"/>
  <c r="I51" i="47" s="1"/>
  <c r="AF15" i="24"/>
  <c r="AF12" i="24"/>
  <c r="AF13" i="24"/>
  <c r="AF9" i="24"/>
  <c r="AF7" i="24"/>
  <c r="AF11" i="24"/>
  <c r="AV38" i="24"/>
  <c r="AF36" i="24"/>
  <c r="AF35" i="24"/>
  <c r="AF34" i="24"/>
  <c r="AF32" i="24"/>
  <c r="R39" i="14"/>
  <c r="S38" i="14" s="1"/>
  <c r="S41" i="14" s="1"/>
  <c r="K39" i="12" s="1"/>
  <c r="R31" i="14"/>
  <c r="AF16" i="24"/>
  <c r="AF39" i="24"/>
  <c r="AF40" i="24"/>
  <c r="AF41" i="24"/>
  <c r="AV34" i="24"/>
  <c r="AV32" i="24"/>
  <c r="AV41" i="24"/>
  <c r="AF19" i="24"/>
  <c r="AF42" i="24"/>
  <c r="AV33" i="24"/>
  <c r="AV37" i="24"/>
  <c r="AV39" i="24"/>
  <c r="AV40" i="24"/>
  <c r="AV31" i="24"/>
  <c r="AF17" i="24"/>
  <c r="AW21" i="24"/>
  <c r="AW20" i="24"/>
  <c r="AW19" i="24"/>
  <c r="AF14" i="24"/>
  <c r="AF20" i="24"/>
  <c r="AF37" i="24"/>
  <c r="AF31" i="24"/>
  <c r="B18" i="25"/>
  <c r="F53" i="47" l="1"/>
  <c r="G52" i="47"/>
  <c r="I52" i="47" s="1"/>
  <c r="S30" i="14"/>
  <c r="S33" i="14" s="1"/>
  <c r="K38" i="12" s="1"/>
  <c r="X13" i="24"/>
  <c r="AR13" i="24"/>
  <c r="X11" i="24"/>
  <c r="AR11" i="24"/>
  <c r="X12" i="24"/>
  <c r="AR12" i="24"/>
  <c r="X9" i="24"/>
  <c r="AR9" i="24"/>
  <c r="X7" i="24"/>
  <c r="AR7" i="24"/>
  <c r="X15" i="24"/>
  <c r="AR15" i="24"/>
  <c r="Y10" i="40"/>
  <c r="Y6" i="40"/>
  <c r="AA5" i="40"/>
  <c r="F54" i="47" l="1"/>
  <c r="G53" i="47"/>
  <c r="I53" i="47" s="1"/>
  <c r="AB5" i="40"/>
  <c r="AL34" i="24"/>
  <c r="AL31" i="24"/>
  <c r="AL33" i="24"/>
  <c r="F55" i="47" l="1"/>
  <c r="G55" i="47" s="1"/>
  <c r="I55" i="47" s="1"/>
  <c r="G54" i="47"/>
  <c r="I54" i="47" s="1"/>
  <c r="F45" i="12"/>
  <c r="I57" i="47" l="1"/>
  <c r="L12" i="48"/>
  <c r="M12" i="48" s="1"/>
  <c r="L9" i="48"/>
  <c r="M9" i="48" s="1"/>
  <c r="L7" i="48"/>
  <c r="L11" i="48"/>
  <c r="M11" i="48" s="1"/>
  <c r="L8" i="48"/>
  <c r="M8" i="48" s="1"/>
  <c r="L10" i="48"/>
  <c r="M10" i="48" s="1"/>
  <c r="L13" i="48"/>
  <c r="M13" i="48" s="1"/>
  <c r="L14" i="48"/>
  <c r="M14" i="48" s="1"/>
  <c r="L15" i="48"/>
  <c r="M15" i="48" s="1"/>
  <c r="L16" i="48"/>
  <c r="M16" i="48" s="1"/>
  <c r="L17" i="48"/>
  <c r="M17" i="48" s="1"/>
  <c r="L18" i="48"/>
  <c r="M18" i="48" s="1"/>
  <c r="L19" i="48"/>
  <c r="M19" i="48" s="1"/>
  <c r="L20" i="48"/>
  <c r="M20" i="48" s="1"/>
  <c r="L21" i="48"/>
  <c r="M21" i="48" s="1"/>
  <c r="L22" i="48"/>
  <c r="M22" i="48" s="1"/>
  <c r="L23" i="48"/>
  <c r="M23" i="48" s="1"/>
  <c r="L24" i="48"/>
  <c r="M24" i="48" s="1"/>
  <c r="L25" i="48"/>
  <c r="M25" i="48" s="1"/>
  <c r="L26" i="48"/>
  <c r="M26" i="48" s="1"/>
  <c r="L27" i="48"/>
  <c r="M27" i="48" s="1"/>
  <c r="L28" i="48"/>
  <c r="M28" i="48" s="1"/>
  <c r="L29" i="48"/>
  <c r="M29" i="48" s="1"/>
  <c r="L30" i="48"/>
  <c r="M30" i="48" s="1"/>
  <c r="L31" i="48"/>
  <c r="M31" i="48" s="1"/>
  <c r="L32" i="48"/>
  <c r="M32" i="48" s="1"/>
  <c r="L33" i="48"/>
  <c r="M33" i="48" s="1"/>
  <c r="L34" i="48"/>
  <c r="M34" i="48" s="1"/>
  <c r="L35" i="48"/>
  <c r="M35" i="48" s="1"/>
  <c r="L36" i="48"/>
  <c r="M36" i="48" s="1"/>
  <c r="L37" i="48"/>
  <c r="M37" i="48" s="1"/>
  <c r="L38" i="48"/>
  <c r="M38" i="48" s="1"/>
  <c r="L39" i="48"/>
  <c r="M39" i="48" s="1"/>
  <c r="L40" i="48"/>
  <c r="M40" i="48" s="1"/>
  <c r="L41" i="48"/>
  <c r="M41" i="48" s="1"/>
  <c r="I45" i="12"/>
  <c r="H45" i="12"/>
  <c r="G45" i="12" s="1"/>
  <c r="J45" i="12"/>
  <c r="L43" i="48" l="1"/>
  <c r="E82" i="12"/>
  <c r="D21" i="24" s="1"/>
  <c r="H21" i="24" s="1"/>
  <c r="L7" i="47"/>
  <c r="L19" i="47"/>
  <c r="M19" i="47" s="1"/>
  <c r="L27" i="47"/>
  <c r="M27" i="47" s="1"/>
  <c r="L28" i="47"/>
  <c r="M28" i="47" s="1"/>
  <c r="L14" i="47"/>
  <c r="M14" i="47" s="1"/>
  <c r="L22" i="47"/>
  <c r="M22" i="47" s="1"/>
  <c r="L30" i="47"/>
  <c r="M30" i="47" s="1"/>
  <c r="L11" i="47"/>
  <c r="M11" i="47" s="1"/>
  <c r="L23" i="47"/>
  <c r="M23" i="47" s="1"/>
  <c r="L16" i="47"/>
  <c r="M16" i="47" s="1"/>
  <c r="L10" i="47"/>
  <c r="M10" i="47" s="1"/>
  <c r="L9" i="47"/>
  <c r="M9" i="47" s="1"/>
  <c r="L12" i="47"/>
  <c r="M12" i="47" s="1"/>
  <c r="L20" i="47"/>
  <c r="M20" i="47" s="1"/>
  <c r="L13" i="47"/>
  <c r="M13" i="47" s="1"/>
  <c r="L21" i="47"/>
  <c r="M21" i="47" s="1"/>
  <c r="L29" i="47"/>
  <c r="M29" i="47" s="1"/>
  <c r="L8" i="47"/>
  <c r="M8" i="47" s="1"/>
  <c r="L17" i="47"/>
  <c r="M17" i="47" s="1"/>
  <c r="L26" i="47"/>
  <c r="M26" i="47" s="1"/>
  <c r="L15" i="47"/>
  <c r="M15" i="47" s="1"/>
  <c r="L31" i="47"/>
  <c r="M31" i="47" s="1"/>
  <c r="L24" i="47"/>
  <c r="M24" i="47" s="1"/>
  <c r="L25" i="47"/>
  <c r="M25" i="47" s="1"/>
  <c r="L18" i="47"/>
  <c r="M18" i="47" s="1"/>
  <c r="L32" i="47"/>
  <c r="M32" i="47" s="1"/>
  <c r="L33" i="47"/>
  <c r="M33" i="47" s="1"/>
  <c r="L34" i="47"/>
  <c r="M34" i="47" s="1"/>
  <c r="L35" i="47"/>
  <c r="M35" i="47" s="1"/>
  <c r="L36" i="47"/>
  <c r="M36" i="47" s="1"/>
  <c r="L37" i="47"/>
  <c r="M37" i="47" s="1"/>
  <c r="L38" i="47"/>
  <c r="M38" i="47" s="1"/>
  <c r="L39" i="47"/>
  <c r="M39" i="47" s="1"/>
  <c r="L40" i="47"/>
  <c r="M40" i="47" s="1"/>
  <c r="L41" i="47"/>
  <c r="M41" i="47" s="1"/>
  <c r="L42" i="47"/>
  <c r="M42" i="47" s="1"/>
  <c r="L43" i="47"/>
  <c r="M43" i="47" s="1"/>
  <c r="L44" i="47"/>
  <c r="M44" i="47" s="1"/>
  <c r="L45" i="47"/>
  <c r="M45" i="47" s="1"/>
  <c r="L46" i="47"/>
  <c r="M46" i="47" s="1"/>
  <c r="L47" i="47"/>
  <c r="M47" i="47" s="1"/>
  <c r="L48" i="47"/>
  <c r="M48" i="47" s="1"/>
  <c r="L49" i="47"/>
  <c r="M49" i="47" s="1"/>
  <c r="L50" i="47"/>
  <c r="M50" i="47" s="1"/>
  <c r="L51" i="47"/>
  <c r="M51" i="47" s="1"/>
  <c r="L52" i="47"/>
  <c r="M52" i="47" s="1"/>
  <c r="L53" i="47"/>
  <c r="M53" i="47" s="1"/>
  <c r="L55" i="47"/>
  <c r="M55" i="47" s="1"/>
  <c r="L54" i="47"/>
  <c r="M54" i="47" s="1"/>
  <c r="M7" i="48"/>
  <c r="M43" i="48" s="1"/>
  <c r="M45" i="48" s="1"/>
  <c r="Q7" i="5"/>
  <c r="T7" i="5"/>
  <c r="S7" i="5"/>
  <c r="U7" i="5" s="1"/>
  <c r="G7" i="5"/>
  <c r="I45" i="48" l="1"/>
  <c r="F81" i="12" s="1"/>
  <c r="L56" i="47"/>
  <c r="M7" i="47"/>
  <c r="M56" i="47" s="1"/>
  <c r="M58" i="47" s="1"/>
  <c r="I58" i="47" s="1"/>
  <c r="F82" i="12" s="1"/>
  <c r="AO10" i="24"/>
  <c r="AL39" i="24"/>
  <c r="AL15" i="24"/>
  <c r="AL13" i="24"/>
  <c r="AL12" i="24"/>
  <c r="AL11" i="24"/>
  <c r="AL9" i="24"/>
  <c r="AL10" i="24"/>
  <c r="V4" i="40" l="1"/>
  <c r="S10" i="40"/>
  <c r="S6" i="40"/>
  <c r="U5" i="40"/>
  <c r="V5" i="40" l="1"/>
  <c r="V12" i="40" s="1"/>
  <c r="F44" i="12" l="1"/>
  <c r="I44" i="12" l="1"/>
  <c r="H44" i="12"/>
  <c r="G44" i="12" s="1"/>
  <c r="J44" i="12"/>
  <c r="P4" i="40" l="1"/>
  <c r="O4" i="40" l="1"/>
  <c r="U4" i="40" s="1"/>
  <c r="U6" i="40" l="1"/>
  <c r="E50" i="12" s="1"/>
  <c r="AA4" i="40"/>
  <c r="R7" i="13"/>
  <c r="Q7" i="13"/>
  <c r="D79" i="12"/>
  <c r="D78" i="12"/>
  <c r="D76" i="12"/>
  <c r="D75" i="12"/>
  <c r="D74" i="12"/>
  <c r="D73" i="12"/>
  <c r="D72" i="12"/>
  <c r="D71" i="12"/>
  <c r="D70" i="12"/>
  <c r="D69" i="12"/>
  <c r="J50" i="12" l="1"/>
  <c r="AB6" i="40" s="1"/>
  <c r="F51" i="12" s="1"/>
  <c r="AA6" i="40"/>
  <c r="E51" i="12" s="1"/>
  <c r="AG4" i="40"/>
  <c r="AG6" i="40" s="1"/>
  <c r="E52" i="12" s="1"/>
  <c r="M6" i="40"/>
  <c r="O5" i="40"/>
  <c r="O6" i="40" s="1"/>
  <c r="E49" i="12" s="1"/>
  <c r="AL37" i="24"/>
  <c r="AB9" i="40" l="1"/>
  <c r="I51" i="12" s="1"/>
  <c r="J51" i="12"/>
  <c r="AB8" i="40"/>
  <c r="H51" i="12" s="1"/>
  <c r="G51" i="12" s="1"/>
  <c r="AH9" i="40"/>
  <c r="I52" i="12" s="1"/>
  <c r="AH8" i="40"/>
  <c r="H52" i="12" s="1"/>
  <c r="G52" i="12" s="1"/>
  <c r="J49" i="12"/>
  <c r="V6" i="40" s="1"/>
  <c r="J52" i="12" l="1"/>
  <c r="F50" i="12"/>
  <c r="V9" i="40"/>
  <c r="I50" i="12" s="1"/>
  <c r="V8" i="40"/>
  <c r="H50" i="12" s="1"/>
  <c r="G50" i="12" s="1"/>
  <c r="G7" i="31"/>
  <c r="F43" i="12"/>
  <c r="J43" i="12" l="1"/>
  <c r="H43" i="12"/>
  <c r="G43" i="12" s="1"/>
  <c r="I43" i="12"/>
  <c r="I6" i="44" l="1"/>
  <c r="D54" i="12"/>
  <c r="E54" i="12" s="1"/>
  <c r="D55" i="12"/>
  <c r="E55" i="12" s="1"/>
  <c r="E61" i="12" s="1"/>
  <c r="F61" i="12" s="1"/>
  <c r="J54" i="12" l="1"/>
  <c r="J55" i="12"/>
  <c r="N22" i="45"/>
  <c r="O22" i="45" s="1"/>
  <c r="M7" i="45" s="1"/>
  <c r="K22" i="45"/>
  <c r="X13" i="45"/>
  <c r="AD13" i="45" s="1"/>
  <c r="W13" i="45"/>
  <c r="AC13" i="45" s="1"/>
  <c r="K13" i="45"/>
  <c r="K28" i="45" s="1"/>
  <c r="X12" i="45"/>
  <c r="AD12" i="45" s="1"/>
  <c r="W12" i="45"/>
  <c r="AC12" i="45" s="1"/>
  <c r="K12" i="45"/>
  <c r="Q12" i="45" s="1"/>
  <c r="X11" i="45"/>
  <c r="AD11" i="45" s="1"/>
  <c r="W11" i="45"/>
  <c r="AC11" i="45" s="1"/>
  <c r="K11" i="45"/>
  <c r="Q11" i="45" s="1"/>
  <c r="AD10" i="45"/>
  <c r="X10" i="45"/>
  <c r="W10" i="45"/>
  <c r="AC10" i="45" s="1"/>
  <c r="K10" i="45"/>
  <c r="K25" i="45" s="1"/>
  <c r="AD9" i="45"/>
  <c r="X9" i="45"/>
  <c r="W9" i="45"/>
  <c r="AC9" i="45" s="1"/>
  <c r="K9" i="45"/>
  <c r="K24" i="45" s="1"/>
  <c r="X8" i="45"/>
  <c r="AD8" i="45" s="1"/>
  <c r="W8" i="45"/>
  <c r="AC8" i="45" s="1"/>
  <c r="K8" i="45"/>
  <c r="Q8" i="45" s="1"/>
  <c r="C8" i="45"/>
  <c r="C9" i="45" s="1"/>
  <c r="C11" i="45" s="1"/>
  <c r="AC7" i="45"/>
  <c r="X7" i="45"/>
  <c r="AD7" i="45" s="1"/>
  <c r="W7" i="45"/>
  <c r="Q7" i="45"/>
  <c r="K7" i="45"/>
  <c r="X6" i="45"/>
  <c r="AD6" i="45" s="1"/>
  <c r="E6" i="45"/>
  <c r="W6" i="45" s="1"/>
  <c r="E6" i="44"/>
  <c r="I4" i="40"/>
  <c r="J4" i="40"/>
  <c r="AN14" i="24"/>
  <c r="AV10" i="24"/>
  <c r="AV17" i="24"/>
  <c r="AN41" i="24"/>
  <c r="AN40" i="24"/>
  <c r="B14" i="25"/>
  <c r="I5" i="40"/>
  <c r="G6" i="40"/>
  <c r="T22" i="14"/>
  <c r="T21" i="14"/>
  <c r="S21" i="14"/>
  <c r="J7" i="14"/>
  <c r="E7" i="14"/>
  <c r="R21" i="14" s="1"/>
  <c r="T23" i="14" l="1"/>
  <c r="AN33" i="24"/>
  <c r="AN42" i="24"/>
  <c r="AN35" i="24"/>
  <c r="AN34" i="24"/>
  <c r="AN31" i="24"/>
  <c r="AN36" i="24"/>
  <c r="AN38" i="24"/>
  <c r="AN39" i="24"/>
  <c r="AN37" i="24"/>
  <c r="K6" i="45"/>
  <c r="Q6" i="45" s="1"/>
  <c r="Q10" i="45"/>
  <c r="Q9" i="45"/>
  <c r="Q13" i="45"/>
  <c r="G7" i="45"/>
  <c r="G8" i="45"/>
  <c r="H13" i="45"/>
  <c r="Z13" i="45" s="1"/>
  <c r="AF13" i="45" s="1"/>
  <c r="G13" i="45"/>
  <c r="G12" i="45"/>
  <c r="G11" i="45"/>
  <c r="G10" i="45"/>
  <c r="G9" i="45"/>
  <c r="S7" i="45"/>
  <c r="U7" i="45" s="1"/>
  <c r="O7" i="45"/>
  <c r="O6" i="45"/>
  <c r="K23" i="45"/>
  <c r="AC6" i="45"/>
  <c r="K27" i="45"/>
  <c r="K26" i="45"/>
  <c r="AN32" i="24"/>
  <c r="I6" i="40"/>
  <c r="BB8" i="24"/>
  <c r="AZ13" i="24"/>
  <c r="R7" i="44"/>
  <c r="T7" i="44"/>
  <c r="R8" i="44"/>
  <c r="T8" i="44"/>
  <c r="R9" i="44"/>
  <c r="T9" i="44"/>
  <c r="R10" i="44"/>
  <c r="T10" i="44"/>
  <c r="R11" i="44"/>
  <c r="R6" i="44"/>
  <c r="S6" i="44"/>
  <c r="T6" i="44"/>
  <c r="Q7" i="44"/>
  <c r="Q8" i="44"/>
  <c r="Q9" i="44"/>
  <c r="Q10" i="44"/>
  <c r="Q11" i="44"/>
  <c r="K11" i="44"/>
  <c r="K24" i="44" s="1"/>
  <c r="R22" i="14"/>
  <c r="R23" i="14" s="1"/>
  <c r="S22" i="14" s="1"/>
  <c r="S25" i="14" s="1"/>
  <c r="T25" i="14" l="1"/>
  <c r="K37" i="12"/>
  <c r="Y8" i="45"/>
  <c r="AE8" i="45" s="1"/>
  <c r="I8" i="45"/>
  <c r="AA8" i="45" s="1"/>
  <c r="AG8" i="45" s="1"/>
  <c r="I7" i="45"/>
  <c r="Y7" i="45"/>
  <c r="AE7" i="45" s="1"/>
  <c r="Y9" i="45"/>
  <c r="AE9" i="45" s="1"/>
  <c r="I9" i="45"/>
  <c r="AA9" i="45" s="1"/>
  <c r="AG9" i="45" s="1"/>
  <c r="Y10" i="45"/>
  <c r="AE10" i="45" s="1"/>
  <c r="I10" i="45"/>
  <c r="AA10" i="45" s="1"/>
  <c r="AG10" i="45" s="1"/>
  <c r="Y12" i="45"/>
  <c r="AE12" i="45" s="1"/>
  <c r="I12" i="45"/>
  <c r="AA12" i="45" s="1"/>
  <c r="AG12" i="45" s="1"/>
  <c r="Y11" i="45"/>
  <c r="AE11" i="45" s="1"/>
  <c r="I11" i="45"/>
  <c r="AA11" i="45" s="1"/>
  <c r="AG11" i="45" s="1"/>
  <c r="Y13" i="45"/>
  <c r="AE13" i="45" s="1"/>
  <c r="I13" i="45"/>
  <c r="AA13" i="45" s="1"/>
  <c r="AG13" i="45" s="1"/>
  <c r="I15" i="45" l="1"/>
  <c r="I16" i="45" s="1"/>
  <c r="AA7" i="45"/>
  <c r="AG7" i="45" l="1"/>
  <c r="X39" i="45"/>
  <c r="X41" i="45"/>
  <c r="Y41" i="45" s="1"/>
  <c r="X35" i="45"/>
  <c r="Y35" i="45" s="1"/>
  <c r="X30" i="45"/>
  <c r="Y30" i="45" s="1"/>
  <c r="X36" i="45"/>
  <c r="Y36" i="45" s="1"/>
  <c r="X26" i="45"/>
  <c r="Y26" i="45" s="1"/>
  <c r="X33" i="45"/>
  <c r="Y33" i="45" s="1"/>
  <c r="X37" i="45"/>
  <c r="Y37" i="45" s="1"/>
  <c r="X28" i="45"/>
  <c r="Y28" i="45" s="1"/>
  <c r="X27" i="45"/>
  <c r="Y27" i="45" s="1"/>
  <c r="X31" i="45"/>
  <c r="Y31" i="45" s="1"/>
  <c r="X29" i="45"/>
  <c r="Y29" i="45" s="1"/>
  <c r="X32" i="45"/>
  <c r="Y32" i="45" s="1"/>
  <c r="X38" i="45"/>
  <c r="Y38" i="45" s="1"/>
  <c r="X34" i="45"/>
  <c r="Y34" i="45" s="1"/>
  <c r="X40" i="45"/>
  <c r="Y40" i="45" s="1"/>
  <c r="E37" i="12"/>
  <c r="J37" i="12" l="1"/>
  <c r="AG6" i="45"/>
  <c r="AG15" i="45" s="1"/>
  <c r="AG16" i="45" s="1"/>
  <c r="Y39" i="45"/>
  <c r="C8" i="44" l="1"/>
  <c r="C9" i="44" s="1"/>
  <c r="C11" i="44" s="1"/>
  <c r="H11" i="44" s="1"/>
  <c r="AD100" i="12"/>
  <c r="AD101" i="12"/>
  <c r="AD102" i="12"/>
  <c r="F11" i="44"/>
  <c r="K10" i="44"/>
  <c r="K23" i="44" s="1"/>
  <c r="K9" i="44"/>
  <c r="K8" i="44"/>
  <c r="K7" i="44"/>
  <c r="K20" i="44" s="1"/>
  <c r="O6" i="44"/>
  <c r="K6" i="44" l="1"/>
  <c r="G11" i="44"/>
  <c r="I11" i="44" s="1"/>
  <c r="G7" i="44"/>
  <c r="G10" i="44"/>
  <c r="G9" i="44"/>
  <c r="G8" i="44"/>
  <c r="K21" i="44"/>
  <c r="K22" i="44"/>
  <c r="C69" i="12"/>
  <c r="C8" i="24" s="1"/>
  <c r="G8" i="24" s="1"/>
  <c r="E6" i="17"/>
  <c r="E11" i="17" s="1"/>
  <c r="I6" i="17"/>
  <c r="E6" i="26"/>
  <c r="I12" i="26" s="1"/>
  <c r="I6" i="26"/>
  <c r="X8" i="24" l="1"/>
  <c r="AR8" i="24"/>
  <c r="AF8" i="24"/>
  <c r="Q6" i="44"/>
  <c r="I7" i="44"/>
  <c r="I10" i="44"/>
  <c r="I8" i="44"/>
  <c r="I9" i="44"/>
  <c r="I13" i="44" l="1"/>
  <c r="I14" i="44" l="1"/>
  <c r="F75" i="12" s="1"/>
  <c r="E75" i="12"/>
  <c r="D14" i="24" s="1"/>
  <c r="H14" i="24" s="1"/>
  <c r="AG14" i="24" l="1"/>
  <c r="AW14" i="24"/>
  <c r="AO14" i="24"/>
  <c r="F8" i="16" l="1"/>
  <c r="B36" i="25"/>
  <c r="B34" i="25"/>
  <c r="B32" i="25"/>
  <c r="B30" i="25"/>
  <c r="B28" i="25"/>
  <c r="B26" i="25"/>
  <c r="B24" i="25"/>
  <c r="B22" i="25"/>
  <c r="B20" i="25"/>
  <c r="B16" i="25"/>
  <c r="F9" i="16" l="1"/>
  <c r="C8" i="35"/>
  <c r="C8" i="34"/>
  <c r="F10" i="16" l="1"/>
  <c r="F11" i="16" l="1"/>
  <c r="B44" i="25" l="1"/>
  <c r="C97" i="12" l="1"/>
  <c r="C96" i="12"/>
  <c r="C95" i="12"/>
  <c r="C88" i="12"/>
  <c r="C89" i="12"/>
  <c r="C90" i="12"/>
  <c r="C91" i="12"/>
  <c r="C92" i="12"/>
  <c r="C93" i="12"/>
  <c r="C94" i="12"/>
  <c r="J6" i="42"/>
  <c r="J6" i="43"/>
  <c r="J6" i="28"/>
  <c r="J6" i="31"/>
  <c r="J6" i="9"/>
  <c r="J6" i="10"/>
  <c r="I6" i="23"/>
  <c r="I6" i="20"/>
  <c r="I6" i="11"/>
  <c r="I6" i="4"/>
  <c r="I6" i="22"/>
  <c r="I6" i="21"/>
  <c r="I6" i="5"/>
  <c r="I8" i="5" s="1"/>
  <c r="F57" i="12" s="1"/>
  <c r="J6" i="16"/>
  <c r="J6" i="15"/>
  <c r="J20" i="15" s="1"/>
  <c r="F56" i="12" s="1"/>
  <c r="J6" i="32"/>
  <c r="F29" i="12"/>
  <c r="P9" i="43"/>
  <c r="P10" i="43"/>
  <c r="P11" i="43"/>
  <c r="P12" i="43"/>
  <c r="P13" i="43"/>
  <c r="P14" i="43"/>
  <c r="P15" i="43"/>
  <c r="P16" i="43"/>
  <c r="P17" i="43"/>
  <c r="M9" i="43"/>
  <c r="M10" i="43"/>
  <c r="M11" i="43"/>
  <c r="M12" i="43"/>
  <c r="M13" i="43"/>
  <c r="M14" i="43"/>
  <c r="M15" i="43"/>
  <c r="M16" i="43"/>
  <c r="M17" i="43"/>
  <c r="L9" i="43"/>
  <c r="L10" i="43"/>
  <c r="L11" i="43"/>
  <c r="L12" i="43"/>
  <c r="L13" i="43"/>
  <c r="L14" i="43"/>
  <c r="L15" i="43"/>
  <c r="L16" i="43"/>
  <c r="L17" i="43"/>
  <c r="G9" i="43"/>
  <c r="N9" i="43" s="1"/>
  <c r="G10" i="43"/>
  <c r="N10" i="43" s="1"/>
  <c r="G11" i="43"/>
  <c r="N11" i="43" s="1"/>
  <c r="G12" i="43"/>
  <c r="N12" i="43" s="1"/>
  <c r="G13" i="43"/>
  <c r="N13" i="43" s="1"/>
  <c r="G14" i="43"/>
  <c r="N14" i="43" s="1"/>
  <c r="G15" i="43"/>
  <c r="N15" i="43" s="1"/>
  <c r="G16" i="43"/>
  <c r="N16" i="43" s="1"/>
  <c r="G17" i="43"/>
  <c r="N17" i="43" s="1"/>
  <c r="P8" i="43"/>
  <c r="M8" i="43"/>
  <c r="L8" i="43"/>
  <c r="G8" i="43"/>
  <c r="N8" i="43" s="1"/>
  <c r="P7" i="43"/>
  <c r="M7" i="43"/>
  <c r="L7" i="43"/>
  <c r="N7" i="43"/>
  <c r="P6" i="43"/>
  <c r="O6" i="43"/>
  <c r="N6" i="43"/>
  <c r="M6" i="43"/>
  <c r="E6" i="43"/>
  <c r="F26" i="12"/>
  <c r="P7" i="42"/>
  <c r="P8" i="42"/>
  <c r="P9" i="42"/>
  <c r="P6" i="42"/>
  <c r="O6" i="42"/>
  <c r="N6" i="42"/>
  <c r="M7" i="42"/>
  <c r="M8" i="42"/>
  <c r="M9" i="42"/>
  <c r="M6" i="42"/>
  <c r="L7" i="42"/>
  <c r="L8" i="42"/>
  <c r="L9" i="42"/>
  <c r="N7" i="42"/>
  <c r="G8" i="42"/>
  <c r="N8" i="42" s="1"/>
  <c r="G9" i="42"/>
  <c r="N9" i="42" s="1"/>
  <c r="E6" i="42"/>
  <c r="L6" i="42" s="1"/>
  <c r="F30" i="12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6" i="28"/>
  <c r="O6" i="28"/>
  <c r="N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F9" i="12"/>
  <c r="C8" i="31"/>
  <c r="C7" i="16"/>
  <c r="L6" i="43" l="1"/>
  <c r="J21" i="43"/>
  <c r="J22" i="43" s="1"/>
  <c r="H201" i="25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H212" i="25" s="1"/>
  <c r="H213" i="25" s="1"/>
  <c r="H214" i="25" s="1"/>
  <c r="H215" i="25" s="1"/>
  <c r="H216" i="25" s="1"/>
  <c r="H217" i="25" s="1"/>
  <c r="H218" i="25" s="1"/>
  <c r="H219" i="25" s="1"/>
  <c r="H220" i="25" s="1"/>
  <c r="H221" i="25" s="1"/>
  <c r="H222" i="25" s="1"/>
  <c r="H223" i="25" s="1"/>
  <c r="H224" i="25" s="1"/>
  <c r="H225" i="25" s="1"/>
  <c r="H226" i="25" s="1"/>
  <c r="H227" i="25" s="1"/>
  <c r="H228" i="25" s="1"/>
  <c r="H229" i="25" s="1"/>
  <c r="H230" i="25" s="1"/>
  <c r="H231" i="25" s="1"/>
  <c r="H232" i="25" s="1"/>
  <c r="H233" i="25" s="1"/>
  <c r="H234" i="25" s="1"/>
  <c r="H235" i="25" s="1"/>
  <c r="H236" i="25" s="1"/>
  <c r="H237" i="25" s="1"/>
  <c r="H238" i="25" s="1"/>
  <c r="H239" i="25" s="1"/>
  <c r="H240" i="25" s="1"/>
  <c r="H241" i="25" s="1"/>
  <c r="H242" i="25" s="1"/>
  <c r="H243" i="25" s="1"/>
  <c r="H244" i="25" s="1"/>
  <c r="H245" i="25" s="1"/>
  <c r="H246" i="25" s="1"/>
  <c r="H247" i="25" s="1"/>
  <c r="H248" i="25" s="1"/>
  <c r="H249" i="25" s="1"/>
  <c r="H250" i="25" s="1"/>
  <c r="H251" i="25" s="1"/>
  <c r="H252" i="25" s="1"/>
  <c r="H253" i="25" s="1"/>
  <c r="H254" i="25" s="1"/>
  <c r="H255" i="25" s="1"/>
  <c r="H256" i="25" s="1"/>
  <c r="H257" i="25" s="1"/>
  <c r="H258" i="25" s="1"/>
  <c r="N23" i="45" s="1"/>
  <c r="O23" i="45" s="1"/>
  <c r="M8" i="45" s="1"/>
  <c r="S8" i="45" s="1"/>
  <c r="U8" i="45" s="1"/>
  <c r="U17" i="45" s="1"/>
  <c r="M17" i="4"/>
  <c r="U6" i="5"/>
  <c r="U9" i="5" s="1"/>
  <c r="BC13" i="24" s="1"/>
  <c r="AN11" i="24"/>
  <c r="AV11" i="24"/>
  <c r="M20" i="44" l="1"/>
  <c r="N20" i="44" s="1"/>
  <c r="O20" i="44" s="1"/>
  <c r="M7" i="44" s="1"/>
  <c r="S7" i="44" s="1"/>
  <c r="O8" i="45"/>
  <c r="G7" i="14"/>
  <c r="K7" i="14" s="1"/>
  <c r="L7" i="14" s="1"/>
  <c r="M7" i="14" s="1"/>
  <c r="F37" i="12" s="1"/>
  <c r="H259" i="25"/>
  <c r="H260" i="25" s="1"/>
  <c r="H261" i="25" s="1"/>
  <c r="H262" i="25" s="1"/>
  <c r="H263" i="25" s="1"/>
  <c r="H264" i="25" s="1"/>
  <c r="H265" i="25" s="1"/>
  <c r="H266" i="25" s="1"/>
  <c r="H267" i="25" s="1"/>
  <c r="H268" i="25" s="1"/>
  <c r="H269" i="25" s="1"/>
  <c r="H270" i="25" s="1"/>
  <c r="H271" i="25" s="1"/>
  <c r="H272" i="25" s="1"/>
  <c r="H273" i="25" s="1"/>
  <c r="H274" i="25" s="1"/>
  <c r="H275" i="25" s="1"/>
  <c r="H276" i="25" s="1"/>
  <c r="H277" i="25" s="1"/>
  <c r="H278" i="25" s="1"/>
  <c r="H279" i="25" s="1"/>
  <c r="H280" i="25" s="1"/>
  <c r="H281" i="25" s="1"/>
  <c r="H282" i="25" s="1"/>
  <c r="H283" i="25" s="1"/>
  <c r="H284" i="25" s="1"/>
  <c r="H285" i="25" s="1"/>
  <c r="H286" i="25" s="1"/>
  <c r="H287" i="25" s="1"/>
  <c r="H288" i="25" s="1"/>
  <c r="H289" i="25" s="1"/>
  <c r="H290" i="25" s="1"/>
  <c r="H291" i="25" s="1"/>
  <c r="H292" i="25" s="1"/>
  <c r="H293" i="25" s="1"/>
  <c r="H294" i="25" s="1"/>
  <c r="H295" i="25" s="1"/>
  <c r="H296" i="25" s="1"/>
  <c r="H297" i="25" s="1"/>
  <c r="H298" i="25" s="1"/>
  <c r="H299" i="25" s="1"/>
  <c r="H300" i="25" s="1"/>
  <c r="H301" i="25" s="1"/>
  <c r="H302" i="25" s="1"/>
  <c r="H303" i="25" s="1"/>
  <c r="H304" i="25" s="1"/>
  <c r="H305" i="25" s="1"/>
  <c r="H306" i="25" s="1"/>
  <c r="H307" i="25" s="1"/>
  <c r="H308" i="25" s="1"/>
  <c r="H309" i="25" s="1"/>
  <c r="H310" i="25" s="1"/>
  <c r="H311" i="25" s="1"/>
  <c r="H312" i="25" s="1"/>
  <c r="H313" i="25" s="1"/>
  <c r="H314" i="25" s="1"/>
  <c r="H315" i="25" s="1"/>
  <c r="H316" i="25" s="1"/>
  <c r="H317" i="25" s="1"/>
  <c r="H318" i="25" s="1"/>
  <c r="H319" i="25" s="1"/>
  <c r="H320" i="25" s="1"/>
  <c r="H321" i="25" l="1"/>
  <c r="H322" i="25" s="1"/>
  <c r="H323" i="25" s="1"/>
  <c r="H324" i="25" s="1"/>
  <c r="H325" i="25" s="1"/>
  <c r="H326" i="25" s="1"/>
  <c r="H327" i="25" s="1"/>
  <c r="H328" i="25" s="1"/>
  <c r="H329" i="25" s="1"/>
  <c r="H330" i="25" s="1"/>
  <c r="H331" i="25" s="1"/>
  <c r="H332" i="25" s="1"/>
  <c r="H333" i="25" s="1"/>
  <c r="H334" i="25" s="1"/>
  <c r="H335" i="25" s="1"/>
  <c r="H336" i="25" s="1"/>
  <c r="H337" i="25" s="1"/>
  <c r="H338" i="25" s="1"/>
  <c r="H339" i="25" s="1"/>
  <c r="H340" i="25" s="1"/>
  <c r="H341" i="25" s="1"/>
  <c r="H342" i="25" s="1"/>
  <c r="H343" i="25" s="1"/>
  <c r="H344" i="25" s="1"/>
  <c r="H345" i="25" s="1"/>
  <c r="H346" i="25" s="1"/>
  <c r="H347" i="25" s="1"/>
  <c r="H348" i="25" s="1"/>
  <c r="H349" i="25" s="1"/>
  <c r="H350" i="25" s="1"/>
  <c r="H351" i="25" s="1"/>
  <c r="H352" i="25" s="1"/>
  <c r="H353" i="25" s="1"/>
  <c r="H354" i="25" s="1"/>
  <c r="O7" i="44"/>
  <c r="U7" i="44" s="1"/>
  <c r="H355" i="25" l="1"/>
  <c r="H356" i="25" s="1"/>
  <c r="H357" i="25" s="1"/>
  <c r="H358" i="25" s="1"/>
  <c r="H359" i="25" s="1"/>
  <c r="H360" i="25" s="1"/>
  <c r="H361" i="25" s="1"/>
  <c r="H362" i="25" s="1"/>
  <c r="H363" i="25" s="1"/>
  <c r="H364" i="25" s="1"/>
  <c r="H365" i="25" s="1"/>
  <c r="H366" i="25" s="1"/>
  <c r="H367" i="25" s="1"/>
  <c r="H368" i="25" s="1"/>
  <c r="H369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M21" i="44" s="1"/>
  <c r="G12" i="14"/>
  <c r="K12" i="14" s="1"/>
  <c r="L12" i="14" s="1"/>
  <c r="M12" i="14" s="1"/>
  <c r="C5" i="40"/>
  <c r="C15" i="40"/>
  <c r="C16" i="40" s="1"/>
  <c r="C17" i="40" s="1"/>
  <c r="C18" i="40" s="1"/>
  <c r="C19" i="40" s="1"/>
  <c r="K36" i="25" l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O12" i="14"/>
  <c r="N12" i="14"/>
  <c r="C6" i="40"/>
  <c r="C7" i="40" s="1"/>
  <c r="C8" i="40" s="1"/>
  <c r="C9" i="40" s="1"/>
  <c r="C10" i="40" s="1"/>
  <c r="C11" i="40" s="1"/>
  <c r="C12" i="40" s="1"/>
  <c r="C13" i="40" s="1"/>
  <c r="C20" i="40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G8" i="14" l="1"/>
  <c r="K8" i="14" s="1"/>
  <c r="L8" i="14" s="1"/>
  <c r="M8" i="14" s="1"/>
  <c r="F38" i="12" s="1"/>
  <c r="C50" i="40"/>
  <c r="C51" i="40" s="1"/>
  <c r="C52" i="40" l="1"/>
  <c r="C53" i="40" s="1"/>
  <c r="C54" i="40" s="1"/>
  <c r="C55" i="40" s="1"/>
  <c r="C56" i="40" s="1"/>
  <c r="C57" i="40" s="1"/>
  <c r="C58" i="40" s="1"/>
  <c r="C59" i="40" s="1"/>
  <c r="C60" i="40" s="1"/>
  <c r="C61" i="40" s="1"/>
  <c r="C62" i="40" l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AO20" i="24"/>
  <c r="AO21" i="24"/>
  <c r="AO19" i="24"/>
  <c r="C82" i="40" l="1"/>
  <c r="AN18" i="24"/>
  <c r="AV18" i="24"/>
  <c r="AN16" i="24"/>
  <c r="AV16" i="24"/>
  <c r="AW25" i="24" s="1"/>
  <c r="V23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C83" i="40" l="1"/>
  <c r="C84" i="40" l="1"/>
  <c r="J6" i="35"/>
  <c r="J6" i="34"/>
  <c r="C85" i="40" l="1"/>
  <c r="E6" i="11"/>
  <c r="E9" i="11" s="1"/>
  <c r="C86" i="40" l="1"/>
  <c r="P7" i="31"/>
  <c r="L7" i="31"/>
  <c r="N7" i="31"/>
  <c r="E6" i="31"/>
  <c r="G33" i="28"/>
  <c r="N33" i="28" s="1"/>
  <c r="G32" i="28"/>
  <c r="N32" i="28" s="1"/>
  <c r="G31" i="28"/>
  <c r="N31" i="28" s="1"/>
  <c r="G30" i="28"/>
  <c r="N30" i="28" s="1"/>
  <c r="G29" i="28"/>
  <c r="N29" i="28" s="1"/>
  <c r="G28" i="28"/>
  <c r="N28" i="28" s="1"/>
  <c r="G27" i="28"/>
  <c r="N27" i="28" s="1"/>
  <c r="G26" i="28"/>
  <c r="N26" i="28" s="1"/>
  <c r="G25" i="28"/>
  <c r="N25" i="28" s="1"/>
  <c r="G24" i="28"/>
  <c r="N24" i="28" s="1"/>
  <c r="G23" i="28"/>
  <c r="N23" i="28" s="1"/>
  <c r="G22" i="28"/>
  <c r="N22" i="28" s="1"/>
  <c r="G21" i="28"/>
  <c r="N21" i="28" s="1"/>
  <c r="G20" i="28"/>
  <c r="N20" i="28" s="1"/>
  <c r="G19" i="28"/>
  <c r="N19" i="28" s="1"/>
  <c r="G18" i="28"/>
  <c r="N18" i="28" s="1"/>
  <c r="G17" i="28"/>
  <c r="N17" i="28" s="1"/>
  <c r="G16" i="28"/>
  <c r="N16" i="28" s="1"/>
  <c r="G15" i="28"/>
  <c r="N15" i="28" s="1"/>
  <c r="G14" i="28"/>
  <c r="N14" i="28" s="1"/>
  <c r="G13" i="28"/>
  <c r="N13" i="28" s="1"/>
  <c r="G12" i="28"/>
  <c r="N12" i="28" s="1"/>
  <c r="G11" i="28"/>
  <c r="N11" i="28" s="1"/>
  <c r="G10" i="28"/>
  <c r="N10" i="28" s="1"/>
  <c r="G9" i="28"/>
  <c r="N9" i="28" s="1"/>
  <c r="G8" i="28"/>
  <c r="N8" i="28" s="1"/>
  <c r="N7" i="28"/>
  <c r="E6" i="28"/>
  <c r="C8" i="30"/>
  <c r="C9" i="30" s="1"/>
  <c r="C11" i="30" s="1"/>
  <c r="G7" i="30" s="1"/>
  <c r="I6" i="30"/>
  <c r="E6" i="30"/>
  <c r="P10" i="10"/>
  <c r="I10" i="10"/>
  <c r="G10" i="10"/>
  <c r="N10" i="10" s="1"/>
  <c r="G9" i="10"/>
  <c r="N9" i="10" s="1"/>
  <c r="G8" i="10"/>
  <c r="N8" i="10" s="1"/>
  <c r="N7" i="10"/>
  <c r="E6" i="10"/>
  <c r="X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E6" i="9"/>
  <c r="S6" i="9" s="1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C9" i="35"/>
  <c r="C11" i="35" s="1"/>
  <c r="F7" i="35"/>
  <c r="E6" i="35"/>
  <c r="L21" i="35" s="1"/>
  <c r="F17" i="34"/>
  <c r="F16" i="34"/>
  <c r="F15" i="34"/>
  <c r="F14" i="34"/>
  <c r="F13" i="34"/>
  <c r="F12" i="34"/>
  <c r="F11" i="34"/>
  <c r="F10" i="34"/>
  <c r="F9" i="34"/>
  <c r="F8" i="34"/>
  <c r="C9" i="34"/>
  <c r="C11" i="34" s="1"/>
  <c r="F7" i="34"/>
  <c r="E6" i="34"/>
  <c r="X12" i="23"/>
  <c r="AD12" i="23" s="1"/>
  <c r="W12" i="23"/>
  <c r="AC12" i="23" s="1"/>
  <c r="K12" i="23"/>
  <c r="Q12" i="23" s="1"/>
  <c r="X11" i="23"/>
  <c r="AD11" i="23" s="1"/>
  <c r="W11" i="23"/>
  <c r="AC11" i="23" s="1"/>
  <c r="K11" i="23"/>
  <c r="Q11" i="23" s="1"/>
  <c r="X10" i="23"/>
  <c r="AD10" i="23" s="1"/>
  <c r="W10" i="23"/>
  <c r="AC10" i="23" s="1"/>
  <c r="K10" i="23"/>
  <c r="K26" i="23" s="1"/>
  <c r="X9" i="23"/>
  <c r="AD9" i="23" s="1"/>
  <c r="W9" i="23"/>
  <c r="AC9" i="23" s="1"/>
  <c r="K9" i="23"/>
  <c r="K25" i="23" s="1"/>
  <c r="X8" i="23"/>
  <c r="AD8" i="23" s="1"/>
  <c r="W8" i="23"/>
  <c r="AC8" i="23" s="1"/>
  <c r="K8" i="23"/>
  <c r="Q8" i="23" s="1"/>
  <c r="X7" i="23"/>
  <c r="AD7" i="23" s="1"/>
  <c r="W7" i="23"/>
  <c r="AC7" i="23" s="1"/>
  <c r="K7" i="23"/>
  <c r="Q7" i="23" s="1"/>
  <c r="K22" i="23"/>
  <c r="C8" i="23"/>
  <c r="C9" i="23" s="1"/>
  <c r="C11" i="23" s="1"/>
  <c r="X6" i="23"/>
  <c r="AD6" i="23" s="1"/>
  <c r="E6" i="23"/>
  <c r="M20" i="17"/>
  <c r="N20" i="17" s="1"/>
  <c r="O20" i="17" s="1"/>
  <c r="X10" i="17"/>
  <c r="AD10" i="17" s="1"/>
  <c r="W10" i="17"/>
  <c r="AC10" i="17" s="1"/>
  <c r="K10" i="17"/>
  <c r="K25" i="17" s="1"/>
  <c r="X9" i="17"/>
  <c r="AD9" i="17" s="1"/>
  <c r="W9" i="17"/>
  <c r="AC9" i="17" s="1"/>
  <c r="K9" i="17"/>
  <c r="K24" i="17" s="1"/>
  <c r="X8" i="17"/>
  <c r="AD8" i="17" s="1"/>
  <c r="W8" i="17"/>
  <c r="AC8" i="17" s="1"/>
  <c r="K8" i="17"/>
  <c r="Q8" i="17" s="1"/>
  <c r="X7" i="17"/>
  <c r="AD7" i="17" s="1"/>
  <c r="W7" i="17"/>
  <c r="AC7" i="17" s="1"/>
  <c r="K7" i="17"/>
  <c r="K22" i="17" s="1"/>
  <c r="C8" i="17"/>
  <c r="C9" i="17" s="1"/>
  <c r="C11" i="17" s="1"/>
  <c r="K20" i="17"/>
  <c r="X6" i="17"/>
  <c r="AD6" i="17" s="1"/>
  <c r="W6" i="17"/>
  <c r="AC6" i="17" s="1"/>
  <c r="X10" i="20"/>
  <c r="AD10" i="20" s="1"/>
  <c r="W10" i="20"/>
  <c r="AC10" i="20" s="1"/>
  <c r="L10" i="20"/>
  <c r="R10" i="20" s="1"/>
  <c r="K10" i="20"/>
  <c r="Q10" i="20" s="1"/>
  <c r="X9" i="20"/>
  <c r="AD9" i="20" s="1"/>
  <c r="W9" i="20"/>
  <c r="AC9" i="20" s="1"/>
  <c r="L9" i="20"/>
  <c r="R9" i="20" s="1"/>
  <c r="K9" i="20"/>
  <c r="K20" i="20" s="1"/>
  <c r="X8" i="20"/>
  <c r="AD8" i="20" s="1"/>
  <c r="W8" i="20"/>
  <c r="AC8" i="20" s="1"/>
  <c r="L8" i="20"/>
  <c r="R8" i="20" s="1"/>
  <c r="K8" i="20"/>
  <c r="K19" i="20" s="1"/>
  <c r="X7" i="20"/>
  <c r="AD7" i="20" s="1"/>
  <c r="W7" i="20"/>
  <c r="AC7" i="20" s="1"/>
  <c r="L7" i="20"/>
  <c r="R7" i="20" s="1"/>
  <c r="K7" i="20"/>
  <c r="K18" i="20" s="1"/>
  <c r="C8" i="20"/>
  <c r="C9" i="20" s="1"/>
  <c r="C11" i="20" s="1"/>
  <c r="G7" i="20" s="1"/>
  <c r="X6" i="20"/>
  <c r="AD6" i="20" s="1"/>
  <c r="L6" i="20"/>
  <c r="R6" i="20" s="1"/>
  <c r="E6" i="20"/>
  <c r="N18" i="26"/>
  <c r="O18" i="26" s="1"/>
  <c r="P18" i="26" s="1"/>
  <c r="Y9" i="26"/>
  <c r="AE9" i="26" s="1"/>
  <c r="X9" i="26"/>
  <c r="AD9" i="26" s="1"/>
  <c r="L9" i="26"/>
  <c r="R9" i="26" s="1"/>
  <c r="Y8" i="26"/>
  <c r="AE8" i="26" s="1"/>
  <c r="X8" i="26"/>
  <c r="AD8" i="26" s="1"/>
  <c r="L8" i="26"/>
  <c r="L21" i="26" s="1"/>
  <c r="Y7" i="26"/>
  <c r="AE7" i="26" s="1"/>
  <c r="X7" i="26"/>
  <c r="AD7" i="26" s="1"/>
  <c r="L7" i="26"/>
  <c r="L20" i="26" s="1"/>
  <c r="L19" i="26"/>
  <c r="C8" i="26"/>
  <c r="C9" i="26" s="1"/>
  <c r="C11" i="26" s="1"/>
  <c r="Y6" i="26"/>
  <c r="AE6" i="26" s="1"/>
  <c r="C6" i="26"/>
  <c r="X8" i="13"/>
  <c r="AD8" i="13" s="1"/>
  <c r="W8" i="13"/>
  <c r="AC8" i="13" s="1"/>
  <c r="K8" i="13"/>
  <c r="Q8" i="13" s="1"/>
  <c r="X7" i="13"/>
  <c r="AD7" i="13" s="1"/>
  <c r="W7" i="13"/>
  <c r="AC7" i="13" s="1"/>
  <c r="K7" i="13"/>
  <c r="K18" i="13" s="1"/>
  <c r="C8" i="13"/>
  <c r="C9" i="13" s="1"/>
  <c r="C11" i="13" s="1"/>
  <c r="X6" i="13"/>
  <c r="AD6" i="13" s="1"/>
  <c r="Q6" i="13"/>
  <c r="I10" i="11"/>
  <c r="F70" i="12" s="1"/>
  <c r="AA75" i="12" s="1"/>
  <c r="X7" i="11"/>
  <c r="AD7" i="11" s="1"/>
  <c r="W7" i="11"/>
  <c r="AC7" i="11" s="1"/>
  <c r="R7" i="11"/>
  <c r="C8" i="11"/>
  <c r="C9" i="11" s="1"/>
  <c r="C11" i="11" s="1"/>
  <c r="X6" i="11"/>
  <c r="AD6" i="11" s="1"/>
  <c r="W6" i="11"/>
  <c r="AC6" i="11" s="1"/>
  <c r="R6" i="11"/>
  <c r="K6" i="11"/>
  <c r="Q6" i="11" s="1"/>
  <c r="O6" i="11"/>
  <c r="W7" i="4"/>
  <c r="R7" i="4"/>
  <c r="K7" i="4"/>
  <c r="Q7" i="4" s="1"/>
  <c r="C8" i="4"/>
  <c r="C9" i="4" s="1"/>
  <c r="C11" i="4" s="1"/>
  <c r="G7" i="4" s="1"/>
  <c r="R6" i="4"/>
  <c r="E6" i="4"/>
  <c r="E9" i="4" s="1"/>
  <c r="Q11" i="16"/>
  <c r="G11" i="16"/>
  <c r="G10" i="16"/>
  <c r="G9" i="16"/>
  <c r="G8" i="16"/>
  <c r="N6" i="16"/>
  <c r="E6" i="16"/>
  <c r="M6" i="16" s="1"/>
  <c r="M7" i="15"/>
  <c r="L7" i="15"/>
  <c r="N7" i="15"/>
  <c r="N6" i="15"/>
  <c r="M6" i="15"/>
  <c r="E6" i="15"/>
  <c r="E8" i="15" s="1"/>
  <c r="S17" i="22"/>
  <c r="U17" i="22" s="1"/>
  <c r="N17" i="22"/>
  <c r="K17" i="22"/>
  <c r="G17" i="22"/>
  <c r="I17" i="22" s="1"/>
  <c r="S16" i="22"/>
  <c r="U16" i="22" s="1"/>
  <c r="K16" i="22"/>
  <c r="G16" i="22"/>
  <c r="M16" i="22" s="1"/>
  <c r="O16" i="22" s="1"/>
  <c r="S15" i="22"/>
  <c r="U15" i="22" s="1"/>
  <c r="K15" i="22"/>
  <c r="G15" i="22"/>
  <c r="M15" i="22" s="1"/>
  <c r="O15" i="22" s="1"/>
  <c r="S14" i="22"/>
  <c r="U14" i="22" s="1"/>
  <c r="K14" i="22"/>
  <c r="G14" i="22"/>
  <c r="S13" i="22"/>
  <c r="U13" i="22" s="1"/>
  <c r="K13" i="22"/>
  <c r="G13" i="22"/>
  <c r="I13" i="22" s="1"/>
  <c r="S12" i="22"/>
  <c r="U12" i="22" s="1"/>
  <c r="R12" i="22"/>
  <c r="R13" i="22" s="1"/>
  <c r="R14" i="22" s="1"/>
  <c r="R15" i="22" s="1"/>
  <c r="R16" i="22" s="1"/>
  <c r="R17" i="22" s="1"/>
  <c r="K12" i="22"/>
  <c r="G12" i="22"/>
  <c r="F12" i="22"/>
  <c r="L12" i="22" s="1"/>
  <c r="S11" i="22"/>
  <c r="U11" i="22" s="1"/>
  <c r="L11" i="22"/>
  <c r="K11" i="22"/>
  <c r="G11" i="22"/>
  <c r="M11" i="22" s="1"/>
  <c r="O11" i="22" s="1"/>
  <c r="S10" i="22"/>
  <c r="U10" i="22" s="1"/>
  <c r="L10" i="22"/>
  <c r="K10" i="22"/>
  <c r="G10" i="22"/>
  <c r="M10" i="22" s="1"/>
  <c r="O10" i="22" s="1"/>
  <c r="S9" i="22"/>
  <c r="U9" i="22" s="1"/>
  <c r="L9" i="22"/>
  <c r="K9" i="22"/>
  <c r="G9" i="22"/>
  <c r="M9" i="22" s="1"/>
  <c r="O9" i="22" s="1"/>
  <c r="S8" i="22"/>
  <c r="U8" i="22" s="1"/>
  <c r="L8" i="22"/>
  <c r="K8" i="22"/>
  <c r="G8" i="22"/>
  <c r="M8" i="22" s="1"/>
  <c r="O8" i="22" s="1"/>
  <c r="S7" i="22"/>
  <c r="U7" i="22" s="1"/>
  <c r="L7" i="22"/>
  <c r="K7" i="22"/>
  <c r="G7" i="22"/>
  <c r="M7" i="22" s="1"/>
  <c r="O7" i="22" s="1"/>
  <c r="L6" i="22"/>
  <c r="E6" i="22"/>
  <c r="N11" i="21"/>
  <c r="L11" i="21"/>
  <c r="K11" i="21"/>
  <c r="G11" i="21"/>
  <c r="I11" i="21" s="1"/>
  <c r="L10" i="21"/>
  <c r="K10" i="21"/>
  <c r="G10" i="21"/>
  <c r="L9" i="21"/>
  <c r="K9" i="21"/>
  <c r="G9" i="21"/>
  <c r="I9" i="21" s="1"/>
  <c r="L8" i="21"/>
  <c r="K8" i="21"/>
  <c r="G8" i="21"/>
  <c r="I8" i="21" s="1"/>
  <c r="L7" i="21"/>
  <c r="K7" i="21"/>
  <c r="G7" i="21"/>
  <c r="I7" i="21" s="1"/>
  <c r="L6" i="21"/>
  <c r="E6" i="21"/>
  <c r="K6" i="21" s="1"/>
  <c r="H7" i="5"/>
  <c r="E6" i="5"/>
  <c r="M9" i="32"/>
  <c r="L9" i="32"/>
  <c r="G9" i="32"/>
  <c r="N9" i="32" s="1"/>
  <c r="M8" i="32"/>
  <c r="L8" i="32"/>
  <c r="G8" i="32"/>
  <c r="N8" i="32" s="1"/>
  <c r="M7" i="32"/>
  <c r="L7" i="32"/>
  <c r="N7" i="32"/>
  <c r="N6" i="32"/>
  <c r="M6" i="32"/>
  <c r="E6" i="32"/>
  <c r="AN17" i="24"/>
  <c r="AN10" i="24"/>
  <c r="AA72" i="12"/>
  <c r="F22" i="12"/>
  <c r="G76" i="12" s="1"/>
  <c r="F20" i="12"/>
  <c r="G74" i="12" s="1"/>
  <c r="Y82" i="12"/>
  <c r="F19" i="12"/>
  <c r="Y83" i="12"/>
  <c r="F18" i="12"/>
  <c r="G73" i="12" s="1"/>
  <c r="Y81" i="12"/>
  <c r="D97" i="12"/>
  <c r="H97" i="12"/>
  <c r="F17" i="12"/>
  <c r="Y80" i="12"/>
  <c r="D96" i="12"/>
  <c r="H96" i="12"/>
  <c r="F16" i="12"/>
  <c r="G72" i="12" s="1"/>
  <c r="D95" i="12"/>
  <c r="H95" i="12"/>
  <c r="F15" i="12"/>
  <c r="G71" i="12" s="1"/>
  <c r="Y79" i="12"/>
  <c r="F14" i="12"/>
  <c r="Y76" i="12"/>
  <c r="F11" i="12"/>
  <c r="G70" i="12" s="1"/>
  <c r="Y75" i="12"/>
  <c r="F10" i="12"/>
  <c r="Y74" i="12"/>
  <c r="F13" i="12"/>
  <c r="Y72" i="12"/>
  <c r="Y73" i="12"/>
  <c r="T14" i="33"/>
  <c r="P14" i="33"/>
  <c r="R14" i="33"/>
  <c r="T13" i="33"/>
  <c r="P13" i="33"/>
  <c r="R13" i="33"/>
  <c r="T12" i="33"/>
  <c r="P12" i="33"/>
  <c r="R12" i="33"/>
  <c r="T11" i="33"/>
  <c r="P11" i="33"/>
  <c r="R11" i="33"/>
  <c r="T10" i="33"/>
  <c r="P10" i="33"/>
  <c r="R10" i="33"/>
  <c r="T9" i="33"/>
  <c r="P9" i="33"/>
  <c r="R9" i="33"/>
  <c r="T8" i="33"/>
  <c r="P8" i="33"/>
  <c r="R8" i="33"/>
  <c r="T7" i="33"/>
  <c r="P7" i="33"/>
  <c r="R7" i="33"/>
  <c r="C7" i="33"/>
  <c r="Q6" i="33"/>
  <c r="E6" i="33"/>
  <c r="I10" i="37"/>
  <c r="G10" i="37"/>
  <c r="I9" i="37"/>
  <c r="G9" i="37"/>
  <c r="I8" i="37"/>
  <c r="G8" i="37"/>
  <c r="I7" i="37"/>
  <c r="C7" i="37"/>
  <c r="E6" i="37"/>
  <c r="L10" i="37" l="1"/>
  <c r="P10" i="37" s="1"/>
  <c r="E22" i="37"/>
  <c r="H9" i="33"/>
  <c r="H10" i="33"/>
  <c r="H11" i="33"/>
  <c r="H12" i="33"/>
  <c r="H14" i="33"/>
  <c r="H8" i="33"/>
  <c r="H13" i="33"/>
  <c r="H7" i="33"/>
  <c r="L8" i="37"/>
  <c r="P8" i="37" s="1"/>
  <c r="L7" i="37"/>
  <c r="P7" i="37" s="1"/>
  <c r="L9" i="37"/>
  <c r="P9" i="37" s="1"/>
  <c r="J21" i="15"/>
  <c r="H56" i="12" s="1"/>
  <c r="G56" i="12" s="1"/>
  <c r="E56" i="12"/>
  <c r="L6" i="10"/>
  <c r="J12" i="10"/>
  <c r="E40" i="12"/>
  <c r="J40" i="12" s="1"/>
  <c r="I11" i="14"/>
  <c r="L14" i="34"/>
  <c r="G77" i="12"/>
  <c r="I7" i="14"/>
  <c r="O7" i="14" s="1"/>
  <c r="I37" i="12" s="1"/>
  <c r="I9" i="14"/>
  <c r="E39" i="12" s="1"/>
  <c r="J39" i="12" s="1"/>
  <c r="I8" i="14"/>
  <c r="C87" i="40"/>
  <c r="Q6" i="5"/>
  <c r="Q8" i="5" s="1"/>
  <c r="U10" i="5" s="1"/>
  <c r="H57" i="12" s="1"/>
  <c r="G57" i="12" s="1"/>
  <c r="E8" i="5"/>
  <c r="E57" i="12" s="1"/>
  <c r="K6" i="5"/>
  <c r="H13" i="5" s="1"/>
  <c r="I13" i="5" s="1"/>
  <c r="AV19" i="24"/>
  <c r="AN21" i="24"/>
  <c r="AV21" i="24"/>
  <c r="AN20" i="24"/>
  <c r="AV20" i="24"/>
  <c r="AN13" i="24"/>
  <c r="AV13" i="24"/>
  <c r="AN12" i="24"/>
  <c r="AV12" i="24"/>
  <c r="AN15" i="24"/>
  <c r="AV15" i="24"/>
  <c r="K6" i="20"/>
  <c r="Q6" i="20" s="1"/>
  <c r="I13" i="20"/>
  <c r="K6" i="4"/>
  <c r="Q6" i="4" s="1"/>
  <c r="I11" i="13"/>
  <c r="F71" i="12" s="1"/>
  <c r="AH11" i="12" s="1"/>
  <c r="AK11" i="12" s="1"/>
  <c r="AK13" i="12" s="1"/>
  <c r="E12" i="13"/>
  <c r="W6" i="23"/>
  <c r="AC6" i="23" s="1"/>
  <c r="O11" i="16"/>
  <c r="O10" i="16"/>
  <c r="O7" i="16"/>
  <c r="O8" i="16"/>
  <c r="O9" i="16"/>
  <c r="P6" i="33"/>
  <c r="L7" i="33"/>
  <c r="L12" i="33"/>
  <c r="L9" i="33"/>
  <c r="L14" i="33"/>
  <c r="L11" i="33"/>
  <c r="L8" i="33"/>
  <c r="L13" i="33"/>
  <c r="L10" i="33"/>
  <c r="H8" i="34"/>
  <c r="J8" i="34" s="1"/>
  <c r="L6" i="31"/>
  <c r="L6" i="28"/>
  <c r="F27" i="12"/>
  <c r="F28" i="12"/>
  <c r="R7" i="26"/>
  <c r="K6" i="22"/>
  <c r="F12" i="12"/>
  <c r="G69" i="12" s="1"/>
  <c r="I7" i="5"/>
  <c r="M8" i="21"/>
  <c r="O8" i="21" s="1"/>
  <c r="I10" i="4"/>
  <c r="B45" i="25"/>
  <c r="B43" i="25"/>
  <c r="W6" i="4"/>
  <c r="K23" i="23"/>
  <c r="K21" i="20"/>
  <c r="Q9" i="23"/>
  <c r="I15" i="22"/>
  <c r="M17" i="22"/>
  <c r="O17" i="22" s="1"/>
  <c r="M13" i="22"/>
  <c r="O13" i="22" s="1"/>
  <c r="M7" i="21"/>
  <c r="O7" i="21" s="1"/>
  <c r="Q10" i="23"/>
  <c r="K27" i="23"/>
  <c r="Q7" i="17"/>
  <c r="Q9" i="17"/>
  <c r="L6" i="15"/>
  <c r="K21" i="17"/>
  <c r="F8" i="37"/>
  <c r="H8" i="37" s="1"/>
  <c r="J8" i="37" s="1"/>
  <c r="G24" i="37" s="1"/>
  <c r="R8" i="26"/>
  <c r="Q10" i="17"/>
  <c r="L22" i="26"/>
  <c r="K19" i="13"/>
  <c r="L17" i="34"/>
  <c r="L16" i="35"/>
  <c r="L20" i="35"/>
  <c r="L11" i="34"/>
  <c r="L16" i="34"/>
  <c r="L7" i="35"/>
  <c r="L13" i="34"/>
  <c r="L8" i="34"/>
  <c r="X6" i="26"/>
  <c r="AD6" i="26" s="1"/>
  <c r="L6" i="26"/>
  <c r="M9" i="21"/>
  <c r="O9" i="21" s="1"/>
  <c r="M11" i="21"/>
  <c r="O11" i="21" s="1"/>
  <c r="M12" i="22"/>
  <c r="O12" i="22" s="1"/>
  <c r="I12" i="22"/>
  <c r="L18" i="26"/>
  <c r="H12" i="34"/>
  <c r="J12" i="34" s="1"/>
  <c r="G6" i="34"/>
  <c r="H9" i="34"/>
  <c r="J9" i="34" s="1"/>
  <c r="H7" i="34"/>
  <c r="J7" i="34" s="1"/>
  <c r="H11" i="34"/>
  <c r="J11" i="34" s="1"/>
  <c r="L6" i="32"/>
  <c r="M10" i="21"/>
  <c r="O10" i="21" s="1"/>
  <c r="I10" i="21"/>
  <c r="M14" i="22"/>
  <c r="O14" i="22" s="1"/>
  <c r="I14" i="22"/>
  <c r="H13" i="34"/>
  <c r="K6" i="23"/>
  <c r="Q6" i="23" s="1"/>
  <c r="H10" i="34"/>
  <c r="J10" i="34" s="1"/>
  <c r="K24" i="23"/>
  <c r="Q7" i="20"/>
  <c r="K23" i="17"/>
  <c r="K28" i="23"/>
  <c r="I16" i="22"/>
  <c r="Q8" i="20"/>
  <c r="Q9" i="20"/>
  <c r="L10" i="35"/>
  <c r="L12" i="35"/>
  <c r="W6" i="20"/>
  <c r="AC6" i="20" s="1"/>
  <c r="K6" i="13"/>
  <c r="L9" i="35"/>
  <c r="L15" i="35"/>
  <c r="L19" i="35"/>
  <c r="W6" i="13"/>
  <c r="AC6" i="13" s="1"/>
  <c r="L10" i="34"/>
  <c r="L12" i="34"/>
  <c r="L11" i="35"/>
  <c r="K6" i="17"/>
  <c r="Q6" i="17" s="1"/>
  <c r="L15" i="34"/>
  <c r="L14" i="35"/>
  <c r="L18" i="35"/>
  <c r="L6" i="9"/>
  <c r="L7" i="34"/>
  <c r="L9" i="34"/>
  <c r="L8" i="35"/>
  <c r="L13" i="35"/>
  <c r="L17" i="35"/>
  <c r="C9" i="31"/>
  <c r="C9" i="32"/>
  <c r="H14" i="30"/>
  <c r="H7" i="11"/>
  <c r="Z7" i="11" s="1"/>
  <c r="AF7" i="11" s="1"/>
  <c r="G7" i="11"/>
  <c r="H8" i="13"/>
  <c r="Z8" i="13" s="1"/>
  <c r="AF8" i="13" s="1"/>
  <c r="G8" i="13"/>
  <c r="G7" i="13"/>
  <c r="H7" i="4"/>
  <c r="H10" i="20"/>
  <c r="Z10" i="20" s="1"/>
  <c r="AF10" i="20" s="1"/>
  <c r="G9" i="17"/>
  <c r="G7" i="17"/>
  <c r="H10" i="17"/>
  <c r="Z10" i="17" s="1"/>
  <c r="AF10" i="17" s="1"/>
  <c r="G10" i="17"/>
  <c r="G8" i="17"/>
  <c r="G7" i="26"/>
  <c r="G8" i="26"/>
  <c r="H9" i="26"/>
  <c r="AA9" i="26" s="1"/>
  <c r="AG9" i="26" s="1"/>
  <c r="G9" i="26"/>
  <c r="G8" i="23"/>
  <c r="G11" i="23"/>
  <c r="G9" i="23"/>
  <c r="G7" i="23"/>
  <c r="G12" i="23"/>
  <c r="G10" i="23"/>
  <c r="H12" i="23"/>
  <c r="Z12" i="23" s="1"/>
  <c r="AF12" i="23" s="1"/>
  <c r="U20" i="22"/>
  <c r="U21" i="22" s="1"/>
  <c r="I7" i="22"/>
  <c r="I8" i="22"/>
  <c r="I9" i="22"/>
  <c r="I10" i="22"/>
  <c r="I11" i="22"/>
  <c r="F13" i="22"/>
  <c r="O6" i="20"/>
  <c r="P6" i="26"/>
  <c r="O6" i="13"/>
  <c r="O6" i="4"/>
  <c r="AN19" i="24"/>
  <c r="O6" i="23"/>
  <c r="O6" i="17"/>
  <c r="I9" i="5"/>
  <c r="I57" i="12" s="1"/>
  <c r="Q8" i="37" l="1"/>
  <c r="E38" i="12"/>
  <c r="J38" i="12" s="1"/>
  <c r="O8" i="14"/>
  <c r="I38" i="12" s="1"/>
  <c r="G38" i="12" s="1"/>
  <c r="N8" i="14"/>
  <c r="H38" i="12" s="1"/>
  <c r="H14" i="5"/>
  <c r="I14" i="5" s="1"/>
  <c r="J9" i="12" s="1"/>
  <c r="F26" i="37"/>
  <c r="I26" i="37" s="1"/>
  <c r="F25" i="37"/>
  <c r="I25" i="37" s="1"/>
  <c r="F24" i="37"/>
  <c r="I24" i="37" s="1"/>
  <c r="J24" i="37" s="1"/>
  <c r="F23" i="37"/>
  <c r="I23" i="37" s="1"/>
  <c r="E41" i="12"/>
  <c r="J41" i="12" s="1"/>
  <c r="I10" i="5"/>
  <c r="J57" i="12" s="1"/>
  <c r="BB12" i="24"/>
  <c r="AA79" i="12"/>
  <c r="G7" i="34"/>
  <c r="G8" i="34" s="1"/>
  <c r="G9" i="34" s="1"/>
  <c r="G10" i="34" s="1"/>
  <c r="G11" i="34" s="1"/>
  <c r="G12" i="34" s="1"/>
  <c r="G13" i="34" s="1"/>
  <c r="U11" i="5"/>
  <c r="U12" i="5"/>
  <c r="N7" i="14"/>
  <c r="H37" i="12" s="1"/>
  <c r="G37" i="12" s="1"/>
  <c r="C88" i="40"/>
  <c r="H12" i="5"/>
  <c r="I12" i="5" s="1"/>
  <c r="AN7" i="24"/>
  <c r="AV7" i="24"/>
  <c r="AN8" i="24"/>
  <c r="AV8" i="24"/>
  <c r="AN9" i="24"/>
  <c r="AV9" i="24"/>
  <c r="R6" i="26"/>
  <c r="I14" i="34"/>
  <c r="I15" i="34"/>
  <c r="I16" i="34"/>
  <c r="I17" i="34"/>
  <c r="I13" i="34"/>
  <c r="F69" i="12"/>
  <c r="AA76" i="12" s="1"/>
  <c r="G88" i="12"/>
  <c r="I9" i="12"/>
  <c r="H9" i="12"/>
  <c r="I20" i="22"/>
  <c r="I13" i="21"/>
  <c r="F9" i="37"/>
  <c r="H7" i="37"/>
  <c r="J7" i="37" s="1"/>
  <c r="H24" i="22"/>
  <c r="I24" i="22" s="1"/>
  <c r="H26" i="22"/>
  <c r="I26" i="22" s="1"/>
  <c r="H25" i="22"/>
  <c r="I25" i="22" s="1"/>
  <c r="H16" i="21"/>
  <c r="I16" i="21" s="1"/>
  <c r="H17" i="21"/>
  <c r="I17" i="21" s="1"/>
  <c r="H18" i="21"/>
  <c r="I18" i="21" s="1"/>
  <c r="Y8" i="23"/>
  <c r="AE8" i="23" s="1"/>
  <c r="I8" i="23"/>
  <c r="AA8" i="23" s="1"/>
  <c r="AG8" i="23" s="1"/>
  <c r="Y8" i="13"/>
  <c r="AE8" i="13" s="1"/>
  <c r="I8" i="13"/>
  <c r="AA8" i="13" s="1"/>
  <c r="AG8" i="13" s="1"/>
  <c r="Y10" i="23"/>
  <c r="AE10" i="23" s="1"/>
  <c r="I10" i="23"/>
  <c r="AA10" i="23" s="1"/>
  <c r="AG10" i="23" s="1"/>
  <c r="Z9" i="26"/>
  <c r="AF9" i="26" s="1"/>
  <c r="I9" i="26"/>
  <c r="AB9" i="26" s="1"/>
  <c r="AH9" i="26" s="1"/>
  <c r="I8" i="17"/>
  <c r="Y8" i="17"/>
  <c r="Y12" i="23"/>
  <c r="AE12" i="23" s="1"/>
  <c r="I12" i="23"/>
  <c r="AA12" i="23" s="1"/>
  <c r="AG12" i="23" s="1"/>
  <c r="I10" i="17"/>
  <c r="Y10" i="17"/>
  <c r="I7" i="11"/>
  <c r="AA7" i="11" s="1"/>
  <c r="AG7" i="11" s="1"/>
  <c r="Y7" i="11"/>
  <c r="AE7" i="11" s="1"/>
  <c r="I7" i="23"/>
  <c r="AA7" i="23" s="1"/>
  <c r="AG7" i="23" s="1"/>
  <c r="Y7" i="23"/>
  <c r="AE7" i="23" s="1"/>
  <c r="I9" i="23"/>
  <c r="AA9" i="23" s="1"/>
  <c r="AG9" i="23" s="1"/>
  <c r="Y9" i="23"/>
  <c r="AE9" i="23" s="1"/>
  <c r="I7" i="17"/>
  <c r="Y7" i="17"/>
  <c r="I11" i="23"/>
  <c r="AA11" i="23" s="1"/>
  <c r="AG11" i="23" s="1"/>
  <c r="Y11" i="23"/>
  <c r="AE11" i="23" s="1"/>
  <c r="I8" i="26"/>
  <c r="AB8" i="26" s="1"/>
  <c r="AH8" i="26" s="1"/>
  <c r="Z8" i="26"/>
  <c r="AF8" i="26" s="1"/>
  <c r="Y9" i="17"/>
  <c r="I9" i="17"/>
  <c r="I7" i="13"/>
  <c r="AA7" i="13" s="1"/>
  <c r="AG7" i="13" s="1"/>
  <c r="Y7" i="13"/>
  <c r="AE7" i="13" s="1"/>
  <c r="Z7" i="26"/>
  <c r="AF7" i="26" s="1"/>
  <c r="I7" i="26"/>
  <c r="AB7" i="26" s="1"/>
  <c r="AH7" i="26" s="1"/>
  <c r="L13" i="22"/>
  <c r="F14" i="22"/>
  <c r="Q31" i="24" l="1"/>
  <c r="D31" i="24"/>
  <c r="H31" i="24" s="1"/>
  <c r="G23" i="37"/>
  <c r="J23" i="37" s="1"/>
  <c r="Q7" i="37"/>
  <c r="Y31" i="24"/>
  <c r="AS31" i="24"/>
  <c r="BB13" i="24"/>
  <c r="BC12" i="24"/>
  <c r="BD12" i="24" s="1"/>
  <c r="G14" i="34"/>
  <c r="H14" i="34" s="1"/>
  <c r="J14" i="34" s="1"/>
  <c r="AG31" i="24"/>
  <c r="C89" i="40"/>
  <c r="J13" i="34"/>
  <c r="J17" i="12"/>
  <c r="I17" i="12"/>
  <c r="J19" i="12"/>
  <c r="I19" i="12"/>
  <c r="I21" i="22"/>
  <c r="G19" i="12" s="1"/>
  <c r="AA83" i="12" s="1"/>
  <c r="H19" i="12"/>
  <c r="I14" i="21"/>
  <c r="G17" i="12" s="1"/>
  <c r="AA80" i="12" s="1"/>
  <c r="H17" i="12"/>
  <c r="G9" i="12"/>
  <c r="AA73" i="12" s="1"/>
  <c r="Z73" i="12"/>
  <c r="F10" i="37"/>
  <c r="H10" i="37" s="1"/>
  <c r="J10" i="37" s="1"/>
  <c r="H9" i="37"/>
  <c r="J9" i="37" s="1"/>
  <c r="Q7" i="16"/>
  <c r="I11" i="26"/>
  <c r="F72" i="12" s="1"/>
  <c r="AA78" i="12" s="1"/>
  <c r="I9" i="11"/>
  <c r="E70" i="12" s="1"/>
  <c r="I12" i="17"/>
  <c r="I14" i="23"/>
  <c r="I10" i="13"/>
  <c r="E71" i="12" s="1"/>
  <c r="AA9" i="17"/>
  <c r="AG9" i="17" s="1"/>
  <c r="AE9" i="17"/>
  <c r="I7" i="4"/>
  <c r="AA7" i="4" s="1"/>
  <c r="Y7" i="4"/>
  <c r="AE10" i="17"/>
  <c r="AA10" i="17"/>
  <c r="AG10" i="17" s="1"/>
  <c r="AE8" i="17"/>
  <c r="AA8" i="17"/>
  <c r="AG8" i="17" s="1"/>
  <c r="I7" i="20"/>
  <c r="AA7" i="20" s="1"/>
  <c r="AG7" i="20" s="1"/>
  <c r="Y7" i="20"/>
  <c r="AE7" i="20" s="1"/>
  <c r="G8" i="20"/>
  <c r="AA7" i="17"/>
  <c r="AG7" i="17" s="1"/>
  <c r="AE7" i="17"/>
  <c r="F15" i="22"/>
  <c r="L14" i="22"/>
  <c r="Q9" i="24" l="1"/>
  <c r="D9" i="24"/>
  <c r="H9" i="24" s="1"/>
  <c r="Q35" i="24"/>
  <c r="D35" i="24"/>
  <c r="H35" i="24" s="1"/>
  <c r="Q7" i="24"/>
  <c r="D7" i="24"/>
  <c r="H7" i="24" s="1"/>
  <c r="Q36" i="24"/>
  <c r="D36" i="24"/>
  <c r="H36" i="24" s="1"/>
  <c r="G25" i="37"/>
  <c r="J25" i="37" s="1"/>
  <c r="Q9" i="37"/>
  <c r="J12" i="37"/>
  <c r="H25" i="12" s="1"/>
  <c r="G26" i="37"/>
  <c r="J26" i="37" s="1"/>
  <c r="Q10" i="37"/>
  <c r="G15" i="34"/>
  <c r="G16" i="34" s="1"/>
  <c r="G17" i="34" s="1"/>
  <c r="H17" i="34" s="1"/>
  <c r="J17" i="34" s="1"/>
  <c r="Y36" i="24"/>
  <c r="AS36" i="24"/>
  <c r="AW36" i="24" s="1"/>
  <c r="Y35" i="24"/>
  <c r="AS35" i="24"/>
  <c r="AW35" i="24" s="1"/>
  <c r="Y7" i="24"/>
  <c r="AS7" i="24"/>
  <c r="AG11" i="12"/>
  <c r="AJ11" i="12" s="1"/>
  <c r="AJ13" i="12" s="1"/>
  <c r="AW31" i="24"/>
  <c r="AD92" i="12"/>
  <c r="AG35" i="24"/>
  <c r="AG36" i="24"/>
  <c r="AG9" i="24"/>
  <c r="C90" i="40"/>
  <c r="AO31" i="24"/>
  <c r="AO36" i="24"/>
  <c r="AO35" i="24"/>
  <c r="AO9" i="24"/>
  <c r="AD93" i="12"/>
  <c r="I9" i="4"/>
  <c r="E69" i="12" s="1"/>
  <c r="AO7" i="24"/>
  <c r="Z80" i="12"/>
  <c r="Z83" i="12"/>
  <c r="F8" i="33"/>
  <c r="Q7" i="33"/>
  <c r="Q8" i="16"/>
  <c r="N7" i="16"/>
  <c r="G9" i="20"/>
  <c r="I8" i="20"/>
  <c r="Y8" i="20"/>
  <c r="AE8" i="20" s="1"/>
  <c r="E74" i="12"/>
  <c r="D13" i="24" s="1"/>
  <c r="H13" i="24" s="1"/>
  <c r="I13" i="17"/>
  <c r="F74" i="12" s="1"/>
  <c r="X40" i="4"/>
  <c r="X32" i="4"/>
  <c r="Y32" i="4" s="1"/>
  <c r="X39" i="4"/>
  <c r="Y39" i="4" s="1"/>
  <c r="X31" i="4"/>
  <c r="Y31" i="4" s="1"/>
  <c r="X38" i="4"/>
  <c r="Y38" i="4" s="1"/>
  <c r="X30" i="4"/>
  <c r="Y30" i="4" s="1"/>
  <c r="X34" i="4"/>
  <c r="Y34" i="4" s="1"/>
  <c r="X37" i="4"/>
  <c r="Y37" i="4" s="1"/>
  <c r="X29" i="4"/>
  <c r="Y29" i="4" s="1"/>
  <c r="X33" i="4"/>
  <c r="Y33" i="4" s="1"/>
  <c r="X36" i="4"/>
  <c r="Y36" i="4" s="1"/>
  <c r="X28" i="4"/>
  <c r="Y28" i="4" s="1"/>
  <c r="X35" i="4"/>
  <c r="Y35" i="4" s="1"/>
  <c r="X27" i="4"/>
  <c r="Y27" i="4" s="1"/>
  <c r="D89" i="12"/>
  <c r="X29" i="11"/>
  <c r="Y29" i="11" s="1"/>
  <c r="X37" i="11"/>
  <c r="Y37" i="11" s="1"/>
  <c r="X33" i="11"/>
  <c r="Y33" i="11" s="1"/>
  <c r="X31" i="11"/>
  <c r="Y31" i="11" s="1"/>
  <c r="X35" i="11"/>
  <c r="Y35" i="11" s="1"/>
  <c r="X28" i="11"/>
  <c r="Y28" i="11" s="1"/>
  <c r="X26" i="11"/>
  <c r="Y26" i="11" s="1"/>
  <c r="X34" i="11"/>
  <c r="Y34" i="11" s="1"/>
  <c r="X39" i="11"/>
  <c r="X30" i="11"/>
  <c r="Y30" i="11" s="1"/>
  <c r="X27" i="11"/>
  <c r="Y27" i="11" s="1"/>
  <c r="X38" i="11"/>
  <c r="Y38" i="11" s="1"/>
  <c r="X36" i="11"/>
  <c r="Y36" i="11" s="1"/>
  <c r="X32" i="11"/>
  <c r="Y32" i="11" s="1"/>
  <c r="E72" i="12"/>
  <c r="I7" i="30"/>
  <c r="G8" i="30"/>
  <c r="D90" i="12"/>
  <c r="Y39" i="26"/>
  <c r="Y31" i="26"/>
  <c r="Z31" i="26" s="1"/>
  <c r="Y32" i="26"/>
  <c r="Z32" i="26" s="1"/>
  <c r="Y38" i="26"/>
  <c r="Z38" i="26" s="1"/>
  <c r="Y30" i="26"/>
  <c r="Z30" i="26" s="1"/>
  <c r="Y33" i="26"/>
  <c r="Z33" i="26" s="1"/>
  <c r="Y37" i="26"/>
  <c r="Z37" i="26" s="1"/>
  <c r="H91" i="12" s="1"/>
  <c r="Y29" i="26"/>
  <c r="Z29" i="26" s="1"/>
  <c r="Y36" i="26"/>
  <c r="Z36" i="26" s="1"/>
  <c r="Y28" i="26"/>
  <c r="Z28" i="26" s="1"/>
  <c r="Y40" i="26"/>
  <c r="Z40" i="26" s="1"/>
  <c r="Y35" i="26"/>
  <c r="Z35" i="26" s="1"/>
  <c r="Y27" i="26"/>
  <c r="Z27" i="26" s="1"/>
  <c r="Y34" i="26"/>
  <c r="Z34" i="26" s="1"/>
  <c r="Y26" i="26"/>
  <c r="Z26" i="26" s="1"/>
  <c r="I15" i="23"/>
  <c r="F76" i="12" s="1"/>
  <c r="E76" i="12"/>
  <c r="X37" i="23"/>
  <c r="Y37" i="23" s="1"/>
  <c r="X29" i="23"/>
  <c r="Y29" i="23" s="1"/>
  <c r="X38" i="23"/>
  <c r="Y38" i="23" s="1"/>
  <c r="X36" i="23"/>
  <c r="Y36" i="23" s="1"/>
  <c r="X30" i="23"/>
  <c r="Y30" i="23" s="1"/>
  <c r="X35" i="23"/>
  <c r="Y35" i="23" s="1"/>
  <c r="X28" i="23"/>
  <c r="Y28" i="23" s="1"/>
  <c r="X34" i="23"/>
  <c r="Y34" i="23" s="1"/>
  <c r="X41" i="23"/>
  <c r="Y41" i="23" s="1"/>
  <c r="X33" i="23"/>
  <c r="Y33" i="23" s="1"/>
  <c r="X27" i="23"/>
  <c r="Y27" i="23" s="1"/>
  <c r="X40" i="23"/>
  <c r="Y40" i="23" s="1"/>
  <c r="X32" i="23"/>
  <c r="Y32" i="23" s="1"/>
  <c r="X39" i="23"/>
  <c r="X31" i="23"/>
  <c r="Y31" i="23" s="1"/>
  <c r="X26" i="23"/>
  <c r="Y26" i="23" s="1"/>
  <c r="X40" i="13"/>
  <c r="Y40" i="13" s="1"/>
  <c r="X33" i="13"/>
  <c r="Y33" i="13" s="1"/>
  <c r="X39" i="13"/>
  <c r="X32" i="13"/>
  <c r="Y32" i="13" s="1"/>
  <c r="X38" i="13"/>
  <c r="Y38" i="13" s="1"/>
  <c r="X31" i="13"/>
  <c r="Y31" i="13" s="1"/>
  <c r="X26" i="13"/>
  <c r="Y26" i="13" s="1"/>
  <c r="X37" i="13"/>
  <c r="Y37" i="13" s="1"/>
  <c r="X30" i="13"/>
  <c r="Y30" i="13" s="1"/>
  <c r="X27" i="13"/>
  <c r="Y27" i="13" s="1"/>
  <c r="X36" i="13"/>
  <c r="Y36" i="13" s="1"/>
  <c r="X29" i="13"/>
  <c r="Y29" i="13" s="1"/>
  <c r="X35" i="13"/>
  <c r="Y35" i="13" s="1"/>
  <c r="X28" i="13"/>
  <c r="Y28" i="13" s="1"/>
  <c r="X34" i="13"/>
  <c r="Y34" i="13" s="1"/>
  <c r="X36" i="17"/>
  <c r="Y36" i="17" s="1"/>
  <c r="X28" i="17"/>
  <c r="Y28" i="17" s="1"/>
  <c r="X35" i="17"/>
  <c r="Y35" i="17" s="1"/>
  <c r="X27" i="17"/>
  <c r="Y27" i="17" s="1"/>
  <c r="X34" i="17"/>
  <c r="Y34" i="17" s="1"/>
  <c r="X26" i="17"/>
  <c r="Y26" i="17" s="1"/>
  <c r="X29" i="17"/>
  <c r="Y29" i="17" s="1"/>
  <c r="X33" i="17"/>
  <c r="Y33" i="17" s="1"/>
  <c r="X38" i="17"/>
  <c r="X37" i="17"/>
  <c r="Y37" i="17" s="1"/>
  <c r="X40" i="17"/>
  <c r="Y40" i="17" s="1"/>
  <c r="X32" i="17"/>
  <c r="Y32" i="17" s="1"/>
  <c r="X39" i="17"/>
  <c r="Y39" i="17" s="1"/>
  <c r="X31" i="17"/>
  <c r="Y31" i="17" s="1"/>
  <c r="X30" i="17"/>
  <c r="Y30" i="17" s="1"/>
  <c r="L15" i="22"/>
  <c r="F16" i="22"/>
  <c r="Q15" i="24" l="1"/>
  <c r="D15" i="24"/>
  <c r="H15" i="24" s="1"/>
  <c r="Q11" i="24"/>
  <c r="D11" i="24"/>
  <c r="H11" i="24" s="1"/>
  <c r="Q8" i="24"/>
  <c r="D8" i="24"/>
  <c r="H8" i="24" s="1"/>
  <c r="H16" i="34"/>
  <c r="J16" i="34" s="1"/>
  <c r="Q13" i="24"/>
  <c r="Q14" i="24"/>
  <c r="Q11" i="37"/>
  <c r="Q14" i="37" s="1"/>
  <c r="Q15" i="37" s="1"/>
  <c r="J22" i="37"/>
  <c r="J29" i="37" s="1"/>
  <c r="H15" i="34"/>
  <c r="J15" i="34" s="1"/>
  <c r="M9" i="37"/>
  <c r="N9" i="37" s="1"/>
  <c r="M10" i="37"/>
  <c r="N10" i="37" s="1"/>
  <c r="M8" i="37"/>
  <c r="N8" i="37" s="1"/>
  <c r="M7" i="37"/>
  <c r="Y13" i="24"/>
  <c r="AS13" i="24"/>
  <c r="AW13" i="24" s="1"/>
  <c r="Y11" i="24"/>
  <c r="AS11" i="24"/>
  <c r="AW11" i="24" s="1"/>
  <c r="Y8" i="24"/>
  <c r="AS8" i="24"/>
  <c r="AW8" i="24" s="1"/>
  <c r="Y9" i="24"/>
  <c r="AS9" i="24"/>
  <c r="AW9" i="24" s="1"/>
  <c r="Y15" i="24"/>
  <c r="AS15" i="24"/>
  <c r="AW15" i="24" s="1"/>
  <c r="AG8" i="24"/>
  <c r="AG15" i="24"/>
  <c r="AG13" i="24"/>
  <c r="AG11" i="24"/>
  <c r="AG7" i="24"/>
  <c r="AW7" i="24"/>
  <c r="C91" i="40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AD94" i="12"/>
  <c r="AO11" i="24"/>
  <c r="AO15" i="24"/>
  <c r="AD97" i="12"/>
  <c r="AO13" i="24"/>
  <c r="AD96" i="12"/>
  <c r="AD91" i="12"/>
  <c r="K51" i="25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K84" i="25" s="1"/>
  <c r="K85" i="25" s="1"/>
  <c r="K86" i="25" s="1"/>
  <c r="K87" i="25" s="1"/>
  <c r="K88" i="25" s="1"/>
  <c r="K89" i="25" s="1"/>
  <c r="K90" i="25" s="1"/>
  <c r="K91" i="25" s="1"/>
  <c r="K92" i="25" s="1"/>
  <c r="K93" i="25" s="1"/>
  <c r="K94" i="25" s="1"/>
  <c r="J7" i="33"/>
  <c r="S7" i="33"/>
  <c r="Q8" i="33"/>
  <c r="F9" i="33"/>
  <c r="D88" i="12"/>
  <c r="AO8" i="24"/>
  <c r="N8" i="16"/>
  <c r="Q10" i="16"/>
  <c r="Q9" i="16"/>
  <c r="P7" i="16"/>
  <c r="R7" i="16" s="1"/>
  <c r="J7" i="16"/>
  <c r="E91" i="12"/>
  <c r="AH6" i="26"/>
  <c r="AH11" i="26" s="1"/>
  <c r="AH12" i="26" s="1"/>
  <c r="G91" i="12" s="1"/>
  <c r="Z39" i="26"/>
  <c r="D93" i="12"/>
  <c r="E88" i="12"/>
  <c r="H88" i="12" s="1"/>
  <c r="Y40" i="4"/>
  <c r="E90" i="12"/>
  <c r="H90" i="12" s="1"/>
  <c r="AG6" i="13"/>
  <c r="AG10" i="13" s="1"/>
  <c r="AG11" i="13" s="1"/>
  <c r="G90" i="12" s="1"/>
  <c r="Y39" i="13"/>
  <c r="AA8" i="20"/>
  <c r="E94" i="12"/>
  <c r="H94" i="12" s="1"/>
  <c r="AG6" i="23"/>
  <c r="AG14" i="23" s="1"/>
  <c r="AG15" i="23" s="1"/>
  <c r="G94" i="12" s="1"/>
  <c r="Y39" i="23"/>
  <c r="AG6" i="17"/>
  <c r="AG12" i="17" s="1"/>
  <c r="AG13" i="17" s="1"/>
  <c r="G93" i="12" s="1"/>
  <c r="E93" i="12"/>
  <c r="H93" i="12" s="1"/>
  <c r="Y38" i="17"/>
  <c r="I8" i="30"/>
  <c r="G9" i="30"/>
  <c r="G10" i="20"/>
  <c r="I9" i="20"/>
  <c r="AA9" i="20" s="1"/>
  <c r="AG9" i="20" s="1"/>
  <c r="Y9" i="20"/>
  <c r="AE9" i="20" s="1"/>
  <c r="D94" i="12"/>
  <c r="D91" i="12"/>
  <c r="AG6" i="11"/>
  <c r="AG9" i="11" s="1"/>
  <c r="AG10" i="11" s="1"/>
  <c r="G89" i="12" s="1"/>
  <c r="E89" i="12"/>
  <c r="H89" i="12" s="1"/>
  <c r="Y39" i="11"/>
  <c r="L16" i="22"/>
  <c r="F17" i="22"/>
  <c r="L17" i="22" s="1"/>
  <c r="J19" i="34" l="1"/>
  <c r="M14" i="34" s="1"/>
  <c r="N14" i="34" s="1"/>
  <c r="K95" i="25"/>
  <c r="K96" i="25" s="1"/>
  <c r="K97" i="25" s="1"/>
  <c r="K98" i="25" s="1"/>
  <c r="K99" i="25" s="1"/>
  <c r="K100" i="25" s="1"/>
  <c r="K101" i="25" s="1"/>
  <c r="K102" i="25" s="1"/>
  <c r="K103" i="25" s="1"/>
  <c r="K104" i="25" s="1"/>
  <c r="K105" i="25" s="1"/>
  <c r="K106" i="25" s="1"/>
  <c r="K107" i="25" s="1"/>
  <c r="K108" i="25" s="1"/>
  <c r="K109" i="25" s="1"/>
  <c r="K110" i="25" s="1"/>
  <c r="K111" i="25" s="1"/>
  <c r="K112" i="25" s="1"/>
  <c r="K113" i="25" s="1"/>
  <c r="K114" i="25" s="1"/>
  <c r="K115" i="25" s="1"/>
  <c r="K116" i="25" s="1"/>
  <c r="K117" i="25" s="1"/>
  <c r="K118" i="25" s="1"/>
  <c r="K119" i="25" s="1"/>
  <c r="K120" i="25" s="1"/>
  <c r="K121" i="25" s="1"/>
  <c r="K122" i="25" s="1"/>
  <c r="K123" i="25" s="1"/>
  <c r="K124" i="25" s="1"/>
  <c r="K125" i="25" s="1"/>
  <c r="K126" i="25" s="1"/>
  <c r="K127" i="25" s="1"/>
  <c r="K128" i="25" s="1"/>
  <c r="K129" i="25" s="1"/>
  <c r="K130" i="25" s="1"/>
  <c r="K131" i="25" s="1"/>
  <c r="K132" i="25" s="1"/>
  <c r="K133" i="25" s="1"/>
  <c r="K134" i="25" s="1"/>
  <c r="K135" i="25" s="1"/>
  <c r="K136" i="25" s="1"/>
  <c r="K137" i="25" s="1"/>
  <c r="K138" i="25" s="1"/>
  <c r="K139" i="25" s="1"/>
  <c r="K140" i="25" s="1"/>
  <c r="K141" i="25" s="1"/>
  <c r="K142" i="25" s="1"/>
  <c r="K143" i="25" s="1"/>
  <c r="K144" i="25" s="1"/>
  <c r="K145" i="25" s="1"/>
  <c r="K146" i="25" s="1"/>
  <c r="K147" i="25" s="1"/>
  <c r="K148" i="25" s="1"/>
  <c r="K149" i="25" s="1"/>
  <c r="K150" i="25" s="1"/>
  <c r="K151" i="25" s="1"/>
  <c r="K152" i="25" s="1"/>
  <c r="K153" i="25" s="1"/>
  <c r="K154" i="25" s="1"/>
  <c r="K155" i="25" s="1"/>
  <c r="K156" i="25" s="1"/>
  <c r="K157" i="25" s="1"/>
  <c r="K158" i="25" s="1"/>
  <c r="K159" i="25" s="1"/>
  <c r="K160" i="25" s="1"/>
  <c r="K161" i="25" s="1"/>
  <c r="K162" i="25" s="1"/>
  <c r="K163" i="25" s="1"/>
  <c r="K164" i="25" s="1"/>
  <c r="K165" i="25" s="1"/>
  <c r="K166" i="25" s="1"/>
  <c r="K167" i="25" s="1"/>
  <c r="K168" i="25" s="1"/>
  <c r="K169" i="25" s="1"/>
  <c r="K170" i="25" s="1"/>
  <c r="K171" i="25" s="1"/>
  <c r="K172" i="25" s="1"/>
  <c r="K173" i="25" s="1"/>
  <c r="K174" i="25" s="1"/>
  <c r="K175" i="25" s="1"/>
  <c r="K176" i="25" s="1"/>
  <c r="K177" i="25" s="1"/>
  <c r="K178" i="25" s="1"/>
  <c r="K179" i="25" s="1"/>
  <c r="K180" i="25" s="1"/>
  <c r="K181" i="25" s="1"/>
  <c r="K182" i="25" s="1"/>
  <c r="K183" i="25" s="1"/>
  <c r="K184" i="25" s="1"/>
  <c r="K185" i="25" s="1"/>
  <c r="K186" i="25" s="1"/>
  <c r="K187" i="25" s="1"/>
  <c r="K188" i="25" s="1"/>
  <c r="K189" i="25" s="1"/>
  <c r="K190" i="25" s="1"/>
  <c r="K191" i="25" s="1"/>
  <c r="K192" i="25" s="1"/>
  <c r="K193" i="25" s="1"/>
  <c r="K194" i="25" s="1"/>
  <c r="K195" i="25" s="1"/>
  <c r="K196" i="25" s="1"/>
  <c r="K197" i="25" s="1"/>
  <c r="K198" i="25" s="1"/>
  <c r="K199" i="25" s="1"/>
  <c r="K200" i="25" s="1"/>
  <c r="K201" i="25" s="1"/>
  <c r="K202" i="25" s="1"/>
  <c r="K203" i="25" s="1"/>
  <c r="K204" i="25" s="1"/>
  <c r="K205" i="25" s="1"/>
  <c r="K206" i="25" s="1"/>
  <c r="K207" i="25" s="1"/>
  <c r="K208" i="25" s="1"/>
  <c r="K209" i="25" s="1"/>
  <c r="K210" i="25" s="1"/>
  <c r="K211" i="25" s="1"/>
  <c r="K212" i="25" s="1"/>
  <c r="K213" i="25" s="1"/>
  <c r="K214" i="25" s="1"/>
  <c r="K215" i="25" s="1"/>
  <c r="K216" i="25" s="1"/>
  <c r="K217" i="25" s="1"/>
  <c r="K218" i="25" s="1"/>
  <c r="K219" i="25" s="1"/>
  <c r="K220" i="25" s="1"/>
  <c r="K221" i="25" s="1"/>
  <c r="K222" i="25" s="1"/>
  <c r="K223" i="25" s="1"/>
  <c r="K224" i="25" s="1"/>
  <c r="K225" i="25" s="1"/>
  <c r="K226" i="25" s="1"/>
  <c r="K227" i="25" s="1"/>
  <c r="K228" i="25" s="1"/>
  <c r="K229" i="25" s="1"/>
  <c r="K230" i="25" s="1"/>
  <c r="K231" i="25" s="1"/>
  <c r="K232" i="25" s="1"/>
  <c r="K233" i="25" s="1"/>
  <c r="K234" i="25" s="1"/>
  <c r="K235" i="25" s="1"/>
  <c r="K236" i="25" s="1"/>
  <c r="K237" i="25" s="1"/>
  <c r="K238" i="25" s="1"/>
  <c r="K239" i="25" s="1"/>
  <c r="K240" i="25" s="1"/>
  <c r="K241" i="25" s="1"/>
  <c r="K242" i="25" s="1"/>
  <c r="K243" i="25" s="1"/>
  <c r="K244" i="25" s="1"/>
  <c r="K245" i="25" s="1"/>
  <c r="K246" i="25" s="1"/>
  <c r="K247" i="25" s="1"/>
  <c r="K248" i="25" s="1"/>
  <c r="K249" i="25" s="1"/>
  <c r="K250" i="25" s="1"/>
  <c r="K251" i="25" s="1"/>
  <c r="K252" i="25" s="1"/>
  <c r="K253" i="25" s="1"/>
  <c r="K254" i="25" s="1"/>
  <c r="K255" i="25" s="1"/>
  <c r="K256" i="25" s="1"/>
  <c r="K257" i="25" s="1"/>
  <c r="K258" i="25" s="1"/>
  <c r="K259" i="25" s="1"/>
  <c r="K260" i="25" s="1"/>
  <c r="K261" i="25" s="1"/>
  <c r="K262" i="25" s="1"/>
  <c r="K263" i="25" s="1"/>
  <c r="K264" i="25" s="1"/>
  <c r="K265" i="25" s="1"/>
  <c r="K266" i="25" s="1"/>
  <c r="K267" i="25" s="1"/>
  <c r="K268" i="25" s="1"/>
  <c r="K269" i="25" s="1"/>
  <c r="K270" i="25" s="1"/>
  <c r="K271" i="25" s="1"/>
  <c r="K272" i="25" s="1"/>
  <c r="K273" i="25" s="1"/>
  <c r="K274" i="25" s="1"/>
  <c r="K275" i="25" s="1"/>
  <c r="K276" i="25" s="1"/>
  <c r="K277" i="25" s="1"/>
  <c r="K278" i="25" s="1"/>
  <c r="K279" i="25" s="1"/>
  <c r="K280" i="25" s="1"/>
  <c r="K281" i="25" s="1"/>
  <c r="K282" i="25" s="1"/>
  <c r="K283" i="25" s="1"/>
  <c r="K284" i="25" s="1"/>
  <c r="K285" i="25" s="1"/>
  <c r="K286" i="25" s="1"/>
  <c r="K287" i="25" s="1"/>
  <c r="K288" i="25" s="1"/>
  <c r="K289" i="25" s="1"/>
  <c r="K290" i="25" s="1"/>
  <c r="K291" i="25" s="1"/>
  <c r="K292" i="25" s="1"/>
  <c r="K293" i="25" s="1"/>
  <c r="K294" i="25" s="1"/>
  <c r="K295" i="25" s="1"/>
  <c r="K296" i="25" s="1"/>
  <c r="K297" i="25" s="1"/>
  <c r="K298" i="25" s="1"/>
  <c r="K299" i="25" s="1"/>
  <c r="K300" i="25" s="1"/>
  <c r="K301" i="25" s="1"/>
  <c r="K302" i="25" s="1"/>
  <c r="K303" i="25" s="1"/>
  <c r="K304" i="25" s="1"/>
  <c r="K305" i="25" s="1"/>
  <c r="K306" i="25" s="1"/>
  <c r="K307" i="25" s="1"/>
  <c r="K308" i="25" s="1"/>
  <c r="K309" i="25" s="1"/>
  <c r="K310" i="25" s="1"/>
  <c r="K311" i="25" s="1"/>
  <c r="K312" i="25" s="1"/>
  <c r="K313" i="25" s="1"/>
  <c r="K314" i="25" s="1"/>
  <c r="K315" i="25" s="1"/>
  <c r="K316" i="25" s="1"/>
  <c r="K317" i="25" s="1"/>
  <c r="K318" i="25" s="1"/>
  <c r="K319" i="25" s="1"/>
  <c r="K320" i="25" s="1"/>
  <c r="K321" i="25" s="1"/>
  <c r="K322" i="25" s="1"/>
  <c r="K323" i="25" s="1"/>
  <c r="K324" i="25" s="1"/>
  <c r="K325" i="25" s="1"/>
  <c r="K326" i="25" s="1"/>
  <c r="K327" i="25" s="1"/>
  <c r="K328" i="25" s="1"/>
  <c r="K329" i="25" s="1"/>
  <c r="K330" i="25" s="1"/>
  <c r="K331" i="25" s="1"/>
  <c r="K332" i="25" s="1"/>
  <c r="K333" i="25" s="1"/>
  <c r="K334" i="25" s="1"/>
  <c r="K335" i="25" s="1"/>
  <c r="K336" i="25" s="1"/>
  <c r="K337" i="25" s="1"/>
  <c r="K338" i="25" s="1"/>
  <c r="K339" i="25" s="1"/>
  <c r="K340" i="25" s="1"/>
  <c r="K341" i="25" s="1"/>
  <c r="K342" i="25" s="1"/>
  <c r="K343" i="25" s="1"/>
  <c r="K344" i="25" s="1"/>
  <c r="K345" i="25" s="1"/>
  <c r="K346" i="25" s="1"/>
  <c r="K347" i="25" s="1"/>
  <c r="K348" i="25" s="1"/>
  <c r="K349" i="25" s="1"/>
  <c r="K350" i="25" s="1"/>
  <c r="K351" i="25" s="1"/>
  <c r="K352" i="25" s="1"/>
  <c r="K353" i="25" s="1"/>
  <c r="K354" i="25" s="1"/>
  <c r="K355" i="25" s="1"/>
  <c r="K356" i="25" s="1"/>
  <c r="K357" i="25" s="1"/>
  <c r="K358" i="25" s="1"/>
  <c r="K359" i="25" s="1"/>
  <c r="K360" i="25" s="1"/>
  <c r="K361" i="25" s="1"/>
  <c r="K362" i="25" s="1"/>
  <c r="K363" i="25" s="1"/>
  <c r="K364" i="25" s="1"/>
  <c r="K365" i="25" s="1"/>
  <c r="K366" i="25" s="1"/>
  <c r="K367" i="25" s="1"/>
  <c r="K368" i="25" s="1"/>
  <c r="K369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N84" i="25" s="1"/>
  <c r="N85" i="25" s="1"/>
  <c r="N86" i="25" s="1"/>
  <c r="N87" i="25" s="1"/>
  <c r="N88" i="25" s="1"/>
  <c r="N89" i="25" s="1"/>
  <c r="N90" i="25" s="1"/>
  <c r="N91" i="25" s="1"/>
  <c r="N92" i="25" s="1"/>
  <c r="N93" i="25" s="1"/>
  <c r="N94" i="25" s="1"/>
  <c r="N95" i="25" s="1"/>
  <c r="N96" i="25" s="1"/>
  <c r="N97" i="25" s="1"/>
  <c r="N98" i="25" s="1"/>
  <c r="N99" i="25" s="1"/>
  <c r="N100" i="25" s="1"/>
  <c r="N101" i="25" s="1"/>
  <c r="N102" i="25" s="1"/>
  <c r="N103" i="25" s="1"/>
  <c r="N104" i="25" s="1"/>
  <c r="N105" i="25" s="1"/>
  <c r="N106" i="25" s="1"/>
  <c r="N107" i="25" s="1"/>
  <c r="N108" i="25" s="1"/>
  <c r="N109" i="25" s="1"/>
  <c r="N110" i="25" s="1"/>
  <c r="N111" i="25" s="1"/>
  <c r="N112" i="25" s="1"/>
  <c r="N113" i="25" s="1"/>
  <c r="N114" i="25" s="1"/>
  <c r="N115" i="25" s="1"/>
  <c r="N116" i="25" s="1"/>
  <c r="N117" i="25" s="1"/>
  <c r="N118" i="25" s="1"/>
  <c r="N119" i="25" s="1"/>
  <c r="N120" i="25" s="1"/>
  <c r="N121" i="25" s="1"/>
  <c r="N122" i="25" s="1"/>
  <c r="N123" i="25" s="1"/>
  <c r="N124" i="25" s="1"/>
  <c r="N125" i="25" s="1"/>
  <c r="N126" i="25" s="1"/>
  <c r="N127" i="25" s="1"/>
  <c r="N128" i="25" s="1"/>
  <c r="N129" i="25" s="1"/>
  <c r="N130" i="25" s="1"/>
  <c r="N131" i="25" s="1"/>
  <c r="N132" i="25" s="1"/>
  <c r="N133" i="25" s="1"/>
  <c r="N134" i="25" s="1"/>
  <c r="N135" i="25" s="1"/>
  <c r="N136" i="25" s="1"/>
  <c r="N137" i="25" s="1"/>
  <c r="N138" i="25" s="1"/>
  <c r="N139" i="25" s="1"/>
  <c r="N140" i="25" s="1"/>
  <c r="N141" i="25" s="1"/>
  <c r="N142" i="25" s="1"/>
  <c r="N143" i="25" s="1"/>
  <c r="N144" i="25" s="1"/>
  <c r="N145" i="25" s="1"/>
  <c r="N146" i="25" s="1"/>
  <c r="N147" i="25" s="1"/>
  <c r="N148" i="25" s="1"/>
  <c r="N149" i="25" s="1"/>
  <c r="N150" i="25" s="1"/>
  <c r="N151" i="25" s="1"/>
  <c r="N152" i="25" s="1"/>
  <c r="N153" i="25" s="1"/>
  <c r="N154" i="25" s="1"/>
  <c r="N155" i="25" s="1"/>
  <c r="N156" i="25" s="1"/>
  <c r="N157" i="25" s="1"/>
  <c r="N158" i="25" s="1"/>
  <c r="N159" i="25" s="1"/>
  <c r="N160" i="25" s="1"/>
  <c r="N161" i="25" s="1"/>
  <c r="N162" i="25" s="1"/>
  <c r="N163" i="25" s="1"/>
  <c r="N164" i="25" s="1"/>
  <c r="N165" i="25" s="1"/>
  <c r="N166" i="25" s="1"/>
  <c r="N167" i="25" s="1"/>
  <c r="N168" i="25" s="1"/>
  <c r="N169" i="25" s="1"/>
  <c r="N170" i="25" s="1"/>
  <c r="N171" i="25" s="1"/>
  <c r="N172" i="25" s="1"/>
  <c r="N173" i="25" s="1"/>
  <c r="N174" i="25" s="1"/>
  <c r="N175" i="25" s="1"/>
  <c r="N176" i="25" s="1"/>
  <c r="N177" i="25" s="1"/>
  <c r="N178" i="25" s="1"/>
  <c r="N179" i="25" s="1"/>
  <c r="N180" i="25" s="1"/>
  <c r="N181" i="25" s="1"/>
  <c r="N182" i="25" s="1"/>
  <c r="N183" i="25" s="1"/>
  <c r="N184" i="25" s="1"/>
  <c r="N185" i="25" s="1"/>
  <c r="N186" i="25" s="1"/>
  <c r="N187" i="25" s="1"/>
  <c r="N188" i="25" s="1"/>
  <c r="N189" i="25" s="1"/>
  <c r="N190" i="25" s="1"/>
  <c r="N191" i="25" s="1"/>
  <c r="N192" i="25" s="1"/>
  <c r="N193" i="25" s="1"/>
  <c r="N194" i="25" s="1"/>
  <c r="N195" i="25" s="1"/>
  <c r="N196" i="25" s="1"/>
  <c r="N197" i="25" s="1"/>
  <c r="N198" i="25" s="1"/>
  <c r="N199" i="25" s="1"/>
  <c r="N200" i="25" s="1"/>
  <c r="N201" i="25" s="1"/>
  <c r="N202" i="25" s="1"/>
  <c r="N203" i="25" s="1"/>
  <c r="N204" i="25" s="1"/>
  <c r="N205" i="25" s="1"/>
  <c r="N206" i="25" s="1"/>
  <c r="N207" i="25" s="1"/>
  <c r="N208" i="25" s="1"/>
  <c r="N209" i="25" s="1"/>
  <c r="N210" i="25" s="1"/>
  <c r="N211" i="25" s="1"/>
  <c r="N212" i="25" s="1"/>
  <c r="N213" i="25" s="1"/>
  <c r="N214" i="25" s="1"/>
  <c r="N215" i="25" s="1"/>
  <c r="N216" i="25" s="1"/>
  <c r="N217" i="25" s="1"/>
  <c r="N218" i="25" s="1"/>
  <c r="N219" i="25" s="1"/>
  <c r="N220" i="25" s="1"/>
  <c r="N221" i="25" s="1"/>
  <c r="N222" i="25" s="1"/>
  <c r="N223" i="25" s="1"/>
  <c r="N224" i="25" s="1"/>
  <c r="N225" i="25" s="1"/>
  <c r="N226" i="25" s="1"/>
  <c r="N227" i="25" s="1"/>
  <c r="N228" i="25" s="1"/>
  <c r="N229" i="25" s="1"/>
  <c r="N230" i="25" s="1"/>
  <c r="N231" i="25" s="1"/>
  <c r="N232" i="25" s="1"/>
  <c r="N233" i="25" s="1"/>
  <c r="N234" i="25" s="1"/>
  <c r="N235" i="25" s="1"/>
  <c r="N236" i="25" s="1"/>
  <c r="N237" i="25" s="1"/>
  <c r="N238" i="25" s="1"/>
  <c r="N239" i="25" s="1"/>
  <c r="N240" i="25" s="1"/>
  <c r="N241" i="25" s="1"/>
  <c r="N242" i="25" s="1"/>
  <c r="N243" i="25" s="1"/>
  <c r="N244" i="25" s="1"/>
  <c r="N245" i="25" s="1"/>
  <c r="N246" i="25" s="1"/>
  <c r="N247" i="25" s="1"/>
  <c r="N248" i="25" s="1"/>
  <c r="N249" i="25" s="1"/>
  <c r="N250" i="25" s="1"/>
  <c r="N251" i="25" s="1"/>
  <c r="N252" i="25" s="1"/>
  <c r="N253" i="25" s="1"/>
  <c r="N254" i="25" s="1"/>
  <c r="N255" i="25" s="1"/>
  <c r="N256" i="25" s="1"/>
  <c r="N257" i="25" s="1"/>
  <c r="N258" i="25" s="1"/>
  <c r="N259" i="25" s="1"/>
  <c r="N260" i="25" s="1"/>
  <c r="N261" i="25" s="1"/>
  <c r="N262" i="25" s="1"/>
  <c r="N263" i="25" s="1"/>
  <c r="N264" i="25" s="1"/>
  <c r="N265" i="25" s="1"/>
  <c r="N266" i="25" s="1"/>
  <c r="N267" i="25" s="1"/>
  <c r="N268" i="25" s="1"/>
  <c r="N269" i="25" s="1"/>
  <c r="N270" i="25" s="1"/>
  <c r="N271" i="25" s="1"/>
  <c r="N272" i="25" s="1"/>
  <c r="N273" i="25" s="1"/>
  <c r="N274" i="25" s="1"/>
  <c r="N275" i="25" s="1"/>
  <c r="N276" i="25" s="1"/>
  <c r="N277" i="25" s="1"/>
  <c r="N278" i="25" s="1"/>
  <c r="N279" i="25" s="1"/>
  <c r="N280" i="25" s="1"/>
  <c r="N281" i="25" s="1"/>
  <c r="N282" i="25" s="1"/>
  <c r="N283" i="25" s="1"/>
  <c r="N284" i="25" s="1"/>
  <c r="N285" i="25" s="1"/>
  <c r="N286" i="25" s="1"/>
  <c r="N287" i="25" s="1"/>
  <c r="N288" i="25" s="1"/>
  <c r="N289" i="25" s="1"/>
  <c r="N290" i="25" s="1"/>
  <c r="N291" i="25" s="1"/>
  <c r="N292" i="25" s="1"/>
  <c r="N293" i="25" s="1"/>
  <c r="N294" i="25" s="1"/>
  <c r="N295" i="25" s="1"/>
  <c r="N296" i="25" s="1"/>
  <c r="N297" i="25" s="1"/>
  <c r="N298" i="25" s="1"/>
  <c r="N299" i="25" s="1"/>
  <c r="N300" i="25" s="1"/>
  <c r="N301" i="25" s="1"/>
  <c r="N302" i="25" s="1"/>
  <c r="N303" i="25" s="1"/>
  <c r="N304" i="25" s="1"/>
  <c r="N305" i="25" s="1"/>
  <c r="N306" i="25" s="1"/>
  <c r="N307" i="25" s="1"/>
  <c r="N308" i="25" s="1"/>
  <c r="N309" i="25" s="1"/>
  <c r="N310" i="25" s="1"/>
  <c r="N311" i="25" s="1"/>
  <c r="N312" i="25" s="1"/>
  <c r="N313" i="25" s="1"/>
  <c r="N314" i="25" s="1"/>
  <c r="N315" i="25" s="1"/>
  <c r="N316" i="25" s="1"/>
  <c r="N317" i="25" s="1"/>
  <c r="N318" i="25" s="1"/>
  <c r="N319" i="25" s="1"/>
  <c r="N320" i="25" s="1"/>
  <c r="N321" i="25" s="1"/>
  <c r="N322" i="25" s="1"/>
  <c r="N323" i="25" s="1"/>
  <c r="N324" i="25" s="1"/>
  <c r="N325" i="25" s="1"/>
  <c r="N326" i="25" s="1"/>
  <c r="N327" i="25" s="1"/>
  <c r="N328" i="25" s="1"/>
  <c r="N329" i="25" s="1"/>
  <c r="N330" i="25" s="1"/>
  <c r="N331" i="25" s="1"/>
  <c r="N332" i="25" s="1"/>
  <c r="N333" i="25" s="1"/>
  <c r="N334" i="25" s="1"/>
  <c r="N335" i="25" s="1"/>
  <c r="N336" i="25" s="1"/>
  <c r="N337" i="25" s="1"/>
  <c r="N338" i="25" s="1"/>
  <c r="N339" i="25" s="1"/>
  <c r="N340" i="25" s="1"/>
  <c r="N341" i="25" s="1"/>
  <c r="N342" i="25" s="1"/>
  <c r="N343" i="25" s="1"/>
  <c r="N344" i="25" s="1"/>
  <c r="N345" i="25" s="1"/>
  <c r="N346" i="25" s="1"/>
  <c r="N347" i="25" s="1"/>
  <c r="N348" i="25" s="1"/>
  <c r="N349" i="25" s="1"/>
  <c r="N350" i="25" s="1"/>
  <c r="N351" i="25" s="1"/>
  <c r="N352" i="25" s="1"/>
  <c r="N353" i="25" s="1"/>
  <c r="N354" i="25" s="1"/>
  <c r="N355" i="25" s="1"/>
  <c r="N356" i="25" s="1"/>
  <c r="N357" i="25" s="1"/>
  <c r="N358" i="25" s="1"/>
  <c r="N359" i="25" s="1"/>
  <c r="N360" i="25" s="1"/>
  <c r="N361" i="25" s="1"/>
  <c r="N362" i="25" s="1"/>
  <c r="N363" i="25" s="1"/>
  <c r="N364" i="25" s="1"/>
  <c r="N365" i="25" s="1"/>
  <c r="N366" i="25" s="1"/>
  <c r="N367" i="25" s="1"/>
  <c r="N368" i="25" s="1"/>
  <c r="N369" i="25" s="1"/>
  <c r="Q5" i="25" s="1"/>
  <c r="G10" i="14"/>
  <c r="N24" i="45"/>
  <c r="O24" i="45" s="1"/>
  <c r="M9" i="45" s="1"/>
  <c r="M12" i="37"/>
  <c r="N7" i="37"/>
  <c r="N12" i="37" s="1"/>
  <c r="C125" i="40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S9" i="45"/>
  <c r="U9" i="45" s="1"/>
  <c r="O9" i="45"/>
  <c r="N21" i="44"/>
  <c r="O21" i="44" s="1"/>
  <c r="M8" i="44" s="1"/>
  <c r="S8" i="44" s="1"/>
  <c r="U7" i="33"/>
  <c r="J8" i="33"/>
  <c r="S8" i="33"/>
  <c r="F10" i="33"/>
  <c r="Q9" i="33"/>
  <c r="J8" i="16"/>
  <c r="P8" i="16"/>
  <c r="R8" i="16" s="1"/>
  <c r="N9" i="16"/>
  <c r="Y10" i="20"/>
  <c r="AE10" i="20" s="1"/>
  <c r="I10" i="20"/>
  <c r="AA10" i="20" s="1"/>
  <c r="AG10" i="20" s="1"/>
  <c r="G10" i="30"/>
  <c r="I9" i="30"/>
  <c r="AG8" i="20"/>
  <c r="M11" i="34" l="1"/>
  <c r="N11" i="34" s="1"/>
  <c r="M9" i="34"/>
  <c r="N9" i="34" s="1"/>
  <c r="E78" i="12"/>
  <c r="M17" i="34"/>
  <c r="N17" i="34" s="1"/>
  <c r="M12" i="34"/>
  <c r="N12" i="34" s="1"/>
  <c r="M7" i="34"/>
  <c r="N7" i="34" s="1"/>
  <c r="M8" i="34"/>
  <c r="N8" i="34" s="1"/>
  <c r="M10" i="34"/>
  <c r="N10" i="34" s="1"/>
  <c r="M16" i="34"/>
  <c r="N16" i="34" s="1"/>
  <c r="M13" i="34"/>
  <c r="N13" i="34" s="1"/>
  <c r="M15" i="34"/>
  <c r="N15" i="34" s="1"/>
  <c r="Q16" i="24"/>
  <c r="D16" i="24"/>
  <c r="H16" i="24" s="1"/>
  <c r="AG15" i="12"/>
  <c r="G9" i="14"/>
  <c r="K9" i="14" s="1"/>
  <c r="L9" i="14" s="1"/>
  <c r="M9" i="14" s="1"/>
  <c r="AG16" i="24"/>
  <c r="C144" i="40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8" i="10"/>
  <c r="O8" i="44"/>
  <c r="AO16" i="24"/>
  <c r="AD98" i="12"/>
  <c r="U8" i="33"/>
  <c r="F11" i="33"/>
  <c r="Q10" i="33"/>
  <c r="S9" i="33"/>
  <c r="J9" i="33"/>
  <c r="X39" i="20"/>
  <c r="Y39" i="20" s="1"/>
  <c r="X29" i="20"/>
  <c r="Y29" i="20" s="1"/>
  <c r="X35" i="20"/>
  <c r="Y35" i="20" s="1"/>
  <c r="X30" i="20"/>
  <c r="Y30" i="20" s="1"/>
  <c r="X31" i="20"/>
  <c r="Y31" i="20" s="1"/>
  <c r="X36" i="20"/>
  <c r="Y36" i="20" s="1"/>
  <c r="X38" i="20"/>
  <c r="Y38" i="20" s="1"/>
  <c r="X25" i="20"/>
  <c r="Y25" i="20" s="1"/>
  <c r="X26" i="20"/>
  <c r="Y26" i="20" s="1"/>
  <c r="X27" i="20"/>
  <c r="Y27" i="20" s="1"/>
  <c r="N10" i="16"/>
  <c r="X33" i="20"/>
  <c r="Y33" i="20" s="1"/>
  <c r="I12" i="20"/>
  <c r="E73" i="12" s="1"/>
  <c r="X37" i="20"/>
  <c r="E92" i="12" s="1"/>
  <c r="H92" i="12" s="1"/>
  <c r="X28" i="20"/>
  <c r="Y28" i="20" s="1"/>
  <c r="J9" i="16"/>
  <c r="P9" i="16"/>
  <c r="R9" i="16" s="1"/>
  <c r="X32" i="20"/>
  <c r="Y32" i="20" s="1"/>
  <c r="I10" i="30"/>
  <c r="G11" i="30"/>
  <c r="X34" i="20"/>
  <c r="Y34" i="20" s="1"/>
  <c r="N18" i="34" l="1"/>
  <c r="M18" i="34"/>
  <c r="Q12" i="24"/>
  <c r="D12" i="24"/>
  <c r="H12" i="24" s="1"/>
  <c r="O9" i="14"/>
  <c r="I39" i="12" s="1"/>
  <c r="G39" i="12" s="1"/>
  <c r="N9" i="14"/>
  <c r="H39" i="12" s="1"/>
  <c r="Y12" i="24"/>
  <c r="AS12" i="24"/>
  <c r="AW12" i="24" s="1"/>
  <c r="Y16" i="24"/>
  <c r="AS16" i="24"/>
  <c r="AW16" i="24" s="1"/>
  <c r="G11" i="14"/>
  <c r="K10" i="14"/>
  <c r="L10" i="14" s="1"/>
  <c r="M10" i="14" s="1"/>
  <c r="U8" i="44"/>
  <c r="L32" i="44"/>
  <c r="F39" i="12"/>
  <c r="AG12" i="24"/>
  <c r="C164" i="40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M9" i="40" s="1"/>
  <c r="M10" i="40" s="1"/>
  <c r="P5" i="40" s="1"/>
  <c r="P6" i="40" s="1"/>
  <c r="G9" i="40"/>
  <c r="G10" i="40" s="1"/>
  <c r="J5" i="40" s="1"/>
  <c r="C9" i="10"/>
  <c r="C11" i="10"/>
  <c r="C280" i="41"/>
  <c r="C281" i="41" s="1"/>
  <c r="C282" i="41" s="1"/>
  <c r="C283" i="41" s="1"/>
  <c r="C284" i="41" s="1"/>
  <c r="C285" i="41" s="1"/>
  <c r="C286" i="41" s="1"/>
  <c r="C287" i="41" s="1"/>
  <c r="C288" i="41" s="1"/>
  <c r="C289" i="41" s="1"/>
  <c r="C290" i="41" s="1"/>
  <c r="C291" i="41" s="1"/>
  <c r="C292" i="41" s="1"/>
  <c r="C293" i="41" s="1"/>
  <c r="AO12" i="24"/>
  <c r="AD95" i="12"/>
  <c r="U9" i="33"/>
  <c r="J10" i="33"/>
  <c r="S10" i="33"/>
  <c r="F12" i="33"/>
  <c r="Q11" i="33"/>
  <c r="N20" i="34"/>
  <c r="J20" i="34" s="1"/>
  <c r="Y37" i="20"/>
  <c r="F73" i="12"/>
  <c r="P10" i="16"/>
  <c r="R10" i="16" s="1"/>
  <c r="J10" i="16"/>
  <c r="N11" i="16"/>
  <c r="AG6" i="20"/>
  <c r="AG12" i="20" s="1"/>
  <c r="AG13" i="20" s="1"/>
  <c r="G92" i="12" s="1"/>
  <c r="G12" i="30"/>
  <c r="I11" i="30"/>
  <c r="D92" i="12"/>
  <c r="O10" i="14" l="1"/>
  <c r="I40" i="12" s="1"/>
  <c r="G40" i="12" s="1"/>
  <c r="N10" i="14"/>
  <c r="H40" i="12" s="1"/>
  <c r="M22" i="44"/>
  <c r="N22" i="44" s="1"/>
  <c r="O22" i="44" s="1"/>
  <c r="M9" i="44" s="1"/>
  <c r="S9" i="44" s="1"/>
  <c r="K11" i="14"/>
  <c r="L11" i="14" s="1"/>
  <c r="M11" i="14" s="1"/>
  <c r="J6" i="40"/>
  <c r="J8" i="40" s="1"/>
  <c r="J19" i="40"/>
  <c r="F40" i="12"/>
  <c r="P8" i="40"/>
  <c r="H49" i="12" s="1"/>
  <c r="G49" i="12" s="1"/>
  <c r="P9" i="40"/>
  <c r="I49" i="12" s="1"/>
  <c r="F49" i="12"/>
  <c r="C8" i="43"/>
  <c r="U10" i="33"/>
  <c r="C294" i="41"/>
  <c r="C295" i="41" s="1"/>
  <c r="C296" i="41" s="1"/>
  <c r="C297" i="41" s="1"/>
  <c r="C298" i="41" s="1"/>
  <c r="C299" i="41" s="1"/>
  <c r="C8" i="9" s="1"/>
  <c r="C10" i="9" s="1"/>
  <c r="C11" i="9" s="1"/>
  <c r="C10" i="31"/>
  <c r="C11" i="31" s="1"/>
  <c r="C11" i="32"/>
  <c r="F13" i="33"/>
  <c r="Q12" i="33"/>
  <c r="S11" i="33"/>
  <c r="J11" i="33"/>
  <c r="F78" i="12"/>
  <c r="AH15" i="12" s="1"/>
  <c r="P11" i="16"/>
  <c r="R11" i="16" s="1"/>
  <c r="I16" i="16" s="1"/>
  <c r="J16" i="16" s="1"/>
  <c r="J11" i="16"/>
  <c r="J13" i="16" s="1"/>
  <c r="H13" i="12" s="1"/>
  <c r="I12" i="30"/>
  <c r="G13" i="30"/>
  <c r="N19" i="26"/>
  <c r="O19" i="26" s="1"/>
  <c r="P19" i="26" s="1"/>
  <c r="Q33" i="24" l="1"/>
  <c r="D33" i="24"/>
  <c r="H33" i="24" s="1"/>
  <c r="O11" i="14"/>
  <c r="I41" i="12" s="1"/>
  <c r="G41" i="12" s="1"/>
  <c r="N11" i="14"/>
  <c r="H41" i="12" s="1"/>
  <c r="O9" i="44"/>
  <c r="U9" i="44" s="1"/>
  <c r="F41" i="12"/>
  <c r="J9" i="40"/>
  <c r="Y33" i="24"/>
  <c r="AS33" i="24"/>
  <c r="AW33" i="24" s="1"/>
  <c r="N25" i="45"/>
  <c r="O25" i="45" s="1"/>
  <c r="M10" i="45" s="1"/>
  <c r="O10" i="45" s="1"/>
  <c r="AG33" i="24"/>
  <c r="AO33" i="24"/>
  <c r="H7" i="31"/>
  <c r="H14" i="9"/>
  <c r="H12" i="9"/>
  <c r="H13" i="9"/>
  <c r="H19" i="9"/>
  <c r="H20" i="9"/>
  <c r="H21" i="9"/>
  <c r="H11" i="9"/>
  <c r="H15" i="9"/>
  <c r="H18" i="9"/>
  <c r="H22" i="9"/>
  <c r="H10" i="9"/>
  <c r="H17" i="9"/>
  <c r="H8" i="9"/>
  <c r="H16" i="9"/>
  <c r="H9" i="9"/>
  <c r="C10" i="43"/>
  <c r="C11" i="43" s="1"/>
  <c r="C9" i="43"/>
  <c r="N26" i="45"/>
  <c r="O26" i="45" s="1"/>
  <c r="M11" i="45" s="1"/>
  <c r="U11" i="33"/>
  <c r="H7" i="32"/>
  <c r="H8" i="32"/>
  <c r="H9" i="32"/>
  <c r="C300" i="41"/>
  <c r="C301" i="41" s="1"/>
  <c r="C302" i="41" s="1"/>
  <c r="C303" i="41" s="1"/>
  <c r="C304" i="41" s="1"/>
  <c r="C305" i="41" s="1"/>
  <c r="C306" i="41" s="1"/>
  <c r="C307" i="41" s="1"/>
  <c r="C308" i="41" s="1"/>
  <c r="C309" i="41" s="1"/>
  <c r="C9" i="9"/>
  <c r="I13" i="12"/>
  <c r="Z72" i="12"/>
  <c r="I17" i="16"/>
  <c r="J17" i="16" s="1"/>
  <c r="J12" i="33"/>
  <c r="S12" i="33"/>
  <c r="F14" i="33"/>
  <c r="Q13" i="33"/>
  <c r="I15" i="16"/>
  <c r="J15" i="16" s="1"/>
  <c r="G14" i="30"/>
  <c r="I14" i="30" s="1"/>
  <c r="I13" i="30"/>
  <c r="M22" i="23"/>
  <c r="N22" i="23" s="1"/>
  <c r="O22" i="23" s="1"/>
  <c r="M21" i="17"/>
  <c r="N21" i="17" s="1"/>
  <c r="O21" i="17" s="1"/>
  <c r="M23" i="44" l="1"/>
  <c r="N23" i="44" s="1"/>
  <c r="O23" i="44" s="1"/>
  <c r="M10" i="44" s="1"/>
  <c r="S10" i="44" s="1"/>
  <c r="S10" i="45"/>
  <c r="U10" i="45" s="1"/>
  <c r="I21" i="30"/>
  <c r="I22" i="30" s="1"/>
  <c r="F77" i="12" s="1"/>
  <c r="H17" i="43"/>
  <c r="H10" i="43"/>
  <c r="H12" i="43"/>
  <c r="H13" i="43"/>
  <c r="H9" i="43"/>
  <c r="H14" i="43"/>
  <c r="H11" i="43"/>
  <c r="H15" i="43"/>
  <c r="H8" i="43"/>
  <c r="H16" i="43"/>
  <c r="C8" i="42"/>
  <c r="Q6" i="25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Q84" i="25" s="1"/>
  <c r="Q85" i="25" s="1"/>
  <c r="Q86" i="25" s="1"/>
  <c r="Q87" i="25" s="1"/>
  <c r="Q88" i="25" s="1"/>
  <c r="Q89" i="25" s="1"/>
  <c r="Q90" i="25" s="1"/>
  <c r="Q91" i="25" s="1"/>
  <c r="Q92" i="25" s="1"/>
  <c r="Q93" i="25" s="1"/>
  <c r="Q94" i="25" s="1"/>
  <c r="Q95" i="25" s="1"/>
  <c r="Q96" i="25" s="1"/>
  <c r="Q97" i="25" s="1"/>
  <c r="Q98" i="25" s="1"/>
  <c r="Q99" i="25" s="1"/>
  <c r="Q100" i="25" s="1"/>
  <c r="Q101" i="25" s="1"/>
  <c r="Q102" i="25" s="1"/>
  <c r="Q103" i="25" s="1"/>
  <c r="Q104" i="25" s="1"/>
  <c r="Q105" i="25" s="1"/>
  <c r="Q106" i="25" s="1"/>
  <c r="Q107" i="25" s="1"/>
  <c r="Q108" i="25" s="1"/>
  <c r="Q109" i="25" s="1"/>
  <c r="Q110" i="25" s="1"/>
  <c r="Q111" i="25" s="1"/>
  <c r="Q112" i="25" s="1"/>
  <c r="Q113" i="25" s="1"/>
  <c r="Q114" i="25" s="1"/>
  <c r="Q115" i="25" s="1"/>
  <c r="Q116" i="25" s="1"/>
  <c r="Q117" i="25" s="1"/>
  <c r="Q118" i="25" s="1"/>
  <c r="Q119" i="25" s="1"/>
  <c r="Q120" i="25" s="1"/>
  <c r="Q121" i="25" s="1"/>
  <c r="Q122" i="25" s="1"/>
  <c r="Q123" i="25" s="1"/>
  <c r="Q124" i="25" s="1"/>
  <c r="Q125" i="25" s="1"/>
  <c r="Q126" i="25" s="1"/>
  <c r="Q127" i="25" s="1"/>
  <c r="Q128" i="25" s="1"/>
  <c r="Q129" i="25" s="1"/>
  <c r="Q130" i="25" s="1"/>
  <c r="Q131" i="25" s="1"/>
  <c r="Q132" i="25" s="1"/>
  <c r="Q133" i="25" s="1"/>
  <c r="Q134" i="25" s="1"/>
  <c r="Q135" i="25" s="1"/>
  <c r="Q136" i="25" s="1"/>
  <c r="Q137" i="25" s="1"/>
  <c r="Q138" i="25" s="1"/>
  <c r="Q139" i="25" s="1"/>
  <c r="Q140" i="25" s="1"/>
  <c r="Q141" i="25" s="1"/>
  <c r="Q142" i="25" s="1"/>
  <c r="Q143" i="25" s="1"/>
  <c r="Q144" i="25" s="1"/>
  <c r="Q145" i="25" s="1"/>
  <c r="Q146" i="25" s="1"/>
  <c r="Q147" i="25" s="1"/>
  <c r="Q148" i="25" s="1"/>
  <c r="Q149" i="25" s="1"/>
  <c r="Q150" i="25" s="1"/>
  <c r="Q151" i="25" s="1"/>
  <c r="Q152" i="25" s="1"/>
  <c r="Q153" i="25" s="1"/>
  <c r="Q154" i="25" s="1"/>
  <c r="Q155" i="25" s="1"/>
  <c r="Q156" i="25" s="1"/>
  <c r="Q157" i="25" s="1"/>
  <c r="Q158" i="25" s="1"/>
  <c r="Q159" i="25" s="1"/>
  <c r="Q160" i="25" s="1"/>
  <c r="Q161" i="25" s="1"/>
  <c r="Q162" i="25" s="1"/>
  <c r="Q163" i="25" s="1"/>
  <c r="Q164" i="25" s="1"/>
  <c r="Q165" i="25" s="1"/>
  <c r="Q166" i="25" s="1"/>
  <c r="Q167" i="25" s="1"/>
  <c r="Q168" i="25" s="1"/>
  <c r="Q169" i="25" s="1"/>
  <c r="Q170" i="25" s="1"/>
  <c r="Q171" i="25" s="1"/>
  <c r="Q172" i="25" s="1"/>
  <c r="Q173" i="25" s="1"/>
  <c r="Q174" i="25" s="1"/>
  <c r="Q175" i="25" s="1"/>
  <c r="Q176" i="25" s="1"/>
  <c r="Q177" i="25" s="1"/>
  <c r="Q178" i="25" s="1"/>
  <c r="Q179" i="25" s="1"/>
  <c r="Q180" i="25" s="1"/>
  <c r="Q181" i="25" s="1"/>
  <c r="Q182" i="25" s="1"/>
  <c r="Q183" i="25" s="1"/>
  <c r="Q184" i="25" s="1"/>
  <c r="Q185" i="25" s="1"/>
  <c r="Q186" i="25" s="1"/>
  <c r="Q187" i="25" s="1"/>
  <c r="Q188" i="25" s="1"/>
  <c r="Q189" i="25" s="1"/>
  <c r="Q190" i="25" s="1"/>
  <c r="Q191" i="25" s="1"/>
  <c r="Q192" i="25" s="1"/>
  <c r="Q193" i="25" s="1"/>
  <c r="Q194" i="25" s="1"/>
  <c r="Q195" i="25" s="1"/>
  <c r="Q196" i="25" s="1"/>
  <c r="Q197" i="25" s="1"/>
  <c r="Q198" i="25" s="1"/>
  <c r="Q199" i="25" s="1"/>
  <c r="Q200" i="25" s="1"/>
  <c r="Q201" i="25" s="1"/>
  <c r="Q202" i="25" s="1"/>
  <c r="Q203" i="25" s="1"/>
  <c r="Q204" i="25" s="1"/>
  <c r="Q205" i="25" s="1"/>
  <c r="Q206" i="25" s="1"/>
  <c r="Q207" i="25" s="1"/>
  <c r="Q208" i="25" s="1"/>
  <c r="Q209" i="25" s="1"/>
  <c r="Q210" i="25" s="1"/>
  <c r="Q211" i="25" s="1"/>
  <c r="Q212" i="25" s="1"/>
  <c r="Q213" i="25" s="1"/>
  <c r="Q214" i="25" s="1"/>
  <c r="Q215" i="25" s="1"/>
  <c r="Q216" i="25" s="1"/>
  <c r="Q217" i="25" s="1"/>
  <c r="Q218" i="25" s="1"/>
  <c r="Q219" i="25" s="1"/>
  <c r="Q220" i="25" s="1"/>
  <c r="Q221" i="25" s="1"/>
  <c r="Q222" i="25" s="1"/>
  <c r="Q223" i="25" s="1"/>
  <c r="Q224" i="25" s="1"/>
  <c r="Q225" i="25" s="1"/>
  <c r="Q226" i="25" s="1"/>
  <c r="Q227" i="25" s="1"/>
  <c r="Q228" i="25" s="1"/>
  <c r="Q229" i="25" s="1"/>
  <c r="Q230" i="25" s="1"/>
  <c r="Q231" i="25" s="1"/>
  <c r="Q232" i="25" s="1"/>
  <c r="Q233" i="25" s="1"/>
  <c r="Q234" i="25" s="1"/>
  <c r="Q235" i="25" s="1"/>
  <c r="Q236" i="25" s="1"/>
  <c r="Q237" i="25" s="1"/>
  <c r="Q238" i="25" s="1"/>
  <c r="Q239" i="25" s="1"/>
  <c r="Q240" i="25" s="1"/>
  <c r="Q241" i="25" s="1"/>
  <c r="Q242" i="25" s="1"/>
  <c r="Q243" i="25" s="1"/>
  <c r="Q244" i="25" s="1"/>
  <c r="Q245" i="25" s="1"/>
  <c r="Q246" i="25" s="1"/>
  <c r="Q247" i="25" s="1"/>
  <c r="Q248" i="25" s="1"/>
  <c r="Q249" i="25" s="1"/>
  <c r="Q250" i="25" s="1"/>
  <c r="Q251" i="25" s="1"/>
  <c r="Q252" i="25" s="1"/>
  <c r="Q253" i="25" s="1"/>
  <c r="Q254" i="25" s="1"/>
  <c r="Q255" i="25" s="1"/>
  <c r="Q256" i="25" s="1"/>
  <c r="Q257" i="25" s="1"/>
  <c r="Q258" i="25" s="1"/>
  <c r="Q259" i="25" s="1"/>
  <c r="Q260" i="25" s="1"/>
  <c r="Q261" i="25" s="1"/>
  <c r="Q262" i="25" s="1"/>
  <c r="Q263" i="25" s="1"/>
  <c r="Q264" i="25" s="1"/>
  <c r="Q265" i="25" s="1"/>
  <c r="Q266" i="25" s="1"/>
  <c r="Q267" i="25" s="1"/>
  <c r="Q268" i="25" s="1"/>
  <c r="Q269" i="25" s="1"/>
  <c r="Q270" i="25" s="1"/>
  <c r="Q271" i="25" s="1"/>
  <c r="Q272" i="25" s="1"/>
  <c r="Q273" i="25" s="1"/>
  <c r="Q274" i="25" s="1"/>
  <c r="Q275" i="25" s="1"/>
  <c r="Q276" i="25" s="1"/>
  <c r="Q277" i="25" s="1"/>
  <c r="Q278" i="25" s="1"/>
  <c r="Q279" i="25" s="1"/>
  <c r="Q280" i="25" s="1"/>
  <c r="Q281" i="25" s="1"/>
  <c r="Q282" i="25" s="1"/>
  <c r="Q283" i="25" s="1"/>
  <c r="Q284" i="25" s="1"/>
  <c r="Q285" i="25" s="1"/>
  <c r="Q286" i="25" s="1"/>
  <c r="Q287" i="25" s="1"/>
  <c r="Q288" i="25" s="1"/>
  <c r="Q289" i="25" s="1"/>
  <c r="Q290" i="25" s="1"/>
  <c r="Q291" i="25" s="1"/>
  <c r="Q292" i="25" s="1"/>
  <c r="Q293" i="25" s="1"/>
  <c r="Q294" i="25" s="1"/>
  <c r="Q295" i="25" s="1"/>
  <c r="Q296" i="25" s="1"/>
  <c r="Q297" i="25" s="1"/>
  <c r="Q298" i="25" s="1"/>
  <c r="Q299" i="25" s="1"/>
  <c r="Q300" i="25" s="1"/>
  <c r="Q301" i="25" s="1"/>
  <c r="Q302" i="25" s="1"/>
  <c r="Q303" i="25" s="1"/>
  <c r="Q304" i="25" s="1"/>
  <c r="Q305" i="25" s="1"/>
  <c r="Q306" i="25" s="1"/>
  <c r="Q307" i="25" s="1"/>
  <c r="Q308" i="25" s="1"/>
  <c r="Q309" i="25" s="1"/>
  <c r="Q310" i="25" s="1"/>
  <c r="Q311" i="25" s="1"/>
  <c r="Q312" i="25" s="1"/>
  <c r="Q313" i="25" s="1"/>
  <c r="Q314" i="25" s="1"/>
  <c r="Q315" i="25" s="1"/>
  <c r="Q316" i="25" s="1"/>
  <c r="Q317" i="25" s="1"/>
  <c r="Q318" i="25" s="1"/>
  <c r="Q319" i="25" s="1"/>
  <c r="Q320" i="25" s="1"/>
  <c r="Q321" i="25" s="1"/>
  <c r="Q322" i="25" s="1"/>
  <c r="Q323" i="25" s="1"/>
  <c r="Q324" i="25" s="1"/>
  <c r="Q325" i="25" s="1"/>
  <c r="Q326" i="25" s="1"/>
  <c r="Q327" i="25" s="1"/>
  <c r="Q328" i="25" s="1"/>
  <c r="Q329" i="25" s="1"/>
  <c r="Q330" i="25" s="1"/>
  <c r="Q331" i="25" s="1"/>
  <c r="Q332" i="25" s="1"/>
  <c r="Q333" i="25" s="1"/>
  <c r="Q334" i="25" s="1"/>
  <c r="Q335" i="25" s="1"/>
  <c r="Q336" i="25" s="1"/>
  <c r="Q337" i="25" s="1"/>
  <c r="Q338" i="25" s="1"/>
  <c r="Q339" i="25" s="1"/>
  <c r="Q340" i="25" s="1"/>
  <c r="Q341" i="25" s="1"/>
  <c r="Q342" i="25" s="1"/>
  <c r="Q343" i="25" s="1"/>
  <c r="Q344" i="25" s="1"/>
  <c r="Q345" i="25" s="1"/>
  <c r="Q346" i="25" s="1"/>
  <c r="Q347" i="25" s="1"/>
  <c r="Q348" i="25" s="1"/>
  <c r="Q349" i="25" s="1"/>
  <c r="Q350" i="25" s="1"/>
  <c r="Q351" i="25" s="1"/>
  <c r="Q352" i="25" s="1"/>
  <c r="Q353" i="25" s="1"/>
  <c r="Q354" i="25" s="1"/>
  <c r="Q355" i="25" s="1"/>
  <c r="Q356" i="25" s="1"/>
  <c r="Q357" i="25" s="1"/>
  <c r="Q358" i="25" s="1"/>
  <c r="Q359" i="25" s="1"/>
  <c r="Q360" i="25" s="1"/>
  <c r="Q361" i="25" s="1"/>
  <c r="Q362" i="25" s="1"/>
  <c r="Q363" i="25" s="1"/>
  <c r="Q364" i="25" s="1"/>
  <c r="Q365" i="25" s="1"/>
  <c r="Q366" i="25" s="1"/>
  <c r="Q367" i="25" s="1"/>
  <c r="Q368" i="25" s="1"/>
  <c r="Q369" i="25" s="1"/>
  <c r="Q370" i="25" s="1"/>
  <c r="N27" i="45"/>
  <c r="O27" i="45" s="1"/>
  <c r="M12" i="45" s="1"/>
  <c r="M24" i="44"/>
  <c r="N24" i="44" s="1"/>
  <c r="O24" i="44" s="1"/>
  <c r="M11" i="44" s="1"/>
  <c r="O11" i="45"/>
  <c r="S11" i="45"/>
  <c r="U11" i="45" s="1"/>
  <c r="U12" i="33"/>
  <c r="J7" i="31"/>
  <c r="Q7" i="31" s="1"/>
  <c r="O7" i="31"/>
  <c r="C310" i="41"/>
  <c r="C311" i="41" s="1"/>
  <c r="C312" i="41" s="1"/>
  <c r="C313" i="41" s="1"/>
  <c r="C314" i="41" s="1"/>
  <c r="C315" i="41" s="1"/>
  <c r="O9" i="32"/>
  <c r="Q9" i="32" s="1"/>
  <c r="J9" i="32"/>
  <c r="J8" i="32"/>
  <c r="O8" i="32"/>
  <c r="Q8" i="32" s="1"/>
  <c r="O7" i="32"/>
  <c r="Q7" i="32" s="1"/>
  <c r="J7" i="32"/>
  <c r="J13" i="12"/>
  <c r="Q14" i="33"/>
  <c r="J13" i="33"/>
  <c r="S13" i="33"/>
  <c r="O10" i="44" l="1"/>
  <c r="U10" i="44" s="1"/>
  <c r="J14" i="43"/>
  <c r="Q14" i="43" s="1"/>
  <c r="O14" i="43"/>
  <c r="O9" i="43"/>
  <c r="J9" i="43"/>
  <c r="Q9" i="43" s="1"/>
  <c r="J8" i="43"/>
  <c r="Q8" i="43" s="1"/>
  <c r="O8" i="43"/>
  <c r="J10" i="43"/>
  <c r="Q10" i="43" s="1"/>
  <c r="O10" i="43"/>
  <c r="O16" i="43"/>
  <c r="J16" i="43"/>
  <c r="Q16" i="43" s="1"/>
  <c r="J7" i="43"/>
  <c r="Q7" i="43" s="1"/>
  <c r="O7" i="43"/>
  <c r="O17" i="43"/>
  <c r="J17" i="43"/>
  <c r="Q17" i="43" s="1"/>
  <c r="C10" i="42"/>
  <c r="C11" i="42" s="1"/>
  <c r="C9" i="42"/>
  <c r="O13" i="43"/>
  <c r="J13" i="43"/>
  <c r="Q13" i="43" s="1"/>
  <c r="J12" i="43"/>
  <c r="Q12" i="43" s="1"/>
  <c r="O12" i="43"/>
  <c r="O15" i="43"/>
  <c r="J15" i="43"/>
  <c r="Q15" i="43" s="1"/>
  <c r="O11" i="43"/>
  <c r="J11" i="43"/>
  <c r="Q11" i="43" s="1"/>
  <c r="C8" i="15"/>
  <c r="N11" i="44"/>
  <c r="T11" i="44" s="1"/>
  <c r="O12" i="45"/>
  <c r="S12" i="45"/>
  <c r="U12" i="45" s="1"/>
  <c r="N28" i="45"/>
  <c r="O28" i="45" s="1"/>
  <c r="S11" i="44"/>
  <c r="J9" i="31"/>
  <c r="J16" i="9"/>
  <c r="O16" i="9"/>
  <c r="O17" i="9"/>
  <c r="J17" i="9"/>
  <c r="J11" i="9"/>
  <c r="O11" i="9"/>
  <c r="O21" i="9"/>
  <c r="J21" i="9"/>
  <c r="C316" i="41"/>
  <c r="C10" i="15"/>
  <c r="C11" i="15" s="1"/>
  <c r="O8" i="9"/>
  <c r="J8" i="9"/>
  <c r="J13" i="9"/>
  <c r="O13" i="9"/>
  <c r="J15" i="9"/>
  <c r="O15" i="9"/>
  <c r="O18" i="9"/>
  <c r="J18" i="9"/>
  <c r="J19" i="9"/>
  <c r="O19" i="9"/>
  <c r="J9" i="9"/>
  <c r="O9" i="9"/>
  <c r="I16" i="32"/>
  <c r="J16" i="32" s="1"/>
  <c r="I18" i="32"/>
  <c r="J18" i="32" s="1"/>
  <c r="J14" i="12" s="1"/>
  <c r="I17" i="32"/>
  <c r="J17" i="32" s="1"/>
  <c r="I14" i="12" s="1"/>
  <c r="O7" i="9"/>
  <c r="J7" i="9"/>
  <c r="O20" i="9"/>
  <c r="J20" i="9"/>
  <c r="J11" i="32"/>
  <c r="O22" i="9"/>
  <c r="J22" i="9"/>
  <c r="O10" i="9"/>
  <c r="J10" i="9"/>
  <c r="H9" i="42"/>
  <c r="H8" i="42"/>
  <c r="J14" i="9"/>
  <c r="O14" i="9"/>
  <c r="O12" i="9"/>
  <c r="J12" i="9"/>
  <c r="E77" i="12"/>
  <c r="U13" i="33"/>
  <c r="J14" i="33"/>
  <c r="S14" i="33"/>
  <c r="N17" i="4"/>
  <c r="O17" i="4" s="1"/>
  <c r="Q17" i="24" l="1"/>
  <c r="D17" i="24"/>
  <c r="H17" i="24" s="1"/>
  <c r="J16" i="33"/>
  <c r="M14" i="33" s="1"/>
  <c r="Y17" i="24"/>
  <c r="AS17" i="24"/>
  <c r="AW17" i="24" s="1"/>
  <c r="AG17" i="24"/>
  <c r="AO17" i="24"/>
  <c r="O11" i="44"/>
  <c r="U11" i="44" s="1"/>
  <c r="H29" i="44" s="1"/>
  <c r="I29" i="44" s="1"/>
  <c r="I21" i="12" s="1"/>
  <c r="C9" i="15"/>
  <c r="O7" i="15"/>
  <c r="Q7" i="15" s="1"/>
  <c r="C317" i="41"/>
  <c r="C318" i="41" s="1"/>
  <c r="C319" i="41" s="1"/>
  <c r="C320" i="41" s="1"/>
  <c r="C321" i="41" s="1"/>
  <c r="C322" i="41" s="1"/>
  <c r="C323" i="41" s="1"/>
  <c r="C324" i="41" s="1"/>
  <c r="C325" i="41" s="1"/>
  <c r="C326" i="41" s="1"/>
  <c r="C327" i="41" s="1"/>
  <c r="C328" i="41" s="1"/>
  <c r="C329" i="41" s="1"/>
  <c r="C8" i="28" s="1"/>
  <c r="N13" i="45"/>
  <c r="T13" i="45" s="1"/>
  <c r="M13" i="45"/>
  <c r="U14" i="33"/>
  <c r="I20" i="33" s="1"/>
  <c r="J20" i="33" s="1"/>
  <c r="I14" i="31"/>
  <c r="J14" i="31" s="1"/>
  <c r="I13" i="31"/>
  <c r="J13" i="31" s="1"/>
  <c r="Q8" i="9"/>
  <c r="V8" i="9"/>
  <c r="X8" i="9" s="1"/>
  <c r="H7" i="15"/>
  <c r="J7" i="15" s="1"/>
  <c r="J10" i="31"/>
  <c r="V10" i="9"/>
  <c r="X10" i="9" s="1"/>
  <c r="Q10" i="9"/>
  <c r="J8" i="42"/>
  <c r="Q8" i="42" s="1"/>
  <c r="O8" i="42"/>
  <c r="O7" i="42"/>
  <c r="J7" i="42"/>
  <c r="Q7" i="42" s="1"/>
  <c r="Q22" i="9"/>
  <c r="V22" i="9"/>
  <c r="X22" i="9" s="1"/>
  <c r="J24" i="9"/>
  <c r="J25" i="9" s="1"/>
  <c r="G28" i="12" s="1"/>
  <c r="J12" i="32"/>
  <c r="G14" i="12" s="1"/>
  <c r="AA77" i="12" s="1"/>
  <c r="H14" i="12"/>
  <c r="V9" i="9"/>
  <c r="X9" i="9" s="1"/>
  <c r="Q9" i="9"/>
  <c r="Q15" i="9"/>
  <c r="V15" i="9"/>
  <c r="X15" i="9" s="1"/>
  <c r="Q14" i="9"/>
  <c r="V14" i="9"/>
  <c r="X14" i="9" s="1"/>
  <c r="Q18" i="9"/>
  <c r="V18" i="9"/>
  <c r="X18" i="9" s="1"/>
  <c r="O9" i="42"/>
  <c r="J9" i="42"/>
  <c r="Q9" i="42" s="1"/>
  <c r="Q21" i="9"/>
  <c r="V21" i="9"/>
  <c r="X21" i="9" s="1"/>
  <c r="V17" i="9"/>
  <c r="X17" i="9" s="1"/>
  <c r="Q17" i="9"/>
  <c r="V7" i="9"/>
  <c r="X7" i="9" s="1"/>
  <c r="Q7" i="9"/>
  <c r="Q11" i="9"/>
  <c r="V11" i="9"/>
  <c r="X11" i="9" s="1"/>
  <c r="Q16" i="9"/>
  <c r="V16" i="9"/>
  <c r="X16" i="9" s="1"/>
  <c r="Q20" i="9"/>
  <c r="V20" i="9"/>
  <c r="X20" i="9" s="1"/>
  <c r="Q19" i="9"/>
  <c r="V19" i="9"/>
  <c r="X19" i="9" s="1"/>
  <c r="Q13" i="9"/>
  <c r="V13" i="9"/>
  <c r="X13" i="9" s="1"/>
  <c r="Q12" i="9"/>
  <c r="V12" i="9"/>
  <c r="X12" i="9" s="1"/>
  <c r="M15" i="11"/>
  <c r="N15" i="11" s="1"/>
  <c r="O15" i="11" s="1"/>
  <c r="M7" i="4"/>
  <c r="N7" i="4"/>
  <c r="T7" i="4" s="1"/>
  <c r="Q34" i="24" l="1"/>
  <c r="D34" i="24"/>
  <c r="H34" i="24" s="1"/>
  <c r="M7" i="33"/>
  <c r="N7" i="33" s="1"/>
  <c r="M8" i="33"/>
  <c r="N8" i="33" s="1"/>
  <c r="M9" i="33"/>
  <c r="N9" i="33" s="1"/>
  <c r="M10" i="33"/>
  <c r="N10" i="33" s="1"/>
  <c r="M11" i="33"/>
  <c r="N11" i="33" s="1"/>
  <c r="M12" i="33"/>
  <c r="N12" i="33" s="1"/>
  <c r="M13" i="33"/>
  <c r="N13" i="33" s="1"/>
  <c r="Y34" i="24"/>
  <c r="AS34" i="24"/>
  <c r="AW34" i="24" s="1"/>
  <c r="AG34" i="24"/>
  <c r="AG37" i="24"/>
  <c r="AO37" i="24"/>
  <c r="H28" i="44"/>
  <c r="I28" i="44" s="1"/>
  <c r="H30" i="44"/>
  <c r="I30" i="44" s="1"/>
  <c r="J21" i="12" s="1"/>
  <c r="O13" i="44"/>
  <c r="O14" i="44" s="1"/>
  <c r="G21" i="12" s="1"/>
  <c r="AA85" i="12" s="1"/>
  <c r="C330" i="41"/>
  <c r="C331" i="41" s="1"/>
  <c r="C332" i="41" s="1"/>
  <c r="C333" i="41" s="1"/>
  <c r="C334" i="41" s="1"/>
  <c r="C335" i="41" s="1"/>
  <c r="C336" i="41" s="1"/>
  <c r="C337" i="41" s="1"/>
  <c r="C338" i="41" s="1"/>
  <c r="C339" i="41" s="1"/>
  <c r="C340" i="41" s="1"/>
  <c r="C341" i="41" s="1"/>
  <c r="C10" i="28"/>
  <c r="C11" i="28" s="1"/>
  <c r="H14" i="28" s="1"/>
  <c r="C9" i="28"/>
  <c r="H29" i="12"/>
  <c r="G29" i="12"/>
  <c r="I25" i="43"/>
  <c r="J25" i="43" s="1"/>
  <c r="I29" i="12" s="1"/>
  <c r="I26" i="43"/>
  <c r="J26" i="43" s="1"/>
  <c r="J29" i="12" s="1"/>
  <c r="I15" i="15"/>
  <c r="J15" i="15" s="1"/>
  <c r="I17" i="15"/>
  <c r="J17" i="15" s="1"/>
  <c r="J10" i="12" s="1"/>
  <c r="I16" i="15"/>
  <c r="J16" i="15" s="1"/>
  <c r="I10" i="12" s="1"/>
  <c r="I21" i="33"/>
  <c r="J21" i="33" s="1"/>
  <c r="S13" i="45"/>
  <c r="U13" i="45" s="1"/>
  <c r="O13" i="45"/>
  <c r="O15" i="45" s="1"/>
  <c r="O16" i="45" s="1"/>
  <c r="Z77" i="12"/>
  <c r="C12" i="10"/>
  <c r="J10" i="15"/>
  <c r="N14" i="33"/>
  <c r="J11" i="42"/>
  <c r="H20" i="28"/>
  <c r="H28" i="28"/>
  <c r="H13" i="28"/>
  <c r="H15" i="28"/>
  <c r="H23" i="28"/>
  <c r="H8" i="28"/>
  <c r="H24" i="28"/>
  <c r="H32" i="28"/>
  <c r="H19" i="28"/>
  <c r="H9" i="28"/>
  <c r="H25" i="28"/>
  <c r="H10" i="28"/>
  <c r="H18" i="28"/>
  <c r="H26" i="28"/>
  <c r="H11" i="28"/>
  <c r="H37" i="9"/>
  <c r="I37" i="9" s="1"/>
  <c r="I28" i="12" s="1"/>
  <c r="H36" i="9"/>
  <c r="I36" i="9" s="1"/>
  <c r="J28" i="12" s="1"/>
  <c r="H35" i="9"/>
  <c r="I35" i="9" s="1"/>
  <c r="H28" i="12"/>
  <c r="S7" i="4"/>
  <c r="U7" i="4" s="1"/>
  <c r="O7" i="4"/>
  <c r="N7" i="11"/>
  <c r="T7" i="11" s="1"/>
  <c r="M7" i="11"/>
  <c r="M18" i="20"/>
  <c r="N18" i="20" s="1"/>
  <c r="O18" i="20" s="1"/>
  <c r="M7" i="20" s="1"/>
  <c r="Q41" i="24" l="1"/>
  <c r="D41" i="24"/>
  <c r="H41" i="24" s="1"/>
  <c r="Q38" i="24"/>
  <c r="D38" i="24"/>
  <c r="H38" i="24" s="1"/>
  <c r="M17" i="33"/>
  <c r="N17" i="33"/>
  <c r="H10" i="12"/>
  <c r="I56" i="12"/>
  <c r="Y41" i="24"/>
  <c r="AS41" i="24"/>
  <c r="Y32" i="24"/>
  <c r="AS32" i="24"/>
  <c r="AW32" i="24" s="1"/>
  <c r="Y38" i="24"/>
  <c r="AS38" i="24"/>
  <c r="AW38" i="24" s="1"/>
  <c r="H27" i="28"/>
  <c r="H29" i="28"/>
  <c r="H21" i="28"/>
  <c r="AG42" i="24"/>
  <c r="BD13" i="24"/>
  <c r="BD15" i="24" s="1"/>
  <c r="BD16" i="24" s="1"/>
  <c r="AG39" i="24"/>
  <c r="AG32" i="24"/>
  <c r="AO34" i="24"/>
  <c r="AO42" i="24"/>
  <c r="AO39" i="24"/>
  <c r="H21" i="12"/>
  <c r="Z85" i="12" s="1"/>
  <c r="H17" i="28"/>
  <c r="H7" i="28"/>
  <c r="O7" i="28" s="1"/>
  <c r="H12" i="28"/>
  <c r="J12" i="28" s="1"/>
  <c r="Q12" i="28" s="1"/>
  <c r="H16" i="28"/>
  <c r="O16" i="28" s="1"/>
  <c r="H30" i="28"/>
  <c r="J30" i="28" s="1"/>
  <c r="Q30" i="28" s="1"/>
  <c r="H22" i="28"/>
  <c r="O22" i="28" s="1"/>
  <c r="H33" i="28"/>
  <c r="O33" i="28" s="1"/>
  <c r="H31" i="28"/>
  <c r="J31" i="28" s="1"/>
  <c r="Q31" i="28" s="1"/>
  <c r="O10" i="4"/>
  <c r="O11" i="4" s="1"/>
  <c r="G12" i="12" s="1"/>
  <c r="O20" i="4"/>
  <c r="H31" i="45"/>
  <c r="I31" i="45" s="1"/>
  <c r="H33" i="45"/>
  <c r="I33" i="45" s="1"/>
  <c r="H32" i="45"/>
  <c r="I32" i="45" s="1"/>
  <c r="H9" i="10"/>
  <c r="H8" i="10"/>
  <c r="H10" i="10"/>
  <c r="J11" i="15"/>
  <c r="O15" i="28"/>
  <c r="J15" i="28"/>
  <c r="Q15" i="28" s="1"/>
  <c r="J21" i="28"/>
  <c r="Q21" i="28" s="1"/>
  <c r="O21" i="28"/>
  <c r="J29" i="28"/>
  <c r="Q29" i="28" s="1"/>
  <c r="O29" i="28"/>
  <c r="J9" i="28"/>
  <c r="Q9" i="28" s="1"/>
  <c r="O9" i="28"/>
  <c r="J13" i="28"/>
  <c r="Q13" i="28" s="1"/>
  <c r="O13" i="28"/>
  <c r="O10" i="28"/>
  <c r="J10" i="28"/>
  <c r="Q10" i="28" s="1"/>
  <c r="J8" i="28"/>
  <c r="Q8" i="28" s="1"/>
  <c r="O8" i="28"/>
  <c r="O25" i="28"/>
  <c r="J25" i="28"/>
  <c r="Q25" i="28" s="1"/>
  <c r="O23" i="28"/>
  <c r="J23" i="28"/>
  <c r="Q23" i="28" s="1"/>
  <c r="O17" i="28"/>
  <c r="J17" i="28"/>
  <c r="Q17" i="28" s="1"/>
  <c r="J11" i="28"/>
  <c r="Q11" i="28" s="1"/>
  <c r="O11" i="28"/>
  <c r="J27" i="28"/>
  <c r="Q27" i="28" s="1"/>
  <c r="O27" i="28"/>
  <c r="J28" i="28"/>
  <c r="Q28" i="28" s="1"/>
  <c r="O28" i="28"/>
  <c r="J19" i="28"/>
  <c r="Q19" i="28" s="1"/>
  <c r="O19" i="28"/>
  <c r="O26" i="28"/>
  <c r="J26" i="28"/>
  <c r="Q26" i="28" s="1"/>
  <c r="J32" i="28"/>
  <c r="Q32" i="28" s="1"/>
  <c r="O32" i="28"/>
  <c r="J16" i="28"/>
  <c r="Q16" i="28" s="1"/>
  <c r="O20" i="28"/>
  <c r="J20" i="28"/>
  <c r="Q20" i="28" s="1"/>
  <c r="J18" i="28"/>
  <c r="Q18" i="28" s="1"/>
  <c r="O18" i="28"/>
  <c r="O24" i="28"/>
  <c r="J24" i="28"/>
  <c r="Q24" i="28" s="1"/>
  <c r="H26" i="12"/>
  <c r="J12" i="42"/>
  <c r="G26" i="12" s="1"/>
  <c r="J14" i="28"/>
  <c r="Q14" i="28" s="1"/>
  <c r="O14" i="28"/>
  <c r="I15" i="42"/>
  <c r="J15" i="42" s="1"/>
  <c r="I26" i="12" s="1"/>
  <c r="I16" i="42"/>
  <c r="J16" i="42" s="1"/>
  <c r="J26" i="12" s="1"/>
  <c r="S7" i="11"/>
  <c r="U7" i="11" s="1"/>
  <c r="O7" i="11"/>
  <c r="O7" i="20"/>
  <c r="S7" i="20"/>
  <c r="U7" i="20" s="1"/>
  <c r="H13" i="4"/>
  <c r="I13" i="4" s="1"/>
  <c r="H15" i="4"/>
  <c r="I15" i="4" s="1"/>
  <c r="H14" i="4"/>
  <c r="I14" i="4" s="1"/>
  <c r="M18" i="13"/>
  <c r="N18" i="13" s="1"/>
  <c r="O18" i="13" s="1"/>
  <c r="M7" i="13" s="1"/>
  <c r="S7" i="13" s="1"/>
  <c r="Q37" i="24" l="1"/>
  <c r="D37" i="24"/>
  <c r="H37" i="24" s="1"/>
  <c r="Q32" i="24"/>
  <c r="D32" i="24"/>
  <c r="H32" i="24" s="1"/>
  <c r="N19" i="33"/>
  <c r="J17" i="33" s="1"/>
  <c r="Z74" i="12"/>
  <c r="G10" i="12"/>
  <c r="AA74" i="12" s="1"/>
  <c r="J56" i="12"/>
  <c r="Y37" i="24"/>
  <c r="AS37" i="24"/>
  <c r="AW37" i="24" s="1"/>
  <c r="O12" i="28"/>
  <c r="J7" i="28"/>
  <c r="Q7" i="28" s="1"/>
  <c r="AW41" i="24"/>
  <c r="AG38" i="24"/>
  <c r="AO32" i="24"/>
  <c r="AO38" i="24"/>
  <c r="O30" i="28"/>
  <c r="J33" i="28"/>
  <c r="Q33" i="28" s="1"/>
  <c r="O31" i="28"/>
  <c r="J22" i="28"/>
  <c r="Q22" i="28" s="1"/>
  <c r="H12" i="12"/>
  <c r="O9" i="11"/>
  <c r="H11" i="12" s="1"/>
  <c r="O18" i="11"/>
  <c r="F54" i="12"/>
  <c r="O22" i="4"/>
  <c r="I54" i="12" s="1"/>
  <c r="O21" i="4"/>
  <c r="H54" i="12" s="1"/>
  <c r="G54" i="12" s="1"/>
  <c r="O10" i="10"/>
  <c r="Q10" i="10" s="1"/>
  <c r="J10" i="10"/>
  <c r="O8" i="10"/>
  <c r="Q8" i="10" s="1"/>
  <c r="J8" i="10"/>
  <c r="J9" i="10"/>
  <c r="O9" i="10"/>
  <c r="Q9" i="10" s="1"/>
  <c r="J7" i="10"/>
  <c r="O7" i="10"/>
  <c r="Q7" i="10" s="1"/>
  <c r="J12" i="12"/>
  <c r="I12" i="12"/>
  <c r="S6" i="13"/>
  <c r="O7" i="13"/>
  <c r="U7" i="13" s="1"/>
  <c r="N20" i="26"/>
  <c r="O20" i="26" s="1"/>
  <c r="P20" i="26" s="1"/>
  <c r="N7" i="26" s="1"/>
  <c r="H19" i="11"/>
  <c r="I19" i="11" s="1"/>
  <c r="H20" i="11"/>
  <c r="I20" i="11" s="1"/>
  <c r="H21" i="11"/>
  <c r="I21" i="11" s="1"/>
  <c r="Z76" i="12" l="1"/>
  <c r="J35" i="28"/>
  <c r="H30" i="12" s="1"/>
  <c r="O10" i="11"/>
  <c r="G11" i="12" s="1"/>
  <c r="F55" i="12"/>
  <c r="G61" i="12" s="1"/>
  <c r="O20" i="11"/>
  <c r="I55" i="12" s="1"/>
  <c r="O19" i="11"/>
  <c r="H55" i="12" s="1"/>
  <c r="G55" i="12" s="1"/>
  <c r="I17" i="10"/>
  <c r="J17" i="10" s="1"/>
  <c r="I27" i="12" s="1"/>
  <c r="I18" i="10"/>
  <c r="J18" i="10" s="1"/>
  <c r="J27" i="12" s="1"/>
  <c r="I16" i="10"/>
  <c r="J16" i="10" s="1"/>
  <c r="I39" i="28"/>
  <c r="J39" i="28" s="1"/>
  <c r="I30" i="12" s="1"/>
  <c r="I40" i="28"/>
  <c r="J40" i="28" s="1"/>
  <c r="J30" i="12" s="1"/>
  <c r="I11" i="12"/>
  <c r="J11" i="12"/>
  <c r="Z75" i="12"/>
  <c r="T7" i="26"/>
  <c r="V7" i="26" s="1"/>
  <c r="P7" i="26"/>
  <c r="M22" i="17"/>
  <c r="N22" i="17" s="1"/>
  <c r="O22" i="17" s="1"/>
  <c r="M7" i="17" s="1"/>
  <c r="M23" i="23"/>
  <c r="N23" i="23" s="1"/>
  <c r="O23" i="23" s="1"/>
  <c r="M7" i="23" s="1"/>
  <c r="Q39" i="24" l="1"/>
  <c r="D39" i="24"/>
  <c r="H39" i="24" s="1"/>
  <c r="Y39" i="24"/>
  <c r="AS39" i="24"/>
  <c r="AW39" i="24" s="1"/>
  <c r="AG40" i="24"/>
  <c r="AO40" i="24"/>
  <c r="J36" i="28"/>
  <c r="G30" i="12" s="1"/>
  <c r="H27" i="12"/>
  <c r="J13" i="10"/>
  <c r="G27" i="12" s="1"/>
  <c r="S7" i="17"/>
  <c r="U7" i="17" s="1"/>
  <c r="O7" i="17"/>
  <c r="H372" i="25"/>
  <c r="O7" i="23"/>
  <c r="S7" i="23"/>
  <c r="U7" i="23" s="1"/>
  <c r="Q40" i="24" l="1"/>
  <c r="D40" i="24"/>
  <c r="H40" i="24" s="1"/>
  <c r="Y40" i="24"/>
  <c r="AS40" i="24"/>
  <c r="AW40" i="24" s="1"/>
  <c r="AG41" i="24"/>
  <c r="M19" i="20"/>
  <c r="N19" i="20" s="1"/>
  <c r="O19" i="20" s="1"/>
  <c r="M8" i="20" s="1"/>
  <c r="AO41" i="24" l="1"/>
  <c r="S8" i="20"/>
  <c r="U8" i="20" s="1"/>
  <c r="O8" i="20"/>
  <c r="M19" i="13"/>
  <c r="N19" i="13" s="1"/>
  <c r="O19" i="13" s="1"/>
  <c r="N8" i="13" l="1"/>
  <c r="T8" i="13" s="1"/>
  <c r="M8" i="13"/>
  <c r="N21" i="26"/>
  <c r="O21" i="26" s="1"/>
  <c r="P21" i="26" s="1"/>
  <c r="N8" i="26" s="1"/>
  <c r="T8" i="26" l="1"/>
  <c r="V8" i="26" s="1"/>
  <c r="P8" i="26"/>
  <c r="S8" i="13"/>
  <c r="U8" i="13" s="1"/>
  <c r="H17" i="13" s="1"/>
  <c r="O8" i="13"/>
  <c r="O10" i="13" s="1"/>
  <c r="M24" i="23"/>
  <c r="N24" i="23" s="1"/>
  <c r="O24" i="23" s="1"/>
  <c r="M8" i="23" s="1"/>
  <c r="M23" i="17"/>
  <c r="N23" i="17" s="1"/>
  <c r="O23" i="17" s="1"/>
  <c r="M8" i="17" s="1"/>
  <c r="H15" i="12" l="1"/>
  <c r="S8" i="17"/>
  <c r="U8" i="17" s="1"/>
  <c r="O8" i="17"/>
  <c r="O8" i="23"/>
  <c r="S8" i="23"/>
  <c r="U8" i="23" s="1"/>
  <c r="U18" i="23" s="1"/>
  <c r="O11" i="13"/>
  <c r="G15" i="12" s="1"/>
  <c r="M20" i="20"/>
  <c r="N20" i="20" s="1"/>
  <c r="O20" i="20" s="1"/>
  <c r="M9" i="20" s="1"/>
  <c r="H18" i="13"/>
  <c r="I18" i="13" s="1"/>
  <c r="I17" i="13"/>
  <c r="H19" i="13"/>
  <c r="I19" i="13" s="1"/>
  <c r="J15" i="12" l="1"/>
  <c r="I15" i="12"/>
  <c r="Z79" i="12"/>
  <c r="N22" i="26"/>
  <c r="O22" i="26" s="1"/>
  <c r="P22" i="26" s="1"/>
  <c r="S9" i="20"/>
  <c r="U9" i="20" s="1"/>
  <c r="O9" i="20"/>
  <c r="O9" i="26" l="1"/>
  <c r="U9" i="26" s="1"/>
  <c r="N9" i="26"/>
  <c r="M24" i="17"/>
  <c r="N24" i="17" s="1"/>
  <c r="O24" i="17" s="1"/>
  <c r="M9" i="17" s="1"/>
  <c r="M25" i="23"/>
  <c r="N25" i="23" s="1"/>
  <c r="O25" i="23" s="1"/>
  <c r="M9" i="23" s="1"/>
  <c r="O9" i="23" l="1"/>
  <c r="S9" i="23"/>
  <c r="U9" i="23" s="1"/>
  <c r="T9" i="26"/>
  <c r="V9" i="26" s="1"/>
  <c r="P9" i="26"/>
  <c r="P11" i="26" s="1"/>
  <c r="P12" i="26" s="1"/>
  <c r="S9" i="17"/>
  <c r="U9" i="17" s="1"/>
  <c r="O9" i="17"/>
  <c r="K372" i="25"/>
  <c r="H16" i="12" l="1"/>
  <c r="Z78" i="12" s="1"/>
  <c r="M21" i="20"/>
  <c r="N21" i="20" s="1"/>
  <c r="O21" i="20" s="1"/>
  <c r="H25" i="26"/>
  <c r="I25" i="26" s="1"/>
  <c r="H24" i="26"/>
  <c r="I24" i="26" s="1"/>
  <c r="H26" i="26"/>
  <c r="I26" i="26" s="1"/>
  <c r="G16" i="12"/>
  <c r="J16" i="12" l="1"/>
  <c r="I16" i="12"/>
  <c r="M10" i="20"/>
  <c r="N10" i="20"/>
  <c r="T10" i="20" s="1"/>
  <c r="M25" i="17"/>
  <c r="N25" i="17" s="1"/>
  <c r="O25" i="17" s="1"/>
  <c r="M26" i="23"/>
  <c r="N26" i="23" s="1"/>
  <c r="O26" i="23" s="1"/>
  <c r="M10" i="23" s="1"/>
  <c r="N10" i="17" l="1"/>
  <c r="T10" i="17" s="1"/>
  <c r="M10" i="17"/>
  <c r="O10" i="23"/>
  <c r="S10" i="23"/>
  <c r="U10" i="23" s="1"/>
  <c r="M27" i="23"/>
  <c r="N27" i="23" s="1"/>
  <c r="O27" i="23" s="1"/>
  <c r="M11" i="23" s="1"/>
  <c r="S10" i="20"/>
  <c r="U10" i="20" s="1"/>
  <c r="O10" i="20"/>
  <c r="O12" i="20" s="1"/>
  <c r="H18" i="12" l="1"/>
  <c r="N372" i="25"/>
  <c r="O11" i="23"/>
  <c r="S11" i="23"/>
  <c r="U11" i="23" s="1"/>
  <c r="O13" i="20"/>
  <c r="G18" i="12" s="1"/>
  <c r="AA81" i="12" s="1"/>
  <c r="H31" i="20"/>
  <c r="I31" i="20" s="1"/>
  <c r="H33" i="20"/>
  <c r="I33" i="20" s="1"/>
  <c r="H32" i="20"/>
  <c r="I32" i="20" s="1"/>
  <c r="S10" i="17"/>
  <c r="U10" i="17" s="1"/>
  <c r="O10" i="17"/>
  <c r="O12" i="17" s="1"/>
  <c r="H20" i="12" l="1"/>
  <c r="I18" i="12"/>
  <c r="J18" i="12"/>
  <c r="Z81" i="12"/>
  <c r="O13" i="17"/>
  <c r="G20" i="12" s="1"/>
  <c r="AA82" i="12" s="1"/>
  <c r="H29" i="17"/>
  <c r="I29" i="17" s="1"/>
  <c r="H30" i="17"/>
  <c r="I30" i="17" s="1"/>
  <c r="H28" i="17"/>
  <c r="I28" i="17" s="1"/>
  <c r="Q372" i="25"/>
  <c r="M28" i="23"/>
  <c r="N28" i="23" s="1"/>
  <c r="O28" i="23" s="1"/>
  <c r="J20" i="12" l="1"/>
  <c r="I20" i="12"/>
  <c r="Z82" i="12"/>
  <c r="M12" i="23"/>
  <c r="N12" i="23"/>
  <c r="T12" i="23" s="1"/>
  <c r="S12" i="23" l="1"/>
  <c r="U12" i="23" s="1"/>
  <c r="O12" i="23"/>
  <c r="O14" i="23" s="1"/>
  <c r="H22" i="12" l="1"/>
  <c r="O15" i="23"/>
  <c r="G22" i="12" s="1"/>
  <c r="AA84" i="12" s="1"/>
  <c r="H33" i="23"/>
  <c r="I33" i="23" s="1"/>
  <c r="H31" i="23"/>
  <c r="I31" i="23" s="1"/>
  <c r="H32" i="23"/>
  <c r="I32" i="23" s="1"/>
  <c r="I22" i="12" l="1"/>
  <c r="J22" i="12"/>
  <c r="Z84" i="12"/>
  <c r="H10" i="35" l="1"/>
  <c r="J10" i="35" s="1"/>
  <c r="H9" i="35"/>
  <c r="J9" i="35" s="1"/>
  <c r="H8" i="35"/>
  <c r="J8" i="35" s="1"/>
  <c r="H7" i="35"/>
  <c r="J7" i="35" s="1"/>
  <c r="H11" i="35"/>
  <c r="J11" i="35" s="1"/>
  <c r="H12" i="35"/>
  <c r="G6" i="35"/>
  <c r="I20" i="35" l="1"/>
  <c r="I13" i="35"/>
  <c r="I14" i="35"/>
  <c r="I12" i="35"/>
  <c r="J12" i="35" s="1"/>
  <c r="G7" i="35"/>
  <c r="I19" i="35"/>
  <c r="I21" i="35"/>
  <c r="I15" i="35"/>
  <c r="I16" i="35"/>
  <c r="I17" i="35"/>
  <c r="I18" i="35"/>
  <c r="G8" i="35" l="1"/>
  <c r="G9" i="35" l="1"/>
  <c r="G10" i="35" l="1"/>
  <c r="G11" i="35" l="1"/>
  <c r="G12" i="35" l="1"/>
  <c r="G13" i="35" l="1"/>
  <c r="G14" i="35" s="1"/>
  <c r="G15" i="35" s="1"/>
  <c r="G16" i="35" s="1"/>
  <c r="G17" i="35" s="1"/>
  <c r="G18" i="35" s="1"/>
  <c r="G19" i="35" s="1"/>
  <c r="G20" i="35" s="1"/>
  <c r="G21" i="35" s="1"/>
  <c r="H13" i="35" l="1"/>
  <c r="J13" i="35" s="1"/>
  <c r="H14" i="35" l="1"/>
  <c r="J14" i="35" s="1"/>
  <c r="H15" i="35" l="1"/>
  <c r="J15" i="35" s="1"/>
  <c r="H16" i="35" l="1"/>
  <c r="J16" i="35" s="1"/>
  <c r="H17" i="35" l="1"/>
  <c r="J17" i="35" s="1"/>
  <c r="H18" i="35" l="1"/>
  <c r="J18" i="35" s="1"/>
  <c r="H19" i="35" l="1"/>
  <c r="J19" i="35" s="1"/>
  <c r="H21" i="35" l="1"/>
  <c r="J21" i="35" s="1"/>
  <c r="H20" i="35"/>
  <c r="J20" i="35" s="1"/>
  <c r="J23" i="35" l="1"/>
  <c r="M20" i="35" s="1"/>
  <c r="N20" i="35" s="1"/>
  <c r="M13" i="35" l="1"/>
  <c r="N13" i="35" s="1"/>
  <c r="M17" i="35"/>
  <c r="N17" i="35" s="1"/>
  <c r="M18" i="35"/>
  <c r="N18" i="35" s="1"/>
  <c r="E79" i="12"/>
  <c r="M16" i="35"/>
  <c r="N16" i="35" s="1"/>
  <c r="M15" i="35"/>
  <c r="N15" i="35" s="1"/>
  <c r="M7" i="35"/>
  <c r="N7" i="35" s="1"/>
  <c r="M8" i="35"/>
  <c r="N8" i="35" s="1"/>
  <c r="M14" i="35"/>
  <c r="N14" i="35" s="1"/>
  <c r="M11" i="35"/>
  <c r="N11" i="35" s="1"/>
  <c r="M12" i="35"/>
  <c r="N12" i="35" s="1"/>
  <c r="M9" i="35"/>
  <c r="N9" i="35" s="1"/>
  <c r="M21" i="35"/>
  <c r="N21" i="35" s="1"/>
  <c r="M19" i="35"/>
  <c r="N19" i="35" s="1"/>
  <c r="M10" i="35"/>
  <c r="N10" i="35" s="1"/>
  <c r="Q18" i="24" l="1"/>
  <c r="D18" i="24"/>
  <c r="H18" i="24" s="1"/>
  <c r="Y18" i="24"/>
  <c r="AS18" i="24"/>
  <c r="AW18" i="24" s="1"/>
  <c r="AG18" i="24"/>
  <c r="AO18" i="24"/>
  <c r="AD99" i="12"/>
  <c r="AD104" i="12" s="1"/>
  <c r="N22" i="35"/>
  <c r="M22" i="35"/>
  <c r="N23" i="35" l="1"/>
  <c r="N14" i="37"/>
  <c r="J13" i="37" s="1"/>
  <c r="G25" i="12" s="1"/>
  <c r="J24" i="35" l="1"/>
  <c r="F79" i="12" s="1"/>
</calcChain>
</file>

<file path=xl/sharedStrings.xml><?xml version="1.0" encoding="utf-8"?>
<sst xmlns="http://schemas.openxmlformats.org/spreadsheetml/2006/main" count="1642" uniqueCount="269">
  <si>
    <t>Emisión</t>
  </si>
  <si>
    <t>Vencimiento</t>
  </si>
  <si>
    <t>CER Inicial</t>
  </si>
  <si>
    <t>CER actual</t>
  </si>
  <si>
    <t>Coeficiente</t>
  </si>
  <si>
    <t>Cupón</t>
  </si>
  <si>
    <t>Fecha de pago</t>
  </si>
  <si>
    <t>VR</t>
  </si>
  <si>
    <t>Interes</t>
  </si>
  <si>
    <t>Total</t>
  </si>
  <si>
    <t>TIR</t>
  </si>
  <si>
    <t>Paridad</t>
  </si>
  <si>
    <t>Elaboración @robertoaxleord en base a cálculos propios y BCRA</t>
  </si>
  <si>
    <t>TIR (+CER)</t>
  </si>
  <si>
    <t>Fecha</t>
  </si>
  <si>
    <t>Amortización</t>
  </si>
  <si>
    <t>VN * CER</t>
  </si>
  <si>
    <t>TNA</t>
  </si>
  <si>
    <t>Upside</t>
  </si>
  <si>
    <t>VT</t>
  </si>
  <si>
    <t>TO21</t>
  </si>
  <si>
    <t>Días</t>
  </si>
  <si>
    <t>Duration</t>
  </si>
  <si>
    <t>Fecha de Vto.</t>
  </si>
  <si>
    <t>CER</t>
  </si>
  <si>
    <t>Datos PBA25</t>
  </si>
  <si>
    <t>PBA25</t>
  </si>
  <si>
    <t>Último pago</t>
  </si>
  <si>
    <t>BADLAR</t>
  </si>
  <si>
    <t>MD</t>
  </si>
  <si>
    <t>Cupon</t>
  </si>
  <si>
    <t>Datos PBY22</t>
  </si>
  <si>
    <t>PBY22</t>
  </si>
  <si>
    <t>Amort.</t>
  </si>
  <si>
    <t>Datos de emisión</t>
  </si>
  <si>
    <t>Flujo de fondos TX21</t>
  </si>
  <si>
    <t>Flujo de fondos TC21</t>
  </si>
  <si>
    <t>Datos de emision</t>
  </si>
  <si>
    <t>BONCER 2021 - TC21</t>
  </si>
  <si>
    <t>Bono en pesos CER al 1% Vto. 2021 - TX21</t>
  </si>
  <si>
    <t>Precio</t>
  </si>
  <si>
    <t>TC21</t>
  </si>
  <si>
    <t>TX21</t>
  </si>
  <si>
    <t>Fecha de liquidación</t>
  </si>
  <si>
    <t>Flujo de fondos TX22</t>
  </si>
  <si>
    <t>TX22</t>
  </si>
  <si>
    <t>Titulo</t>
  </si>
  <si>
    <t>Px. Mercado</t>
  </si>
  <si>
    <t>Valor a Finish</t>
  </si>
  <si>
    <t>Ticker</t>
  </si>
  <si>
    <t>Bono en pesos BADLAR + 200bps Vto. 2021</t>
  </si>
  <si>
    <t>Flujo de fondos TB21</t>
  </si>
  <si>
    <t>TB21</t>
  </si>
  <si>
    <t>Bono de Consolidación - Serie 8</t>
  </si>
  <si>
    <t>Flujo de fondos PR15</t>
  </si>
  <si>
    <t>PR15</t>
  </si>
  <si>
    <t>Días al Vto.</t>
  </si>
  <si>
    <t>Rend. Directo</t>
  </si>
  <si>
    <t>Fecha de CER</t>
  </si>
  <si>
    <t>Capital Actualizado</t>
  </si>
  <si>
    <t>Cuadro IV</t>
  </si>
  <si>
    <t>Inflación Anual</t>
  </si>
  <si>
    <t>TIR 40%</t>
  </si>
  <si>
    <t>Bonos CER (expresados en TIR + CER)</t>
  </si>
  <si>
    <t>DM</t>
  </si>
  <si>
    <t>TX23</t>
  </si>
  <si>
    <t>Flujo de fondos TX23</t>
  </si>
  <si>
    <t>Letras CER</t>
  </si>
  <si>
    <t>Fecha CER Inicio</t>
  </si>
  <si>
    <t>Valor CER Inicio</t>
  </si>
  <si>
    <t>LECERs</t>
  </si>
  <si>
    <t>Fecha CER Fin</t>
  </si>
  <si>
    <t>CER Finish Estimado</t>
  </si>
  <si>
    <t>DICP</t>
  </si>
  <si>
    <t>CUAP</t>
  </si>
  <si>
    <t>PARP</t>
  </si>
  <si>
    <t>BONCER 2023 - TC23</t>
  </si>
  <si>
    <t>Flujo de fondos TC23</t>
  </si>
  <si>
    <t>TC23</t>
  </si>
  <si>
    <t>TO23</t>
  </si>
  <si>
    <t>TO26</t>
  </si>
  <si>
    <t>TX24</t>
  </si>
  <si>
    <t>Upside a distintas TIRs</t>
  </si>
  <si>
    <t>Px.</t>
  </si>
  <si>
    <t>Var(%)</t>
  </si>
  <si>
    <t>Flujo de fondos TC21 - Ajustado por IPC</t>
  </si>
  <si>
    <t>Flujo de fondos TX21 - Ajustado por IPC</t>
  </si>
  <si>
    <t>Flujo de fondos TX22 - Ajustado por IPC</t>
  </si>
  <si>
    <t>Flujo de fondos TC23 - Ajustado por IPC</t>
  </si>
  <si>
    <t>Flujo de fondos TX23 - Ajustado por IPC</t>
  </si>
  <si>
    <t>TC25P</t>
  </si>
  <si>
    <t>PR13</t>
  </si>
  <si>
    <t>Upside a TIR</t>
  </si>
  <si>
    <t>Serie CER 2020</t>
  </si>
  <si>
    <t>Serie CER 2021</t>
  </si>
  <si>
    <t>Serie CER 2022</t>
  </si>
  <si>
    <t>Serie CER 2023</t>
  </si>
  <si>
    <t>Serie CER 2024</t>
  </si>
  <si>
    <t>CER T-10</t>
  </si>
  <si>
    <t>Bono en pesos CER al 1,40% Vto. 2023 - TX23</t>
  </si>
  <si>
    <t>Bono en pesos CER al 1,40% Vto. 2024 - TX24</t>
  </si>
  <si>
    <t>Upside a</t>
  </si>
  <si>
    <t>T2X2</t>
  </si>
  <si>
    <t>Bono en pesos CER al 1,20% Vto. 2022 - TX22</t>
  </si>
  <si>
    <t>Bono en pesos CER al 1,30% Vto. 2022 - T2X2</t>
  </si>
  <si>
    <t>Flujo de fondos T2X2</t>
  </si>
  <si>
    <t>Flujo de fondos T2X2 - Ajustado por IPC</t>
  </si>
  <si>
    <t>Px. Actual</t>
  </si>
  <si>
    <t>Px. Obj.</t>
  </si>
  <si>
    <t>Flujo de fondos TX24</t>
  </si>
  <si>
    <t>Flujo de fondos TX24 - Ajustado por IPC</t>
  </si>
  <si>
    <t>Bono en pesos BADLAR + 375bps Vto. 2028</t>
  </si>
  <si>
    <t>Flujo de fondos BCD28</t>
  </si>
  <si>
    <t>LEDEs</t>
  </si>
  <si>
    <t>Bullet</t>
  </si>
  <si>
    <t>BONCER 2025 - TC25P</t>
  </si>
  <si>
    <t>Datos PMJ21</t>
  </si>
  <si>
    <t>PMJ21</t>
  </si>
  <si>
    <t>Mendoza 2021 - PMJ21</t>
  </si>
  <si>
    <t>Flujo de fondos AA22</t>
  </si>
  <si>
    <t>AA22</t>
  </si>
  <si>
    <t>Bonos de deuda proveedores 2020 - Municipalidad de Córdoba</t>
  </si>
  <si>
    <t>Flujo de fondos BAY23</t>
  </si>
  <si>
    <t>Flujo de fondos TX26</t>
  </si>
  <si>
    <t>TX26</t>
  </si>
  <si>
    <t>Bono en pesos CER al 2% Vto. 2026 - TX26</t>
  </si>
  <si>
    <t>VPFF</t>
  </si>
  <si>
    <t>t x VPFF</t>
  </si>
  <si>
    <t>Bono en pesos CER al 2,25% Vto. 2028 - TX28</t>
  </si>
  <si>
    <t>TX28</t>
  </si>
  <si>
    <t>Fecha Emisión</t>
  </si>
  <si>
    <t>Coef.</t>
  </si>
  <si>
    <t>Bonos de deuda proveedores 2022 Neuquen</t>
  </si>
  <si>
    <t>Flujo de fondos BNY22</t>
  </si>
  <si>
    <t>IPC 2021</t>
  </si>
  <si>
    <t>IPC 2022</t>
  </si>
  <si>
    <t>IPC 2023</t>
  </si>
  <si>
    <t>IPC 2024</t>
  </si>
  <si>
    <t>Neto</t>
  </si>
  <si>
    <t>Anual</t>
  </si>
  <si>
    <t>Plazo</t>
  </si>
  <si>
    <t>Monto</t>
  </si>
  <si>
    <t>Tasa</t>
  </si>
  <si>
    <t>Pasiva</t>
  </si>
  <si>
    <t>Activa</t>
  </si>
  <si>
    <t>Fuente: BAVSA Research en base a cálculos propios y IAMC</t>
  </si>
  <si>
    <t>Lepase</t>
  </si>
  <si>
    <t>Vto.</t>
  </si>
  <si>
    <t>Empieza</t>
  </si>
  <si>
    <t>Termina</t>
  </si>
  <si>
    <t>TEA</t>
  </si>
  <si>
    <t>VN</t>
  </si>
  <si>
    <t>T+2</t>
  </si>
  <si>
    <t>T+0</t>
  </si>
  <si>
    <t>Bonos Soberanos</t>
  </si>
  <si>
    <t>BDC28</t>
  </si>
  <si>
    <t>Bonos Provinciales</t>
  </si>
  <si>
    <t>Margen</t>
  </si>
  <si>
    <t>Tasa Total</t>
  </si>
  <si>
    <t>Tasa Promedio</t>
  </si>
  <si>
    <t>Pases Pasivos 7D</t>
  </si>
  <si>
    <t>Próxima BADLAR</t>
  </si>
  <si>
    <t>BADLAR Cupón</t>
  </si>
  <si>
    <t>Cupón Actual</t>
  </si>
  <si>
    <t>Cupón Próximo</t>
  </si>
  <si>
    <t>Cupon Actual</t>
  </si>
  <si>
    <t>BADLAR Cupon</t>
  </si>
  <si>
    <t>Próximo Cupón</t>
  </si>
  <si>
    <t>BADLAR Última</t>
  </si>
  <si>
    <t>TIR 45%</t>
  </si>
  <si>
    <t>CABA 2022 - BDC22</t>
  </si>
  <si>
    <t>BDC22</t>
  </si>
  <si>
    <t>BDC24</t>
  </si>
  <si>
    <t>CABA 2024 - BDC24</t>
  </si>
  <si>
    <t>Total 2021</t>
  </si>
  <si>
    <t>X13S1</t>
  </si>
  <si>
    <t>CER Actual</t>
  </si>
  <si>
    <t>Flujo de fondos T2X3</t>
  </si>
  <si>
    <t>Bono en pesos CER al 1,45% Vto. 2023 - T2x3</t>
  </si>
  <si>
    <t>T2X3</t>
  </si>
  <si>
    <t>Flujo de fondos T2X3 - Ajustado por IPC</t>
  </si>
  <si>
    <t>Rendimientos expresados como TIR + CER</t>
  </si>
  <si>
    <t>LEPASE Vto. 30/06/2021</t>
  </si>
  <si>
    <t>Directo</t>
  </si>
  <si>
    <t>Variaciones de bonos ajustables por CER</t>
  </si>
  <si>
    <t>Variaciones de bonos a tasa fija y BADLAR</t>
  </si>
  <si>
    <t>Cuadro I</t>
  </si>
  <si>
    <t>Bono en pesos CER al 1,55% Vto. 2024 - T2X4</t>
  </si>
  <si>
    <t>S30L1</t>
  </si>
  <si>
    <t>MAR</t>
  </si>
  <si>
    <t>AB</t>
  </si>
  <si>
    <t>MAYO</t>
  </si>
  <si>
    <t>JUNIO</t>
  </si>
  <si>
    <t>Cuadro III</t>
  </si>
  <si>
    <t>LEPASE Vto. 30/07/2021</t>
  </si>
  <si>
    <t>SL301</t>
  </si>
  <si>
    <t>JULIO</t>
  </si>
  <si>
    <t>AGOSTO</t>
  </si>
  <si>
    <t>SEPT</t>
  </si>
  <si>
    <t>OCTUBRE</t>
  </si>
  <si>
    <t>NOVIEMBRE</t>
  </si>
  <si>
    <t>DICIEMBRE</t>
  </si>
  <si>
    <t>ENERO</t>
  </si>
  <si>
    <t>T2V1</t>
  </si>
  <si>
    <t>S31G1</t>
  </si>
  <si>
    <t>LEPASE Vto. 31/08/2021</t>
  </si>
  <si>
    <t>SG311</t>
  </si>
  <si>
    <t>Last</t>
  </si>
  <si>
    <t>Variaciones</t>
  </si>
  <si>
    <t>Px. (%)</t>
  </si>
  <si>
    <t>BPs</t>
  </si>
  <si>
    <t>Evolución de precios y tasas durante Marzo 2021</t>
  </si>
  <si>
    <t>S30S1</t>
  </si>
  <si>
    <t>LEPASE Vto. 30/09/2021</t>
  </si>
  <si>
    <t>SS301</t>
  </si>
  <si>
    <t>Evolución de precios y tasas YTD</t>
  </si>
  <si>
    <t>X28F2</t>
  </si>
  <si>
    <t>X31M2</t>
  </si>
  <si>
    <t>X18A2</t>
  </si>
  <si>
    <t>S29O1</t>
  </si>
  <si>
    <t>SO291</t>
  </si>
  <si>
    <t>LEPASE Vto. 29/10/2021</t>
  </si>
  <si>
    <t>Infla</t>
  </si>
  <si>
    <t>VN Anterior</t>
  </si>
  <si>
    <t>TEM Equiv.</t>
  </si>
  <si>
    <t>Evolución de precios y tasas durante Abril 2021</t>
  </si>
  <si>
    <t>Bonos</t>
  </si>
  <si>
    <t>Cuadro VII</t>
  </si>
  <si>
    <t>CCL</t>
  </si>
  <si>
    <t>BARBELL</t>
  </si>
  <si>
    <t>MARZO</t>
  </si>
  <si>
    <t>FEBRERO</t>
  </si>
  <si>
    <t>Evolución de precios y tasas durante Mayo 2021</t>
  </si>
  <si>
    <t>Rdo.</t>
  </si>
  <si>
    <t>Rdo (%)</t>
  </si>
  <si>
    <t>S30N1</t>
  </si>
  <si>
    <t>X23Y2</t>
  </si>
  <si>
    <t>A evaluar</t>
  </si>
  <si>
    <t>Dias</t>
  </si>
  <si>
    <t>TNA Objetivo</t>
  </si>
  <si>
    <t>Px. Letra</t>
  </si>
  <si>
    <t>Rdo</t>
  </si>
  <si>
    <t>Caución TNA</t>
  </si>
  <si>
    <t>Caución Directa</t>
  </si>
  <si>
    <t>Hoy</t>
  </si>
  <si>
    <t>Cuadro IX</t>
  </si>
  <si>
    <t xml:space="preserve">Último pago </t>
  </si>
  <si>
    <t>Tope</t>
  </si>
  <si>
    <t>BNY22</t>
  </si>
  <si>
    <t>Evolución de precios y tasas durante Junio 2021</t>
  </si>
  <si>
    <t>Cuadro V</t>
  </si>
  <si>
    <t>Flujo</t>
  </si>
  <si>
    <t>Caución</t>
  </si>
  <si>
    <t>Directa</t>
  </si>
  <si>
    <t>VPN</t>
  </si>
  <si>
    <t>BNY22 vs caución</t>
  </si>
  <si>
    <t>Gcia c/ VN 10.000.0000</t>
  </si>
  <si>
    <t>Valor VN 10.000.000</t>
  </si>
  <si>
    <t>X31D2</t>
  </si>
  <si>
    <t>IPC 06/2021</t>
  </si>
  <si>
    <t>IPC 07/2021</t>
  </si>
  <si>
    <t>IPC 08/2021</t>
  </si>
  <si>
    <t>IPC 09/2021</t>
  </si>
  <si>
    <t>IPC 10/2021</t>
  </si>
  <si>
    <t>VN Capitalizado</t>
  </si>
  <si>
    <t>Bono Discount en pesos Vto 2033 - DICP</t>
  </si>
  <si>
    <t>Flujo de fondos DICP</t>
  </si>
  <si>
    <t>Bono Cuasipar en pesos Vto 2045 - CUAP</t>
  </si>
  <si>
    <t>Cupón 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</si>
</sst>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0"/>
    <numFmt numFmtId="165" formatCode="dd/mm/yyyy;@"/>
    <numFmt numFmtId="166" formatCode="#,##0.0000"/>
    <numFmt numFmtId="167" formatCode="#,##0.000"/>
    <numFmt numFmtId="168" formatCode="0.000"/>
    <numFmt numFmtId="169" formatCode="_(* #,##0_);_(* \(#,##0\);_(* &quot;-&quot;_);_(@_)"/>
    <numFmt numFmtId="170" formatCode="_(* #,##0.00_);_(* \(#,##0.00\);_(* &quot;-&quot;??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_(* #,##0.0000000_);_(* \(#,##0.0000000\);_(* &quot;-&quot;??_);_(@_)"/>
    <numFmt numFmtId="174" formatCode="#,##0,;\-\ #,##0,;&quot;--- &quot;"/>
    <numFmt numFmtId="175" formatCode="#,##0,,;\-\ #,##0,,;&quot;--- &quot;"/>
    <numFmt numFmtId="176" formatCode="_-* #,##0.00\ [$€]_-;\-* #,##0.00\ [$€]_-;_-* &quot;-&quot;??\ [$€]_-;_-@_-"/>
    <numFmt numFmtId="177" formatCode="_-* #,##0\ _P_t_s_-;\-* #,##0\ _P_t_s_-;_-* &quot;-&quot;\ _P_t_s_-;_-@_-"/>
    <numFmt numFmtId="178" formatCode="_-* #,##0\ _€_-;\-* #,##0\ _€_-;_-* &quot;-&quot;\ _€_-;_-@_-"/>
    <numFmt numFmtId="179" formatCode="_-* #,##0\ _P_t_a_-;\-* #,##0\ _P_t_a_-;_-* &quot;-&quot;\ _P_t_a_-;_-@_-"/>
    <numFmt numFmtId="180" formatCode="_-* #,##0\ _$_-;\-* #,##0\ _$_-;_-* &quot;-&quot;\ _$_-;_-@_-"/>
    <numFmt numFmtId="181" formatCode="_ * #,##0.00_ ;_ * \-#,##0.00_ ;_ * &quot;-&quot;????_ ;_ @_ "/>
    <numFmt numFmtId="182" formatCode="_ * #,##0.0000_ ;_ * \-#,##0.0000_ ;_ * &quot;-&quot;????_ ;_ @_ "/>
    <numFmt numFmtId="183" formatCode="_-* #,##0.00\ _P_t_s_-;\-* #,##0.00\ _P_t_s_-;_-* &quot;-&quot;??\ _P_t_s_-;_-@_-"/>
    <numFmt numFmtId="184" formatCode="_-* #,##0.00\ _€_-;\-* #,##0.00\ _€_-;_-* &quot;-&quot;??\ _€_-;_-@_-"/>
    <numFmt numFmtId="185" formatCode="_-* #,##0.00\ _P_t_a_-;\-* #,##0.00\ _P_t_a_-;_-* &quot;-&quot;??\ _P_t_a_-;_-@_-"/>
    <numFmt numFmtId="186" formatCode="#,##0.00_);\(#,##0.00\);&quot; --- &quot;"/>
    <numFmt numFmtId="187" formatCode="#,"/>
    <numFmt numFmtId="188" formatCode="_-* #,##0_-;\-* #,##0_-;_-* &quot;-&quot;??_-;_-@_-"/>
    <numFmt numFmtId="189" formatCode="_-* #,##0.0000_-;\-* #,##0.0000_-;_-* &quot;-&quot;??_-;_-@_-"/>
    <numFmt numFmtId="190" formatCode="0.00000"/>
    <numFmt numFmtId="191" formatCode="#,##0.00_ ;\-#,##0.00\ "/>
    <numFmt numFmtId="192" formatCode="0.0%"/>
    <numFmt numFmtId="193" formatCode="_-* #,##0.000_-;\-* #,##0.000_-;_-* &quot;-&quot;??_-;_-@_-"/>
    <numFmt numFmtId="194" formatCode="0.00000%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Bahnschrift SemiBold"/>
      <family val="2"/>
    </font>
    <font>
      <sz val="11"/>
      <color theme="1"/>
      <name val="Bahnschrift SemiLight"/>
      <family val="2"/>
    </font>
    <font>
      <i/>
      <sz val="10"/>
      <color theme="1"/>
      <name val="Candara Light"/>
      <family val="2"/>
    </font>
    <font>
      <sz val="11"/>
      <color theme="1"/>
      <name val="Bahnschrift SemiBold"/>
      <family val="2"/>
    </font>
    <font>
      <sz val="11"/>
      <color theme="0"/>
      <name val="Bahnschrift SemiBold"/>
      <family val="2"/>
    </font>
    <font>
      <b/>
      <sz val="11"/>
      <name val="Bahnschrift SemiBold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2"/>
      <name val="MS Sans Serif"/>
      <family val="2"/>
    </font>
    <font>
      <sz val="11"/>
      <name val="Book Antiqua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.5"/>
      <color indexed="12"/>
      <name val="Arial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1"/>
      <color indexed="60"/>
      <name val="Calibri"/>
      <family val="2"/>
    </font>
    <font>
      <i/>
      <sz val="10"/>
      <name val="Arial"/>
      <family val="2"/>
    </font>
    <font>
      <b/>
      <sz val="1"/>
      <color indexed="8"/>
      <name val="Courier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i/>
      <sz val="9"/>
      <color theme="1" tint="0.34998626667073579"/>
      <name val="Bahnschrift SemiLight"/>
      <family val="2"/>
    </font>
    <font>
      <sz val="8"/>
      <color theme="1" tint="0.34998626667073579"/>
      <name val="Bahnschrift SemiLight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8"/>
      <color theme="1" tint="0.34998626667073579"/>
      <name val="Arial"/>
      <family val="2"/>
    </font>
    <font>
      <i/>
      <sz val="9"/>
      <color theme="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b/>
      <sz val="11"/>
      <color theme="1"/>
      <name val="Arial Nova"/>
      <family val="2"/>
    </font>
    <font>
      <i/>
      <sz val="10"/>
      <color theme="1"/>
      <name val="Arial Nova"/>
      <family val="2"/>
    </font>
    <font>
      <i/>
      <sz val="9"/>
      <color theme="0"/>
      <name val="Arial"/>
      <family val="2"/>
    </font>
    <font>
      <sz val="11"/>
      <name val="Calibri"/>
      <family val="2"/>
      <scheme val="minor"/>
    </font>
    <font>
      <sz val="8"/>
      <color theme="0"/>
      <name val="Arial"/>
      <family val="2"/>
    </font>
    <font>
      <sz val="11"/>
      <name val="Bahnschrift SemiBold"/>
      <family val="2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/>
      <bottom/>
      <diagonal/>
    </border>
  </borders>
  <cellStyleXfs count="501">
    <xf numFmtId="0" fontId="0" fillId="0" borderId="0"/>
    <xf numFmtId="9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25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6" fillId="26" borderId="11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0" fontId="17" fillId="27" borderId="12" applyNumberFormat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3" fontId="19" fillId="0" borderId="0" applyFont="0" applyFill="0" applyBorder="0" applyAlignment="0" applyProtection="0"/>
    <xf numFmtId="17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22" fillId="8" borderId="11" applyNumberFormat="0" applyAlignment="0" applyProtection="0"/>
    <xf numFmtId="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0" fontId="22" fillId="14" borderId="11" applyNumberFormat="0" applyAlignment="0" applyProtection="0"/>
    <xf numFmtId="15" fontId="12" fillId="0" borderId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0" fontId="30" fillId="0" borderId="17" applyNumberFormat="0" applyFill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7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4" fontId="3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2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8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0" fillId="7" borderId="18" applyNumberFormat="0" applyFont="0" applyAlignment="0" applyProtection="0"/>
    <xf numFmtId="0" fontId="12" fillId="7" borderId="18" applyNumberFormat="0" applyFont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4" fillId="0" borderId="0">
      <protection locked="0"/>
    </xf>
    <xf numFmtId="0" fontId="35" fillId="25" borderId="19" applyNumberFormat="0" applyAlignment="0" applyProtection="0"/>
    <xf numFmtId="0" fontId="35" fillId="25" borderId="19" applyNumberFormat="0" applyAlignment="0" applyProtection="0"/>
    <xf numFmtId="0" fontId="35" fillId="25" borderId="19" applyNumberFormat="0" applyAlignment="0" applyProtection="0"/>
    <xf numFmtId="0" fontId="35" fillId="25" borderId="19" applyNumberFormat="0" applyAlignment="0" applyProtection="0"/>
    <xf numFmtId="0" fontId="35" fillId="25" borderId="19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5" fillId="26" borderId="19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2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1">
    <xf numFmtId="0" fontId="0" fillId="0" borderId="0" xfId="0"/>
    <xf numFmtId="0" fontId="0" fillId="3" borderId="0" xfId="0" applyFill="1" applyBorder="1"/>
    <xf numFmtId="10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7" fillId="0" borderId="0" xfId="0" applyFont="1"/>
    <xf numFmtId="3" fontId="0" fillId="3" borderId="0" xfId="0" applyNumberFormat="1" applyFill="1" applyBorder="1"/>
    <xf numFmtId="16" fontId="0" fillId="3" borderId="0" xfId="0" applyNumberFormat="1" applyFill="1" applyBorder="1"/>
    <xf numFmtId="166" fontId="0" fillId="3" borderId="0" xfId="0" applyNumberFormat="1" applyFill="1" applyBorder="1"/>
    <xf numFmtId="4" fontId="0" fillId="3" borderId="0" xfId="0" applyNumberFormat="1" applyFill="1" applyBorder="1"/>
    <xf numFmtId="165" fontId="0" fillId="0" borderId="0" xfId="0" applyNumberFormat="1"/>
    <xf numFmtId="0" fontId="43" fillId="0" borderId="0" xfId="0" applyFont="1"/>
    <xf numFmtId="10" fontId="43" fillId="0" borderId="24" xfId="1" applyNumberFormat="1" applyFont="1" applyBorder="1"/>
    <xf numFmtId="2" fontId="43" fillId="0" borderId="0" xfId="0" applyNumberFormat="1" applyFont="1"/>
    <xf numFmtId="165" fontId="43" fillId="0" borderId="0" xfId="0" applyNumberFormat="1" applyFont="1"/>
    <xf numFmtId="10" fontId="43" fillId="0" borderId="0" xfId="0" applyNumberFormat="1" applyFont="1"/>
    <xf numFmtId="16" fontId="43" fillId="0" borderId="0" xfId="0" applyNumberFormat="1" applyFont="1" applyBorder="1"/>
    <xf numFmtId="10" fontId="43" fillId="0" borderId="0" xfId="1" applyNumberFormat="1" applyFont="1" applyBorder="1"/>
    <xf numFmtId="188" fontId="43" fillId="0" borderId="0" xfId="499" applyNumberFormat="1" applyFont="1"/>
    <xf numFmtId="0" fontId="44" fillId="3" borderId="0" xfId="0" applyFont="1" applyFill="1" applyAlignment="1">
      <alignment horizontal="left" vertical="center" wrapText="1"/>
    </xf>
    <xf numFmtId="0" fontId="46" fillId="0" borderId="0" xfId="0" applyFont="1" applyAlignment="1"/>
    <xf numFmtId="10" fontId="43" fillId="0" borderId="0" xfId="1" applyNumberFormat="1" applyFont="1"/>
    <xf numFmtId="10" fontId="43" fillId="0" borderId="25" xfId="1" applyNumberFormat="1" applyFont="1" applyBorder="1"/>
    <xf numFmtId="0" fontId="43" fillId="3" borderId="3" xfId="0" applyFont="1" applyFill="1" applyBorder="1"/>
    <xf numFmtId="0" fontId="43" fillId="3" borderId="4" xfId="0" applyFont="1" applyFill="1" applyBorder="1"/>
    <xf numFmtId="0" fontId="43" fillId="3" borderId="0" xfId="0" applyFont="1" applyFill="1" applyBorder="1"/>
    <xf numFmtId="0" fontId="43" fillId="0" borderId="0" xfId="0" applyFont="1" applyBorder="1"/>
    <xf numFmtId="16" fontId="43" fillId="0" borderId="0" xfId="0" applyNumberFormat="1" applyFont="1" applyFill="1" applyBorder="1"/>
    <xf numFmtId="0" fontId="47" fillId="3" borderId="0" xfId="0" applyFont="1" applyFill="1" applyBorder="1" applyAlignment="1">
      <alignment horizontal="center"/>
    </xf>
    <xf numFmtId="168" fontId="43" fillId="0" borderId="0" xfId="0" applyNumberFormat="1" applyFont="1"/>
    <xf numFmtId="14" fontId="43" fillId="0" borderId="0" xfId="0" applyNumberFormat="1" applyFont="1"/>
    <xf numFmtId="14" fontId="43" fillId="3" borderId="4" xfId="0" applyNumberFormat="1" applyFont="1" applyFill="1" applyBorder="1"/>
    <xf numFmtId="165" fontId="43" fillId="3" borderId="4" xfId="0" applyNumberFormat="1" applyFont="1" applyFill="1" applyBorder="1"/>
    <xf numFmtId="164" fontId="43" fillId="3" borderId="4" xfId="0" applyNumberFormat="1" applyFont="1" applyFill="1" applyBorder="1"/>
    <xf numFmtId="10" fontId="43" fillId="3" borderId="4" xfId="1" applyNumberFormat="1" applyFont="1" applyFill="1" applyBorder="1"/>
    <xf numFmtId="0" fontId="43" fillId="3" borderId="5" xfId="0" applyFont="1" applyFill="1" applyBorder="1"/>
    <xf numFmtId="2" fontId="43" fillId="3" borderId="6" xfId="0" applyNumberFormat="1" applyFont="1" applyFill="1" applyBorder="1"/>
    <xf numFmtId="0" fontId="51" fillId="0" borderId="7" xfId="0" applyFont="1" applyBorder="1" applyAlignment="1">
      <alignment horizontal="center"/>
    </xf>
    <xf numFmtId="10" fontId="51" fillId="0" borderId="7" xfId="1" applyNumberFormat="1" applyFont="1" applyBorder="1"/>
    <xf numFmtId="0" fontId="43" fillId="0" borderId="8" xfId="0" applyFont="1" applyBorder="1"/>
    <xf numFmtId="0" fontId="51" fillId="0" borderId="0" xfId="0" applyFont="1" applyBorder="1" applyAlignment="1">
      <alignment horizontal="left"/>
    </xf>
    <xf numFmtId="10" fontId="51" fillId="0" borderId="0" xfId="1" applyNumberFormat="1" applyFont="1" applyBorder="1"/>
    <xf numFmtId="2" fontId="43" fillId="0" borderId="8" xfId="0" applyNumberFormat="1" applyFont="1" applyBorder="1"/>
    <xf numFmtId="0" fontId="52" fillId="0" borderId="0" xfId="0" applyFont="1" applyAlignment="1"/>
    <xf numFmtId="0" fontId="42" fillId="4" borderId="0" xfId="0" applyFont="1" applyFill="1" applyAlignment="1">
      <alignment horizontal="center" vertical="center" wrapText="1"/>
    </xf>
    <xf numFmtId="189" fontId="43" fillId="0" borderId="0" xfId="0" applyNumberFormat="1" applyFont="1"/>
    <xf numFmtId="164" fontId="43" fillId="0" borderId="0" xfId="0" applyNumberFormat="1" applyFont="1"/>
    <xf numFmtId="0" fontId="43" fillId="0" borderId="0" xfId="0" applyFont="1" applyAlignment="1">
      <alignment horizontal="center"/>
    </xf>
    <xf numFmtId="2" fontId="43" fillId="0" borderId="0" xfId="0" applyNumberFormat="1" applyFont="1" applyBorder="1"/>
    <xf numFmtId="189" fontId="43" fillId="0" borderId="26" xfId="499" applyNumberFormat="1" applyFont="1" applyBorder="1"/>
    <xf numFmtId="0" fontId="0" fillId="0" borderId="0" xfId="0" applyFill="1"/>
    <xf numFmtId="0" fontId="7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10" fontId="5" fillId="0" borderId="0" xfId="1" applyNumberFormat="1" applyFont="1" applyFill="1" applyAlignment="1">
      <alignment horizontal="center"/>
    </xf>
    <xf numFmtId="0" fontId="45" fillId="0" borderId="0" xfId="0" applyFont="1" applyFill="1" applyAlignment="1"/>
    <xf numFmtId="0" fontId="6" fillId="0" borderId="0" xfId="0" applyFont="1" applyFill="1" applyAlignment="1"/>
    <xf numFmtId="0" fontId="51" fillId="0" borderId="0" xfId="0" applyFont="1" applyFill="1" applyBorder="1" applyAlignment="1">
      <alignment horizontal="center"/>
    </xf>
    <xf numFmtId="10" fontId="51" fillId="0" borderId="0" xfId="1" applyNumberFormat="1" applyFont="1" applyFill="1" applyBorder="1"/>
    <xf numFmtId="10" fontId="43" fillId="0" borderId="9" xfId="1" applyNumberFormat="1" applyFont="1" applyBorder="1"/>
    <xf numFmtId="2" fontId="43" fillId="0" borderId="9" xfId="0" applyNumberFormat="1" applyFont="1" applyBorder="1"/>
    <xf numFmtId="10" fontId="43" fillId="0" borderId="10" xfId="1" applyNumberFormat="1" applyFont="1" applyBorder="1"/>
    <xf numFmtId="2" fontId="43" fillId="0" borderId="10" xfId="0" applyNumberFormat="1" applyFont="1" applyBorder="1"/>
    <xf numFmtId="3" fontId="43" fillId="0" borderId="0" xfId="0" applyNumberFormat="1" applyFont="1"/>
    <xf numFmtId="0" fontId="47" fillId="0" borderId="0" xfId="0" applyFont="1" applyAlignment="1">
      <alignment horizontal="center"/>
    </xf>
    <xf numFmtId="1" fontId="43" fillId="0" borderId="0" xfId="0" applyNumberFormat="1" applyFont="1"/>
    <xf numFmtId="0" fontId="44" fillId="3" borderId="0" xfId="0" applyFont="1" applyFill="1" applyBorder="1" applyAlignment="1">
      <alignment horizontal="center"/>
    </xf>
    <xf numFmtId="165" fontId="43" fillId="3" borderId="0" xfId="0" applyNumberFormat="1" applyFont="1" applyFill="1" applyBorder="1"/>
    <xf numFmtId="0" fontId="43" fillId="3" borderId="0" xfId="0" applyFont="1" applyFill="1" applyBorder="1" applyAlignment="1">
      <alignment horizontal="center"/>
    </xf>
    <xf numFmtId="4" fontId="43" fillId="3" borderId="0" xfId="0" applyNumberFormat="1" applyFont="1" applyFill="1" applyBorder="1"/>
    <xf numFmtId="164" fontId="43" fillId="3" borderId="0" xfId="0" applyNumberFormat="1" applyFont="1" applyFill="1" applyBorder="1"/>
    <xf numFmtId="167" fontId="43" fillId="3" borderId="0" xfId="0" applyNumberFormat="1" applyFont="1" applyFill="1" applyBorder="1"/>
    <xf numFmtId="2" fontId="43" fillId="3" borderId="0" xfId="0" applyNumberFormat="1" applyFont="1" applyFill="1" applyBorder="1"/>
    <xf numFmtId="0" fontId="42" fillId="2" borderId="0" xfId="0" applyFont="1" applyFill="1" applyAlignment="1">
      <alignment horizontal="center" vertical="center" wrapText="1"/>
    </xf>
    <xf numFmtId="10" fontId="51" fillId="0" borderId="9" xfId="1" applyNumberFormat="1" applyFont="1" applyBorder="1"/>
    <xf numFmtId="2" fontId="51" fillId="0" borderId="9" xfId="0" applyNumberFormat="1" applyFont="1" applyBorder="1"/>
    <xf numFmtId="10" fontId="51" fillId="0" borderId="10" xfId="1" applyNumberFormat="1" applyFont="1" applyBorder="1"/>
    <xf numFmtId="2" fontId="51" fillId="0" borderId="10" xfId="0" applyNumberFormat="1" applyFont="1" applyBorder="1"/>
    <xf numFmtId="0" fontId="41" fillId="3" borderId="0" xfId="0" applyFont="1" applyFill="1" applyBorder="1" applyAlignment="1">
      <alignment horizontal="center"/>
    </xf>
    <xf numFmtId="0" fontId="54" fillId="3" borderId="0" xfId="0" applyFont="1" applyFill="1" applyBorder="1" applyAlignment="1">
      <alignment horizontal="center"/>
    </xf>
    <xf numFmtId="3" fontId="43" fillId="3" borderId="0" xfId="0" applyNumberFormat="1" applyFont="1" applyFill="1" applyBorder="1"/>
    <xf numFmtId="16" fontId="43" fillId="3" borderId="0" xfId="0" applyNumberFormat="1" applyFont="1" applyFill="1" applyBorder="1"/>
    <xf numFmtId="166" fontId="43" fillId="3" borderId="0" xfId="0" applyNumberFormat="1" applyFont="1" applyFill="1" applyBorder="1"/>
    <xf numFmtId="0" fontId="43" fillId="3" borderId="0" xfId="0" applyFont="1" applyFill="1" applyBorder="1" applyAlignment="1">
      <alignment horizontal="right"/>
    </xf>
    <xf numFmtId="10" fontId="43" fillId="3" borderId="0" xfId="1" applyNumberFormat="1" applyFont="1" applyFill="1" applyBorder="1"/>
    <xf numFmtId="0" fontId="51" fillId="0" borderId="0" xfId="0" applyFont="1" applyBorder="1" applyAlignment="1">
      <alignment horizontal="center"/>
    </xf>
    <xf numFmtId="2" fontId="43" fillId="3" borderId="4" xfId="0" applyNumberFormat="1" applyFont="1" applyFill="1" applyBorder="1"/>
    <xf numFmtId="10" fontId="43" fillId="3" borderId="6" xfId="0" applyNumberFormat="1" applyFont="1" applyFill="1" applyBorder="1"/>
    <xf numFmtId="14" fontId="43" fillId="3" borderId="0" xfId="0" applyNumberFormat="1" applyFont="1" applyFill="1" applyBorder="1"/>
    <xf numFmtId="10" fontId="43" fillId="3" borderId="0" xfId="0" applyNumberFormat="1" applyFont="1" applyFill="1" applyBorder="1"/>
    <xf numFmtId="0" fontId="47" fillId="3" borderId="0" xfId="0" applyFont="1" applyFill="1" applyBorder="1" applyAlignment="1">
      <alignment horizontal="right"/>
    </xf>
    <xf numFmtId="0" fontId="53" fillId="0" borderId="0" xfId="0" applyFont="1" applyAlignment="1"/>
    <xf numFmtId="0" fontId="43" fillId="0" borderId="0" xfId="0" applyFont="1" applyFill="1" applyBorder="1" applyAlignment="1">
      <alignment horizontal="center"/>
    </xf>
    <xf numFmtId="0" fontId="43" fillId="0" borderId="0" xfId="0" applyFont="1" applyFill="1" applyBorder="1"/>
    <xf numFmtId="2" fontId="43" fillId="0" borderId="0" xfId="0" applyNumberFormat="1" applyFont="1" applyFill="1" applyBorder="1"/>
    <xf numFmtId="165" fontId="43" fillId="0" borderId="0" xfId="0" applyNumberFormat="1" applyFont="1" applyFill="1" applyBorder="1"/>
    <xf numFmtId="4" fontId="43" fillId="0" borderId="0" xfId="0" applyNumberFormat="1" applyFont="1" applyFill="1" applyBorder="1"/>
    <xf numFmtId="0" fontId="47" fillId="0" borderId="0" xfId="0" applyFont="1" applyFill="1" applyBorder="1" applyAlignment="1">
      <alignment horizontal="right"/>
    </xf>
    <xf numFmtId="0" fontId="55" fillId="3" borderId="0" xfId="0" applyFont="1" applyFill="1" applyBorder="1" applyAlignment="1">
      <alignment horizontal="center"/>
    </xf>
    <xf numFmtId="0" fontId="55" fillId="3" borderId="0" xfId="0" applyFont="1" applyFill="1" applyBorder="1"/>
    <xf numFmtId="4" fontId="55" fillId="3" borderId="0" xfId="0" applyNumberFormat="1" applyFont="1" applyFill="1" applyBorder="1"/>
    <xf numFmtId="2" fontId="55" fillId="3" borderId="0" xfId="0" applyNumberFormat="1" applyFont="1" applyFill="1" applyBorder="1"/>
    <xf numFmtId="167" fontId="55" fillId="3" borderId="0" xfId="0" applyNumberFormat="1" applyFont="1" applyFill="1" applyBorder="1"/>
    <xf numFmtId="0" fontId="55" fillId="0" borderId="0" xfId="0" applyFont="1"/>
    <xf numFmtId="0" fontId="55" fillId="3" borderId="0" xfId="0" applyFont="1" applyFill="1" applyBorder="1" applyAlignment="1">
      <alignment horizontal="right"/>
    </xf>
    <xf numFmtId="16" fontId="43" fillId="0" borderId="0" xfId="0" applyNumberFormat="1" applyFont="1"/>
    <xf numFmtId="0" fontId="43" fillId="0" borderId="0" xfId="0" applyFont="1" applyBorder="1" applyAlignment="1">
      <alignment horizontal="center"/>
    </xf>
    <xf numFmtId="2" fontId="51" fillId="0" borderId="0" xfId="0" applyNumberFormat="1" applyFont="1" applyBorder="1"/>
    <xf numFmtId="0" fontId="43" fillId="0" borderId="0" xfId="0" applyFont="1" applyFill="1"/>
    <xf numFmtId="0" fontId="41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14" fontId="43" fillId="0" borderId="0" xfId="0" applyNumberFormat="1" applyFont="1" applyFill="1"/>
    <xf numFmtId="164" fontId="43" fillId="0" borderId="0" xfId="0" applyNumberFormat="1" applyFont="1" applyFill="1"/>
    <xf numFmtId="10" fontId="43" fillId="0" borderId="0" xfId="1" applyNumberFormat="1" applyFont="1" applyFill="1"/>
    <xf numFmtId="0" fontId="47" fillId="0" borderId="0" xfId="0" applyFont="1" applyFill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3" fontId="43" fillId="0" borderId="0" xfId="0" applyNumberFormat="1" applyFont="1" applyFill="1" applyBorder="1"/>
    <xf numFmtId="165" fontId="43" fillId="0" borderId="0" xfId="0" applyNumberFormat="1" applyFont="1" applyFill="1"/>
    <xf numFmtId="0" fontId="43" fillId="0" borderId="3" xfId="0" applyFont="1" applyFill="1" applyBorder="1"/>
    <xf numFmtId="165" fontId="43" fillId="0" borderId="4" xfId="0" applyNumberFormat="1" applyFont="1" applyFill="1" applyBorder="1"/>
    <xf numFmtId="10" fontId="43" fillId="0" borderId="4" xfId="1" applyNumberFormat="1" applyFont="1" applyFill="1" applyBorder="1"/>
    <xf numFmtId="0" fontId="43" fillId="0" borderId="5" xfId="0" applyFont="1" applyFill="1" applyBorder="1"/>
    <xf numFmtId="14" fontId="43" fillId="0" borderId="6" xfId="0" applyNumberFormat="1" applyFont="1" applyFill="1" applyBorder="1"/>
    <xf numFmtId="167" fontId="43" fillId="0" borderId="0" xfId="0" applyNumberFormat="1" applyFont="1" applyFill="1" applyBorder="1"/>
    <xf numFmtId="2" fontId="43" fillId="0" borderId="0" xfId="0" applyNumberFormat="1" applyFont="1" applyAlignment="1">
      <alignment horizontal="center"/>
    </xf>
    <xf numFmtId="0" fontId="43" fillId="0" borderId="9" xfId="0" applyFont="1" applyBorder="1"/>
    <xf numFmtId="0" fontId="43" fillId="0" borderId="10" xfId="0" applyFont="1" applyBorder="1"/>
    <xf numFmtId="10" fontId="47" fillId="0" borderId="0" xfId="1" applyNumberFormat="1" applyFont="1" applyBorder="1"/>
    <xf numFmtId="10" fontId="43" fillId="0" borderId="0" xfId="0" applyNumberFormat="1" applyFont="1" applyFill="1"/>
    <xf numFmtId="0" fontId="42" fillId="31" borderId="0" xfId="0" applyFont="1" applyFill="1" applyAlignment="1">
      <alignment horizontal="center" vertical="center" wrapText="1"/>
    </xf>
    <xf numFmtId="0" fontId="47" fillId="0" borderId="0" xfId="0" applyFont="1" applyFill="1" applyAlignment="1"/>
    <xf numFmtId="16" fontId="41" fillId="0" borderId="0" xfId="0" applyNumberFormat="1" applyFont="1" applyFill="1" applyBorder="1" applyAlignment="1">
      <alignment horizontal="center"/>
    </xf>
    <xf numFmtId="168" fontId="43" fillId="0" borderId="0" xfId="0" applyNumberFormat="1" applyFont="1" applyFill="1" applyBorder="1"/>
    <xf numFmtId="166" fontId="43" fillId="0" borderId="0" xfId="0" applyNumberFormat="1" applyFont="1" applyFill="1" applyBorder="1"/>
    <xf numFmtId="0" fontId="42" fillId="30" borderId="0" xfId="0" applyFont="1" applyFill="1" applyAlignment="1">
      <alignment horizontal="center" vertical="center" wrapText="1"/>
    </xf>
    <xf numFmtId="2" fontId="43" fillId="0" borderId="0" xfId="0" applyNumberFormat="1" applyFont="1" applyFill="1"/>
    <xf numFmtId="0" fontId="41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2" fontId="43" fillId="3" borderId="0" xfId="0" applyNumberFormat="1" applyFont="1" applyFill="1"/>
    <xf numFmtId="165" fontId="43" fillId="3" borderId="0" xfId="0" applyNumberFormat="1" applyFont="1" applyFill="1"/>
    <xf numFmtId="10" fontId="43" fillId="3" borderId="0" xfId="1" applyNumberFormat="1" applyFont="1" applyFill="1"/>
    <xf numFmtId="0" fontId="43" fillId="3" borderId="0" xfId="0" applyFont="1" applyFill="1"/>
    <xf numFmtId="10" fontId="43" fillId="3" borderId="0" xfId="0" applyNumberFormat="1" applyFont="1" applyFill="1"/>
    <xf numFmtId="0" fontId="50" fillId="0" borderId="0" xfId="0" applyFont="1" applyFill="1" applyAlignment="1"/>
    <xf numFmtId="4" fontId="43" fillId="0" borderId="0" xfId="0" applyNumberFormat="1" applyFont="1"/>
    <xf numFmtId="0" fontId="50" fillId="0" borderId="0" xfId="0" applyFont="1"/>
    <xf numFmtId="0" fontId="47" fillId="0" borderId="0" xfId="0" applyFont="1"/>
    <xf numFmtId="0" fontId="54" fillId="3" borderId="0" xfId="0" applyFont="1" applyFill="1" applyBorder="1" applyAlignment="1">
      <alignment horizontal="center"/>
    </xf>
    <xf numFmtId="2" fontId="43" fillId="3" borderId="4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41" fillId="0" borderId="0" xfId="0" applyFont="1" applyFill="1" applyAlignment="1">
      <alignment horizontal="center"/>
    </xf>
    <xf numFmtId="165" fontId="43" fillId="0" borderId="0" xfId="0" applyNumberFormat="1" applyFont="1" applyAlignment="1">
      <alignment horizontal="center"/>
    </xf>
    <xf numFmtId="0" fontId="47" fillId="0" borderId="0" xfId="0" applyFont="1" applyAlignment="1">
      <alignment horizontal="center" vertical="center" wrapText="1"/>
    </xf>
    <xf numFmtId="10" fontId="43" fillId="0" borderId="0" xfId="1" applyNumberFormat="1" applyFont="1" applyAlignment="1">
      <alignment horizontal="center"/>
    </xf>
    <xf numFmtId="14" fontId="43" fillId="0" borderId="0" xfId="0" applyNumberFormat="1" applyFont="1" applyAlignment="1">
      <alignment horizontal="center"/>
    </xf>
    <xf numFmtId="164" fontId="43" fillId="0" borderId="0" xfId="0" applyNumberFormat="1" applyFont="1" applyAlignment="1">
      <alignment horizontal="center"/>
    </xf>
    <xf numFmtId="168" fontId="43" fillId="0" borderId="0" xfId="0" applyNumberFormat="1" applyFont="1" applyAlignment="1">
      <alignment horizontal="center"/>
    </xf>
    <xf numFmtId="165" fontId="52" fillId="0" borderId="0" xfId="0" applyNumberFormat="1" applyFont="1" applyAlignment="1"/>
    <xf numFmtId="4" fontId="0" fillId="0" borderId="0" xfId="0" applyNumberFormat="1"/>
    <xf numFmtId="0" fontId="58" fillId="32" borderId="0" xfId="0" applyFont="1" applyFill="1" applyAlignment="1">
      <alignment horizontal="center" vertical="center" wrapText="1"/>
    </xf>
    <xf numFmtId="10" fontId="57" fillId="0" borderId="0" xfId="1" applyNumberFormat="1" applyFont="1" applyAlignment="1">
      <alignment horizontal="center"/>
    </xf>
    <xf numFmtId="164" fontId="0" fillId="0" borderId="0" xfId="0" applyNumberFormat="1"/>
    <xf numFmtId="2" fontId="43" fillId="33" borderId="0" xfId="0" applyNumberFormat="1" applyFont="1" applyFill="1"/>
    <xf numFmtId="0" fontId="43" fillId="0" borderId="5" xfId="0" applyFont="1" applyBorder="1"/>
    <xf numFmtId="16" fontId="43" fillId="0" borderId="6" xfId="0" applyNumberFormat="1" applyFont="1" applyBorder="1"/>
    <xf numFmtId="10" fontId="0" fillId="0" borderId="8" xfId="1" applyNumberFormat="1" applyFont="1" applyBorder="1"/>
    <xf numFmtId="0" fontId="47" fillId="0" borderId="0" xfId="0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10" fontId="57" fillId="3" borderId="0" xfId="1" applyNumberFormat="1" applyFont="1" applyFill="1" applyAlignment="1">
      <alignment horizontal="center"/>
    </xf>
    <xf numFmtId="4" fontId="57" fillId="3" borderId="0" xfId="0" applyNumberFormat="1" applyFont="1" applyFill="1" applyAlignment="1">
      <alignment horizontal="center"/>
    </xf>
    <xf numFmtId="0" fontId="57" fillId="3" borderId="0" xfId="0" applyFont="1" applyFill="1"/>
    <xf numFmtId="0" fontId="43" fillId="3" borderId="0" xfId="0" applyFont="1" applyFill="1" applyAlignment="1">
      <alignment horizontal="center"/>
    </xf>
    <xf numFmtId="16" fontId="43" fillId="0" borderId="24" xfId="0" applyNumberFormat="1" applyFont="1" applyBorder="1"/>
    <xf numFmtId="16" fontId="43" fillId="0" borderId="29" xfId="0" applyNumberFormat="1" applyFont="1" applyBorder="1"/>
    <xf numFmtId="165" fontId="0" fillId="0" borderId="30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31" xfId="0" applyBorder="1"/>
    <xf numFmtId="0" fontId="0" fillId="0" borderId="24" xfId="0" applyBorder="1"/>
    <xf numFmtId="10" fontId="0" fillId="0" borderId="32" xfId="1" applyNumberFormat="1" applyFont="1" applyBorder="1"/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0" fillId="35" borderId="0" xfId="0" applyNumberFormat="1" applyFill="1"/>
    <xf numFmtId="165" fontId="0" fillId="0" borderId="8" xfId="0" applyNumberFormat="1" applyBorder="1"/>
    <xf numFmtId="10" fontId="0" fillId="0" borderId="4" xfId="1" applyNumberFormat="1" applyFont="1" applyBorder="1"/>
    <xf numFmtId="10" fontId="0" fillId="0" borderId="4" xfId="0" applyNumberFormat="1" applyBorder="1" applyAlignment="1">
      <alignment horizontal="right"/>
    </xf>
    <xf numFmtId="0" fontId="0" fillId="0" borderId="25" xfId="0" applyFill="1" applyBorder="1"/>
    <xf numFmtId="10" fontId="0" fillId="0" borderId="6" xfId="0" applyNumberFormat="1" applyBorder="1"/>
    <xf numFmtId="10" fontId="0" fillId="0" borderId="8" xfId="0" applyNumberFormat="1" applyBorder="1"/>
    <xf numFmtId="0" fontId="47" fillId="0" borderId="0" xfId="0" applyFont="1" applyAlignment="1">
      <alignment horizontal="center"/>
    </xf>
    <xf numFmtId="0" fontId="61" fillId="0" borderId="0" xfId="0" applyFont="1" applyAlignment="1">
      <alignment horizontal="right"/>
    </xf>
    <xf numFmtId="0" fontId="43" fillId="0" borderId="0" xfId="0" applyFont="1" applyAlignment="1">
      <alignment horizontal="center"/>
    </xf>
    <xf numFmtId="165" fontId="43" fillId="3" borderId="6" xfId="0" applyNumberFormat="1" applyFont="1" applyFill="1" applyBorder="1"/>
    <xf numFmtId="164" fontId="0" fillId="36" borderId="0" xfId="0" applyNumberFormat="1" applyFill="1"/>
    <xf numFmtId="164" fontId="0" fillId="0" borderId="0" xfId="0" applyNumberFormat="1" applyFill="1"/>
    <xf numFmtId="165" fontId="43" fillId="0" borderId="6" xfId="0" applyNumberFormat="1" applyFont="1" applyFill="1" applyBorder="1"/>
    <xf numFmtId="10" fontId="43" fillId="3" borderId="6" xfId="1" applyNumberFormat="1" applyFont="1" applyFill="1" applyBorder="1"/>
    <xf numFmtId="2" fontId="43" fillId="0" borderId="0" xfId="0" applyNumberFormat="1" applyFont="1" applyFill="1" applyBorder="1" applyAlignment="1">
      <alignment horizontal="center"/>
    </xf>
    <xf numFmtId="4" fontId="43" fillId="0" borderId="0" xfId="0" applyNumberFormat="1" applyFont="1" applyFill="1" applyBorder="1" applyAlignment="1">
      <alignment horizontal="center"/>
    </xf>
    <xf numFmtId="4" fontId="43" fillId="0" borderId="0" xfId="0" applyNumberFormat="1" applyFont="1" applyFill="1" applyBorder="1" applyAlignment="1">
      <alignment horizontal="right"/>
    </xf>
    <xf numFmtId="167" fontId="43" fillId="0" borderId="0" xfId="0" applyNumberFormat="1" applyFont="1" applyFill="1" applyBorder="1" applyAlignment="1">
      <alignment horizontal="right"/>
    </xf>
    <xf numFmtId="10" fontId="43" fillId="3" borderId="0" xfId="1" applyNumberFormat="1" applyFont="1" applyFill="1" applyBorder="1" applyAlignment="1">
      <alignment horizontal="right"/>
    </xf>
    <xf numFmtId="4" fontId="43" fillId="3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10" fontId="43" fillId="34" borderId="0" xfId="1" applyNumberFormat="1" applyFont="1" applyFill="1"/>
    <xf numFmtId="0" fontId="43" fillId="34" borderId="0" xfId="0" applyFont="1" applyFill="1"/>
    <xf numFmtId="3" fontId="43" fillId="34" borderId="0" xfId="0" applyNumberFormat="1" applyFont="1" applyFill="1"/>
    <xf numFmtId="3" fontId="43" fillId="0" borderId="0" xfId="0" applyNumberFormat="1" applyFont="1" applyAlignment="1">
      <alignment horizontal="center"/>
    </xf>
    <xf numFmtId="3" fontId="43" fillId="0" borderId="8" xfId="0" applyNumberFormat="1" applyFont="1" applyBorder="1"/>
    <xf numFmtId="10" fontId="43" fillId="0" borderId="8" xfId="1" applyNumberFormat="1" applyFont="1" applyBorder="1"/>
    <xf numFmtId="3" fontId="43" fillId="0" borderId="8" xfId="0" applyNumberFormat="1" applyFont="1" applyBorder="1" applyAlignment="1">
      <alignment horizontal="center"/>
    </xf>
    <xf numFmtId="164" fontId="62" fillId="0" borderId="0" xfId="0" applyNumberFormat="1" applyFont="1" applyFill="1"/>
    <xf numFmtId="0" fontId="43" fillId="3" borderId="32" xfId="0" applyFont="1" applyFill="1" applyBorder="1"/>
    <xf numFmtId="2" fontId="43" fillId="3" borderId="32" xfId="0" applyNumberFormat="1" applyFont="1" applyFill="1" applyBorder="1"/>
    <xf numFmtId="0" fontId="42" fillId="0" borderId="0" xfId="0" applyFont="1" applyFill="1" applyBorder="1"/>
    <xf numFmtId="0" fontId="41" fillId="0" borderId="0" xfId="0" applyFont="1" applyFill="1" applyBorder="1"/>
    <xf numFmtId="0" fontId="43" fillId="0" borderId="3" xfId="0" applyFont="1" applyBorder="1"/>
    <xf numFmtId="10" fontId="43" fillId="0" borderId="3" xfId="0" applyNumberFormat="1" applyFont="1" applyBorder="1" applyAlignment="1">
      <alignment horizontal="center"/>
    </xf>
    <xf numFmtId="10" fontId="43" fillId="0" borderId="0" xfId="0" applyNumberFormat="1" applyFont="1" applyBorder="1" applyAlignment="1">
      <alignment horizontal="center"/>
    </xf>
    <xf numFmtId="10" fontId="43" fillId="3" borderId="0" xfId="0" applyNumberFormat="1" applyFont="1" applyFill="1" applyAlignment="1">
      <alignment horizontal="center"/>
    </xf>
    <xf numFmtId="2" fontId="43" fillId="3" borderId="0" xfId="0" applyNumberFormat="1" applyFont="1" applyFill="1" applyAlignment="1">
      <alignment horizontal="center"/>
    </xf>
    <xf numFmtId="10" fontId="43" fillId="0" borderId="0" xfId="0" applyNumberFormat="1" applyFont="1" applyAlignment="1">
      <alignment horizontal="center"/>
    </xf>
    <xf numFmtId="4" fontId="43" fillId="0" borderId="0" xfId="0" applyNumberFormat="1" applyFont="1" applyAlignment="1">
      <alignment horizontal="center"/>
    </xf>
    <xf numFmtId="0" fontId="41" fillId="31" borderId="0" xfId="0" applyFont="1" applyFill="1" applyAlignment="1">
      <alignment horizontal="center" vertical="center" wrapText="1"/>
    </xf>
    <xf numFmtId="0" fontId="41" fillId="37" borderId="0" xfId="0" applyFont="1" applyFill="1" applyAlignment="1">
      <alignment horizontal="center" vertical="center" wrapText="1"/>
    </xf>
    <xf numFmtId="44" fontId="43" fillId="0" borderId="0" xfId="500" applyFon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164" fontId="0" fillId="35" borderId="0" xfId="0" applyNumberFormat="1" applyFill="1"/>
    <xf numFmtId="14" fontId="0" fillId="0" borderId="0" xfId="0" applyNumberFormat="1" applyFill="1"/>
    <xf numFmtId="0" fontId="43" fillId="0" borderId="0" xfId="0" applyFont="1" applyAlignment="1">
      <alignment horizontal="center"/>
    </xf>
    <xf numFmtId="17" fontId="0" fillId="0" borderId="0" xfId="0" applyNumberFormat="1"/>
    <xf numFmtId="165" fontId="43" fillId="35" borderId="0" xfId="0" applyNumberFormat="1" applyFont="1" applyFill="1"/>
    <xf numFmtId="165" fontId="43" fillId="36" borderId="0" xfId="0" applyNumberFormat="1" applyFont="1" applyFill="1"/>
    <xf numFmtId="189" fontId="43" fillId="0" borderId="0" xfId="0" applyNumberFormat="1" applyFont="1" applyAlignment="1">
      <alignment horizontal="center"/>
    </xf>
    <xf numFmtId="2" fontId="43" fillId="0" borderId="0" xfId="0" applyNumberFormat="1" applyFont="1" applyBorder="1" applyAlignment="1">
      <alignment horizontal="center"/>
    </xf>
    <xf numFmtId="10" fontId="43" fillId="0" borderId="0" xfId="1" applyNumberFormat="1" applyFont="1" applyBorder="1" applyAlignment="1">
      <alignment horizontal="center"/>
    </xf>
    <xf numFmtId="0" fontId="43" fillId="0" borderId="0" xfId="0" applyFont="1" applyAlignment="1">
      <alignment horizontal="right"/>
    </xf>
    <xf numFmtId="168" fontId="43" fillId="0" borderId="0" xfId="0" applyNumberFormat="1" applyFont="1" applyAlignment="1">
      <alignment horizontal="right"/>
    </xf>
    <xf numFmtId="2" fontId="43" fillId="0" borderId="0" xfId="0" applyNumberFormat="1" applyFont="1" applyAlignment="1">
      <alignment horizontal="right"/>
    </xf>
    <xf numFmtId="165" fontId="0" fillId="0" borderId="0" xfId="0" applyNumberFormat="1" applyFill="1"/>
    <xf numFmtId="0" fontId="0" fillId="0" borderId="0" xfId="0" applyBorder="1"/>
    <xf numFmtId="0" fontId="50" fillId="0" borderId="0" xfId="0" applyFont="1" applyAlignment="1">
      <alignment horizontal="center"/>
    </xf>
    <xf numFmtId="0" fontId="41" fillId="0" borderId="0" xfId="0" applyFont="1" applyFill="1" applyAlignment="1">
      <alignment horizontal="center"/>
    </xf>
    <xf numFmtId="0" fontId="50" fillId="0" borderId="0" xfId="0" applyFont="1" applyAlignment="1"/>
    <xf numFmtId="0" fontId="41" fillId="32" borderId="1" xfId="0" applyFont="1" applyFill="1" applyBorder="1"/>
    <xf numFmtId="0" fontId="42" fillId="32" borderId="7" xfId="0" applyFont="1" applyFill="1" applyBorder="1"/>
    <xf numFmtId="0" fontId="41" fillId="32" borderId="3" xfId="0" applyFont="1" applyFill="1" applyBorder="1"/>
    <xf numFmtId="0" fontId="42" fillId="32" borderId="0" xfId="0" applyFont="1" applyFill="1" applyBorder="1"/>
    <xf numFmtId="0" fontId="41" fillId="32" borderId="5" xfId="0" applyFont="1" applyFill="1" applyBorder="1"/>
    <xf numFmtId="0" fontId="42" fillId="32" borderId="8" xfId="0" applyFont="1" applyFill="1" applyBorder="1"/>
    <xf numFmtId="0" fontId="41" fillId="32" borderId="0" xfId="0" applyFont="1" applyFill="1" applyAlignment="1">
      <alignment horizontal="center" vertical="center" wrapText="1"/>
    </xf>
    <xf numFmtId="0" fontId="41" fillId="32" borderId="33" xfId="0" applyFont="1" applyFill="1" applyBorder="1" applyAlignment="1">
      <alignment horizontal="center" vertical="center" wrapText="1"/>
    </xf>
    <xf numFmtId="0" fontId="41" fillId="32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/>
    <xf numFmtId="165" fontId="43" fillId="3" borderId="32" xfId="0" applyNumberFormat="1" applyFont="1" applyFill="1" applyBorder="1"/>
    <xf numFmtId="14" fontId="43" fillId="0" borderId="4" xfId="0" applyNumberFormat="1" applyFont="1" applyFill="1" applyBorder="1"/>
    <xf numFmtId="10" fontId="43" fillId="0" borderId="6" xfId="0" applyNumberFormat="1" applyFont="1" applyBorder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190" fontId="43" fillId="0" borderId="0" xfId="0" applyNumberFormat="1" applyFont="1"/>
    <xf numFmtId="0" fontId="43" fillId="0" borderId="34" xfId="0" applyFont="1" applyBorder="1" applyAlignment="1">
      <alignment horizontal="center"/>
    </xf>
    <xf numFmtId="10" fontId="43" fillId="0" borderId="34" xfId="1" applyNumberFormat="1" applyFont="1" applyBorder="1"/>
    <xf numFmtId="10" fontId="0" fillId="35" borderId="0" xfId="0" applyNumberForma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10" fontId="43" fillId="0" borderId="0" xfId="1" applyNumberFormat="1" applyFont="1" applyFill="1" applyBorder="1"/>
    <xf numFmtId="0" fontId="8" fillId="0" borderId="0" xfId="0" applyFont="1" applyFill="1"/>
    <xf numFmtId="0" fontId="43" fillId="0" borderId="0" xfId="0" applyFont="1" applyAlignment="1">
      <alignment horizontal="center"/>
    </xf>
    <xf numFmtId="10" fontId="0" fillId="38" borderId="0" xfId="1" applyNumberFormat="1" applyFont="1" applyFill="1"/>
    <xf numFmtId="0" fontId="41" fillId="0" borderId="0" xfId="0" applyFont="1" applyFill="1" applyAlignment="1">
      <alignment horizontal="center" vertical="center" wrapText="1"/>
    </xf>
    <xf numFmtId="10" fontId="43" fillId="0" borderId="0" xfId="0" applyNumberFormat="1" applyFont="1" applyFill="1" applyAlignment="1">
      <alignment horizontal="center"/>
    </xf>
    <xf numFmtId="43" fontId="43" fillId="0" borderId="0" xfId="0" applyNumberFormat="1" applyFont="1"/>
    <xf numFmtId="0" fontId="43" fillId="0" borderId="0" xfId="0" applyFont="1" applyAlignment="1">
      <alignment horizontal="center"/>
    </xf>
    <xf numFmtId="167" fontId="43" fillId="0" borderId="0" xfId="0" applyNumberFormat="1" applyFont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2" fontId="43" fillId="3" borderId="0" xfId="0" applyNumberFormat="1" applyFont="1" applyFill="1" applyBorder="1" applyAlignment="1">
      <alignment horizontal="center"/>
    </xf>
    <xf numFmtId="10" fontId="0" fillId="35" borderId="4" xfId="0" applyNumberFormat="1" applyFill="1" applyBorder="1" applyAlignment="1">
      <alignment horizontal="right"/>
    </xf>
    <xf numFmtId="0" fontId="58" fillId="32" borderId="33" xfId="0" applyFont="1" applyFill="1" applyBorder="1" applyAlignment="1">
      <alignment horizontal="center" vertical="center" wrapText="1"/>
    </xf>
    <xf numFmtId="0" fontId="58" fillId="32" borderId="38" xfId="0" applyFont="1" applyFill="1" applyBorder="1" applyAlignment="1">
      <alignment horizontal="center" vertical="center" wrapText="1"/>
    </xf>
    <xf numFmtId="0" fontId="43" fillId="39" borderId="39" xfId="0" applyFont="1" applyFill="1" applyBorder="1" applyAlignment="1">
      <alignment horizontal="center"/>
    </xf>
    <xf numFmtId="4" fontId="43" fillId="3" borderId="0" xfId="0" applyNumberFormat="1" applyFont="1" applyFill="1" applyAlignment="1">
      <alignment horizontal="center"/>
    </xf>
    <xf numFmtId="10" fontId="43" fillId="3" borderId="4" xfId="1" applyNumberFormat="1" applyFont="1" applyFill="1" applyBorder="1" applyAlignment="1">
      <alignment horizontal="center"/>
    </xf>
    <xf numFmtId="10" fontId="43" fillId="3" borderId="0" xfId="1" applyNumberFormat="1" applyFont="1" applyFill="1" applyAlignment="1">
      <alignment horizontal="center"/>
    </xf>
    <xf numFmtId="10" fontId="43" fillId="3" borderId="3" xfId="1" applyNumberFormat="1" applyFont="1" applyFill="1" applyBorder="1" applyAlignment="1">
      <alignment horizontal="center"/>
    </xf>
    <xf numFmtId="191" fontId="43" fillId="3" borderId="0" xfId="499" applyNumberFormat="1" applyFont="1" applyFill="1" applyBorder="1" applyAlignment="1">
      <alignment horizontal="center"/>
    </xf>
    <xf numFmtId="2" fontId="43" fillId="39" borderId="39" xfId="0" applyNumberFormat="1" applyFont="1" applyFill="1" applyBorder="1" applyAlignment="1">
      <alignment horizontal="center"/>
    </xf>
    <xf numFmtId="0" fontId="47" fillId="0" borderId="0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8" fillId="0" borderId="0" xfId="0" applyFont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2" fillId="3" borderId="0" xfId="0" applyFont="1" applyFill="1"/>
    <xf numFmtId="0" fontId="41" fillId="3" borderId="0" xfId="0" applyFont="1" applyFill="1" applyAlignment="1">
      <alignment horizontal="center" vertical="center" wrapText="1"/>
    </xf>
    <xf numFmtId="10" fontId="42" fillId="3" borderId="0" xfId="0" applyNumberFormat="1" applyFont="1" applyFill="1" applyAlignment="1">
      <alignment horizontal="center"/>
    </xf>
    <xf numFmtId="10" fontId="42" fillId="3" borderId="0" xfId="1" applyNumberFormat="1" applyFont="1" applyFill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8" fillId="3" borderId="0" xfId="0" applyFont="1" applyFill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0" fontId="43" fillId="3" borderId="0" xfId="1" applyNumberFormat="1" applyFont="1" applyFill="1" applyBorder="1" applyAlignment="1">
      <alignment horizontal="center"/>
    </xf>
    <xf numFmtId="0" fontId="64" fillId="3" borderId="0" xfId="0" applyFon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16" fontId="0" fillId="0" borderId="0" xfId="0" applyNumberFormat="1"/>
    <xf numFmtId="10" fontId="0" fillId="40" borderId="0" xfId="1" applyNumberFormat="1" applyFont="1" applyFill="1"/>
    <xf numFmtId="0" fontId="43" fillId="0" borderId="0" xfId="0" applyFont="1" applyAlignment="1">
      <alignment horizontal="center"/>
    </xf>
    <xf numFmtId="188" fontId="43" fillId="0" borderId="8" xfId="0" applyNumberFormat="1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4" fontId="43" fillId="34" borderId="0" xfId="0" applyNumberFormat="1" applyFont="1" applyFill="1"/>
    <xf numFmtId="189" fontId="43" fillId="34" borderId="0" xfId="0" applyNumberFormat="1" applyFont="1" applyFill="1"/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7" fillId="0" borderId="0" xfId="0" applyFont="1" applyFill="1" applyBorder="1" applyAlignment="1">
      <alignment horizontal="center"/>
    </xf>
    <xf numFmtId="17" fontId="43" fillId="0" borderId="0" xfId="0" applyNumberFormat="1" applyFont="1" applyFill="1" applyBorder="1"/>
    <xf numFmtId="189" fontId="43" fillId="0" borderId="0" xfId="0" applyNumberFormat="1" applyFont="1" applyFill="1" applyBorder="1"/>
    <xf numFmtId="43" fontId="43" fillId="0" borderId="0" xfId="499" applyFont="1" applyFill="1" applyBorder="1"/>
    <xf numFmtId="14" fontId="43" fillId="0" borderId="0" xfId="0" applyNumberFormat="1" applyFont="1" applyFill="1" applyBorder="1"/>
    <xf numFmtId="164" fontId="43" fillId="0" borderId="0" xfId="0" applyNumberFormat="1" applyFont="1" applyFill="1" applyBorder="1"/>
    <xf numFmtId="0" fontId="0" fillId="0" borderId="0" xfId="0" applyFill="1" applyBorder="1"/>
    <xf numFmtId="192" fontId="43" fillId="0" borderId="0" xfId="1" applyNumberFormat="1" applyFont="1"/>
    <xf numFmtId="4" fontId="43" fillId="36" borderId="0" xfId="0" applyNumberFormat="1" applyFont="1" applyFill="1" applyAlignment="1">
      <alignment horizontal="center"/>
    </xf>
    <xf numFmtId="0" fontId="64" fillId="0" borderId="0" xfId="0" applyFont="1"/>
    <xf numFmtId="193" fontId="0" fillId="0" borderId="0" xfId="499" applyNumberFormat="1" applyFont="1"/>
    <xf numFmtId="43" fontId="0" fillId="0" borderId="0" xfId="0" applyNumberFormat="1"/>
    <xf numFmtId="10" fontId="2" fillId="0" borderId="8" xfId="1" applyNumberFormat="1" applyFont="1" applyBorder="1" applyAlignment="1">
      <alignment horizontal="center"/>
    </xf>
    <xf numFmtId="0" fontId="43" fillId="0" borderId="32" xfId="0" applyFont="1" applyBorder="1"/>
    <xf numFmtId="0" fontId="0" fillId="0" borderId="32" xfId="0" applyBorder="1"/>
    <xf numFmtId="0" fontId="0" fillId="0" borderId="8" xfId="0" applyBorder="1"/>
    <xf numFmtId="188" fontId="43" fillId="0" borderId="8" xfId="499" applyNumberFormat="1" applyFont="1" applyBorder="1"/>
    <xf numFmtId="188" fontId="43" fillId="0" borderId="32" xfId="499" applyNumberFormat="1" applyFont="1" applyBorder="1"/>
    <xf numFmtId="2" fontId="0" fillId="0" borderId="0" xfId="0" applyNumberFormat="1" applyAlignment="1">
      <alignment horizontal="center"/>
    </xf>
    <xf numFmtId="194" fontId="0" fillId="0" borderId="0" xfId="1" applyNumberFormat="1" applyFont="1"/>
    <xf numFmtId="0" fontId="43" fillId="0" borderId="0" xfId="0" applyFont="1" applyAlignment="1">
      <alignment horizontal="center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52" fillId="0" borderId="0" xfId="0" applyFont="1" applyFill="1" applyAlignment="1">
      <alignment horizontal="right"/>
    </xf>
    <xf numFmtId="0" fontId="47" fillId="0" borderId="0" xfId="0" applyFont="1" applyBorder="1" applyAlignment="1">
      <alignment horizontal="center"/>
    </xf>
    <xf numFmtId="0" fontId="52" fillId="0" borderId="0" xfId="0" applyFont="1" applyAlignment="1">
      <alignment horizontal="right"/>
    </xf>
    <xf numFmtId="0" fontId="41" fillId="0" borderId="0" xfId="0" applyFont="1" applyFill="1" applyAlignment="1">
      <alignment horizontal="center"/>
    </xf>
    <xf numFmtId="0" fontId="50" fillId="0" borderId="0" xfId="0" applyFont="1" applyAlignment="1">
      <alignment horizontal="center"/>
    </xf>
    <xf numFmtId="4" fontId="43" fillId="0" borderId="0" xfId="0" applyNumberFormat="1" applyFont="1" applyBorder="1"/>
    <xf numFmtId="4" fontId="43" fillId="3" borderId="6" xfId="0" applyNumberFormat="1" applyFont="1" applyFill="1" applyBorder="1"/>
    <xf numFmtId="4" fontId="43" fillId="33" borderId="0" xfId="0" applyNumberFormat="1" applyFont="1" applyFill="1"/>
    <xf numFmtId="0" fontId="49" fillId="0" borderId="0" xfId="0" applyFont="1" applyAlignment="1">
      <alignment horizontal="center"/>
    </xf>
    <xf numFmtId="0" fontId="41" fillId="4" borderId="1" xfId="0" applyFont="1" applyFill="1" applyBorder="1" applyAlignment="1">
      <alignment horizontal="center"/>
    </xf>
    <xf numFmtId="0" fontId="41" fillId="4" borderId="2" xfId="0" applyFont="1" applyFill="1" applyBorder="1" applyAlignment="1">
      <alignment horizontal="center"/>
    </xf>
    <xf numFmtId="0" fontId="41" fillId="4" borderId="0" xfId="0" applyFont="1" applyFill="1" applyAlignment="1">
      <alignment horizontal="center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165" fontId="52" fillId="0" borderId="0" xfId="0" applyNumberFormat="1" applyFont="1" applyAlignment="1">
      <alignment horizontal="right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58" fillId="32" borderId="35" xfId="0" applyFont="1" applyFill="1" applyBorder="1" applyAlignment="1">
      <alignment horizontal="center" vertical="center" wrapText="1"/>
    </xf>
    <xf numFmtId="16" fontId="58" fillId="32" borderId="37" xfId="0" applyNumberFormat="1" applyFont="1" applyFill="1" applyBorder="1" applyAlignment="1">
      <alignment horizontal="center" vertical="center" wrapText="1"/>
    </xf>
    <xf numFmtId="16" fontId="58" fillId="32" borderId="36" xfId="0" applyNumberFormat="1" applyFont="1" applyFill="1" applyBorder="1" applyAlignment="1">
      <alignment horizontal="center" vertical="center" wrapText="1"/>
    </xf>
    <xf numFmtId="0" fontId="58" fillId="32" borderId="37" xfId="0" applyFont="1" applyFill="1" applyBorder="1" applyAlignment="1">
      <alignment horizontal="center" vertical="center" wrapText="1"/>
    </xf>
    <xf numFmtId="165" fontId="63" fillId="0" borderId="0" xfId="0" applyNumberFormat="1" applyFont="1" applyAlignment="1">
      <alignment horizontal="right"/>
    </xf>
    <xf numFmtId="165" fontId="63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30" xfId="0" applyFont="1" applyBorder="1" applyAlignment="1">
      <alignment horizontal="center"/>
    </xf>
    <xf numFmtId="0" fontId="41" fillId="31" borderId="27" xfId="0" applyFont="1" applyFill="1" applyBorder="1" applyAlignment="1">
      <alignment horizontal="center"/>
    </xf>
    <xf numFmtId="0" fontId="41" fillId="31" borderId="2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/>
    </xf>
    <xf numFmtId="0" fontId="42" fillId="4" borderId="2" xfId="0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0" fontId="47" fillId="0" borderId="0" xfId="0" applyFont="1" applyBorder="1" applyAlignment="1">
      <alignment horizontal="center" vertical="center" wrapText="1"/>
    </xf>
    <xf numFmtId="0" fontId="52" fillId="0" borderId="0" xfId="0" applyFont="1" applyFill="1" applyAlignment="1">
      <alignment horizontal="right"/>
    </xf>
    <xf numFmtId="0" fontId="41" fillId="4" borderId="0" xfId="0" applyFont="1" applyFill="1" applyBorder="1" applyAlignment="1">
      <alignment horizontal="center"/>
    </xf>
    <xf numFmtId="0" fontId="53" fillId="0" borderId="0" xfId="0" applyFont="1" applyAlignment="1">
      <alignment horizontal="right"/>
    </xf>
    <xf numFmtId="0" fontId="54" fillId="3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52" fillId="0" borderId="0" xfId="0" applyFont="1" applyAlignment="1">
      <alignment horizontal="right"/>
    </xf>
    <xf numFmtId="0" fontId="49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2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/>
    </xf>
    <xf numFmtId="0" fontId="50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6" fillId="0" borderId="0" xfId="0" applyFont="1" applyAlignment="1">
      <alignment horizontal="right"/>
    </xf>
    <xf numFmtId="0" fontId="53" fillId="0" borderId="0" xfId="0" applyFont="1" applyBorder="1" applyAlignment="1">
      <alignment horizontal="right"/>
    </xf>
    <xf numFmtId="0" fontId="47" fillId="0" borderId="8" xfId="0" applyFont="1" applyBorder="1" applyAlignment="1">
      <alignment horizontal="center"/>
    </xf>
    <xf numFmtId="0" fontId="56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3" fillId="0" borderId="0" xfId="0" applyFont="1" applyAlignment="1">
      <alignment horizontal="center"/>
    </xf>
  </cellXfs>
  <cellStyles count="501">
    <cellStyle name="20% - Accent1" xfId="2" xr:uid="{00000000-0005-0000-0000-000000000000}"/>
    <cellStyle name="20% - Accent2" xfId="3" xr:uid="{00000000-0005-0000-0000-000001000000}"/>
    <cellStyle name="20% - Accent3" xfId="4" xr:uid="{00000000-0005-0000-0000-000002000000}"/>
    <cellStyle name="20% - Accent4" xfId="5" xr:uid="{00000000-0005-0000-0000-000003000000}"/>
    <cellStyle name="20% - Accent5" xfId="6" xr:uid="{00000000-0005-0000-0000-000004000000}"/>
    <cellStyle name="20% - Accent6" xfId="7" xr:uid="{00000000-0005-0000-0000-000005000000}"/>
    <cellStyle name="20% - Énfasis1 2" xfId="8" xr:uid="{00000000-0005-0000-0000-000006000000}"/>
    <cellStyle name="20% - Énfasis1 2 2" xfId="9" xr:uid="{00000000-0005-0000-0000-000007000000}"/>
    <cellStyle name="20% - Énfasis1 3" xfId="10" xr:uid="{00000000-0005-0000-0000-000008000000}"/>
    <cellStyle name="20% - Énfasis1 3 2" xfId="11" xr:uid="{00000000-0005-0000-0000-000009000000}"/>
    <cellStyle name="20% - Énfasis1 4" xfId="12" xr:uid="{00000000-0005-0000-0000-00000A000000}"/>
    <cellStyle name="20% - Énfasis2 2" xfId="13" xr:uid="{00000000-0005-0000-0000-00000B000000}"/>
    <cellStyle name="20% - Énfasis2 2 2" xfId="14" xr:uid="{00000000-0005-0000-0000-00000C000000}"/>
    <cellStyle name="20% - Énfasis2 3" xfId="15" xr:uid="{00000000-0005-0000-0000-00000D000000}"/>
    <cellStyle name="20% - Énfasis2 3 2" xfId="16" xr:uid="{00000000-0005-0000-0000-00000E000000}"/>
    <cellStyle name="20% - Énfasis2 4" xfId="17" xr:uid="{00000000-0005-0000-0000-00000F000000}"/>
    <cellStyle name="20% - Énfasis3 2" xfId="18" xr:uid="{00000000-0005-0000-0000-000010000000}"/>
    <cellStyle name="20% - Énfasis3 2 2" xfId="19" xr:uid="{00000000-0005-0000-0000-000011000000}"/>
    <cellStyle name="20% - Énfasis3 3" xfId="20" xr:uid="{00000000-0005-0000-0000-000012000000}"/>
    <cellStyle name="20% - Énfasis3 3 2" xfId="21" xr:uid="{00000000-0005-0000-0000-000013000000}"/>
    <cellStyle name="20% - Énfasis3 4" xfId="22" xr:uid="{00000000-0005-0000-0000-000014000000}"/>
    <cellStyle name="20% - Énfasis4 2" xfId="23" xr:uid="{00000000-0005-0000-0000-000015000000}"/>
    <cellStyle name="20% - Énfasis4 2 2" xfId="24" xr:uid="{00000000-0005-0000-0000-000016000000}"/>
    <cellStyle name="20% - Énfasis4 3" xfId="25" xr:uid="{00000000-0005-0000-0000-000017000000}"/>
    <cellStyle name="20% - Énfasis4 3 2" xfId="26" xr:uid="{00000000-0005-0000-0000-000018000000}"/>
    <cellStyle name="20% - Énfasis4 4" xfId="27" xr:uid="{00000000-0005-0000-0000-000019000000}"/>
    <cellStyle name="20% - Énfasis5 2" xfId="28" xr:uid="{00000000-0005-0000-0000-00001A000000}"/>
    <cellStyle name="20% - Énfasis5 2 2" xfId="29" xr:uid="{00000000-0005-0000-0000-00001B000000}"/>
    <cellStyle name="20% - Énfasis5 3" xfId="30" xr:uid="{00000000-0005-0000-0000-00001C000000}"/>
    <cellStyle name="20% - Énfasis5 3 2" xfId="31" xr:uid="{00000000-0005-0000-0000-00001D000000}"/>
    <cellStyle name="20% - Énfasis5 4" xfId="32" xr:uid="{00000000-0005-0000-0000-00001E000000}"/>
    <cellStyle name="20% - Énfasis6 2" xfId="33" xr:uid="{00000000-0005-0000-0000-00001F000000}"/>
    <cellStyle name="20% - Énfasis6 2 2" xfId="34" xr:uid="{00000000-0005-0000-0000-000020000000}"/>
    <cellStyle name="20% - Énfasis6 3" xfId="35" xr:uid="{00000000-0005-0000-0000-000021000000}"/>
    <cellStyle name="20% - Énfasis6 3 2" xfId="36" xr:uid="{00000000-0005-0000-0000-000022000000}"/>
    <cellStyle name="20% - Énfasis6 4" xfId="37" xr:uid="{00000000-0005-0000-0000-000023000000}"/>
    <cellStyle name="40% - Accent1" xfId="38" xr:uid="{00000000-0005-0000-0000-000024000000}"/>
    <cellStyle name="40% - Accent2" xfId="39" xr:uid="{00000000-0005-0000-0000-000025000000}"/>
    <cellStyle name="40% - Accent3" xfId="40" xr:uid="{00000000-0005-0000-0000-000026000000}"/>
    <cellStyle name="40% - Accent4" xfId="41" xr:uid="{00000000-0005-0000-0000-000027000000}"/>
    <cellStyle name="40% - Accent5" xfId="42" xr:uid="{00000000-0005-0000-0000-000028000000}"/>
    <cellStyle name="40% - Accent6" xfId="43" xr:uid="{00000000-0005-0000-0000-000029000000}"/>
    <cellStyle name="40% - Énfasis1 2" xfId="44" xr:uid="{00000000-0005-0000-0000-00002A000000}"/>
    <cellStyle name="40% - Énfasis1 2 2" xfId="45" xr:uid="{00000000-0005-0000-0000-00002B000000}"/>
    <cellStyle name="40% - Énfasis1 3" xfId="46" xr:uid="{00000000-0005-0000-0000-00002C000000}"/>
    <cellStyle name="40% - Énfasis1 3 2" xfId="47" xr:uid="{00000000-0005-0000-0000-00002D000000}"/>
    <cellStyle name="40% - Énfasis1 4" xfId="48" xr:uid="{00000000-0005-0000-0000-00002E000000}"/>
    <cellStyle name="40% - Énfasis2 2" xfId="49" xr:uid="{00000000-0005-0000-0000-00002F000000}"/>
    <cellStyle name="40% - Énfasis2 2 2" xfId="50" xr:uid="{00000000-0005-0000-0000-000030000000}"/>
    <cellStyle name="40% - Énfasis2 3" xfId="51" xr:uid="{00000000-0005-0000-0000-000031000000}"/>
    <cellStyle name="40% - Énfasis2 3 2" xfId="52" xr:uid="{00000000-0005-0000-0000-000032000000}"/>
    <cellStyle name="40% - Énfasis2 4" xfId="53" xr:uid="{00000000-0005-0000-0000-000033000000}"/>
    <cellStyle name="40% - Énfasis3 2" xfId="54" xr:uid="{00000000-0005-0000-0000-000034000000}"/>
    <cellStyle name="40% - Énfasis3 2 2" xfId="55" xr:uid="{00000000-0005-0000-0000-000035000000}"/>
    <cellStyle name="40% - Énfasis3 3" xfId="56" xr:uid="{00000000-0005-0000-0000-000036000000}"/>
    <cellStyle name="40% - Énfasis3 3 2" xfId="57" xr:uid="{00000000-0005-0000-0000-000037000000}"/>
    <cellStyle name="40% - Énfasis3 4" xfId="58" xr:uid="{00000000-0005-0000-0000-000038000000}"/>
    <cellStyle name="40% - Énfasis4 2" xfId="59" xr:uid="{00000000-0005-0000-0000-000039000000}"/>
    <cellStyle name="40% - Énfasis4 2 2" xfId="60" xr:uid="{00000000-0005-0000-0000-00003A000000}"/>
    <cellStyle name="40% - Énfasis4 3" xfId="61" xr:uid="{00000000-0005-0000-0000-00003B000000}"/>
    <cellStyle name="40% - Énfasis4 3 2" xfId="62" xr:uid="{00000000-0005-0000-0000-00003C000000}"/>
    <cellStyle name="40% - Énfasis4 4" xfId="63" xr:uid="{00000000-0005-0000-0000-00003D000000}"/>
    <cellStyle name="40% - Énfasis5 2" xfId="64" xr:uid="{00000000-0005-0000-0000-00003E000000}"/>
    <cellStyle name="40% - Énfasis5 2 2" xfId="65" xr:uid="{00000000-0005-0000-0000-00003F000000}"/>
    <cellStyle name="40% - Énfasis5 3" xfId="66" xr:uid="{00000000-0005-0000-0000-000040000000}"/>
    <cellStyle name="40% - Énfasis5 3 2" xfId="67" xr:uid="{00000000-0005-0000-0000-000041000000}"/>
    <cellStyle name="40% - Énfasis5 4" xfId="68" xr:uid="{00000000-0005-0000-0000-000042000000}"/>
    <cellStyle name="40% - Énfasis6 2" xfId="69" xr:uid="{00000000-0005-0000-0000-000043000000}"/>
    <cellStyle name="40% - Énfasis6 2 2" xfId="70" xr:uid="{00000000-0005-0000-0000-000044000000}"/>
    <cellStyle name="40% - Énfasis6 3" xfId="71" xr:uid="{00000000-0005-0000-0000-000045000000}"/>
    <cellStyle name="40% - Énfasis6 3 2" xfId="72" xr:uid="{00000000-0005-0000-0000-000046000000}"/>
    <cellStyle name="40% - Énfasis6 4" xfId="73" xr:uid="{00000000-0005-0000-0000-000047000000}"/>
    <cellStyle name="60% - Accent1" xfId="74" xr:uid="{00000000-0005-0000-0000-000048000000}"/>
    <cellStyle name="60% - Accent1 2" xfId="75" xr:uid="{00000000-0005-0000-0000-000049000000}"/>
    <cellStyle name="60% - Accent1 3" xfId="76" xr:uid="{00000000-0005-0000-0000-00004A000000}"/>
    <cellStyle name="60% - Accent1 4" xfId="77" xr:uid="{00000000-0005-0000-0000-00004B000000}"/>
    <cellStyle name="60% - Accent1 5" xfId="78" xr:uid="{00000000-0005-0000-0000-00004C000000}"/>
    <cellStyle name="60% - Accent2" xfId="79" xr:uid="{00000000-0005-0000-0000-00004D000000}"/>
    <cellStyle name="60% - Accent2 2" xfId="80" xr:uid="{00000000-0005-0000-0000-00004E000000}"/>
    <cellStyle name="60% - Accent2 3" xfId="81" xr:uid="{00000000-0005-0000-0000-00004F000000}"/>
    <cellStyle name="60% - Accent2 4" xfId="82" xr:uid="{00000000-0005-0000-0000-000050000000}"/>
    <cellStyle name="60% - Accent2 5" xfId="83" xr:uid="{00000000-0005-0000-0000-000051000000}"/>
    <cellStyle name="60% - Accent3" xfId="84" xr:uid="{00000000-0005-0000-0000-000052000000}"/>
    <cellStyle name="60% - Accent3 2" xfId="85" xr:uid="{00000000-0005-0000-0000-000053000000}"/>
    <cellStyle name="60% - Accent3 3" xfId="86" xr:uid="{00000000-0005-0000-0000-000054000000}"/>
    <cellStyle name="60% - Accent3 4" xfId="87" xr:uid="{00000000-0005-0000-0000-000055000000}"/>
    <cellStyle name="60% - Accent3 5" xfId="88" xr:uid="{00000000-0005-0000-0000-000056000000}"/>
    <cellStyle name="60% - Accent4" xfId="89" xr:uid="{00000000-0005-0000-0000-000057000000}"/>
    <cellStyle name="60% - Accent4 2" xfId="90" xr:uid="{00000000-0005-0000-0000-000058000000}"/>
    <cellStyle name="60% - Accent4 3" xfId="91" xr:uid="{00000000-0005-0000-0000-000059000000}"/>
    <cellStyle name="60% - Accent4 4" xfId="92" xr:uid="{00000000-0005-0000-0000-00005A000000}"/>
    <cellStyle name="60% - Accent4 5" xfId="93" xr:uid="{00000000-0005-0000-0000-00005B000000}"/>
    <cellStyle name="60% - Accent5" xfId="94" xr:uid="{00000000-0005-0000-0000-00005C000000}"/>
    <cellStyle name="60% - Accent5 2" xfId="95" xr:uid="{00000000-0005-0000-0000-00005D000000}"/>
    <cellStyle name="60% - Accent5 3" xfId="96" xr:uid="{00000000-0005-0000-0000-00005E000000}"/>
    <cellStyle name="60% - Accent5 4" xfId="97" xr:uid="{00000000-0005-0000-0000-00005F000000}"/>
    <cellStyle name="60% - Accent5 5" xfId="98" xr:uid="{00000000-0005-0000-0000-000060000000}"/>
    <cellStyle name="60% - Accent6" xfId="99" xr:uid="{00000000-0005-0000-0000-000061000000}"/>
    <cellStyle name="60% - Accent6 2" xfId="100" xr:uid="{00000000-0005-0000-0000-000062000000}"/>
    <cellStyle name="60% - Accent6 3" xfId="101" xr:uid="{00000000-0005-0000-0000-000063000000}"/>
    <cellStyle name="60% - Accent6 4" xfId="102" xr:uid="{00000000-0005-0000-0000-000064000000}"/>
    <cellStyle name="60% - Accent6 5" xfId="103" xr:uid="{00000000-0005-0000-0000-000065000000}"/>
    <cellStyle name="60% - Énfasis1 2" xfId="104" xr:uid="{00000000-0005-0000-0000-000066000000}"/>
    <cellStyle name="60% - Énfasis1 2 2" xfId="105" xr:uid="{00000000-0005-0000-0000-000067000000}"/>
    <cellStyle name="60% - Énfasis1 3" xfId="106" xr:uid="{00000000-0005-0000-0000-000068000000}"/>
    <cellStyle name="60% - Énfasis1 3 2" xfId="107" xr:uid="{00000000-0005-0000-0000-000069000000}"/>
    <cellStyle name="60% - Énfasis1 4" xfId="108" xr:uid="{00000000-0005-0000-0000-00006A000000}"/>
    <cellStyle name="60% - Énfasis2 2" xfId="109" xr:uid="{00000000-0005-0000-0000-00006B000000}"/>
    <cellStyle name="60% - Énfasis2 2 2" xfId="110" xr:uid="{00000000-0005-0000-0000-00006C000000}"/>
    <cellStyle name="60% - Énfasis2 3" xfId="111" xr:uid="{00000000-0005-0000-0000-00006D000000}"/>
    <cellStyle name="60% - Énfasis2 3 2" xfId="112" xr:uid="{00000000-0005-0000-0000-00006E000000}"/>
    <cellStyle name="60% - Énfasis2 4" xfId="113" xr:uid="{00000000-0005-0000-0000-00006F000000}"/>
    <cellStyle name="60% - Énfasis3 2" xfId="114" xr:uid="{00000000-0005-0000-0000-000070000000}"/>
    <cellStyle name="60% - Énfasis3 2 2" xfId="115" xr:uid="{00000000-0005-0000-0000-000071000000}"/>
    <cellStyle name="60% - Énfasis3 3" xfId="116" xr:uid="{00000000-0005-0000-0000-000072000000}"/>
    <cellStyle name="60% - Énfasis3 3 2" xfId="117" xr:uid="{00000000-0005-0000-0000-000073000000}"/>
    <cellStyle name="60% - Énfasis3 4" xfId="118" xr:uid="{00000000-0005-0000-0000-000074000000}"/>
    <cellStyle name="60% - Énfasis4 2" xfId="119" xr:uid="{00000000-0005-0000-0000-000075000000}"/>
    <cellStyle name="60% - Énfasis4 2 2" xfId="120" xr:uid="{00000000-0005-0000-0000-000076000000}"/>
    <cellStyle name="60% - Énfasis4 3" xfId="121" xr:uid="{00000000-0005-0000-0000-000077000000}"/>
    <cellStyle name="60% - Énfasis4 3 2" xfId="122" xr:uid="{00000000-0005-0000-0000-000078000000}"/>
    <cellStyle name="60% - Énfasis4 4" xfId="123" xr:uid="{00000000-0005-0000-0000-000079000000}"/>
    <cellStyle name="60% - Énfasis5 2" xfId="124" xr:uid="{00000000-0005-0000-0000-00007A000000}"/>
    <cellStyle name="60% - Énfasis5 2 2" xfId="125" xr:uid="{00000000-0005-0000-0000-00007B000000}"/>
    <cellStyle name="60% - Énfasis5 3" xfId="126" xr:uid="{00000000-0005-0000-0000-00007C000000}"/>
    <cellStyle name="60% - Énfasis5 3 2" xfId="127" xr:uid="{00000000-0005-0000-0000-00007D000000}"/>
    <cellStyle name="60% - Énfasis5 4" xfId="128" xr:uid="{00000000-0005-0000-0000-00007E000000}"/>
    <cellStyle name="60% - Énfasis6 2" xfId="129" xr:uid="{00000000-0005-0000-0000-00007F000000}"/>
    <cellStyle name="60% - Énfasis6 2 2" xfId="130" xr:uid="{00000000-0005-0000-0000-000080000000}"/>
    <cellStyle name="60% - Énfasis6 3" xfId="131" xr:uid="{00000000-0005-0000-0000-000081000000}"/>
    <cellStyle name="60% - Énfasis6 3 2" xfId="132" xr:uid="{00000000-0005-0000-0000-000082000000}"/>
    <cellStyle name="60% - Énfasis6 4" xfId="133" xr:uid="{00000000-0005-0000-0000-000083000000}"/>
    <cellStyle name="Accent1" xfId="134" xr:uid="{00000000-0005-0000-0000-000084000000}"/>
    <cellStyle name="Accent1 2" xfId="135" xr:uid="{00000000-0005-0000-0000-000085000000}"/>
    <cellStyle name="Accent1 3" xfId="136" xr:uid="{00000000-0005-0000-0000-000086000000}"/>
    <cellStyle name="Accent1 4" xfId="137" xr:uid="{00000000-0005-0000-0000-000087000000}"/>
    <cellStyle name="Accent1 5" xfId="138" xr:uid="{00000000-0005-0000-0000-000088000000}"/>
    <cellStyle name="Accent2" xfId="139" xr:uid="{00000000-0005-0000-0000-000089000000}"/>
    <cellStyle name="Accent2 2" xfId="140" xr:uid="{00000000-0005-0000-0000-00008A000000}"/>
    <cellStyle name="Accent2 3" xfId="141" xr:uid="{00000000-0005-0000-0000-00008B000000}"/>
    <cellStyle name="Accent2 4" xfId="142" xr:uid="{00000000-0005-0000-0000-00008C000000}"/>
    <cellStyle name="Accent2 5" xfId="143" xr:uid="{00000000-0005-0000-0000-00008D000000}"/>
    <cellStyle name="Accent3" xfId="144" xr:uid="{00000000-0005-0000-0000-00008E000000}"/>
    <cellStyle name="Accent3 2" xfId="145" xr:uid="{00000000-0005-0000-0000-00008F000000}"/>
    <cellStyle name="Accent3 3" xfId="146" xr:uid="{00000000-0005-0000-0000-000090000000}"/>
    <cellStyle name="Accent3 4" xfId="147" xr:uid="{00000000-0005-0000-0000-000091000000}"/>
    <cellStyle name="Accent3 5" xfId="148" xr:uid="{00000000-0005-0000-0000-000092000000}"/>
    <cellStyle name="Accent4" xfId="149" xr:uid="{00000000-0005-0000-0000-000093000000}"/>
    <cellStyle name="Accent4 2" xfId="150" xr:uid="{00000000-0005-0000-0000-000094000000}"/>
    <cellStyle name="Accent4 3" xfId="151" xr:uid="{00000000-0005-0000-0000-000095000000}"/>
    <cellStyle name="Accent4 4" xfId="152" xr:uid="{00000000-0005-0000-0000-000096000000}"/>
    <cellStyle name="Accent4 5" xfId="153" xr:uid="{00000000-0005-0000-0000-000097000000}"/>
    <cellStyle name="Accent5" xfId="154" xr:uid="{00000000-0005-0000-0000-000098000000}"/>
    <cellStyle name="Accent5 2" xfId="155" xr:uid="{00000000-0005-0000-0000-000099000000}"/>
    <cellStyle name="Accent5 3" xfId="156" xr:uid="{00000000-0005-0000-0000-00009A000000}"/>
    <cellStyle name="Accent5 4" xfId="157" xr:uid="{00000000-0005-0000-0000-00009B000000}"/>
    <cellStyle name="Accent5 5" xfId="158" xr:uid="{00000000-0005-0000-0000-00009C000000}"/>
    <cellStyle name="Accent6" xfId="159" xr:uid="{00000000-0005-0000-0000-00009D000000}"/>
    <cellStyle name="Accent6 2" xfId="160" xr:uid="{00000000-0005-0000-0000-00009E000000}"/>
    <cellStyle name="Accent6 3" xfId="161" xr:uid="{00000000-0005-0000-0000-00009F000000}"/>
    <cellStyle name="Accent6 4" xfId="162" xr:uid="{00000000-0005-0000-0000-0000A0000000}"/>
    <cellStyle name="Accent6 5" xfId="163" xr:uid="{00000000-0005-0000-0000-0000A1000000}"/>
    <cellStyle name="ANCLAS,REZONES Y SUS PARTES,DE FUNDICION,DE HIERRO O DE ACERO" xfId="164" xr:uid="{00000000-0005-0000-0000-0000A2000000}"/>
    <cellStyle name="ANCLAS,REZONES Y SUS PARTES,DE FUNDICION,DE HIERRO O DE ACERO 2" xfId="165" xr:uid="{00000000-0005-0000-0000-0000A3000000}"/>
    <cellStyle name="ANCLAS,REZONES Y SUS PARTES,DE FUNDICION,DE HIERRO O DE ACERO 2 2" xfId="166" xr:uid="{00000000-0005-0000-0000-0000A4000000}"/>
    <cellStyle name="Bad" xfId="167" xr:uid="{00000000-0005-0000-0000-0000A5000000}"/>
    <cellStyle name="Bad 2" xfId="168" xr:uid="{00000000-0005-0000-0000-0000A6000000}"/>
    <cellStyle name="Bad 3" xfId="169" xr:uid="{00000000-0005-0000-0000-0000A7000000}"/>
    <cellStyle name="Bad 4" xfId="170" xr:uid="{00000000-0005-0000-0000-0000A8000000}"/>
    <cellStyle name="Bad 5" xfId="171" xr:uid="{00000000-0005-0000-0000-0000A9000000}"/>
    <cellStyle name="Buena 2" xfId="172" xr:uid="{00000000-0005-0000-0000-0000AA000000}"/>
    <cellStyle name="Buena 2 2" xfId="173" xr:uid="{00000000-0005-0000-0000-0000AB000000}"/>
    <cellStyle name="Buena 3" xfId="174" xr:uid="{00000000-0005-0000-0000-0000AC000000}"/>
    <cellStyle name="Buena 3 2" xfId="175" xr:uid="{00000000-0005-0000-0000-0000AD000000}"/>
    <cellStyle name="Buena 4" xfId="176" xr:uid="{00000000-0005-0000-0000-0000AE000000}"/>
    <cellStyle name="Calculation" xfId="177" xr:uid="{00000000-0005-0000-0000-0000AF000000}"/>
    <cellStyle name="Cálculo 2" xfId="178" xr:uid="{00000000-0005-0000-0000-0000B0000000}"/>
    <cellStyle name="Cálculo 2 2" xfId="179" xr:uid="{00000000-0005-0000-0000-0000B1000000}"/>
    <cellStyle name="Cálculo 3" xfId="180" xr:uid="{00000000-0005-0000-0000-0000B2000000}"/>
    <cellStyle name="Cálculo 3 2" xfId="181" xr:uid="{00000000-0005-0000-0000-0000B3000000}"/>
    <cellStyle name="Cálculo 4" xfId="182" xr:uid="{00000000-0005-0000-0000-0000B4000000}"/>
    <cellStyle name="Celda de comprobación 2" xfId="183" xr:uid="{00000000-0005-0000-0000-0000B5000000}"/>
    <cellStyle name="Celda de comprobación 2 2" xfId="184" xr:uid="{00000000-0005-0000-0000-0000B6000000}"/>
    <cellStyle name="Celda de comprobación 3" xfId="185" xr:uid="{00000000-0005-0000-0000-0000B7000000}"/>
    <cellStyle name="Celda de comprobación 3 2" xfId="186" xr:uid="{00000000-0005-0000-0000-0000B8000000}"/>
    <cellStyle name="Celda de comprobación 4" xfId="187" xr:uid="{00000000-0005-0000-0000-0000B9000000}"/>
    <cellStyle name="Celda vinculada 2" xfId="188" xr:uid="{00000000-0005-0000-0000-0000BA000000}"/>
    <cellStyle name="Celda vinculada 2 2" xfId="189" xr:uid="{00000000-0005-0000-0000-0000BB000000}"/>
    <cellStyle name="Celda vinculada 3" xfId="190" xr:uid="{00000000-0005-0000-0000-0000BC000000}"/>
    <cellStyle name="Celda vinculada 3 2" xfId="191" xr:uid="{00000000-0005-0000-0000-0000BD000000}"/>
    <cellStyle name="Celda vinculada 4" xfId="192" xr:uid="{00000000-0005-0000-0000-0000BE000000}"/>
    <cellStyle name="Check Cell" xfId="193" xr:uid="{00000000-0005-0000-0000-0000BF000000}"/>
    <cellStyle name="Check Cell 2" xfId="194" xr:uid="{00000000-0005-0000-0000-0000C0000000}"/>
    <cellStyle name="Check Cell 3" xfId="195" xr:uid="{00000000-0005-0000-0000-0000C1000000}"/>
    <cellStyle name="Check Cell 4" xfId="196" xr:uid="{00000000-0005-0000-0000-0000C2000000}"/>
    <cellStyle name="Check Cell 5" xfId="197" xr:uid="{00000000-0005-0000-0000-0000C3000000}"/>
    <cellStyle name="Comma [0]_hojas adicionales" xfId="198" xr:uid="{00000000-0005-0000-0000-0000C4000000}"/>
    <cellStyle name="Comma_aaa Stock Deuda Provincias I 2006" xfId="199" xr:uid="{00000000-0005-0000-0000-0000C5000000}"/>
    <cellStyle name="Comma0" xfId="200" xr:uid="{00000000-0005-0000-0000-0000C6000000}"/>
    <cellStyle name="Currency [0]_aaa Stock Deuda Provincias I 2006" xfId="201" xr:uid="{00000000-0005-0000-0000-0000C7000000}"/>
    <cellStyle name="Currency_aaa Stock Deuda Provincias I 2006" xfId="202" xr:uid="{00000000-0005-0000-0000-0000C8000000}"/>
    <cellStyle name="Currency0" xfId="203" xr:uid="{00000000-0005-0000-0000-0000C9000000}"/>
    <cellStyle name="En miles" xfId="204" xr:uid="{00000000-0005-0000-0000-0000CA000000}"/>
    <cellStyle name="En millones" xfId="205" xr:uid="{00000000-0005-0000-0000-0000CB000000}"/>
    <cellStyle name="Encabezado 4 2" xfId="206" xr:uid="{00000000-0005-0000-0000-0000CC000000}"/>
    <cellStyle name="Encabezado 4 2 2" xfId="207" xr:uid="{00000000-0005-0000-0000-0000CD000000}"/>
    <cellStyle name="Encabezado 4 3" xfId="208" xr:uid="{00000000-0005-0000-0000-0000CE000000}"/>
    <cellStyle name="Encabezado 4 3 2" xfId="209" xr:uid="{00000000-0005-0000-0000-0000CF000000}"/>
    <cellStyle name="Encabezado 4 4" xfId="210" xr:uid="{00000000-0005-0000-0000-0000D0000000}"/>
    <cellStyle name="Énfasis1 2" xfId="211" xr:uid="{00000000-0005-0000-0000-0000D1000000}"/>
    <cellStyle name="Énfasis1 2 2" xfId="212" xr:uid="{00000000-0005-0000-0000-0000D2000000}"/>
    <cellStyle name="Énfasis1 3" xfId="213" xr:uid="{00000000-0005-0000-0000-0000D3000000}"/>
    <cellStyle name="Énfasis1 3 2" xfId="214" xr:uid="{00000000-0005-0000-0000-0000D4000000}"/>
    <cellStyle name="Énfasis1 4" xfId="215" xr:uid="{00000000-0005-0000-0000-0000D5000000}"/>
    <cellStyle name="Énfasis2 2" xfId="216" xr:uid="{00000000-0005-0000-0000-0000D6000000}"/>
    <cellStyle name="Énfasis2 2 2" xfId="217" xr:uid="{00000000-0005-0000-0000-0000D7000000}"/>
    <cellStyle name="Énfasis2 3" xfId="218" xr:uid="{00000000-0005-0000-0000-0000D8000000}"/>
    <cellStyle name="Énfasis2 3 2" xfId="219" xr:uid="{00000000-0005-0000-0000-0000D9000000}"/>
    <cellStyle name="Énfasis2 4" xfId="220" xr:uid="{00000000-0005-0000-0000-0000DA000000}"/>
    <cellStyle name="Énfasis3 2" xfId="221" xr:uid="{00000000-0005-0000-0000-0000DB000000}"/>
    <cellStyle name="Énfasis3 2 2" xfId="222" xr:uid="{00000000-0005-0000-0000-0000DC000000}"/>
    <cellStyle name="Énfasis3 3" xfId="223" xr:uid="{00000000-0005-0000-0000-0000DD000000}"/>
    <cellStyle name="Énfasis3 3 2" xfId="224" xr:uid="{00000000-0005-0000-0000-0000DE000000}"/>
    <cellStyle name="Énfasis3 4" xfId="225" xr:uid="{00000000-0005-0000-0000-0000DF000000}"/>
    <cellStyle name="Énfasis4 2" xfId="226" xr:uid="{00000000-0005-0000-0000-0000E0000000}"/>
    <cellStyle name="Énfasis4 2 2" xfId="227" xr:uid="{00000000-0005-0000-0000-0000E1000000}"/>
    <cellStyle name="Énfasis4 3" xfId="228" xr:uid="{00000000-0005-0000-0000-0000E2000000}"/>
    <cellStyle name="Énfasis4 3 2" xfId="229" xr:uid="{00000000-0005-0000-0000-0000E3000000}"/>
    <cellStyle name="Énfasis4 4" xfId="230" xr:uid="{00000000-0005-0000-0000-0000E4000000}"/>
    <cellStyle name="Énfasis5 2" xfId="231" xr:uid="{00000000-0005-0000-0000-0000E5000000}"/>
    <cellStyle name="Énfasis5 2 2" xfId="232" xr:uid="{00000000-0005-0000-0000-0000E6000000}"/>
    <cellStyle name="Énfasis5 3" xfId="233" xr:uid="{00000000-0005-0000-0000-0000E7000000}"/>
    <cellStyle name="Énfasis5 3 2" xfId="234" xr:uid="{00000000-0005-0000-0000-0000E8000000}"/>
    <cellStyle name="Énfasis5 4" xfId="235" xr:uid="{00000000-0005-0000-0000-0000E9000000}"/>
    <cellStyle name="Énfasis6 2" xfId="236" xr:uid="{00000000-0005-0000-0000-0000EA000000}"/>
    <cellStyle name="Énfasis6 2 2" xfId="237" xr:uid="{00000000-0005-0000-0000-0000EB000000}"/>
    <cellStyle name="Énfasis6 3" xfId="238" xr:uid="{00000000-0005-0000-0000-0000EC000000}"/>
    <cellStyle name="Énfasis6 3 2" xfId="239" xr:uid="{00000000-0005-0000-0000-0000ED000000}"/>
    <cellStyle name="Énfasis6 4" xfId="240" xr:uid="{00000000-0005-0000-0000-0000EE000000}"/>
    <cellStyle name="Entrada 2" xfId="241" xr:uid="{00000000-0005-0000-0000-0000EF000000}"/>
    <cellStyle name="Entrada 2 2" xfId="242" xr:uid="{00000000-0005-0000-0000-0000F0000000}"/>
    <cellStyle name="Entrada 3" xfId="243" xr:uid="{00000000-0005-0000-0000-0000F1000000}"/>
    <cellStyle name="Entrada 3 2" xfId="244" xr:uid="{00000000-0005-0000-0000-0000F2000000}"/>
    <cellStyle name="Entrada 4" xfId="245" xr:uid="{00000000-0005-0000-0000-0000F3000000}"/>
    <cellStyle name="Euro" xfId="246" xr:uid="{00000000-0005-0000-0000-0000F4000000}"/>
    <cellStyle name="Euro 2" xfId="247" xr:uid="{00000000-0005-0000-0000-0000F5000000}"/>
    <cellStyle name="Euro 2 2" xfId="248" xr:uid="{00000000-0005-0000-0000-0000F6000000}"/>
    <cellStyle name="Euro 2 2 2" xfId="249" xr:uid="{00000000-0005-0000-0000-0000F7000000}"/>
    <cellStyle name="Euro 3" xfId="250" xr:uid="{00000000-0005-0000-0000-0000F8000000}"/>
    <cellStyle name="Explanatory Text" xfId="251" xr:uid="{00000000-0005-0000-0000-0000F9000000}"/>
    <cellStyle name="Explanatory Text 2" xfId="252" xr:uid="{00000000-0005-0000-0000-0000FA000000}"/>
    <cellStyle name="Explanatory Text 3" xfId="253" xr:uid="{00000000-0005-0000-0000-0000FB000000}"/>
    <cellStyle name="Explanatory Text 4" xfId="254" xr:uid="{00000000-0005-0000-0000-0000FC000000}"/>
    <cellStyle name="Explanatory Text 5" xfId="255" xr:uid="{00000000-0005-0000-0000-0000FD000000}"/>
    <cellStyle name="F2" xfId="256" xr:uid="{00000000-0005-0000-0000-0000FE000000}"/>
    <cellStyle name="F3" xfId="257" xr:uid="{00000000-0005-0000-0000-0000FF000000}"/>
    <cellStyle name="F4" xfId="258" xr:uid="{00000000-0005-0000-0000-000000010000}"/>
    <cellStyle name="F5" xfId="259" xr:uid="{00000000-0005-0000-0000-000001010000}"/>
    <cellStyle name="F6" xfId="260" xr:uid="{00000000-0005-0000-0000-000002010000}"/>
    <cellStyle name="F7" xfId="261" xr:uid="{00000000-0005-0000-0000-000003010000}"/>
    <cellStyle name="F8" xfId="262" xr:uid="{00000000-0005-0000-0000-000004010000}"/>
    <cellStyle name="facha" xfId="263" xr:uid="{00000000-0005-0000-0000-000005010000}"/>
    <cellStyle name="Followed Hyperlink_aaa Stock Deuda Provincias I 2006" xfId="264" xr:uid="{00000000-0005-0000-0000-000006010000}"/>
    <cellStyle name="Good" xfId="265" xr:uid="{00000000-0005-0000-0000-000007010000}"/>
    <cellStyle name="Good 2" xfId="266" xr:uid="{00000000-0005-0000-0000-000008010000}"/>
    <cellStyle name="Good 3" xfId="267" xr:uid="{00000000-0005-0000-0000-000009010000}"/>
    <cellStyle name="Good 4" xfId="268" xr:uid="{00000000-0005-0000-0000-00000A010000}"/>
    <cellStyle name="Good 5" xfId="269" xr:uid="{00000000-0005-0000-0000-00000B010000}"/>
    <cellStyle name="Heading 1" xfId="270" xr:uid="{00000000-0005-0000-0000-00000C010000}"/>
    <cellStyle name="Heading 2" xfId="271" xr:uid="{00000000-0005-0000-0000-00000D010000}"/>
    <cellStyle name="Heading 3" xfId="272" xr:uid="{00000000-0005-0000-0000-00000E010000}"/>
    <cellStyle name="Heading 4" xfId="273" xr:uid="{00000000-0005-0000-0000-00000F010000}"/>
    <cellStyle name="Hyperlink_aaa Stock Deuda Provincias I 2006" xfId="274" xr:uid="{00000000-0005-0000-0000-000010010000}"/>
    <cellStyle name="Incorrecto 2" xfId="275" xr:uid="{00000000-0005-0000-0000-000011010000}"/>
    <cellStyle name="Incorrecto 2 2" xfId="276" xr:uid="{00000000-0005-0000-0000-000012010000}"/>
    <cellStyle name="Incorrecto 3" xfId="277" xr:uid="{00000000-0005-0000-0000-000013010000}"/>
    <cellStyle name="Incorrecto 3 2" xfId="278" xr:uid="{00000000-0005-0000-0000-000014010000}"/>
    <cellStyle name="Incorrecto 4" xfId="279" xr:uid="{00000000-0005-0000-0000-000015010000}"/>
    <cellStyle name="Input" xfId="280" xr:uid="{00000000-0005-0000-0000-000016010000}"/>
    <cellStyle name="Input 2" xfId="281" xr:uid="{00000000-0005-0000-0000-000017010000}"/>
    <cellStyle name="Input 3" xfId="282" xr:uid="{00000000-0005-0000-0000-000018010000}"/>
    <cellStyle name="Input 4" xfId="283" xr:uid="{00000000-0005-0000-0000-000019010000}"/>
    <cellStyle name="Input 5" xfId="284" xr:uid="{00000000-0005-0000-0000-00001A010000}"/>
    <cellStyle name="jo[" xfId="285" xr:uid="{00000000-0005-0000-0000-00001B010000}"/>
    <cellStyle name="Linked Cell" xfId="286" xr:uid="{00000000-0005-0000-0000-00001C010000}"/>
    <cellStyle name="Linked Cell 2" xfId="287" xr:uid="{00000000-0005-0000-0000-00001D010000}"/>
    <cellStyle name="Linked Cell 3" xfId="288" xr:uid="{00000000-0005-0000-0000-00001E010000}"/>
    <cellStyle name="Linked Cell 4" xfId="289" xr:uid="{00000000-0005-0000-0000-00001F010000}"/>
    <cellStyle name="Linked Cell 5" xfId="290" xr:uid="{00000000-0005-0000-0000-000020010000}"/>
    <cellStyle name="Millares" xfId="499" builtinId="3"/>
    <cellStyle name="Millares [0] 2" xfId="291" xr:uid="{00000000-0005-0000-0000-000022010000}"/>
    <cellStyle name="Millares [0] 2 2" xfId="292" xr:uid="{00000000-0005-0000-0000-000023010000}"/>
    <cellStyle name="Millares [0] 2 2 2" xfId="293" xr:uid="{00000000-0005-0000-0000-000024010000}"/>
    <cellStyle name="Millares [0] 2 2 2 2" xfId="294" xr:uid="{00000000-0005-0000-0000-000025010000}"/>
    <cellStyle name="Millares [0] 2 2 3" xfId="295" xr:uid="{00000000-0005-0000-0000-000026010000}"/>
    <cellStyle name="Millares [0] 2 2 4" xfId="296" xr:uid="{00000000-0005-0000-0000-000027010000}"/>
    <cellStyle name="Millares [0] 2 3" xfId="297" xr:uid="{00000000-0005-0000-0000-000028010000}"/>
    <cellStyle name="Millares [0] 3" xfId="298" xr:uid="{00000000-0005-0000-0000-000029010000}"/>
    <cellStyle name="Millares [0] 3 2" xfId="299" xr:uid="{00000000-0005-0000-0000-00002A010000}"/>
    <cellStyle name="Millares [0] 4" xfId="300" xr:uid="{00000000-0005-0000-0000-00002B010000}"/>
    <cellStyle name="Millares [0] 4 2" xfId="301" xr:uid="{00000000-0005-0000-0000-00002C010000}"/>
    <cellStyle name="Millares [0] 5" xfId="302" xr:uid="{00000000-0005-0000-0000-00002D010000}"/>
    <cellStyle name="Millares [0] 5 2" xfId="303" xr:uid="{00000000-0005-0000-0000-00002E010000}"/>
    <cellStyle name="Millares [0] 6" xfId="304" xr:uid="{00000000-0005-0000-0000-00002F010000}"/>
    <cellStyle name="Millares [0] 8" xfId="305" xr:uid="{00000000-0005-0000-0000-000030010000}"/>
    <cellStyle name="Millares [2]" xfId="306" xr:uid="{00000000-0005-0000-0000-000031010000}"/>
    <cellStyle name="Millares [2] 2" xfId="307" xr:uid="{00000000-0005-0000-0000-000032010000}"/>
    <cellStyle name="Millares [2] 3" xfId="308" xr:uid="{00000000-0005-0000-0000-000033010000}"/>
    <cellStyle name="Millares [2] 4" xfId="309" xr:uid="{00000000-0005-0000-0000-000034010000}"/>
    <cellStyle name="Millares [2] 5" xfId="310" xr:uid="{00000000-0005-0000-0000-000035010000}"/>
    <cellStyle name="Millares 10" xfId="311" xr:uid="{00000000-0005-0000-0000-000036010000}"/>
    <cellStyle name="Millares 10 2" xfId="312" xr:uid="{00000000-0005-0000-0000-000037010000}"/>
    <cellStyle name="Millares 11" xfId="313" xr:uid="{00000000-0005-0000-0000-000038010000}"/>
    <cellStyle name="Millares 11 2" xfId="314" xr:uid="{00000000-0005-0000-0000-000039010000}"/>
    <cellStyle name="Millares 12" xfId="315" xr:uid="{00000000-0005-0000-0000-00003A010000}"/>
    <cellStyle name="Millares 12 2" xfId="316" xr:uid="{00000000-0005-0000-0000-00003B010000}"/>
    <cellStyle name="Millares 13" xfId="317" xr:uid="{00000000-0005-0000-0000-00003C010000}"/>
    <cellStyle name="Millares 13 2" xfId="318" xr:uid="{00000000-0005-0000-0000-00003D010000}"/>
    <cellStyle name="Millares 14" xfId="319" xr:uid="{00000000-0005-0000-0000-00003E010000}"/>
    <cellStyle name="Millares 15" xfId="320" xr:uid="{00000000-0005-0000-0000-00003F010000}"/>
    <cellStyle name="Millares 16" xfId="321" xr:uid="{00000000-0005-0000-0000-000040010000}"/>
    <cellStyle name="Millares 16 2" xfId="322" xr:uid="{00000000-0005-0000-0000-000041010000}"/>
    <cellStyle name="Millares 17" xfId="323" xr:uid="{00000000-0005-0000-0000-000042010000}"/>
    <cellStyle name="Millares 18" xfId="324" xr:uid="{00000000-0005-0000-0000-000043010000}"/>
    <cellStyle name="Millares 18 2" xfId="325" xr:uid="{00000000-0005-0000-0000-000044010000}"/>
    <cellStyle name="Millares 19" xfId="326" xr:uid="{00000000-0005-0000-0000-000045010000}"/>
    <cellStyle name="Millares 2" xfId="327" xr:uid="{00000000-0005-0000-0000-000046010000}"/>
    <cellStyle name="Millares 2 2" xfId="328" xr:uid="{00000000-0005-0000-0000-000047010000}"/>
    <cellStyle name="Millares 2 2 2" xfId="329" xr:uid="{00000000-0005-0000-0000-000048010000}"/>
    <cellStyle name="Millares 2 2 2 2" xfId="330" xr:uid="{00000000-0005-0000-0000-000049010000}"/>
    <cellStyle name="Millares 2 2 2 2 2" xfId="331" xr:uid="{00000000-0005-0000-0000-00004A010000}"/>
    <cellStyle name="Millares 2 2 3" xfId="332" xr:uid="{00000000-0005-0000-0000-00004B010000}"/>
    <cellStyle name="Millares 2 2 4" xfId="333" xr:uid="{00000000-0005-0000-0000-00004C010000}"/>
    <cellStyle name="Millares 2 3" xfId="334" xr:uid="{00000000-0005-0000-0000-00004D010000}"/>
    <cellStyle name="Millares 2 4" xfId="335" xr:uid="{00000000-0005-0000-0000-00004E010000}"/>
    <cellStyle name="Millares 2 5" xfId="336" xr:uid="{00000000-0005-0000-0000-00004F010000}"/>
    <cellStyle name="Millares 2 6" xfId="337" xr:uid="{00000000-0005-0000-0000-000050010000}"/>
    <cellStyle name="Millares 3" xfId="338" xr:uid="{00000000-0005-0000-0000-000051010000}"/>
    <cellStyle name="Millares 3 2" xfId="339" xr:uid="{00000000-0005-0000-0000-000052010000}"/>
    <cellStyle name="Millares 3 2 2" xfId="340" xr:uid="{00000000-0005-0000-0000-000053010000}"/>
    <cellStyle name="Millares 3 3" xfId="341" xr:uid="{00000000-0005-0000-0000-000054010000}"/>
    <cellStyle name="Millares 3 3 2" xfId="342" xr:uid="{00000000-0005-0000-0000-000055010000}"/>
    <cellStyle name="Millares 3 4" xfId="343" xr:uid="{00000000-0005-0000-0000-000056010000}"/>
    <cellStyle name="Millares 3 4 2" xfId="344" xr:uid="{00000000-0005-0000-0000-000057010000}"/>
    <cellStyle name="Millares 3 5" xfId="345" xr:uid="{00000000-0005-0000-0000-000058010000}"/>
    <cellStyle name="Millares 4" xfId="346" xr:uid="{00000000-0005-0000-0000-000059010000}"/>
    <cellStyle name="Millares 4 2" xfId="347" xr:uid="{00000000-0005-0000-0000-00005A010000}"/>
    <cellStyle name="Millares 4 2 2" xfId="348" xr:uid="{00000000-0005-0000-0000-00005B010000}"/>
    <cellStyle name="Millares 4 2 2 2" xfId="349" xr:uid="{00000000-0005-0000-0000-00005C010000}"/>
    <cellStyle name="Millares 4 3" xfId="350" xr:uid="{00000000-0005-0000-0000-00005D010000}"/>
    <cellStyle name="Millares 5" xfId="351" xr:uid="{00000000-0005-0000-0000-00005E010000}"/>
    <cellStyle name="Millares 5 2" xfId="352" xr:uid="{00000000-0005-0000-0000-00005F010000}"/>
    <cellStyle name="Millares 5 2 2" xfId="353" xr:uid="{00000000-0005-0000-0000-000060010000}"/>
    <cellStyle name="Millares 5 2 2 2" xfId="354" xr:uid="{00000000-0005-0000-0000-000061010000}"/>
    <cellStyle name="Millares 5 3" xfId="355" xr:uid="{00000000-0005-0000-0000-000062010000}"/>
    <cellStyle name="Millares 5 4" xfId="356" xr:uid="{00000000-0005-0000-0000-000063010000}"/>
    <cellStyle name="Millares 5 5" xfId="357" xr:uid="{00000000-0005-0000-0000-000064010000}"/>
    <cellStyle name="Millares 5 5 2" xfId="358" xr:uid="{00000000-0005-0000-0000-000065010000}"/>
    <cellStyle name="Millares 5 6" xfId="359" xr:uid="{00000000-0005-0000-0000-000066010000}"/>
    <cellStyle name="Millares 6" xfId="360" xr:uid="{00000000-0005-0000-0000-000067010000}"/>
    <cellStyle name="Millares 6 2" xfId="361" xr:uid="{00000000-0005-0000-0000-000068010000}"/>
    <cellStyle name="Millares 7" xfId="362" xr:uid="{00000000-0005-0000-0000-000069010000}"/>
    <cellStyle name="Millares 7 2" xfId="363" xr:uid="{00000000-0005-0000-0000-00006A010000}"/>
    <cellStyle name="Millares 7 3" xfId="364" xr:uid="{00000000-0005-0000-0000-00006B010000}"/>
    <cellStyle name="Millares 7 3 2" xfId="365" xr:uid="{00000000-0005-0000-0000-00006C010000}"/>
    <cellStyle name="Millares 7 3 2 2" xfId="366" xr:uid="{00000000-0005-0000-0000-00006D010000}"/>
    <cellStyle name="Millares 7 3 3" xfId="367" xr:uid="{00000000-0005-0000-0000-00006E010000}"/>
    <cellStyle name="Millares 8" xfId="368" xr:uid="{00000000-0005-0000-0000-00006F010000}"/>
    <cellStyle name="Millares 9" xfId="369" xr:uid="{00000000-0005-0000-0000-000070010000}"/>
    <cellStyle name="Moneda" xfId="500" builtinId="4"/>
    <cellStyle name="Neutral 2" xfId="370" xr:uid="{00000000-0005-0000-0000-000072010000}"/>
    <cellStyle name="Neutral 2 2" xfId="371" xr:uid="{00000000-0005-0000-0000-000073010000}"/>
    <cellStyle name="Neutral 3" xfId="372" xr:uid="{00000000-0005-0000-0000-000074010000}"/>
    <cellStyle name="Neutral 3 2" xfId="373" xr:uid="{00000000-0005-0000-0000-000075010000}"/>
    <cellStyle name="Neutral 4" xfId="374" xr:uid="{00000000-0005-0000-0000-000076010000}"/>
    <cellStyle name="Normal" xfId="0" builtinId="0"/>
    <cellStyle name="Normal 10" xfId="375" xr:uid="{00000000-0005-0000-0000-000078010000}"/>
    <cellStyle name="Normal 10 2" xfId="376" xr:uid="{00000000-0005-0000-0000-000079010000}"/>
    <cellStyle name="Normal 10 3" xfId="377" xr:uid="{00000000-0005-0000-0000-00007A010000}"/>
    <cellStyle name="Normal 11" xfId="378" xr:uid="{00000000-0005-0000-0000-00007B010000}"/>
    <cellStyle name="Normal 12" xfId="379" xr:uid="{00000000-0005-0000-0000-00007C010000}"/>
    <cellStyle name="Normal 12 2" xfId="380" xr:uid="{00000000-0005-0000-0000-00007D010000}"/>
    <cellStyle name="Normal 13" xfId="381" xr:uid="{00000000-0005-0000-0000-00007E010000}"/>
    <cellStyle name="Normal 13 2" xfId="382" xr:uid="{00000000-0005-0000-0000-00007F010000}"/>
    <cellStyle name="Normal 14" xfId="383" xr:uid="{00000000-0005-0000-0000-000080010000}"/>
    <cellStyle name="Normal 2" xfId="384" xr:uid="{00000000-0005-0000-0000-000081010000}"/>
    <cellStyle name="Normal 2 2" xfId="385" xr:uid="{00000000-0005-0000-0000-000082010000}"/>
    <cellStyle name="Normal 2 2 2" xfId="386" xr:uid="{00000000-0005-0000-0000-000083010000}"/>
    <cellStyle name="Normal 2 2 3" xfId="387" xr:uid="{00000000-0005-0000-0000-000084010000}"/>
    <cellStyle name="Normal 2 2 3 2" xfId="388" xr:uid="{00000000-0005-0000-0000-000085010000}"/>
    <cellStyle name="Normal 2 2 4" xfId="389" xr:uid="{00000000-0005-0000-0000-000086010000}"/>
    <cellStyle name="Normal 2 3" xfId="390" xr:uid="{00000000-0005-0000-0000-000087010000}"/>
    <cellStyle name="Normal 2 3 2" xfId="391" xr:uid="{00000000-0005-0000-0000-000088010000}"/>
    <cellStyle name="Normal 2 3 2 2" xfId="392" xr:uid="{00000000-0005-0000-0000-000089010000}"/>
    <cellStyle name="Normal 2 3 3" xfId="393" xr:uid="{00000000-0005-0000-0000-00008A010000}"/>
    <cellStyle name="Normal 3" xfId="394" xr:uid="{00000000-0005-0000-0000-00008B010000}"/>
    <cellStyle name="Normal 3 2" xfId="395" xr:uid="{00000000-0005-0000-0000-00008C010000}"/>
    <cellStyle name="Normal 4" xfId="396" xr:uid="{00000000-0005-0000-0000-00008D010000}"/>
    <cellStyle name="Normal 5" xfId="397" xr:uid="{00000000-0005-0000-0000-00008E010000}"/>
    <cellStyle name="Normal 5 2" xfId="398" xr:uid="{00000000-0005-0000-0000-00008F010000}"/>
    <cellStyle name="Normal 5 2 2" xfId="399" xr:uid="{00000000-0005-0000-0000-000090010000}"/>
    <cellStyle name="Normal 5 2 2 2" xfId="400" xr:uid="{00000000-0005-0000-0000-000091010000}"/>
    <cellStyle name="Normal 5 3" xfId="401" xr:uid="{00000000-0005-0000-0000-000092010000}"/>
    <cellStyle name="Normal 5 4" xfId="402" xr:uid="{00000000-0005-0000-0000-000093010000}"/>
    <cellStyle name="Normal 5 4 2" xfId="403" xr:uid="{00000000-0005-0000-0000-000094010000}"/>
    <cellStyle name="Normal 5 5" xfId="404" xr:uid="{00000000-0005-0000-0000-000095010000}"/>
    <cellStyle name="Normal 5 5 2" xfId="405" xr:uid="{00000000-0005-0000-0000-000096010000}"/>
    <cellStyle name="Normal 5 6" xfId="406" xr:uid="{00000000-0005-0000-0000-000097010000}"/>
    <cellStyle name="Normal 5 6 2" xfId="407" xr:uid="{00000000-0005-0000-0000-000098010000}"/>
    <cellStyle name="Normal 5 7" xfId="408" xr:uid="{00000000-0005-0000-0000-000099010000}"/>
    <cellStyle name="Normal 5_CUADRO 8 - Bonos y Prestamos Garantizados en Pesos 2do. Trim-15 (A 1.8) Mari en construcción" xfId="409" xr:uid="{00000000-0005-0000-0000-00009A010000}"/>
    <cellStyle name="Normal 6" xfId="410" xr:uid="{00000000-0005-0000-0000-00009B010000}"/>
    <cellStyle name="Normal 7" xfId="411" xr:uid="{00000000-0005-0000-0000-00009C010000}"/>
    <cellStyle name="Normal 7 2" xfId="412" xr:uid="{00000000-0005-0000-0000-00009D010000}"/>
    <cellStyle name="Normal 7 2 2" xfId="413" xr:uid="{00000000-0005-0000-0000-00009E010000}"/>
    <cellStyle name="Normal 7 3" xfId="414" xr:uid="{00000000-0005-0000-0000-00009F010000}"/>
    <cellStyle name="Normal 7 3 2" xfId="415" xr:uid="{00000000-0005-0000-0000-0000A0010000}"/>
    <cellStyle name="Normal 7 4" xfId="416" xr:uid="{00000000-0005-0000-0000-0000A1010000}"/>
    <cellStyle name="Normal 7 4 2" xfId="417" xr:uid="{00000000-0005-0000-0000-0000A2010000}"/>
    <cellStyle name="Normal 7 5" xfId="418" xr:uid="{00000000-0005-0000-0000-0000A3010000}"/>
    <cellStyle name="Normal 8" xfId="419" xr:uid="{00000000-0005-0000-0000-0000A4010000}"/>
    <cellStyle name="Normal 8 2" xfId="420" xr:uid="{00000000-0005-0000-0000-0000A5010000}"/>
    <cellStyle name="Normal 9" xfId="421" xr:uid="{00000000-0005-0000-0000-0000A6010000}"/>
    <cellStyle name="Normal 9 2" xfId="422" xr:uid="{00000000-0005-0000-0000-0000A7010000}"/>
    <cellStyle name="Normal 9 2 2" xfId="423" xr:uid="{00000000-0005-0000-0000-0000A8010000}"/>
    <cellStyle name="Normal 9 3" xfId="424" xr:uid="{00000000-0005-0000-0000-0000A9010000}"/>
    <cellStyle name="Notas 2" xfId="425" xr:uid="{00000000-0005-0000-0000-0000AA010000}"/>
    <cellStyle name="Notas 2 2" xfId="426" xr:uid="{00000000-0005-0000-0000-0000AB010000}"/>
    <cellStyle name="Notas 3" xfId="427" xr:uid="{00000000-0005-0000-0000-0000AC010000}"/>
    <cellStyle name="Notas 3 2" xfId="428" xr:uid="{00000000-0005-0000-0000-0000AD010000}"/>
    <cellStyle name="Notas 4" xfId="429" xr:uid="{00000000-0005-0000-0000-0000AE010000}"/>
    <cellStyle name="Note" xfId="430" xr:uid="{00000000-0005-0000-0000-0000AF010000}"/>
    <cellStyle name="Nulos" xfId="431" xr:uid="{00000000-0005-0000-0000-0000B0010000}"/>
    <cellStyle name="Nulos 2" xfId="432" xr:uid="{00000000-0005-0000-0000-0000B1010000}"/>
    <cellStyle name="Nulos 2 2" xfId="433" xr:uid="{00000000-0005-0000-0000-0000B2010000}"/>
    <cellStyle name="Nulos 3" xfId="434" xr:uid="{00000000-0005-0000-0000-0000B3010000}"/>
    <cellStyle name="Nulos 4" xfId="435" xr:uid="{00000000-0005-0000-0000-0000B4010000}"/>
    <cellStyle name="Oficio" xfId="436" xr:uid="{00000000-0005-0000-0000-0000B5010000}"/>
    <cellStyle name="Output" xfId="437" xr:uid="{00000000-0005-0000-0000-0000B6010000}"/>
    <cellStyle name="Output 2" xfId="438" xr:uid="{00000000-0005-0000-0000-0000B7010000}"/>
    <cellStyle name="Output 3" xfId="439" xr:uid="{00000000-0005-0000-0000-0000B8010000}"/>
    <cellStyle name="Output 4" xfId="440" xr:uid="{00000000-0005-0000-0000-0000B9010000}"/>
    <cellStyle name="Output 5" xfId="441" xr:uid="{00000000-0005-0000-0000-0000BA010000}"/>
    <cellStyle name="Porcentaje" xfId="1" builtinId="5"/>
    <cellStyle name="Porcentaje 2" xfId="442" xr:uid="{00000000-0005-0000-0000-0000BC010000}"/>
    <cellStyle name="Porcentaje 2 2" xfId="443" xr:uid="{00000000-0005-0000-0000-0000BD010000}"/>
    <cellStyle name="Porcentaje 2 2 2" xfId="444" xr:uid="{00000000-0005-0000-0000-0000BE010000}"/>
    <cellStyle name="Porcentaje 2 2 2 2" xfId="445" xr:uid="{00000000-0005-0000-0000-0000BF010000}"/>
    <cellStyle name="Porcentaje 2 3" xfId="446" xr:uid="{00000000-0005-0000-0000-0000C0010000}"/>
    <cellStyle name="Porcentaje 3" xfId="447" xr:uid="{00000000-0005-0000-0000-0000C1010000}"/>
    <cellStyle name="Porcentaje 3 2" xfId="448" xr:uid="{00000000-0005-0000-0000-0000C2010000}"/>
    <cellStyle name="Porcentaje 4" xfId="449" xr:uid="{00000000-0005-0000-0000-0000C3010000}"/>
    <cellStyle name="Porcentaje 4 2" xfId="450" xr:uid="{00000000-0005-0000-0000-0000C4010000}"/>
    <cellStyle name="Porcentaje 5" xfId="451" xr:uid="{00000000-0005-0000-0000-0000C5010000}"/>
    <cellStyle name="Salida 2" xfId="452" xr:uid="{00000000-0005-0000-0000-0000C6010000}"/>
    <cellStyle name="Salida 2 2" xfId="453" xr:uid="{00000000-0005-0000-0000-0000C7010000}"/>
    <cellStyle name="Salida 3" xfId="454" xr:uid="{00000000-0005-0000-0000-0000C8010000}"/>
    <cellStyle name="Salida 3 2" xfId="455" xr:uid="{00000000-0005-0000-0000-0000C9010000}"/>
    <cellStyle name="Salida 4" xfId="456" xr:uid="{00000000-0005-0000-0000-0000CA010000}"/>
    <cellStyle name="Texto de advertencia 2" xfId="457" xr:uid="{00000000-0005-0000-0000-0000CB010000}"/>
    <cellStyle name="Texto de advertencia 2 2" xfId="458" xr:uid="{00000000-0005-0000-0000-0000CC010000}"/>
    <cellStyle name="Texto de advertencia 3" xfId="459" xr:uid="{00000000-0005-0000-0000-0000CD010000}"/>
    <cellStyle name="Texto de advertencia 3 2" xfId="460" xr:uid="{00000000-0005-0000-0000-0000CE010000}"/>
    <cellStyle name="Texto de advertencia 4" xfId="461" xr:uid="{00000000-0005-0000-0000-0000CF010000}"/>
    <cellStyle name="Texto explicativo 2" xfId="462" xr:uid="{00000000-0005-0000-0000-0000D0010000}"/>
    <cellStyle name="Texto explicativo 2 2" xfId="463" xr:uid="{00000000-0005-0000-0000-0000D1010000}"/>
    <cellStyle name="Texto explicativo 3" xfId="464" xr:uid="{00000000-0005-0000-0000-0000D2010000}"/>
    <cellStyle name="Texto explicativo 3 2" xfId="465" xr:uid="{00000000-0005-0000-0000-0000D3010000}"/>
    <cellStyle name="Texto explicativo 4" xfId="466" xr:uid="{00000000-0005-0000-0000-0000D4010000}"/>
    <cellStyle name="Title" xfId="467" xr:uid="{00000000-0005-0000-0000-0000D5010000}"/>
    <cellStyle name="Título 1 2" xfId="468" xr:uid="{00000000-0005-0000-0000-0000D6010000}"/>
    <cellStyle name="Título 1 2 2" xfId="469" xr:uid="{00000000-0005-0000-0000-0000D7010000}"/>
    <cellStyle name="Título 1 3" xfId="470" xr:uid="{00000000-0005-0000-0000-0000D8010000}"/>
    <cellStyle name="Título 1 3 2" xfId="471" xr:uid="{00000000-0005-0000-0000-0000D9010000}"/>
    <cellStyle name="Título 1 4" xfId="472" xr:uid="{00000000-0005-0000-0000-0000DA010000}"/>
    <cellStyle name="Título 2 2" xfId="473" xr:uid="{00000000-0005-0000-0000-0000DB010000}"/>
    <cellStyle name="Título 2 2 2" xfId="474" xr:uid="{00000000-0005-0000-0000-0000DC010000}"/>
    <cellStyle name="Título 2 3" xfId="475" xr:uid="{00000000-0005-0000-0000-0000DD010000}"/>
    <cellStyle name="Título 2 3 2" xfId="476" xr:uid="{00000000-0005-0000-0000-0000DE010000}"/>
    <cellStyle name="Título 2 4" xfId="477" xr:uid="{00000000-0005-0000-0000-0000DF010000}"/>
    <cellStyle name="Título 3 2" xfId="478" xr:uid="{00000000-0005-0000-0000-0000E0010000}"/>
    <cellStyle name="Título 3 2 2" xfId="479" xr:uid="{00000000-0005-0000-0000-0000E1010000}"/>
    <cellStyle name="Título 3 3" xfId="480" xr:uid="{00000000-0005-0000-0000-0000E2010000}"/>
    <cellStyle name="Título 3 3 2" xfId="481" xr:uid="{00000000-0005-0000-0000-0000E3010000}"/>
    <cellStyle name="Título 3 4" xfId="482" xr:uid="{00000000-0005-0000-0000-0000E4010000}"/>
    <cellStyle name="Título 4" xfId="483" xr:uid="{00000000-0005-0000-0000-0000E5010000}"/>
    <cellStyle name="Título 4 2" xfId="484" xr:uid="{00000000-0005-0000-0000-0000E6010000}"/>
    <cellStyle name="Título 5" xfId="485" xr:uid="{00000000-0005-0000-0000-0000E7010000}"/>
    <cellStyle name="Título 5 2" xfId="486" xr:uid="{00000000-0005-0000-0000-0000E8010000}"/>
    <cellStyle name="Título 6" xfId="487" xr:uid="{00000000-0005-0000-0000-0000E9010000}"/>
    <cellStyle name="Total 2" xfId="488" xr:uid="{00000000-0005-0000-0000-0000EA010000}"/>
    <cellStyle name="Total 2 2" xfId="489" xr:uid="{00000000-0005-0000-0000-0000EB010000}"/>
    <cellStyle name="Total 3" xfId="490" xr:uid="{00000000-0005-0000-0000-0000EC010000}"/>
    <cellStyle name="Total 3 2" xfId="491" xr:uid="{00000000-0005-0000-0000-0000ED010000}"/>
    <cellStyle name="Total 4" xfId="492" xr:uid="{00000000-0005-0000-0000-0000EE010000}"/>
    <cellStyle name="vaca" xfId="493" xr:uid="{00000000-0005-0000-0000-0000EF010000}"/>
    <cellStyle name="Warning Text" xfId="494" xr:uid="{00000000-0005-0000-0000-0000F0010000}"/>
    <cellStyle name="Warning Text 2" xfId="495" xr:uid="{00000000-0005-0000-0000-0000F1010000}"/>
    <cellStyle name="Warning Text 3" xfId="496" xr:uid="{00000000-0005-0000-0000-0000F2010000}"/>
    <cellStyle name="Warning Text 4" xfId="497" xr:uid="{00000000-0005-0000-0000-0000F3010000}"/>
    <cellStyle name="Warning Text 5" xfId="498" xr:uid="{00000000-0005-0000-0000-0000F401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E76F"/>
      <color rgb="FF0B991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Variaciones YTD bonos ajustables por</a:t>
            </a:r>
            <a:r>
              <a:rPr lang="es-AR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CER vs dólar CCL</a:t>
            </a:r>
            <a:endParaRPr lang="es-AR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950919577826084"/>
          <c:y val="2.5065142279292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2636790987956144E-2"/>
          <c:y val="0.18670798322101861"/>
          <c:w val="0.88483761416381024"/>
          <c:h val="0.726553075486342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D-41DF-AEFF-82FEC8A53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Variaciones!$AQ$7:$AQ$22</c:f>
              <c:strCache>
                <c:ptCount val="16"/>
                <c:pt idx="0">
                  <c:v>TX21</c:v>
                </c:pt>
                <c:pt idx="1">
                  <c:v>TC21</c:v>
                </c:pt>
                <c:pt idx="2">
                  <c:v>TX22</c:v>
                </c:pt>
                <c:pt idx="3">
                  <c:v>PR13</c:v>
                </c:pt>
                <c:pt idx="4">
                  <c:v>T2X2</c:v>
                </c:pt>
                <c:pt idx="5">
                  <c:v>TC23</c:v>
                </c:pt>
                <c:pt idx="6">
                  <c:v>TX23</c:v>
                </c:pt>
                <c:pt idx="7">
                  <c:v>T2X3</c:v>
                </c:pt>
                <c:pt idx="8">
                  <c:v>TX24</c:v>
                </c:pt>
                <c:pt idx="9">
                  <c:v>TX26</c:v>
                </c:pt>
                <c:pt idx="10">
                  <c:v>TC25P</c:v>
                </c:pt>
                <c:pt idx="11">
                  <c:v>TX28</c:v>
                </c:pt>
                <c:pt idx="12">
                  <c:v>DICP</c:v>
                </c:pt>
                <c:pt idx="13">
                  <c:v>PARP</c:v>
                </c:pt>
                <c:pt idx="14">
                  <c:v>CUAP</c:v>
                </c:pt>
                <c:pt idx="15">
                  <c:v>CCL</c:v>
                </c:pt>
              </c:strCache>
            </c:strRef>
          </c:cat>
          <c:val>
            <c:numRef>
              <c:f>Variaciones!$AV$7:$AV$22</c:f>
              <c:numCache>
                <c:formatCode>0.00%</c:formatCode>
                <c:ptCount val="16"/>
                <c:pt idx="0">
                  <c:v>0.21862374491200959</c:v>
                </c:pt>
                <c:pt idx="1">
                  <c:v>0.21880060842487942</c:v>
                </c:pt>
                <c:pt idx="2">
                  <c:v>0.21180035173119438</c:v>
                </c:pt>
                <c:pt idx="3">
                  <c:v>0.22694294040165799</c:v>
                </c:pt>
                <c:pt idx="4">
                  <c:v>0.26591150008322595</c:v>
                </c:pt>
                <c:pt idx="5">
                  <c:v>0.26342746577744097</c:v>
                </c:pt>
                <c:pt idx="6">
                  <c:v>0.24517685078636398</c:v>
                </c:pt>
                <c:pt idx="8">
                  <c:v>0.2858630161877822</c:v>
                </c:pt>
                <c:pt idx="9">
                  <c:v>0.33304785840599516</c:v>
                </c:pt>
                <c:pt idx="10">
                  <c:v>0.36978678412588339</c:v>
                </c:pt>
                <c:pt idx="11">
                  <c:v>0.30599467275098935</c:v>
                </c:pt>
                <c:pt idx="12">
                  <c:v>0.24893617021276596</c:v>
                </c:pt>
                <c:pt idx="13">
                  <c:v>0.20524802870923753</c:v>
                </c:pt>
                <c:pt idx="14">
                  <c:v>0.22277227722772278</c:v>
                </c:pt>
                <c:pt idx="15">
                  <c:v>0.15505775288764442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D-41DF-AEFF-82FEC8A5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18736"/>
        <c:axId val="572613160"/>
      </c:barChart>
      <c:catAx>
        <c:axId val="5726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3160"/>
        <c:crosses val="autoZero"/>
        <c:auto val="1"/>
        <c:lblAlgn val="ctr"/>
        <c:lblOffset val="100"/>
        <c:noMultiLvlLbl val="0"/>
      </c:catAx>
      <c:valAx>
        <c:axId val="5726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4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Tramo CER 2022</a:t>
            </a:r>
            <a:endParaRPr lang="es-AR" sz="14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8713742737017226"/>
          <c:y val="7.186471159495005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04512801967333"/>
          <c:y val="0.19601690164878297"/>
          <c:w val="0.81084992015518587"/>
          <c:h val="0.64183288015140894"/>
        </c:manualLayout>
      </c:layout>
      <c:scatterChart>
        <c:scatterStyle val="lineMarker"/>
        <c:varyColors val="0"/>
        <c:ser>
          <c:idx val="1"/>
          <c:order val="0"/>
          <c:tx>
            <c:v>BONCER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Lbls>
            <c:dLbl>
              <c:idx val="0"/>
              <c:layout>
                <c:manualLayout>
                  <c:x val="-3.5562363851244269E-2"/>
                  <c:y val="4.2649897490618184E-2"/>
                </c:manualLayout>
              </c:layout>
              <c:tx>
                <c:rich>
                  <a:bodyPr/>
                  <a:lstStyle/>
                  <a:p>
                    <a:fld id="{C1B7E4D5-6FDB-42D8-BBF2-BDDD4672476F}" type="CELLRANGE">
                      <a:rPr lang="en-US"/>
                      <a:pPr/>
                      <a:t>[CELLRANGE]</a:t>
                    </a:fld>
                    <a:endParaRPr lang="en-US"/>
                  </a:p>
                  <a:p>
                    <a:fld id="{FFB5D9E7-4A2B-4AAE-9BEB-3B73B2CB13D0}" type="YVALUE">
                      <a:rPr lang="en-US" baseline="0"/>
                      <a:pPr/>
                      <a:t>[VALOR DE Y]</a:t>
                    </a:fld>
                    <a:endParaRPr lang="es-A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9FE-4A6D-A416-32673EE6A637}"/>
                </c:ext>
              </c:extLst>
            </c:dLbl>
            <c:dLbl>
              <c:idx val="1"/>
              <c:layout>
                <c:manualLayout>
                  <c:x val="-2.7087847603987796E-2"/>
                  <c:y val="4.240243624635822E-2"/>
                </c:manualLayout>
              </c:layout>
              <c:tx>
                <c:rich>
                  <a:bodyPr/>
                  <a:lstStyle/>
                  <a:p>
                    <a:fld id="{41CF5929-D9E3-4AD8-BAD3-7881462DBA2F}" type="CELLRANGE">
                      <a:rPr lang="en-US"/>
                      <a:pPr/>
                      <a:t>[CELLRANGE]</a:t>
                    </a:fld>
                    <a:br>
                      <a:rPr lang="en-US"/>
                    </a:br>
                    <a:r>
                      <a:rPr lang="en-US" baseline="0"/>
                      <a:t> </a:t>
                    </a:r>
                    <a:fld id="{13F3CB64-F573-4AF6-9BDF-39B879FE2628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C36-4344-85DB-2296486A4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datos'!$F$71:$F$72</c:f>
              <c:numCache>
                <c:formatCode>#,##0.00</c:formatCode>
                <c:ptCount val="2"/>
                <c:pt idx="0" formatCode="0.00">
                  <c:v>0.69425779534475174</c:v>
                </c:pt>
                <c:pt idx="1">
                  <c:v>1.1932142662525203</c:v>
                </c:pt>
              </c:numCache>
            </c:numRef>
          </c:xVal>
          <c:yVal>
            <c:numRef>
              <c:f>'Planilla de datos'!$E$71:$E$72</c:f>
              <c:numCache>
                <c:formatCode>0.00%</c:formatCode>
                <c:ptCount val="2"/>
                <c:pt idx="0">
                  <c:v>2.4951860351562501E-2</c:v>
                </c:pt>
                <c:pt idx="1">
                  <c:v>2.5866645507812508E-2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datos'!$B$71:$B$72</c15:f>
                <c15:dlblRangeCache>
                  <c:ptCount val="2"/>
                  <c:pt idx="0">
                    <c:v>TX22</c:v>
                  </c:pt>
                  <c:pt idx="1">
                    <c:v>T2X2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A9FE-4A6D-A416-32673EE6A637}"/>
            </c:ext>
          </c:extLst>
        </c:ser>
        <c:ser>
          <c:idx val="0"/>
          <c:order val="1"/>
          <c:tx>
            <c:v>LECER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2285569570212624E-2"/>
                  <c:y val="4.2578680446485308E-2"/>
                </c:manualLayout>
              </c:layout>
              <c:tx>
                <c:rich>
                  <a:bodyPr/>
                  <a:lstStyle/>
                  <a:p>
                    <a:fld id="{C2D0E901-9382-4EB2-90DB-EC9D7FBDD34A}" type="CELLRANGE">
                      <a:rPr lang="en-US"/>
                      <a:pPr/>
                      <a:t>[CELLRANGE]</a:t>
                    </a:fld>
                    <a:br>
                      <a:rPr lang="en-US"/>
                    </a:br>
                    <a:fld id="{18C65261-C0B4-4EEA-9C32-40A4CF92FCB5}" type="YVALUE">
                      <a:rPr lang="en-US" baseline="0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9FE-4A6D-A416-32673EE6A637}"/>
                </c:ext>
              </c:extLst>
            </c:dLbl>
            <c:dLbl>
              <c:idx val="1"/>
              <c:layout>
                <c:manualLayout>
                  <c:x val="-3.1378556339333182E-2"/>
                  <c:y val="3.9542484443751726E-2"/>
                </c:manualLayout>
              </c:layout>
              <c:tx>
                <c:rich>
                  <a:bodyPr/>
                  <a:lstStyle/>
                  <a:p>
                    <a:fld id="{01090752-219D-4EBD-B088-2D5372968412}" type="CELLRANGE">
                      <a:rPr lang="en-US"/>
                      <a:pPr/>
                      <a:t>[CELLRANGE]</a:t>
                    </a:fld>
                    <a:br>
                      <a:rPr lang="en-US"/>
                    </a:br>
                    <a:fld id="{8A4F01B8-A14F-4002-8433-5D15E6BB7D35}" type="YVALUE">
                      <a:rPr lang="en-US" baseline="0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A9FE-4A6D-A416-32673EE6A637}"/>
                </c:ext>
              </c:extLst>
            </c:dLbl>
            <c:dLbl>
              <c:idx val="2"/>
              <c:layout>
                <c:manualLayout>
                  <c:x val="-3.7654267607199809E-2"/>
                  <c:y val="3.965878163703275E-2"/>
                </c:manualLayout>
              </c:layout>
              <c:tx>
                <c:rich>
                  <a:bodyPr/>
                  <a:lstStyle/>
                  <a:p>
                    <a:fld id="{573D5890-A04B-4978-AE7A-6CCF766A4885}" type="CELLRANGE">
                      <a:rPr lang="en-US"/>
                      <a:pPr/>
                      <a:t>[CELLRANGE]</a:t>
                    </a:fld>
                    <a:br>
                      <a:rPr lang="en-US"/>
                    </a:br>
                    <a:r>
                      <a:rPr lang="en-US" baseline="0"/>
                      <a:t> </a:t>
                    </a:r>
                    <a:fld id="{EC0D2138-E6F0-43CE-85FE-190850E5928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9FE-4A6D-A416-32673EE6A637}"/>
                </c:ext>
              </c:extLst>
            </c:dLbl>
            <c:dLbl>
              <c:idx val="3"/>
              <c:layout>
                <c:manualLayout>
                  <c:x val="-3.9746171363155315E-2"/>
                  <c:y val="4.2634311268838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X23Y2</a:t>
                    </a:r>
                    <a:br>
                      <a:rPr lang="en-US"/>
                    </a:br>
                    <a:fld id="{AF410CAF-C3CC-4AD0-93C1-BE8EC1EA0247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887-42BF-B1A4-1687C34A09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datos'!$J$38:$J$41</c:f>
              <c:numCache>
                <c:formatCode>0.00</c:formatCode>
                <c:ptCount val="4"/>
                <c:pt idx="0">
                  <c:v>0.64657534246575343</c:v>
                </c:pt>
                <c:pt idx="1">
                  <c:v>0.73150684931506849</c:v>
                </c:pt>
                <c:pt idx="2">
                  <c:v>0.78082191780821919</c:v>
                </c:pt>
                <c:pt idx="3">
                  <c:v>0.87671232876712324</c:v>
                </c:pt>
              </c:numCache>
            </c:numRef>
          </c:xVal>
          <c:yVal>
            <c:numRef>
              <c:f>'Planilla de datos'!$K$38:$K$41</c:f>
              <c:numCache>
                <c:formatCode>0.00%</c:formatCode>
                <c:ptCount val="4"/>
                <c:pt idx="0">
                  <c:v>2.7557656168937687E-2</c:v>
                </c:pt>
                <c:pt idx="1">
                  <c:v>2.989069521427154E-2</c:v>
                </c:pt>
                <c:pt idx="2">
                  <c:v>3.022768795490265E-2</c:v>
                </c:pt>
                <c:pt idx="3">
                  <c:v>2.6679638028144836E-2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datos'!$B$38:$B$40</c15:f>
                <c15:dlblRangeCache>
                  <c:ptCount val="3"/>
                  <c:pt idx="0">
                    <c:v>X28F2</c:v>
                  </c:pt>
                  <c:pt idx="1">
                    <c:v>X31M2</c:v>
                  </c:pt>
                  <c:pt idx="2">
                    <c:v>X18A2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A9FE-4A6D-A416-32673EE6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  <c:extLst/>
      </c:scatterChart>
      <c:valAx>
        <c:axId val="137424256"/>
        <c:scaling>
          <c:orientation val="minMax"/>
          <c:max val="1.3"/>
          <c:min val="0.60000000000000009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958916975831758"/>
              <c:y val="0.874446792975904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At val="-5.000000000000001E-3"/>
        <c:crossBetween val="midCat"/>
        <c:majorUnit val="0.1"/>
      </c:valAx>
      <c:valAx>
        <c:axId val="141710848"/>
        <c:scaling>
          <c:orientation val="minMax"/>
          <c:max val="3.4000000000000009E-2"/>
          <c:min val="2.4000000000000004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TEA</a:t>
                </a:r>
              </a:p>
            </c:rich>
          </c:tx>
          <c:layout>
            <c:manualLayout>
              <c:xMode val="edge"/>
              <c:yMode val="edge"/>
              <c:x val="3.9759836887341873E-2"/>
              <c:y val="0.45533121750286987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5E-3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5008061243045653"/>
          <c:y val="0.88979716647522966"/>
          <c:w val="0.32946940590756912"/>
          <c:h val="3.5379764288369073E-2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3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de bonos y letras en pesos con duration hasta 1 año</a:t>
            </a:r>
            <a:endParaRPr lang="es-AR" sz="13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011521477226174"/>
          <c:y val="6.61927734201782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388622713441391E-2"/>
          <c:y val="0.18946852525219193"/>
          <c:w val="0.85250649366410591"/>
          <c:h val="0.64838124859492341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2638806896497216E-2"/>
                  <c:y val="4.87730170217559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ECD0-4F6D-9650-8B0FD8AD89C1}"/>
                </c:ext>
              </c:extLst>
            </c:dLbl>
            <c:dLbl>
              <c:idx val="1"/>
              <c:layout>
                <c:manualLayout>
                  <c:x val="-3.9633245329793586E-2"/>
                  <c:y val="2.878718425736672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193195814272186E-2"/>
                      <c:h val="4.102488609855851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ECD0-4F6D-9650-8B0FD8AD89C1}"/>
                </c:ext>
              </c:extLst>
            </c:dLbl>
            <c:dLbl>
              <c:idx val="2"/>
              <c:layout>
                <c:manualLayout>
                  <c:x val="-3.4124741983658169E-2"/>
                  <c:y val="1.75876922505769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CD0-4F6D-9650-8B0FD8AD89C1}"/>
                </c:ext>
              </c:extLst>
            </c:dLbl>
            <c:dLbl>
              <c:idx val="3"/>
              <c:layout>
                <c:manualLayout>
                  <c:x val="-6.8590280381311514E-2"/>
                  <c:y val="4.177073686859207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CD0-4F6D-9650-8B0FD8AD89C1}"/>
                </c:ext>
              </c:extLst>
            </c:dLbl>
            <c:dLbl>
              <c:idx val="4"/>
              <c:layout>
                <c:manualLayout>
                  <c:x val="-1.1877076643967531E-2"/>
                  <c:y val="1.557452670003112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CD0-4F6D-9650-8B0FD8AD89C1}"/>
                </c:ext>
              </c:extLst>
            </c:dLbl>
            <c:dLbl>
              <c:idx val="5"/>
              <c:layout>
                <c:manualLayout>
                  <c:x val="-1.1862601644416498E-2"/>
                  <c:y val="-2.78024704598751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CD0-4F6D-9650-8B0FD8AD89C1}"/>
                </c:ext>
              </c:extLst>
            </c:dLbl>
            <c:dLbl>
              <c:idx val="6"/>
              <c:layout>
                <c:manualLayout>
                  <c:x val="-3.3354588008623967E-2"/>
                  <c:y val="2.29024912911030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CD0-4F6D-9650-8B0FD8AD89C1}"/>
                </c:ext>
              </c:extLst>
            </c:dLbl>
            <c:dLbl>
              <c:idx val="7"/>
              <c:layout>
                <c:manualLayout>
                  <c:x val="-3.4754263077486913E-2"/>
                  <c:y val="2.3239880709283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CD0-4F6D-9650-8B0FD8AD89C1}"/>
                </c:ext>
              </c:extLst>
            </c:dLbl>
            <c:dLbl>
              <c:idx val="8"/>
              <c:layout>
                <c:manualLayout>
                  <c:x val="-4.8717650991015639E-2"/>
                  <c:y val="2.7709658058488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CD0-4F6D-9650-8B0FD8AD89C1}"/>
                </c:ext>
              </c:extLst>
            </c:dLbl>
            <c:dLbl>
              <c:idx val="9"/>
              <c:layout>
                <c:manualLayout>
                  <c:x val="-1.2746776697509893E-2"/>
                  <c:y val="2.1032498387476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CD0-4F6D-9650-8B0FD8AD89C1}"/>
                </c:ext>
              </c:extLst>
            </c:dLbl>
            <c:dLbl>
              <c:idx val="10"/>
              <c:layout>
                <c:manualLayout>
                  <c:x val="-9.8555021598494483E-3"/>
                  <c:y val="-1.29619094744357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CD0-4F6D-9650-8B0FD8AD89C1}"/>
                </c:ext>
              </c:extLst>
            </c:dLbl>
            <c:dLbl>
              <c:idx val="11"/>
              <c:layout>
                <c:manualLayout>
                  <c:x val="-3.6284482439126915E-2"/>
                  <c:y val="2.68272949009288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CD0-4F6D-9650-8B0FD8AD89C1}"/>
                </c:ext>
              </c:extLst>
            </c:dLbl>
            <c:dLbl>
              <c:idx val="12"/>
              <c:layout>
                <c:manualLayout>
                  <c:x val="-9.3340102098098988E-3"/>
                  <c:y val="7.9638548081714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CD0-4F6D-9650-8B0FD8AD89C1}"/>
                </c:ext>
              </c:extLst>
            </c:dLbl>
            <c:dLbl>
              <c:idx val="13"/>
              <c:layout>
                <c:manualLayout>
                  <c:x val="-3.2109734352930672E-2"/>
                  <c:y val="2.6594018287598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CD0-4F6D-9650-8B0FD8AD89C1}"/>
                </c:ext>
              </c:extLst>
            </c:dLbl>
            <c:dLbl>
              <c:idx val="14"/>
              <c:layout>
                <c:manualLayout>
                  <c:x val="-3.0843556071668447E-2"/>
                  <c:y val="2.5256949280871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datos'!$AA$71:$AA$85</c:f>
              <c:numCache>
                <c:formatCode>0.00</c:formatCode>
                <c:ptCount val="15"/>
                <c:pt idx="1">
                  <c:v>0.52</c:v>
                </c:pt>
                <c:pt idx="2">
                  <c:v>0.24383561643835616</c:v>
                </c:pt>
                <c:pt idx="3">
                  <c:v>7.0064631637754615E-2</c:v>
                </c:pt>
                <c:pt idx="4">
                  <c:v>7.7777777777777724E-2</c:v>
                </c:pt>
                <c:pt idx="5">
                  <c:v>4.1666666666666623E-2</c:v>
                </c:pt>
                <c:pt idx="6">
                  <c:v>0.61112411737225436</c:v>
                </c:pt>
                <c:pt idx="7">
                  <c:v>1.1932142662525203</c:v>
                </c:pt>
                <c:pt idx="8">
                  <c:v>0.69425779534475174</c:v>
                </c:pt>
                <c:pt idx="9">
                  <c:v>1.4501605438826666</c:v>
                </c:pt>
                <c:pt idx="10">
                  <c:v>1.2814860717615904</c:v>
                </c:pt>
                <c:pt idx="11">
                  <c:v>1.3700269150760365</c:v>
                </c:pt>
                <c:pt idx="12">
                  <c:v>2.0219816030327333</c:v>
                </c:pt>
                <c:pt idx="13">
                  <c:v>2.1078160559770431</c:v>
                </c:pt>
                <c:pt idx="14">
                  <c:v>1.6583446230787371</c:v>
                </c:pt>
              </c:numCache>
            </c:numRef>
          </c:xVal>
          <c:yVal>
            <c:numRef>
              <c:f>'Planilla de datos'!$Z$71:$Z$85</c:f>
              <c:numCache>
                <c:formatCode>0.00%</c:formatCode>
                <c:ptCount val="15"/>
                <c:pt idx="1">
                  <c:v>0.46197354980468763</c:v>
                </c:pt>
                <c:pt idx="2">
                  <c:v>0.40036319824218758</c:v>
                </c:pt>
                <c:pt idx="3">
                  <c:v>0.44034463378906252</c:v>
                </c:pt>
                <c:pt idx="4">
                  <c:v>0.45743927246093752</c:v>
                </c:pt>
                <c:pt idx="5">
                  <c:v>0.40642046386718755</c:v>
                </c:pt>
                <c:pt idx="6">
                  <c:v>0.44950780761718756</c:v>
                </c:pt>
                <c:pt idx="7">
                  <c:v>0.44103077636718746</c:v>
                </c:pt>
                <c:pt idx="8">
                  <c:v>0.44184126464843754</c:v>
                </c:pt>
                <c:pt idx="9">
                  <c:v>0.4845732714843749</c:v>
                </c:pt>
                <c:pt idx="10">
                  <c:v>0.45888144042968759</c:v>
                </c:pt>
                <c:pt idx="11">
                  <c:v>0.45776694824218767</c:v>
                </c:pt>
                <c:pt idx="12">
                  <c:v>0.51385975585937493</c:v>
                </c:pt>
                <c:pt idx="13">
                  <c:v>0.4734328662109375</c:v>
                </c:pt>
                <c:pt idx="14">
                  <c:v>0.4576792919921876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0-4F6D-9650-8B0FD8AD89C1}"/>
            </c:ext>
          </c:extLst>
        </c:ser>
        <c:ser>
          <c:idx val="1"/>
          <c:order val="1"/>
          <c:tx>
            <c:v>Provinciales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8.0611964086158838E-3"/>
                  <c:y val="1.10988163325076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BNY22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0-ECD0-4F6D-9650-8B0FD8AD89C1}"/>
                </c:ext>
              </c:extLst>
            </c:dLbl>
            <c:dLbl>
              <c:idx val="1"/>
              <c:layout>
                <c:manualLayout>
                  <c:x val="-4.6152001760726806E-2"/>
                  <c:y val="3.00480149489841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ECD0-4F6D-9650-8B0FD8AD89C1}"/>
                </c:ext>
              </c:extLst>
            </c:dLbl>
            <c:dLbl>
              <c:idx val="2"/>
              <c:layout>
                <c:manualLayout>
                  <c:x val="-1.2689664356532822E-2"/>
                  <c:y val="1.257092414339369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ECD0-4F6D-9650-8B0FD8AD89C1}"/>
                </c:ext>
              </c:extLst>
            </c:dLbl>
            <c:dLbl>
              <c:idx val="3"/>
              <c:layout>
                <c:manualLayout>
                  <c:x val="-9.5805897686140323E-3"/>
                  <c:y val="1.88436330792038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3-ECD0-4F6D-9650-8B0FD8AD89C1}"/>
                </c:ext>
              </c:extLst>
            </c:dLbl>
            <c:dLbl>
              <c:idx val="4"/>
              <c:layout>
                <c:manualLayout>
                  <c:x val="-3.6498943753320225E-2"/>
                  <c:y val="2.5845121641348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4-ECD0-4F6D-9650-8B0FD8AD89C1}"/>
                </c:ext>
              </c:extLst>
            </c:dLbl>
            <c:dLbl>
              <c:idx val="5"/>
              <c:layout>
                <c:manualLayout>
                  <c:x val="-4.0748967431364712E-2"/>
                  <c:y val="2.60678401652540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5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datos'!$G$25:$G$27</c:f>
              <c:numCache>
                <c:formatCode>0.00</c:formatCode>
                <c:ptCount val="3"/>
                <c:pt idx="0">
                  <c:v>0.39896972284751209</c:v>
                </c:pt>
                <c:pt idx="1">
                  <c:v>0.42851042011354146</c:v>
                </c:pt>
                <c:pt idx="2">
                  <c:v>0.67958930149478336</c:v>
                </c:pt>
              </c:numCache>
            </c:numRef>
          </c:xVal>
          <c:yVal>
            <c:numRef>
              <c:f>'Planilla de datos'!$H$25:$H$27</c:f>
              <c:numCache>
                <c:formatCode>0.00%</c:formatCode>
                <c:ptCount val="3"/>
                <c:pt idx="0">
                  <c:v>0.55874186523437519</c:v>
                </c:pt>
                <c:pt idx="1">
                  <c:v>0.46249353027343754</c:v>
                </c:pt>
                <c:pt idx="2">
                  <c:v>0.5163133691406252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datos'!$B$25:$B$27</c15:f>
                <c15:dlblRangeCache>
                  <c:ptCount val="3"/>
                  <c:pt idx="0">
                    <c:v>BNY22</c:v>
                  </c:pt>
                  <c:pt idx="1">
                    <c:v>BDC22</c:v>
                  </c:pt>
                  <c:pt idx="2">
                    <c:v>PBY22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6-ECD0-4F6D-9650-8B0FD8AD89C1}"/>
            </c:ext>
          </c:extLst>
        </c:ser>
        <c:ser>
          <c:idx val="2"/>
          <c:order val="2"/>
          <c:tx>
            <c:v>Boli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1280945150801591E-2"/>
                  <c:y val="2.9362234427625922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0.5541558691406252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CD0-4F6D-9650-8B0FD8AD89C1}"/>
            </c:ext>
          </c:extLst>
        </c:ser>
        <c:ser>
          <c:idx val="3"/>
          <c:order val="3"/>
          <c:tx>
            <c:v>Lecer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5.0007691699622894E-2"/>
                  <c:y val="2.6193722169170194E-2"/>
                </c:manualLayout>
              </c:layout>
              <c:tx>
                <c:rich>
                  <a:bodyPr/>
                  <a:lstStyle/>
                  <a:p>
                    <a:fld id="{EE71064D-E0EF-43B9-89D7-B1A8A82EEC8B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CD0-4F6D-9650-8B0FD8AD89C1}"/>
                </c:ext>
              </c:extLst>
            </c:dLbl>
            <c:dLbl>
              <c:idx val="1"/>
              <c:layout>
                <c:manualLayout>
                  <c:x val="-3.7618315232418813E-2"/>
                  <c:y val="-2.3079350478190236E-2"/>
                </c:manualLayout>
              </c:layout>
              <c:tx>
                <c:rich>
                  <a:bodyPr/>
                  <a:lstStyle/>
                  <a:p>
                    <a:fld id="{00605C83-20F1-4DE4-89BB-3A12DA15D8A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CD0-4F6D-9650-8B0FD8AD89C1}"/>
                </c:ext>
              </c:extLst>
            </c:dLbl>
            <c:dLbl>
              <c:idx val="2"/>
              <c:layout>
                <c:manualLayout>
                  <c:x val="-3.5423966811218136E-2"/>
                  <c:y val="2.6140355038372771E-2"/>
                </c:manualLayout>
              </c:layout>
              <c:tx>
                <c:rich>
                  <a:bodyPr/>
                  <a:lstStyle/>
                  <a:p>
                    <a:fld id="{D38D529D-347C-44C7-8A01-AEE97F5163E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CD0-4F6D-9650-8B0FD8AD89C1}"/>
                </c:ext>
              </c:extLst>
            </c:dLbl>
            <c:dLbl>
              <c:idx val="3"/>
              <c:layout>
                <c:manualLayout>
                  <c:x val="-1.0430043089918101E-2"/>
                  <c:y val="9.8226458134388229E-3"/>
                </c:manualLayout>
              </c:layout>
              <c:tx>
                <c:rich>
                  <a:bodyPr/>
                  <a:lstStyle/>
                  <a:p>
                    <a:fld id="{A76A52C1-D0AB-4AFB-8741-4F67B356F5CD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CD0-4F6D-9650-8B0FD8AD89C1}"/>
                </c:ext>
              </c:extLst>
            </c:dLbl>
            <c:dLbl>
              <c:idx val="4"/>
              <c:layout>
                <c:manualLayout>
                  <c:x val="-2.2986865725884882E-2"/>
                  <c:y val="2.9325882903749354E-2"/>
                </c:manualLayout>
              </c:layout>
              <c:tx>
                <c:rich>
                  <a:bodyPr/>
                  <a:lstStyle/>
                  <a:p>
                    <a:fld id="{4E06C165-B2D0-46D8-8380-1C483B5C71FF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datos'!$J$37:$J$41</c:f>
              <c:numCache>
                <c:formatCode>0.00</c:formatCode>
                <c:ptCount val="5"/>
                <c:pt idx="0">
                  <c:v>0.18630136986301371</c:v>
                </c:pt>
                <c:pt idx="1">
                  <c:v>0.64657534246575343</c:v>
                </c:pt>
                <c:pt idx="2">
                  <c:v>0.73150684931506849</c:v>
                </c:pt>
                <c:pt idx="3">
                  <c:v>0.78082191780821919</c:v>
                </c:pt>
                <c:pt idx="4">
                  <c:v>0.87671232876712324</c:v>
                </c:pt>
              </c:numCache>
            </c:numRef>
          </c:xVal>
          <c:yVal>
            <c:numRef>
              <c:f>'Planilla de datos'!$I$37:$I$41</c:f>
              <c:numCache>
                <c:formatCode>0.00%</c:formatCode>
                <c:ptCount val="5"/>
                <c:pt idx="0">
                  <c:v>0.43629648693281164</c:v>
                </c:pt>
                <c:pt idx="1">
                  <c:v>0.44610912708830042</c:v>
                </c:pt>
                <c:pt idx="2">
                  <c:v>0.44655212591047122</c:v>
                </c:pt>
                <c:pt idx="3">
                  <c:v>0.4415757601507353</c:v>
                </c:pt>
                <c:pt idx="4">
                  <c:v>0.44266157223618996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datos'!$B$37:$B$41</c15:f>
                <c15:dlblRangeCache>
                  <c:ptCount val="5"/>
                  <c:pt idx="0">
                    <c:v>X13S1</c:v>
                  </c:pt>
                  <c:pt idx="1">
                    <c:v>X28F2</c:v>
                  </c:pt>
                  <c:pt idx="2">
                    <c:v>X31M2</c:v>
                  </c:pt>
                  <c:pt idx="3">
                    <c:v>X18A2</c:v>
                  </c:pt>
                  <c:pt idx="4">
                    <c:v>X23Y2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ECD0-4F6D-9650-8B0FD8AD89C1}"/>
            </c:ext>
          </c:extLst>
        </c:ser>
        <c:ser>
          <c:idx val="4"/>
          <c:order val="4"/>
          <c:tx>
            <c:v>Ledes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2.9159577674850043E-2"/>
                  <c:y val="2.2919506898023922E-2"/>
                </c:manualLayout>
              </c:layout>
              <c:tx>
                <c:rich>
                  <a:bodyPr/>
                  <a:lstStyle/>
                  <a:p>
                    <a:fld id="{700DDA82-F319-459F-8CFF-75E60A082D3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ECD0-4F6D-9650-8B0FD8AD89C1}"/>
                </c:ext>
              </c:extLst>
            </c:dLbl>
            <c:dLbl>
              <c:idx val="1"/>
              <c:layout>
                <c:manualLayout>
                  <c:x val="-1.0485803812130975E-2"/>
                  <c:y val="1.2937017504418781E-2"/>
                </c:manualLayout>
              </c:layout>
              <c:tx>
                <c:rich>
                  <a:bodyPr/>
                  <a:lstStyle/>
                  <a:p>
                    <a:fld id="{9161919B-44D7-44E1-AA34-DFF7C8DECFD5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ECD0-4F6D-9650-8B0FD8AD89C1}"/>
                </c:ext>
              </c:extLst>
            </c:dLbl>
            <c:dLbl>
              <c:idx val="2"/>
              <c:layout>
                <c:manualLayout>
                  <c:x val="-3.547579148245128E-2"/>
                  <c:y val="-2.9592202933284382E-2"/>
                </c:manualLayout>
              </c:layout>
              <c:tx>
                <c:rich>
                  <a:bodyPr/>
                  <a:lstStyle/>
                  <a:p>
                    <a:fld id="{1C46B2C2-0CFA-430E-BDB6-3C0428368D36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ECD0-4F6D-9650-8B0FD8AD89C1}"/>
                </c:ext>
              </c:extLst>
            </c:dLbl>
            <c:dLbl>
              <c:idx val="3"/>
              <c:layout>
                <c:manualLayout>
                  <c:x val="-2.9159577674850043E-2"/>
                  <c:y val="-2.6193722169170194E-2"/>
                </c:manualLayout>
              </c:layout>
              <c:tx>
                <c:rich>
                  <a:bodyPr/>
                  <a:lstStyle/>
                  <a:p>
                    <a:fld id="{D1F1F80D-5999-463C-8CA9-F6540712AEDF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ECD0-4F6D-9650-8B0FD8AD89C1}"/>
                </c:ext>
              </c:extLst>
            </c:dLbl>
            <c:dLbl>
              <c:idx val="4"/>
              <c:layout>
                <c:manualLayout>
                  <c:x val="-1.2536814376819808E-2"/>
                  <c:y val="-9.9293800750336701E-3"/>
                </c:manualLayout>
              </c:layout>
              <c:tx>
                <c:rich>
                  <a:bodyPr/>
                  <a:lstStyle/>
                  <a:p>
                    <a:fld id="{D82BFAA9-5A9C-4FE9-BBC1-E5C8271CCF6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CD0-4F6D-9650-8B0FD8AD89C1}"/>
                </c:ext>
              </c:extLst>
            </c:dLbl>
            <c:dLbl>
              <c:idx val="5"/>
              <c:layout>
                <c:manualLayout>
                  <c:x val="-1.2520866056145809E-2"/>
                  <c:y val="1.3025781303285831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2-ECD0-4F6D-9650-8B0FD8AD8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datos'!$J$43:$J$47</c:f>
              <c:numCache>
                <c:formatCode>0.00</c:formatCode>
                <c:ptCount val="5"/>
                <c:pt idx="0">
                  <c:v>6.8493150684931503E-2</c:v>
                </c:pt>
                <c:pt idx="1">
                  <c:v>0.15616438356164383</c:v>
                </c:pt>
                <c:pt idx="2">
                  <c:v>0.23287671232876711</c:v>
                </c:pt>
                <c:pt idx="3">
                  <c:v>0.31780821917808222</c:v>
                </c:pt>
                <c:pt idx="4">
                  <c:v>0.4</c:v>
                </c:pt>
              </c:numCache>
            </c:numRef>
          </c:xVal>
          <c:yVal>
            <c:numRef>
              <c:f>'Planilla de datos'!$I$43:$I$47</c:f>
              <c:numCache>
                <c:formatCode>0.00%</c:formatCode>
                <c:ptCount val="5"/>
                <c:pt idx="0">
                  <c:v>0.41933194005153318</c:v>
                </c:pt>
                <c:pt idx="1">
                  <c:v>0.42204005737458794</c:v>
                </c:pt>
                <c:pt idx="2">
                  <c:v>0.41858105083732777</c:v>
                </c:pt>
                <c:pt idx="3">
                  <c:v>0.44140628489004374</c:v>
                </c:pt>
                <c:pt idx="4">
                  <c:v>0.43700980472577222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datos'!$B$43:$B$47</c15:f>
                <c15:dlblRangeCache>
                  <c:ptCount val="5"/>
                  <c:pt idx="0">
                    <c:v>S30L1</c:v>
                  </c:pt>
                  <c:pt idx="1">
                    <c:v>S31G1</c:v>
                  </c:pt>
                  <c:pt idx="2">
                    <c:v>S30S1</c:v>
                  </c:pt>
                  <c:pt idx="3">
                    <c:v>S29O1</c:v>
                  </c:pt>
                  <c:pt idx="4">
                    <c:v>S30N1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ECD0-4F6D-9650-8B0FD8AD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</c:scatterChart>
      <c:valAx>
        <c:axId val="137424256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125789629227291"/>
              <c:y val="0.8515272280648202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2"/>
        <c:minorUnit val="5.000000000000001E-2"/>
      </c:valAx>
      <c:valAx>
        <c:axId val="141710848"/>
        <c:scaling>
          <c:orientation val="minMax"/>
          <c:max val="0.58000000000000007"/>
          <c:min val="0.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309723915544154E-2"/>
              <c:y val="0.4717022722538357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7.5222198277912086E-2"/>
          <c:y val="0.89737320279097199"/>
          <c:w val="0.43666418367450693"/>
          <c:h val="5.1006344243259241E-2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3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de bonos y letras en pesos con duration hasta 1 año</a:t>
            </a:r>
            <a:endParaRPr lang="es-AR" sz="13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011521477226174"/>
          <c:y val="6.61927734201782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0388622713441391E-2"/>
          <c:y val="0.18946852525219193"/>
          <c:w val="0.85250649366410591"/>
          <c:h val="0.64838124859492341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2638806896497216E-2"/>
                  <c:y val="4.87730170217559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A317-47EA-9F1F-7AD18BCCC9E9}"/>
                </c:ext>
              </c:extLst>
            </c:dLbl>
            <c:dLbl>
              <c:idx val="1"/>
              <c:layout>
                <c:manualLayout>
                  <c:x val="-8.337269384313073E-2"/>
                  <c:y val="2.5934620881965312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748881901966E-2"/>
                      <c:h val="3.447634684200211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A317-47EA-9F1F-7AD18BCCC9E9}"/>
                </c:ext>
              </c:extLst>
            </c:dLbl>
            <c:dLbl>
              <c:idx val="2"/>
              <c:layout>
                <c:manualLayout>
                  <c:x val="-2.7876261053333202E-2"/>
                  <c:y val="2.74103380640158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317-47EA-9F1F-7AD18BCCC9E9}"/>
                </c:ext>
              </c:extLst>
            </c:dLbl>
            <c:dLbl>
              <c:idx val="3"/>
              <c:layout>
                <c:manualLayout>
                  <c:x val="-1.2246910038110828E-2"/>
                  <c:y val="-2.3713568554333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317-47EA-9F1F-7AD18BCCC9E9}"/>
                </c:ext>
              </c:extLst>
            </c:dLbl>
            <c:dLbl>
              <c:idx val="4"/>
              <c:layout>
                <c:manualLayout>
                  <c:x val="-1.1877076643967531E-2"/>
                  <c:y val="1.557452670003112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317-47EA-9F1F-7AD18BCCC9E9}"/>
                </c:ext>
              </c:extLst>
            </c:dLbl>
            <c:dLbl>
              <c:idx val="5"/>
              <c:layout>
                <c:manualLayout>
                  <c:x val="-1.1862601644416498E-2"/>
                  <c:y val="-2.78024704598751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317-47EA-9F1F-7AD18BCCC9E9}"/>
                </c:ext>
              </c:extLst>
            </c:dLbl>
            <c:dLbl>
              <c:idx val="6"/>
              <c:layout>
                <c:manualLayout>
                  <c:x val="-3.3354588008623967E-2"/>
                  <c:y val="2.29024912911030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317-47EA-9F1F-7AD18BCCC9E9}"/>
                </c:ext>
              </c:extLst>
            </c:dLbl>
            <c:dLbl>
              <c:idx val="7"/>
              <c:layout>
                <c:manualLayout>
                  <c:x val="-3.4754263077486913E-2"/>
                  <c:y val="2.32398807092839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317-47EA-9F1F-7AD18BCCC9E9}"/>
                </c:ext>
              </c:extLst>
            </c:dLbl>
            <c:dLbl>
              <c:idx val="8"/>
              <c:layout>
                <c:manualLayout>
                  <c:x val="-4.8717650991015639E-2"/>
                  <c:y val="2.7709658058488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317-47EA-9F1F-7AD18BCCC9E9}"/>
                </c:ext>
              </c:extLst>
            </c:dLbl>
            <c:dLbl>
              <c:idx val="9"/>
              <c:layout>
                <c:manualLayout>
                  <c:x val="-1.2746776697509893E-2"/>
                  <c:y val="2.10324983874767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317-47EA-9F1F-7AD18BCCC9E9}"/>
                </c:ext>
              </c:extLst>
            </c:dLbl>
            <c:dLbl>
              <c:idx val="10"/>
              <c:layout>
                <c:manualLayout>
                  <c:x val="-9.8555021598494483E-3"/>
                  <c:y val="-1.29619094744357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317-47EA-9F1F-7AD18BCCC9E9}"/>
                </c:ext>
              </c:extLst>
            </c:dLbl>
            <c:dLbl>
              <c:idx val="11"/>
              <c:layout>
                <c:manualLayout>
                  <c:x val="-3.6284482439126915E-2"/>
                  <c:y val="2.68272949009288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317-47EA-9F1F-7AD18BCCC9E9}"/>
                </c:ext>
              </c:extLst>
            </c:dLbl>
            <c:dLbl>
              <c:idx val="12"/>
              <c:layout>
                <c:manualLayout>
                  <c:x val="-9.3340102098098988E-3"/>
                  <c:y val="7.9638548081714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317-47EA-9F1F-7AD18BCCC9E9}"/>
                </c:ext>
              </c:extLst>
            </c:dLbl>
            <c:dLbl>
              <c:idx val="13"/>
              <c:layout>
                <c:manualLayout>
                  <c:x val="-3.2109734352930672E-2"/>
                  <c:y val="2.6594018287598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317-47EA-9F1F-7AD18BCCC9E9}"/>
                </c:ext>
              </c:extLst>
            </c:dLbl>
            <c:dLbl>
              <c:idx val="14"/>
              <c:layout>
                <c:manualLayout>
                  <c:x val="-3.0843556071668447E-2"/>
                  <c:y val="2.5256949280871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datos'!$AA$71:$AA$85</c:f>
              <c:numCache>
                <c:formatCode>0.00</c:formatCode>
                <c:ptCount val="15"/>
                <c:pt idx="1">
                  <c:v>0.52</c:v>
                </c:pt>
                <c:pt idx="2">
                  <c:v>0.24383561643835616</c:v>
                </c:pt>
                <c:pt idx="3">
                  <c:v>7.0064631637754615E-2</c:v>
                </c:pt>
                <c:pt idx="4">
                  <c:v>7.7777777777777724E-2</c:v>
                </c:pt>
                <c:pt idx="5">
                  <c:v>4.1666666666666623E-2</c:v>
                </c:pt>
                <c:pt idx="6">
                  <c:v>0.61112411737225436</c:v>
                </c:pt>
                <c:pt idx="7">
                  <c:v>1.1932142662525203</c:v>
                </c:pt>
                <c:pt idx="8">
                  <c:v>0.69425779534475174</c:v>
                </c:pt>
                <c:pt idx="9">
                  <c:v>1.4501605438826666</c:v>
                </c:pt>
                <c:pt idx="10">
                  <c:v>1.2814860717615904</c:v>
                </c:pt>
                <c:pt idx="11">
                  <c:v>1.3700269150760365</c:v>
                </c:pt>
                <c:pt idx="12">
                  <c:v>2.0219816030327333</c:v>
                </c:pt>
                <c:pt idx="13">
                  <c:v>2.1078160559770431</c:v>
                </c:pt>
                <c:pt idx="14">
                  <c:v>1.6583446230787371</c:v>
                </c:pt>
              </c:numCache>
            </c:numRef>
          </c:xVal>
          <c:yVal>
            <c:numRef>
              <c:f>'Planilla de datos'!$Z$71:$Z$85</c:f>
              <c:numCache>
                <c:formatCode>0.00%</c:formatCode>
                <c:ptCount val="15"/>
                <c:pt idx="1">
                  <c:v>0.46197354980468763</c:v>
                </c:pt>
                <c:pt idx="2">
                  <c:v>0.40036319824218758</c:v>
                </c:pt>
                <c:pt idx="3">
                  <c:v>0.44034463378906252</c:v>
                </c:pt>
                <c:pt idx="4">
                  <c:v>0.45743927246093752</c:v>
                </c:pt>
                <c:pt idx="5">
                  <c:v>0.40642046386718755</c:v>
                </c:pt>
                <c:pt idx="6">
                  <c:v>0.44950780761718756</c:v>
                </c:pt>
                <c:pt idx="7">
                  <c:v>0.44103077636718746</c:v>
                </c:pt>
                <c:pt idx="8">
                  <c:v>0.44184126464843754</c:v>
                </c:pt>
                <c:pt idx="9">
                  <c:v>0.4845732714843749</c:v>
                </c:pt>
                <c:pt idx="10">
                  <c:v>0.45888144042968759</c:v>
                </c:pt>
                <c:pt idx="11">
                  <c:v>0.45776694824218767</c:v>
                </c:pt>
                <c:pt idx="12">
                  <c:v>0.51385975585937493</c:v>
                </c:pt>
                <c:pt idx="13">
                  <c:v>0.4734328662109375</c:v>
                </c:pt>
                <c:pt idx="14">
                  <c:v>0.4576792919921876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17-47EA-9F1F-7AD18BCCC9E9}"/>
            </c:ext>
          </c:extLst>
        </c:ser>
        <c:ser>
          <c:idx val="1"/>
          <c:order val="1"/>
          <c:tx>
            <c:v>Provinciales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1.2226850362165967E-2"/>
                  <c:y val="-1.99804475207745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A317-47EA-9F1F-7AD18BCCC9E9}"/>
                </c:ext>
              </c:extLst>
            </c:dLbl>
            <c:dLbl>
              <c:idx val="1"/>
              <c:layout>
                <c:manualLayout>
                  <c:x val="-1.0743943155551751E-2"/>
                  <c:y val="5.8007750866764709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A317-47EA-9F1F-7AD18BCCC9E9}"/>
                </c:ext>
              </c:extLst>
            </c:dLbl>
            <c:dLbl>
              <c:idx val="2"/>
              <c:layout>
                <c:manualLayout>
                  <c:x val="-8.5239312966097162E-3"/>
                  <c:y val="-2.017068571587348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PBA25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A317-47EA-9F1F-7AD18BCCC9E9}"/>
                </c:ext>
              </c:extLst>
            </c:dLbl>
            <c:dLbl>
              <c:idx val="3"/>
              <c:layout>
                <c:manualLayout>
                  <c:x val="-9.5805897686140323E-3"/>
                  <c:y val="1.88436330792038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A317-47EA-9F1F-7AD18BCCC9E9}"/>
                </c:ext>
              </c:extLst>
            </c:dLbl>
            <c:dLbl>
              <c:idx val="4"/>
              <c:layout>
                <c:manualLayout>
                  <c:x val="-3.6498943753320225E-2"/>
                  <c:y val="2.5845121641348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A317-47EA-9F1F-7AD18BCCC9E9}"/>
                </c:ext>
              </c:extLst>
            </c:dLbl>
            <c:dLbl>
              <c:idx val="5"/>
              <c:layout>
                <c:manualLayout>
                  <c:x val="-4.0748967431364712E-2"/>
                  <c:y val="2.60678401652540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datos'!$G$26:$G$30</c:f>
              <c:numCache>
                <c:formatCode>0.00</c:formatCode>
                <c:ptCount val="5"/>
                <c:pt idx="0">
                  <c:v>0.42851042011354146</c:v>
                </c:pt>
                <c:pt idx="1">
                  <c:v>0.67958930149478336</c:v>
                </c:pt>
                <c:pt idx="2">
                  <c:v>1.4838918753142651</c:v>
                </c:pt>
                <c:pt idx="3">
                  <c:v>1.4809380541084258</c:v>
                </c:pt>
                <c:pt idx="4">
                  <c:v>1.7806235968856483</c:v>
                </c:pt>
              </c:numCache>
            </c:numRef>
          </c:xVal>
          <c:yVal>
            <c:numRef>
              <c:f>'Planilla de datos'!$H$26:$H$30</c:f>
              <c:numCache>
                <c:formatCode>0.00%</c:formatCode>
                <c:ptCount val="5"/>
                <c:pt idx="0">
                  <c:v>0.46249353027343754</c:v>
                </c:pt>
                <c:pt idx="1">
                  <c:v>0.5163133691406252</c:v>
                </c:pt>
                <c:pt idx="2">
                  <c:v>0.55006807617187503</c:v>
                </c:pt>
                <c:pt idx="3">
                  <c:v>0.53399448242187497</c:v>
                </c:pt>
                <c:pt idx="4">
                  <c:v>0.52549883789062513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317-47EA-9F1F-7AD18BCCC9E9}"/>
            </c:ext>
          </c:extLst>
        </c:ser>
        <c:ser>
          <c:idx val="2"/>
          <c:order val="2"/>
          <c:tx>
            <c:v>Boli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3.1280945150801591E-2"/>
                  <c:y val="2.9362234427625922E-2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0.5541558691406252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317-47EA-9F1F-7AD18BCCC9E9}"/>
            </c:ext>
          </c:extLst>
        </c:ser>
        <c:ser>
          <c:idx val="3"/>
          <c:order val="3"/>
          <c:tx>
            <c:v>Lecer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1.0433979140897871E-2"/>
                  <c:y val="6.5484305422925486E-3"/>
                </c:manualLayout>
              </c:layout>
              <c:tx>
                <c:rich>
                  <a:bodyPr/>
                  <a:lstStyle/>
                  <a:p>
                    <a:fld id="{7392492E-B194-4524-9591-7C884B4103C1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317-47EA-9F1F-7AD18BCCC9E9}"/>
                </c:ext>
              </c:extLst>
            </c:dLbl>
            <c:dLbl>
              <c:idx val="1"/>
              <c:layout>
                <c:manualLayout>
                  <c:x val="-6.2612238953718924E-2"/>
                  <c:y val="2.2759663317857604E-2"/>
                </c:manualLayout>
              </c:layout>
              <c:tx>
                <c:rich>
                  <a:bodyPr/>
                  <a:lstStyle/>
                  <a:p>
                    <a:fld id="{47F3D164-CBE8-450C-B787-80E6FE0879B5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317-47EA-9F1F-7AD18BCCC9E9}"/>
                </c:ext>
              </c:extLst>
            </c:dLbl>
            <c:dLbl>
              <c:idx val="2"/>
              <c:layout>
                <c:manualLayout>
                  <c:x val="-3.5423966811218136E-2"/>
                  <c:y val="2.6140355038372771E-2"/>
                </c:manualLayout>
              </c:layout>
              <c:tx>
                <c:rich>
                  <a:bodyPr/>
                  <a:lstStyle/>
                  <a:p>
                    <a:fld id="{65F89FFB-2432-41EB-8FE1-5F1055EC101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317-47EA-9F1F-7AD18BCCC9E9}"/>
                </c:ext>
              </c:extLst>
            </c:dLbl>
            <c:dLbl>
              <c:idx val="3"/>
              <c:layout>
                <c:manualLayout>
                  <c:x val="-1.0430043089918101E-2"/>
                  <c:y val="9.8226458134388229E-3"/>
                </c:manualLayout>
              </c:layout>
              <c:tx>
                <c:rich>
                  <a:bodyPr/>
                  <a:lstStyle/>
                  <a:p>
                    <a:fld id="{43C577D6-FE1D-4386-987F-AA2A36513D30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317-47EA-9F1F-7AD18BCCC9E9}"/>
                </c:ext>
              </c:extLst>
            </c:dLbl>
            <c:dLbl>
              <c:idx val="4"/>
              <c:layout>
                <c:manualLayout>
                  <c:x val="-2.2986865725884882E-2"/>
                  <c:y val="2.9325882903749354E-2"/>
                </c:manualLayout>
              </c:layout>
              <c:tx>
                <c:rich>
                  <a:bodyPr/>
                  <a:lstStyle/>
                  <a:p>
                    <a:fld id="{5539F08E-8E05-4213-9943-57EACFDFE16C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datos'!$J$37:$J$41</c:f>
              <c:numCache>
                <c:formatCode>0.00</c:formatCode>
                <c:ptCount val="5"/>
                <c:pt idx="0">
                  <c:v>0.18630136986301371</c:v>
                </c:pt>
                <c:pt idx="1">
                  <c:v>0.64657534246575343</c:v>
                </c:pt>
                <c:pt idx="2">
                  <c:v>0.73150684931506849</c:v>
                </c:pt>
                <c:pt idx="3">
                  <c:v>0.78082191780821919</c:v>
                </c:pt>
                <c:pt idx="4">
                  <c:v>0.87671232876712324</c:v>
                </c:pt>
              </c:numCache>
            </c:numRef>
          </c:xVal>
          <c:yVal>
            <c:numRef>
              <c:f>'Planilla de datos'!$I$37:$I$41</c:f>
              <c:numCache>
                <c:formatCode>0.00%</c:formatCode>
                <c:ptCount val="5"/>
                <c:pt idx="0">
                  <c:v>0.43629648693281164</c:v>
                </c:pt>
                <c:pt idx="1">
                  <c:v>0.44610912708830042</c:v>
                </c:pt>
                <c:pt idx="2">
                  <c:v>0.44655212591047122</c:v>
                </c:pt>
                <c:pt idx="3">
                  <c:v>0.4415757601507353</c:v>
                </c:pt>
                <c:pt idx="4">
                  <c:v>0.44266157223618996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datos'!$B$37:$B$41</c15:f>
                <c15:dlblRangeCache>
                  <c:ptCount val="5"/>
                  <c:pt idx="0">
                    <c:v>X13S1</c:v>
                  </c:pt>
                  <c:pt idx="1">
                    <c:v>X28F2</c:v>
                  </c:pt>
                  <c:pt idx="2">
                    <c:v>X31M2</c:v>
                  </c:pt>
                  <c:pt idx="3">
                    <c:v>X18A2</c:v>
                  </c:pt>
                  <c:pt idx="4">
                    <c:v>X23Y2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317-47EA-9F1F-7AD18BCCC9E9}"/>
            </c:ext>
          </c:extLst>
        </c:ser>
        <c:ser>
          <c:idx val="4"/>
          <c:order val="4"/>
          <c:tx>
            <c:v>Ledes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2.0828269767750051E-2"/>
                  <c:y val="-2.946793744031647E-2"/>
                </c:manualLayout>
              </c:layout>
              <c:tx>
                <c:rich>
                  <a:bodyPr/>
                  <a:lstStyle/>
                  <a:p>
                    <a:fld id="{5FC8078B-8946-4F0F-8AC6-2325EC453702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317-47EA-9F1F-7AD18BCCC9E9}"/>
                </c:ext>
              </c:extLst>
            </c:dLbl>
            <c:dLbl>
              <c:idx val="1"/>
              <c:layout>
                <c:manualLayout>
                  <c:x val="-1.0485803812130975E-2"/>
                  <c:y val="1.2937017504418781E-2"/>
                </c:manualLayout>
              </c:layout>
              <c:tx>
                <c:rich>
                  <a:bodyPr/>
                  <a:lstStyle/>
                  <a:p>
                    <a:fld id="{05BA42B0-B077-4880-B219-DCB2B3F952DE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317-47EA-9F1F-7AD18BCCC9E9}"/>
                </c:ext>
              </c:extLst>
            </c:dLbl>
            <c:dLbl>
              <c:idx val="2"/>
              <c:layout>
                <c:manualLayout>
                  <c:x val="-3.547579148245128E-2"/>
                  <c:y val="-2.9592202933284382E-2"/>
                </c:manualLayout>
              </c:layout>
              <c:tx>
                <c:rich>
                  <a:bodyPr/>
                  <a:lstStyle/>
                  <a:p>
                    <a:fld id="{A15A358E-B26C-4037-9300-8E9190D8C8F8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317-47EA-9F1F-7AD18BCCC9E9}"/>
                </c:ext>
              </c:extLst>
            </c:dLbl>
            <c:dLbl>
              <c:idx val="3"/>
              <c:layout>
                <c:manualLayout>
                  <c:x val="-2.9159577674850043E-2"/>
                  <c:y val="-2.6193722169170194E-2"/>
                </c:manualLayout>
              </c:layout>
              <c:tx>
                <c:rich>
                  <a:bodyPr/>
                  <a:lstStyle/>
                  <a:p>
                    <a:fld id="{0A579A5F-2CC6-40CE-A370-C2B7BB1AFB29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317-47EA-9F1F-7AD18BCCC9E9}"/>
                </c:ext>
              </c:extLst>
            </c:dLbl>
            <c:dLbl>
              <c:idx val="4"/>
              <c:layout>
                <c:manualLayout>
                  <c:x val="-1.2536814376819808E-2"/>
                  <c:y val="-9.9293800750336701E-3"/>
                </c:manualLayout>
              </c:layout>
              <c:tx>
                <c:rich>
                  <a:bodyPr/>
                  <a:lstStyle/>
                  <a:p>
                    <a:fld id="{166765AE-4243-45F6-BE1F-AE325E6FF08B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317-47EA-9F1F-7AD18BCCC9E9}"/>
                </c:ext>
              </c:extLst>
            </c:dLbl>
            <c:dLbl>
              <c:idx val="5"/>
              <c:layout>
                <c:manualLayout>
                  <c:x val="-1.2520866056145809E-2"/>
                  <c:y val="1.3025781303285831E-2"/>
                </c:manualLayout>
              </c:layout>
              <c:tx>
                <c:rich>
                  <a:bodyPr/>
                  <a:lstStyle/>
                  <a:p>
                    <a:fld id="{7021E3A8-39DB-4E59-9F74-A70D64E30477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317-47EA-9F1F-7AD18BCCC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datos'!$J$43:$J$47</c:f>
              <c:numCache>
                <c:formatCode>0.00</c:formatCode>
                <c:ptCount val="5"/>
                <c:pt idx="0">
                  <c:v>6.8493150684931503E-2</c:v>
                </c:pt>
                <c:pt idx="1">
                  <c:v>0.15616438356164383</c:v>
                </c:pt>
                <c:pt idx="2">
                  <c:v>0.23287671232876711</c:v>
                </c:pt>
                <c:pt idx="3">
                  <c:v>0.31780821917808222</c:v>
                </c:pt>
                <c:pt idx="4">
                  <c:v>0.4</c:v>
                </c:pt>
              </c:numCache>
            </c:numRef>
          </c:xVal>
          <c:yVal>
            <c:numRef>
              <c:f>'Planilla de datos'!$I$43:$I$47</c:f>
              <c:numCache>
                <c:formatCode>0.00%</c:formatCode>
                <c:ptCount val="5"/>
                <c:pt idx="0">
                  <c:v>0.41933194005153318</c:v>
                </c:pt>
                <c:pt idx="1">
                  <c:v>0.42204005737458794</c:v>
                </c:pt>
                <c:pt idx="2">
                  <c:v>0.41858105083732777</c:v>
                </c:pt>
                <c:pt idx="3">
                  <c:v>0.44140628489004374</c:v>
                </c:pt>
                <c:pt idx="4">
                  <c:v>0.43700980472577222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datos'!$B$43:$B$47</c15:f>
                <c15:dlblRangeCache>
                  <c:ptCount val="5"/>
                  <c:pt idx="0">
                    <c:v>S30L1</c:v>
                  </c:pt>
                  <c:pt idx="1">
                    <c:v>S31G1</c:v>
                  </c:pt>
                  <c:pt idx="2">
                    <c:v>S30S1</c:v>
                  </c:pt>
                  <c:pt idx="3">
                    <c:v>S29O1</c:v>
                  </c:pt>
                  <c:pt idx="4">
                    <c:v>S30N1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5-A317-47EA-9F1F-7AD18BCC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</c:scatterChart>
      <c:valAx>
        <c:axId val="137424256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125789629227291"/>
              <c:y val="0.8515272280648202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2"/>
        <c:minorUnit val="5.000000000000001E-2"/>
      </c:valAx>
      <c:valAx>
        <c:axId val="141710848"/>
        <c:scaling>
          <c:orientation val="minMax"/>
          <c:max val="0.56000000000000005"/>
          <c:min val="0.42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TEA</a:t>
                </a:r>
              </a:p>
            </c:rich>
          </c:tx>
          <c:layout>
            <c:manualLayout>
              <c:xMode val="edge"/>
              <c:yMode val="edge"/>
              <c:x val="1.4338064581983759E-2"/>
              <c:y val="0.4717022722538357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5.3324440868760224E-2"/>
          <c:y val="0.89737320279097199"/>
          <c:w val="0.43666418367450693"/>
          <c:h val="5.1006344243259241E-2"/>
        </c:manualLayout>
      </c:layout>
      <c:overlay val="0"/>
      <c:spPr>
        <a:ln>
          <a:solidFill>
            <a:schemeClr val="bg1">
              <a:lumMod val="75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Variaciones YTD bonos BADLAR y tasa fija </a:t>
            </a:r>
            <a:r>
              <a:rPr lang="es-AR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vs dólar CCL</a:t>
            </a:r>
            <a:endParaRPr lang="es-AR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2950919577826084"/>
          <c:y val="2.5065142279292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728-4D17-9C24-4F7431A1D1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28-4D17-9C24-4F7431A1D1B8}"/>
              </c:ext>
            </c:extLst>
          </c:dPt>
          <c:cat>
            <c:strRef>
              <c:f>Variaciones!$AQ$31:$AQ$42</c:f>
              <c:strCache>
                <c:ptCount val="12"/>
                <c:pt idx="0">
                  <c:v>TO21</c:v>
                </c:pt>
                <c:pt idx="1">
                  <c:v>TB21</c:v>
                </c:pt>
                <c:pt idx="2">
                  <c:v>PR15</c:v>
                </c:pt>
                <c:pt idx="3">
                  <c:v>AA22</c:v>
                </c:pt>
                <c:pt idx="4">
                  <c:v>TO23</c:v>
                </c:pt>
                <c:pt idx="5">
                  <c:v>TO26</c:v>
                </c:pt>
                <c:pt idx="6">
                  <c:v>BDC22</c:v>
                </c:pt>
                <c:pt idx="7">
                  <c:v>BDC24</c:v>
                </c:pt>
                <c:pt idx="8">
                  <c:v>BDC28</c:v>
                </c:pt>
                <c:pt idx="9">
                  <c:v>PBY22</c:v>
                </c:pt>
                <c:pt idx="10">
                  <c:v>PBA25</c:v>
                </c:pt>
                <c:pt idx="11">
                  <c:v>CCL</c:v>
                </c:pt>
              </c:strCache>
            </c:strRef>
          </c:cat>
          <c:val>
            <c:numRef>
              <c:f>Variaciones!$AV$31:$AV$42</c:f>
              <c:numCache>
                <c:formatCode>0.00%</c:formatCode>
                <c:ptCount val="12"/>
                <c:pt idx="0">
                  <c:v>0.2057716436637389</c:v>
                </c:pt>
                <c:pt idx="1">
                  <c:v>0.17268211495197794</c:v>
                </c:pt>
                <c:pt idx="2">
                  <c:v>0.23990547537355983</c:v>
                </c:pt>
                <c:pt idx="3">
                  <c:v>0.23294970530119527</c:v>
                </c:pt>
                <c:pt idx="4">
                  <c:v>0.52439024390243905</c:v>
                </c:pt>
                <c:pt idx="5">
                  <c:v>0.46324786324786316</c:v>
                </c:pt>
                <c:pt idx="6">
                  <c:v>0.28758186809909242</c:v>
                </c:pt>
                <c:pt idx="7">
                  <c:v>0.52988466768364417</c:v>
                </c:pt>
                <c:pt idx="8">
                  <c:v>0.34537550808487327</c:v>
                </c:pt>
                <c:pt idx="9">
                  <c:v>0.33720438281220749</c:v>
                </c:pt>
                <c:pt idx="10">
                  <c:v>0.36714714762888945</c:v>
                </c:pt>
                <c:pt idx="11">
                  <c:v>0.15505775288764442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8-4D17-9C24-4F7431A1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618736"/>
        <c:axId val="572613160"/>
      </c:barChart>
      <c:catAx>
        <c:axId val="5726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3160"/>
        <c:crosses val="autoZero"/>
        <c:auto val="1"/>
        <c:lblAlgn val="ctr"/>
        <c:lblOffset val="100"/>
        <c:noMultiLvlLbl val="0"/>
      </c:catAx>
      <c:valAx>
        <c:axId val="57261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s-AR"/>
          </a:p>
        </c:txPr>
        <c:crossAx val="5726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MX" sz="1200" b="1" i="0" u="none" strike="noStrike" kern="1200" baseline="0">
                <a:solidFill>
                  <a:sysClr val="windowText" lastClr="000000"/>
                </a:solidFill>
                <a:effectLst/>
                <a:latin typeface="Arial Nova" panose="020B0504020202020204" pitchFamily="34" charset="0"/>
                <a:ea typeface="+mn-ea"/>
                <a:cs typeface="Arial" pitchFamily="34" charset="0"/>
              </a:defRPr>
            </a:pPr>
            <a:r>
              <a:rPr lang="es-MX" sz="1200" b="1" i="0" u="none" strike="noStrike" kern="1200" baseline="0">
                <a:solidFill>
                  <a:sysClr val="windowText" lastClr="000000"/>
                </a:solidFill>
                <a:effectLst/>
                <a:latin typeface="Arial Nova" panose="020B0504020202020204" pitchFamily="34" charset="0"/>
                <a:ea typeface="+mn-ea"/>
                <a:cs typeface="Arial" pitchFamily="34" charset="0"/>
              </a:rPr>
              <a:t>Curva de bonos ajustables por CER</a:t>
            </a:r>
          </a:p>
        </c:rich>
      </c:tx>
      <c:layout>
        <c:manualLayout>
          <c:xMode val="edge"/>
          <c:yMode val="edge"/>
          <c:x val="0.25423007973059969"/>
          <c:y val="7.07859174329353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55442334414081"/>
          <c:y val="0.18911540772749219"/>
          <c:w val="0.79674252483145502"/>
          <c:h val="0.66202459288872517"/>
        </c:manualLayout>
      </c:layout>
      <c:scatterChart>
        <c:scatterStyle val="lineMarker"/>
        <c:varyColors val="0"/>
        <c:ser>
          <c:idx val="0"/>
          <c:order val="0"/>
          <c:tx>
            <c:v>Curva objetivo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dLbls>
            <c:dLbl>
              <c:idx val="0"/>
              <c:layout>
                <c:manualLayout>
                  <c:x val="-6.0664262600067291E-2"/>
                  <c:y val="2.8545686379771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C78-49FF-825C-1973E9F3EA89}"/>
                </c:ext>
              </c:extLst>
            </c:dLbl>
            <c:dLbl>
              <c:idx val="1"/>
              <c:layout>
                <c:manualLayout>
                  <c:x val="-5.3739187007490315E-2"/>
                  <c:y val="-3.33103373663745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C78-49FF-825C-1973E9F3EA8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78-49FF-825C-1973E9F3EA89}"/>
                </c:ext>
              </c:extLst>
            </c:dLbl>
            <c:dLbl>
              <c:idx val="3"/>
              <c:layout>
                <c:manualLayout>
                  <c:x val="-6.4855761364832801E-2"/>
                  <c:y val="-3.65043628323799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C78-49FF-825C-1973E9F3EA89}"/>
                </c:ext>
              </c:extLst>
            </c:dLbl>
            <c:dLbl>
              <c:idx val="4"/>
              <c:layout>
                <c:manualLayout>
                  <c:x val="-6.6703734780433635E-2"/>
                  <c:y val="-2.38358621567207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C78-49FF-825C-1973E9F3EA89}"/>
                </c:ext>
              </c:extLst>
            </c:dLbl>
            <c:dLbl>
              <c:idx val="5"/>
              <c:layout>
                <c:manualLayout>
                  <c:x val="-6.2649182084753605E-2"/>
                  <c:y val="-2.057747966678532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TC23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571326090845221E-2"/>
                      <c:h val="4.870298774326319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4C78-49FF-825C-1973E9F3EA89}"/>
                </c:ext>
              </c:extLst>
            </c:dLbl>
            <c:dLbl>
              <c:idx val="6"/>
              <c:layout>
                <c:manualLayout>
                  <c:x val="-2.251576985204419E-2"/>
                  <c:y val="1.1598938999508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C78-49FF-825C-1973E9F3EA89}"/>
                </c:ext>
              </c:extLst>
            </c:dLbl>
            <c:dLbl>
              <c:idx val="7"/>
              <c:layout>
                <c:manualLayout>
                  <c:x val="-4.9695007425224084E-2"/>
                  <c:y val="-3.47308843007846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C78-49FF-825C-1973E9F3EA89}"/>
                </c:ext>
              </c:extLst>
            </c:dLbl>
            <c:dLbl>
              <c:idx val="8"/>
              <c:layout>
                <c:manualLayout>
                  <c:x val="-2.8599272154674619E-2"/>
                  <c:y val="-3.0735370927152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C78-49FF-825C-1973E9F3EA89}"/>
                </c:ext>
              </c:extLst>
            </c:dLbl>
            <c:dLbl>
              <c:idx val="9"/>
              <c:layout>
                <c:manualLayout>
                  <c:x val="-5.4271632276610512E-2"/>
                  <c:y val="3.74597447278579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C78-49FF-825C-1973E9F3EA89}"/>
                </c:ext>
              </c:extLst>
            </c:dLbl>
            <c:dLbl>
              <c:idx val="10"/>
              <c:layout>
                <c:manualLayout>
                  <c:x val="-6.6154248386964293E-2"/>
                  <c:y val="-3.282051494095802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C78-49FF-825C-1973E9F3E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tx1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datos'!$G$88:$G$97</c:f>
              <c:numCache>
                <c:formatCode>0.00</c:formatCode>
                <c:ptCount val="10"/>
                <c:pt idx="0">
                  <c:v>4.1666666666666623E-2</c:v>
                </c:pt>
                <c:pt idx="1">
                  <c:v>7.7007700701908391E-2</c:v>
                </c:pt>
                <c:pt idx="2">
                  <c:v>0.68565033428173039</c:v>
                </c:pt>
                <c:pt idx="3">
                  <c:v>1.175346375449996</c:v>
                </c:pt>
                <c:pt idx="4">
                  <c:v>1.5785229146975543</c:v>
                </c:pt>
                <c:pt idx="5">
                  <c:v>1.6662490032436152</c:v>
                </c:pt>
                <c:pt idx="6">
                  <c:v>2.6103763180329902</c:v>
                </c:pt>
                <c:pt idx="7">
                  <c:v>6.37</c:v>
                </c:pt>
                <c:pt idx="8">
                  <c:v>10.83</c:v>
                </c:pt>
                <c:pt idx="9">
                  <c:v>11.87</c:v>
                </c:pt>
              </c:numCache>
            </c:numRef>
          </c:xVal>
          <c:yVal>
            <c:numRef>
              <c:f>'Planilla de datos'!$F$88:$F$97</c:f>
              <c:numCache>
                <c:formatCode>0.00%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78-49FF-825C-1973E9F3EA89}"/>
            </c:ext>
          </c:extLst>
        </c:ser>
        <c:ser>
          <c:idx val="1"/>
          <c:order val="1"/>
          <c:tx>
            <c:v>Curva actual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datos'!$F$69:$F$82</c:f>
              <c:numCache>
                <c:formatCode>0.00</c:formatCode>
                <c:ptCount val="14"/>
                <c:pt idx="0">
                  <c:v>4.1666666666666623E-2</c:v>
                </c:pt>
                <c:pt idx="1">
                  <c:v>7.7777777777777724E-2</c:v>
                </c:pt>
                <c:pt idx="2">
                  <c:v>0.69425779534475174</c:v>
                </c:pt>
                <c:pt idx="3" formatCode="#,##0.00">
                  <c:v>1.1932142662525203</c:v>
                </c:pt>
                <c:pt idx="4">
                  <c:v>1.6083333333333332</c:v>
                </c:pt>
                <c:pt idx="5">
                  <c:v>1.662007405906285</c:v>
                </c:pt>
                <c:pt idx="6">
                  <c:v>2.0239757381520938</c:v>
                </c:pt>
                <c:pt idx="7">
                  <c:v>2.5917870041663953</c:v>
                </c:pt>
                <c:pt idx="8">
                  <c:v>3.4463314448936377</c:v>
                </c:pt>
                <c:pt idx="9">
                  <c:v>3.9728324794626375</c:v>
                </c:pt>
                <c:pt idx="10">
                  <c:v>4.4621243930737826</c:v>
                </c:pt>
                <c:pt idx="11">
                  <c:v>5.646842021814459</c:v>
                </c:pt>
                <c:pt idx="12">
                  <c:v>9.4100466851743203</c:v>
                </c:pt>
                <c:pt idx="13">
                  <c:v>10.797128450908575</c:v>
                </c:pt>
              </c:numCache>
            </c:numRef>
          </c:xVal>
          <c:yVal>
            <c:numRef>
              <c:f>'Planilla de datos'!$E$69:$E$82</c:f>
              <c:numCache>
                <c:formatCode>0.00%</c:formatCode>
                <c:ptCount val="14"/>
                <c:pt idx="0">
                  <c:v>-2.724795131947845E-2</c:v>
                </c:pt>
                <c:pt idx="1">
                  <c:v>-6.9670180949196209E-3</c:v>
                </c:pt>
                <c:pt idx="2">
                  <c:v>2.4951860351562501E-2</c:v>
                </c:pt>
                <c:pt idx="3">
                  <c:v>2.5866645507812508E-2</c:v>
                </c:pt>
                <c:pt idx="4">
                  <c:v>3.9441540837287917E-2</c:v>
                </c:pt>
                <c:pt idx="5">
                  <c:v>4.0047280273437499E-2</c:v>
                </c:pt>
                <c:pt idx="6">
                  <c:v>4.11685205078125E-2</c:v>
                </c:pt>
                <c:pt idx="7">
                  <c:v>5.3621752929687502E-2</c:v>
                </c:pt>
                <c:pt idx="8">
                  <c:v>5.1355245709419253E-2</c:v>
                </c:pt>
                <c:pt idx="9">
                  <c:v>7.0981059570312532E-2</c:v>
                </c:pt>
                <c:pt idx="10">
                  <c:v>8.2448557019233717E-2</c:v>
                </c:pt>
                <c:pt idx="11">
                  <c:v>8.8107535243034357E-2</c:v>
                </c:pt>
                <c:pt idx="12">
                  <c:v>0.1106548249721527</c:v>
                </c:pt>
                <c:pt idx="13">
                  <c:v>0.10052410960197447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C78-49FF-825C-1973E9F3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39648"/>
        <c:axId val="137341568"/>
      </c:scatterChart>
      <c:valAx>
        <c:axId val="13733964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900"/>
                  <a:t>MD</a:t>
                </a:r>
              </a:p>
            </c:rich>
          </c:tx>
          <c:layout>
            <c:manualLayout>
              <c:xMode val="edge"/>
              <c:yMode val="edge"/>
              <c:x val="0.49459887607239622"/>
              <c:y val="0.9053852023101220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latin typeface="Arial Nova" panose="020B0504020202020204" pitchFamily="34" charset="0"/>
              </a:defRPr>
            </a:pPr>
            <a:endParaRPr lang="es-AR"/>
          </a:p>
        </c:txPr>
        <c:crossAx val="137341568"/>
        <c:crosses val="autoZero"/>
        <c:crossBetween val="midCat"/>
        <c:majorUnit val="1"/>
      </c:valAx>
      <c:valAx>
        <c:axId val="137341568"/>
        <c:scaling>
          <c:orientation val="minMax"/>
          <c:max val="0.1100000000000000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900" b="0">
                    <a:latin typeface="Arial Nova" panose="020B05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1.3363819819804367E-2"/>
              <c:y val="0.4628921029816670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latin typeface="Arial Nova" panose="020B0504020202020204" pitchFamily="34" charset="0"/>
              </a:defRPr>
            </a:pPr>
            <a:endParaRPr lang="es-AR"/>
          </a:p>
        </c:txPr>
        <c:crossAx val="137339648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1544099940666709"/>
          <c:y val="0.93103098607088375"/>
          <c:w val="0.42903003696590125"/>
          <c:h val="6.2100586763783702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de bonos en pesos</a:t>
            </a:r>
            <a:endParaRPr lang="es-AR" sz="12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682462591238776"/>
          <c:y val="6.61927220023081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04512801967333"/>
          <c:y val="0.19601690164878297"/>
          <c:w val="0.81084992015518587"/>
          <c:h val="0.64183288015140894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2638806896497216E-2"/>
                  <c:y val="4.8773017021755934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A-761F-45CD-B5F8-D0008F3D74F7}"/>
                </c:ext>
              </c:extLst>
            </c:dLbl>
            <c:dLbl>
              <c:idx val="1"/>
              <c:layout>
                <c:manualLayout>
                  <c:x val="-1.6669343315173342E-2"/>
                  <c:y val="-5.2863501834727428E-4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748881901966E-2"/>
                      <c:h val="3.447634684200211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761F-45CD-B5F8-D0008F3D74F7}"/>
                </c:ext>
              </c:extLst>
            </c:dLbl>
            <c:dLbl>
              <c:idx val="2"/>
              <c:layout>
                <c:manualLayout>
                  <c:x val="-1.1213592432908776E-2"/>
                  <c:y val="4.482917540652560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61F-45CD-B5F8-D0008F3D74F7}"/>
                </c:ext>
              </c:extLst>
            </c:dLbl>
            <c:dLbl>
              <c:idx val="3"/>
              <c:layout>
                <c:manualLayout>
                  <c:x val="-1.0252963873481001E-2"/>
                  <c:y val="-2.33134344019364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61F-45CD-B5F8-D0008F3D74F7}"/>
                </c:ext>
              </c:extLst>
            </c:dLbl>
            <c:dLbl>
              <c:idx val="4"/>
              <c:layout>
                <c:manualLayout>
                  <c:x val="-2.4423388142858906E-2"/>
                  <c:y val="2.7706595863093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61F-45CD-B5F8-D0008F3D74F7}"/>
                </c:ext>
              </c:extLst>
            </c:dLbl>
            <c:dLbl>
              <c:idx val="5"/>
              <c:layout>
                <c:manualLayout>
                  <c:x val="-1.1871636173463295E-2"/>
                  <c:y val="5.2593462054010014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61F-45CD-B5F8-D0008F3D74F7}"/>
                </c:ext>
              </c:extLst>
            </c:dLbl>
            <c:dLbl>
              <c:idx val="6"/>
              <c:layout>
                <c:manualLayout>
                  <c:x val="-3.7538471674881918E-2"/>
                  <c:y val="2.29104321768086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61F-45CD-B5F8-D0008F3D74F7}"/>
                </c:ext>
              </c:extLst>
            </c:dLbl>
            <c:dLbl>
              <c:idx val="7"/>
              <c:layout>
                <c:manualLayout>
                  <c:x val="-1.3835225517931486E-2"/>
                  <c:y val="1.34412943803950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61F-45CD-B5F8-D0008F3D74F7}"/>
                </c:ext>
              </c:extLst>
            </c:dLbl>
            <c:dLbl>
              <c:idx val="8"/>
              <c:layout>
                <c:manualLayout>
                  <c:x val="-9.0722736275999517E-3"/>
                  <c:y val="-1.58063284979924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61F-45CD-B5F8-D0008F3D74F7}"/>
                </c:ext>
              </c:extLst>
            </c:dLbl>
            <c:dLbl>
              <c:idx val="9"/>
              <c:layout>
                <c:manualLayout>
                  <c:x val="-1.2746776697510046E-2"/>
                  <c:y val="1.435325729698923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61F-45CD-B5F8-D0008F3D74F7}"/>
                </c:ext>
              </c:extLst>
            </c:dLbl>
            <c:dLbl>
              <c:idx val="10"/>
              <c:layout>
                <c:manualLayout>
                  <c:x val="-9.8555021598496027E-3"/>
                  <c:y val="6.4027717911815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61F-45CD-B5F8-D0008F3D74F7}"/>
                </c:ext>
              </c:extLst>
            </c:dLbl>
            <c:dLbl>
              <c:idx val="11"/>
              <c:layout>
                <c:manualLayout>
                  <c:x val="-9.089733611704778E-3"/>
                  <c:y val="3.96392680018793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1F1-4FD9-89BB-7532A5BAECD2}"/>
                </c:ext>
              </c:extLst>
            </c:dLbl>
            <c:dLbl>
              <c:idx val="12"/>
              <c:layout>
                <c:manualLayout>
                  <c:x val="-9.3340102098098988E-3"/>
                  <c:y val="7.96385480817149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310-4BF9-AB60-96E5F909433B}"/>
                </c:ext>
              </c:extLst>
            </c:dLbl>
            <c:dLbl>
              <c:idx val="13"/>
              <c:layout>
                <c:manualLayout>
                  <c:x val="-3.2109734352930672E-2"/>
                  <c:y val="2.6594018287598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DEA-463B-9395-1C7751929205}"/>
                </c:ext>
              </c:extLst>
            </c:dLbl>
            <c:dLbl>
              <c:idx val="14"/>
              <c:layout>
                <c:manualLayout>
                  <c:x val="-1.410832602402395E-2"/>
                  <c:y val="2.39358118013030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5B8-40A5-97D0-03C2974EB8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datos'!$AA$71:$AA$85</c:f>
              <c:numCache>
                <c:formatCode>0.00</c:formatCode>
                <c:ptCount val="15"/>
                <c:pt idx="1">
                  <c:v>0.52</c:v>
                </c:pt>
                <c:pt idx="2">
                  <c:v>0.24383561643835616</c:v>
                </c:pt>
                <c:pt idx="3">
                  <c:v>7.0064631637754615E-2</c:v>
                </c:pt>
                <c:pt idx="4">
                  <c:v>7.7777777777777724E-2</c:v>
                </c:pt>
                <c:pt idx="5">
                  <c:v>4.1666666666666623E-2</c:v>
                </c:pt>
                <c:pt idx="6">
                  <c:v>0.61112411737225436</c:v>
                </c:pt>
                <c:pt idx="7">
                  <c:v>1.1932142662525203</c:v>
                </c:pt>
                <c:pt idx="8">
                  <c:v>0.69425779534475174</c:v>
                </c:pt>
                <c:pt idx="9">
                  <c:v>1.4501605438826666</c:v>
                </c:pt>
                <c:pt idx="10">
                  <c:v>1.2814860717615904</c:v>
                </c:pt>
                <c:pt idx="11">
                  <c:v>1.3700269150760365</c:v>
                </c:pt>
                <c:pt idx="12">
                  <c:v>2.0219816030327333</c:v>
                </c:pt>
                <c:pt idx="13">
                  <c:v>2.1078160559770431</c:v>
                </c:pt>
                <c:pt idx="14">
                  <c:v>1.6583446230787371</c:v>
                </c:pt>
              </c:numCache>
            </c:numRef>
          </c:xVal>
          <c:yVal>
            <c:numRef>
              <c:f>'Planilla de datos'!$Z$71:$Z$85</c:f>
              <c:numCache>
                <c:formatCode>0.00%</c:formatCode>
                <c:ptCount val="15"/>
                <c:pt idx="1">
                  <c:v>0.46197354980468763</c:v>
                </c:pt>
                <c:pt idx="2">
                  <c:v>0.40036319824218758</c:v>
                </c:pt>
                <c:pt idx="3">
                  <c:v>0.44034463378906252</c:v>
                </c:pt>
                <c:pt idx="4">
                  <c:v>0.45743927246093752</c:v>
                </c:pt>
                <c:pt idx="5">
                  <c:v>0.40642046386718755</c:v>
                </c:pt>
                <c:pt idx="6">
                  <c:v>0.44950780761718756</c:v>
                </c:pt>
                <c:pt idx="7">
                  <c:v>0.44103077636718746</c:v>
                </c:pt>
                <c:pt idx="8">
                  <c:v>0.44184126464843754</c:v>
                </c:pt>
                <c:pt idx="9">
                  <c:v>0.4845732714843749</c:v>
                </c:pt>
                <c:pt idx="10">
                  <c:v>0.45888144042968759</c:v>
                </c:pt>
                <c:pt idx="11">
                  <c:v>0.45776694824218767</c:v>
                </c:pt>
                <c:pt idx="12">
                  <c:v>0.51385975585937493</c:v>
                </c:pt>
                <c:pt idx="13">
                  <c:v>0.4734328662109375</c:v>
                </c:pt>
                <c:pt idx="14">
                  <c:v>0.4576792919921876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8-47B1-9DC2-DC9BE0B62FDA}"/>
            </c:ext>
          </c:extLst>
        </c:ser>
        <c:ser>
          <c:idx val="1"/>
          <c:order val="1"/>
          <c:tx>
            <c:v>Provinciales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9988058029739629E-3"/>
                  <c:y val="-1.93399919142377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BNY22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61F-45CD-B5F8-D0008F3D74F7}"/>
                </c:ext>
              </c:extLst>
            </c:dLbl>
            <c:dLbl>
              <c:idx val="1"/>
              <c:layout>
                <c:manualLayout>
                  <c:x val="-8.3978735057094966E-2"/>
                  <c:y val="7.112590643352941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61F-45CD-B5F8-D0008F3D74F7}"/>
                </c:ext>
              </c:extLst>
            </c:dLbl>
            <c:dLbl>
              <c:idx val="2"/>
              <c:layout>
                <c:manualLayout>
                  <c:x val="-8.5239312966097162E-3"/>
                  <c:y val="4.51532231433858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PBY22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18C-419D-922B-EB744B3DBC76}"/>
                </c:ext>
              </c:extLst>
            </c:dLbl>
            <c:dLbl>
              <c:idx val="3"/>
              <c:layout>
                <c:manualLayout>
                  <c:x val="-1.1672493524569574E-2"/>
                  <c:y val="-1.38183213504246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PBA25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18C-419D-922B-EB744B3DBC76}"/>
                </c:ext>
              </c:extLst>
            </c:dLbl>
            <c:dLbl>
              <c:idx val="4"/>
              <c:layout>
                <c:manualLayout>
                  <c:x val="-1.1396098681853558E-2"/>
                  <c:y val="-2.8444190235567274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18C-419D-922B-EB744B3DBC76}"/>
                </c:ext>
              </c:extLst>
            </c:dLbl>
            <c:dLbl>
              <c:idx val="5"/>
              <c:layout>
                <c:manualLayout>
                  <c:x val="-1.1462314847986954E-2"/>
                  <c:y val="3.204472064513275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BDC28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18C-419D-922B-EB744B3DB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datos'!$G$25:$G$30</c:f>
              <c:numCache>
                <c:formatCode>0.00</c:formatCode>
                <c:ptCount val="6"/>
                <c:pt idx="0">
                  <c:v>0.39896972284751209</c:v>
                </c:pt>
                <c:pt idx="1">
                  <c:v>0.42851042011354146</c:v>
                </c:pt>
                <c:pt idx="2">
                  <c:v>0.67958930149478336</c:v>
                </c:pt>
                <c:pt idx="3">
                  <c:v>1.4838918753142651</c:v>
                </c:pt>
                <c:pt idx="4">
                  <c:v>1.4809380541084258</c:v>
                </c:pt>
                <c:pt idx="5">
                  <c:v>1.7806235968856483</c:v>
                </c:pt>
              </c:numCache>
            </c:numRef>
          </c:xVal>
          <c:yVal>
            <c:numRef>
              <c:f>'Planilla de datos'!$H$25:$H$30</c:f>
              <c:numCache>
                <c:formatCode>0.00%</c:formatCode>
                <c:ptCount val="6"/>
                <c:pt idx="0">
                  <c:v>0.55874186523437519</c:v>
                </c:pt>
                <c:pt idx="1">
                  <c:v>0.46249353027343754</c:v>
                </c:pt>
                <c:pt idx="2">
                  <c:v>0.5163133691406252</c:v>
                </c:pt>
                <c:pt idx="3">
                  <c:v>0.55006807617187503</c:v>
                </c:pt>
                <c:pt idx="4">
                  <c:v>0.53399448242187497</c:v>
                </c:pt>
                <c:pt idx="5">
                  <c:v>0.52549883789062513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8-47B1-9DC2-DC9BE0B62FDA}"/>
            </c:ext>
          </c:extLst>
        </c:ser>
        <c:ser>
          <c:idx val="2"/>
          <c:order val="2"/>
          <c:tx>
            <c:v>Boli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8.359708615925646E-3"/>
                  <c:y val="-3.3086294147314206E-3"/>
                </c:manualLayout>
              </c:layout>
              <c:tx>
                <c:rich>
                  <a:bodyPr/>
                  <a:lstStyle/>
                  <a:p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DB0-48AA-B75C-82F8C93051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0.5541558691406252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0-48AA-B75C-82F8C930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</c:scatterChart>
      <c:valAx>
        <c:axId val="137424256"/>
        <c:scaling>
          <c:orientation val="minMax"/>
          <c:max val="2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958916975831758"/>
              <c:y val="0.8744467929759042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5"/>
        <c:minorUnit val="5.000000000000001E-2"/>
      </c:valAx>
      <c:valAx>
        <c:axId val="141710848"/>
        <c:scaling>
          <c:orientation val="minMax"/>
          <c:max val="0.58000000000000007"/>
          <c:min val="0.4200000000000000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3.9759836887341873E-2"/>
              <c:y val="0.455331217502869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3360102019033362"/>
          <c:y val="0.89094899131192451"/>
          <c:w val="0.29338439555099838"/>
          <c:h val="4.1082802383961392E-2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4254817823608488"/>
          <c:y val="5.513669150167710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7131668290103335E-2"/>
          <c:y val="0.18829189037923563"/>
          <c:w val="0.84915975723174175"/>
          <c:h val="0.69923648921253523"/>
        </c:manualLayout>
      </c:layout>
      <c:scatterChart>
        <c:scatterStyle val="lineMarker"/>
        <c:varyColors val="0"/>
        <c:ser>
          <c:idx val="0"/>
          <c:order val="0"/>
          <c:tx>
            <c:v>17.02.2021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datos'!$F$69:$F$79</c:f>
              <c:numCache>
                <c:formatCode>0.00</c:formatCode>
                <c:ptCount val="11"/>
                <c:pt idx="0">
                  <c:v>4.1666666666666623E-2</c:v>
                </c:pt>
                <c:pt idx="1">
                  <c:v>7.7777777777777724E-2</c:v>
                </c:pt>
                <c:pt idx="2">
                  <c:v>0.69425779534475174</c:v>
                </c:pt>
                <c:pt idx="3" formatCode="#,##0.00">
                  <c:v>1.1932142662525203</c:v>
                </c:pt>
                <c:pt idx="4">
                  <c:v>1.6083333333333332</c:v>
                </c:pt>
                <c:pt idx="5">
                  <c:v>1.662007405906285</c:v>
                </c:pt>
                <c:pt idx="6">
                  <c:v>2.0239757381520938</c:v>
                </c:pt>
                <c:pt idx="7">
                  <c:v>2.5917870041663953</c:v>
                </c:pt>
                <c:pt idx="8">
                  <c:v>3.4463314448936377</c:v>
                </c:pt>
                <c:pt idx="9">
                  <c:v>3.9728324794626375</c:v>
                </c:pt>
                <c:pt idx="10">
                  <c:v>4.4621243930737826</c:v>
                </c:pt>
              </c:numCache>
            </c:numRef>
          </c:xVal>
          <c:yVal>
            <c:numRef>
              <c:f>'Planilla de datos'!$E$69:$E$82</c:f>
              <c:numCache>
                <c:formatCode>0.00%</c:formatCode>
                <c:ptCount val="14"/>
                <c:pt idx="0">
                  <c:v>-2.724795131947845E-2</c:v>
                </c:pt>
                <c:pt idx="1">
                  <c:v>-6.9670180949196209E-3</c:v>
                </c:pt>
                <c:pt idx="2">
                  <c:v>2.4951860351562501E-2</c:v>
                </c:pt>
                <c:pt idx="3">
                  <c:v>2.5866645507812508E-2</c:v>
                </c:pt>
                <c:pt idx="4">
                  <c:v>3.9441540837287917E-2</c:v>
                </c:pt>
                <c:pt idx="5">
                  <c:v>4.0047280273437499E-2</c:v>
                </c:pt>
                <c:pt idx="6">
                  <c:v>4.11685205078125E-2</c:v>
                </c:pt>
                <c:pt idx="7">
                  <c:v>5.3621752929687502E-2</c:v>
                </c:pt>
                <c:pt idx="8">
                  <c:v>5.1355245709419253E-2</c:v>
                </c:pt>
                <c:pt idx="9">
                  <c:v>7.0981059570312532E-2</c:v>
                </c:pt>
                <c:pt idx="10">
                  <c:v>8.2448557019233717E-2</c:v>
                </c:pt>
                <c:pt idx="11">
                  <c:v>8.8107535243034357E-2</c:v>
                </c:pt>
                <c:pt idx="12">
                  <c:v>0.1106548249721527</c:v>
                </c:pt>
                <c:pt idx="13">
                  <c:v>0.10052410960197447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B48-44A5-A6EA-645AF0316D6F}"/>
            </c:ext>
          </c:extLst>
        </c:ser>
        <c:ser>
          <c:idx val="1"/>
          <c:order val="1"/>
          <c:tx>
            <c:v>30.12.2020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datos'!$AC$90:$AC$99</c:f>
              <c:numCache>
                <c:formatCode>General</c:formatCode>
                <c:ptCount val="10"/>
                <c:pt idx="1">
                  <c:v>0.4</c:v>
                </c:pt>
                <c:pt idx="2">
                  <c:v>0.44</c:v>
                </c:pt>
                <c:pt idx="3">
                  <c:v>1.05</c:v>
                </c:pt>
                <c:pt idx="4">
                  <c:v>1.55</c:v>
                </c:pt>
                <c:pt idx="5">
                  <c:v>1.91</c:v>
                </c:pt>
                <c:pt idx="6">
                  <c:v>2.02</c:v>
                </c:pt>
                <c:pt idx="7">
                  <c:v>2.93</c:v>
                </c:pt>
                <c:pt idx="8">
                  <c:v>4.29</c:v>
                </c:pt>
                <c:pt idx="9">
                  <c:v>4.83</c:v>
                </c:pt>
              </c:numCache>
            </c:numRef>
          </c:xVal>
          <c:yVal>
            <c:numRef>
              <c:f>'Planilla de datos'!$AB$90:$AB$99</c:f>
              <c:numCache>
                <c:formatCode>0.00%</c:formatCode>
                <c:ptCount val="10"/>
                <c:pt idx="1">
                  <c:v>-4.1099999999999998E-2</c:v>
                </c:pt>
                <c:pt idx="2">
                  <c:v>-4.58E-2</c:v>
                </c:pt>
                <c:pt idx="3">
                  <c:v>1E-3</c:v>
                </c:pt>
                <c:pt idx="4">
                  <c:v>8.0999999999999996E-3</c:v>
                </c:pt>
                <c:pt idx="5">
                  <c:v>2.23E-2</c:v>
                </c:pt>
                <c:pt idx="6">
                  <c:v>4.8899999999999999E-2</c:v>
                </c:pt>
                <c:pt idx="7">
                  <c:v>3.1399999999999997E-2</c:v>
                </c:pt>
                <c:pt idx="8">
                  <c:v>6.8099999999999994E-2</c:v>
                </c:pt>
                <c:pt idx="9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B48-44A5-A6EA-645AF031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9889644941984768"/>
              <c:y val="0.906425100407286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9.0000000000000024E-2"/>
        <c:crossBetween val="midCat"/>
        <c:majorUnit val="1"/>
      </c:valAx>
      <c:valAx>
        <c:axId val="141047296"/>
        <c:scaling>
          <c:orientation val="minMax"/>
          <c:max val="9.0000000000000024E-2"/>
          <c:min val="-5.000000000000001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434460463504113E-3"/>
              <c:y val="0.492931299405870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318266132215009"/>
          <c:y val="0.73184475491376477"/>
          <c:w val="0.14734663113569832"/>
          <c:h val="0.13008547987472979"/>
        </c:manualLayout>
      </c:layout>
      <c:overlay val="0"/>
      <c:spPr>
        <a:ln>
          <a:solidFill>
            <a:schemeClr val="tx1">
              <a:lumMod val="50000"/>
              <a:lumOff val="50000"/>
            </a:schemeClr>
          </a:solidFill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014362169081644"/>
          <c:y val="6.24689675877279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526612191949596E-2"/>
          <c:y val="0.1882917738729411"/>
          <c:w val="0.84915975723174175"/>
          <c:h val="0.699236489212535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0606701202002862E-3"/>
                  <c:y val="-1.72828885835363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279-4658-AFDE-006BA229EBE4}"/>
                </c:ext>
              </c:extLst>
            </c:dLbl>
            <c:dLbl>
              <c:idx val="1"/>
              <c:layout>
                <c:manualLayout>
                  <c:x val="-8.4876120113707085E-3"/>
                  <c:y val="-1.0641952357308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279-4658-AFDE-006BA229EBE4}"/>
                </c:ext>
              </c:extLst>
            </c:dLbl>
            <c:dLbl>
              <c:idx val="2"/>
              <c:layout>
                <c:manualLayout>
                  <c:x val="-6.9251511663659837E-2"/>
                  <c:y val="-1.612340061598464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279-4658-AFDE-006BA229EBE4}"/>
                </c:ext>
              </c:extLst>
            </c:dLbl>
            <c:dLbl>
              <c:idx val="3"/>
              <c:layout>
                <c:manualLayout>
                  <c:x val="-1.3109206914832644E-2"/>
                  <c:y val="2.4721293022033096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T2X2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581143183655829E-2"/>
                      <c:h val="5.248777892520298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2279-4658-AFDE-006BA229EBE4}"/>
                </c:ext>
              </c:extLst>
            </c:dLbl>
            <c:dLbl>
              <c:idx val="4"/>
              <c:layout>
                <c:manualLayout>
                  <c:x val="-6.3344113733364876E-2"/>
                  <c:y val="-1.24467788809798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279-4658-AFDE-006BA229EBE4}"/>
                </c:ext>
              </c:extLst>
            </c:dLbl>
            <c:dLbl>
              <c:idx val="5"/>
              <c:layout>
                <c:manualLayout>
                  <c:x val="-6.7919381637780316E-2"/>
                  <c:y val="-2.686287668797737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TX23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16628307494496E-2"/>
                      <c:h val="4.870291958059446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2279-4658-AFDE-006BA229EBE4}"/>
                </c:ext>
              </c:extLst>
            </c:dLbl>
            <c:dLbl>
              <c:idx val="6"/>
              <c:layout>
                <c:manualLayout>
                  <c:x val="-3.7762847038384388E-2"/>
                  <c:y val="-2.815008514800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279-4658-AFDE-006BA229EBE4}"/>
                </c:ext>
              </c:extLst>
            </c:dLbl>
            <c:dLbl>
              <c:idx val="7"/>
              <c:layout>
                <c:manualLayout>
                  <c:x val="-4.818542264931467E-2"/>
                  <c:y val="-2.83472486570588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279-4658-AFDE-006BA229EBE4}"/>
                </c:ext>
              </c:extLst>
            </c:dLbl>
            <c:dLbl>
              <c:idx val="8"/>
              <c:layout>
                <c:manualLayout>
                  <c:x val="-3.3012597789685648E-2"/>
                  <c:y val="2.730859360750159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TC25P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4528232732615E-2"/>
                      <c:h val="5.013481057238201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2279-4658-AFDE-006BA229EBE4}"/>
                </c:ext>
              </c:extLst>
            </c:dLbl>
            <c:dLbl>
              <c:idx val="9"/>
              <c:layout>
                <c:manualLayout>
                  <c:x val="-1.7144233127949132E-2"/>
                  <c:y val="2.2719478540004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279-4658-AFDE-006BA229EBE4}"/>
                </c:ext>
              </c:extLst>
            </c:dLbl>
            <c:dLbl>
              <c:idx val="10"/>
              <c:layout>
                <c:manualLayout>
                  <c:x val="-9.1056198839851148E-3"/>
                  <c:y val="2.45944830118014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54B-4213-9A42-A7925E8E6491}"/>
                </c:ext>
              </c:extLst>
            </c:dLbl>
            <c:dLbl>
              <c:idx val="11"/>
              <c:layout>
                <c:manualLayout>
                  <c:x val="-9.7490101588029402E-3"/>
                  <c:y val="2.81471899422869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757-4956-9503-5AC58EABD080}"/>
                </c:ext>
              </c:extLst>
            </c:dLbl>
            <c:dLbl>
              <c:idx val="12"/>
              <c:layout>
                <c:manualLayout>
                  <c:x val="-7.1676635257788487E-2"/>
                  <c:y val="2.82028336200824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757-4956-9503-5AC58EABD080}"/>
                </c:ext>
              </c:extLst>
            </c:dLbl>
            <c:dLbl>
              <c:idx val="13"/>
              <c:layout>
                <c:manualLayout>
                  <c:x val="-1.1329384014910321E-2"/>
                  <c:y val="1.81497754119372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A9D-403D-9F6A-BAFE3F3019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datos'!$F$69:$F$82</c:f>
              <c:numCache>
                <c:formatCode>0.00</c:formatCode>
                <c:ptCount val="14"/>
                <c:pt idx="0">
                  <c:v>4.1666666666666623E-2</c:v>
                </c:pt>
                <c:pt idx="1">
                  <c:v>7.7777777777777724E-2</c:v>
                </c:pt>
                <c:pt idx="2">
                  <c:v>0.69425779534475174</c:v>
                </c:pt>
                <c:pt idx="3" formatCode="#,##0.00">
                  <c:v>1.1932142662525203</c:v>
                </c:pt>
                <c:pt idx="4">
                  <c:v>1.6083333333333332</c:v>
                </c:pt>
                <c:pt idx="5">
                  <c:v>1.662007405906285</c:v>
                </c:pt>
                <c:pt idx="6">
                  <c:v>2.0239757381520938</c:v>
                </c:pt>
                <c:pt idx="7">
                  <c:v>2.5917870041663953</c:v>
                </c:pt>
                <c:pt idx="8">
                  <c:v>3.4463314448936377</c:v>
                </c:pt>
                <c:pt idx="9">
                  <c:v>3.9728324794626375</c:v>
                </c:pt>
                <c:pt idx="10">
                  <c:v>4.4621243930737826</c:v>
                </c:pt>
                <c:pt idx="11">
                  <c:v>5.646842021814459</c:v>
                </c:pt>
                <c:pt idx="12">
                  <c:v>9.4100466851743203</c:v>
                </c:pt>
                <c:pt idx="13">
                  <c:v>10.797128450908575</c:v>
                </c:pt>
              </c:numCache>
            </c:numRef>
          </c:xVal>
          <c:yVal>
            <c:numRef>
              <c:f>'Planilla de datos'!$E$69:$E$82</c:f>
              <c:numCache>
                <c:formatCode>0.00%</c:formatCode>
                <c:ptCount val="14"/>
                <c:pt idx="0">
                  <c:v>-2.724795131947845E-2</c:v>
                </c:pt>
                <c:pt idx="1">
                  <c:v>-6.9670180949196209E-3</c:v>
                </c:pt>
                <c:pt idx="2">
                  <c:v>2.4951860351562501E-2</c:v>
                </c:pt>
                <c:pt idx="3">
                  <c:v>2.5866645507812508E-2</c:v>
                </c:pt>
                <c:pt idx="4">
                  <c:v>3.9441540837287917E-2</c:v>
                </c:pt>
                <c:pt idx="5">
                  <c:v>4.0047280273437499E-2</c:v>
                </c:pt>
                <c:pt idx="6">
                  <c:v>4.11685205078125E-2</c:v>
                </c:pt>
                <c:pt idx="7">
                  <c:v>5.3621752929687502E-2</c:v>
                </c:pt>
                <c:pt idx="8">
                  <c:v>5.1355245709419253E-2</c:v>
                </c:pt>
                <c:pt idx="9">
                  <c:v>7.0981059570312532E-2</c:v>
                </c:pt>
                <c:pt idx="10">
                  <c:v>8.2448557019233717E-2</c:v>
                </c:pt>
                <c:pt idx="11">
                  <c:v>8.8107535243034357E-2</c:v>
                </c:pt>
                <c:pt idx="12">
                  <c:v>0.1106548249721527</c:v>
                </c:pt>
                <c:pt idx="13">
                  <c:v>0.10052410960197447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2-43C2-9853-823524D8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9889644941984768"/>
              <c:y val="0.932712801006246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0.1"/>
        <c:crossBetween val="midCat"/>
        <c:majorUnit val="2"/>
      </c:valAx>
      <c:valAx>
        <c:axId val="141047296"/>
        <c:scaling>
          <c:orientation val="minMax"/>
          <c:max val="0.12200000000000001"/>
          <c:min val="-4.0000000000000008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434460463504113E-3"/>
              <c:y val="0.492931299405870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2.0000000000000004E-2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Tasas en pesos de corto plazo</a:t>
            </a:r>
            <a:endParaRPr lang="es-AR" sz="1200" b="1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3693173722723924"/>
          <c:y val="6.88038702176997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204512801967333"/>
          <c:y val="0.19601690164878297"/>
          <c:w val="0.81084992015518587"/>
          <c:h val="0.64183288015140894"/>
        </c:manualLayout>
      </c:layout>
      <c:scatterChart>
        <c:scatterStyle val="lineMarker"/>
        <c:varyColors val="0"/>
        <c:ser>
          <c:idx val="0"/>
          <c:order val="0"/>
          <c:tx>
            <c:v>Soberanos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7647128922911333E-2"/>
                  <c:y val="2.810967694022964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</a:rPr>
                      <a:t>T2X1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939406637439845E-2"/>
                      <c:h val="4.63148527740514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F75E-4D10-AAB3-079A5B52E23B}"/>
                </c:ext>
              </c:extLst>
            </c:dLbl>
            <c:dLbl>
              <c:idx val="1"/>
              <c:layout>
                <c:manualLayout>
                  <c:x val="-3.5500512681137041E-2"/>
                  <c:y val="2.559024236186437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PR15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855676959548185E-2"/>
                      <c:h val="5.407358537504667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F75E-4D10-AAB3-079A5B52E23B}"/>
                </c:ext>
              </c:extLst>
            </c:dLbl>
            <c:dLbl>
              <c:idx val="2"/>
              <c:layout>
                <c:manualLayout>
                  <c:x val="-8.9981510535701078E-3"/>
                  <c:y val="5.739745937632068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5E-4D10-AAB3-079A5B52E23B}"/>
                </c:ext>
              </c:extLst>
            </c:dLbl>
            <c:dLbl>
              <c:idx val="3"/>
              <c:layout>
                <c:manualLayout>
                  <c:x val="-1.2272556940549578E-2"/>
                  <c:y val="-6.82129715950368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TB21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75E-4D10-AAB3-079A5B52E23B}"/>
                </c:ext>
              </c:extLst>
            </c:dLbl>
            <c:dLbl>
              <c:idx val="4"/>
              <c:layout>
                <c:manualLayout>
                  <c:x val="-9.8040281501064475E-3"/>
                  <c:y val="-1.484218102652945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</a:defRPr>
                    </a:pPr>
                    <a:r>
                      <a:rPr lang="en-US"/>
                      <a:t>TX21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879213147697452E-2"/>
                      <c:h val="3.56445530830339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F75E-4D10-AAB3-079A5B52E23B}"/>
                </c:ext>
              </c:extLst>
            </c:dLbl>
            <c:dLbl>
              <c:idx val="5"/>
              <c:layout>
                <c:manualLayout>
                  <c:x val="-9.7602958314287943E-3"/>
                  <c:y val="-1.782552191637702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75E-4D10-AAB3-079A5B52E23B}"/>
                </c:ext>
              </c:extLst>
            </c:dLbl>
            <c:dLbl>
              <c:idx val="6"/>
              <c:layout>
                <c:manualLayout>
                  <c:x val="-3.752265885908887E-2"/>
                  <c:y val="2.91460214930980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AA22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75E-4D10-AAB3-079A5B52E23B}"/>
                </c:ext>
              </c:extLst>
            </c:dLbl>
            <c:dLbl>
              <c:idx val="7"/>
              <c:layout>
                <c:manualLayout>
                  <c:x val="-3.9078244612730142E-2"/>
                  <c:y val="2.9740108705100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75E-4D10-AAB3-079A5B52E23B}"/>
                </c:ext>
              </c:extLst>
            </c:dLbl>
            <c:dLbl>
              <c:idx val="8"/>
              <c:layout>
                <c:manualLayout>
                  <c:x val="-9.0213761267660727E-3"/>
                  <c:y val="5.04536923163165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75E-4D10-AAB3-079A5B52E23B}"/>
                </c:ext>
              </c:extLst>
            </c:dLbl>
            <c:dLbl>
              <c:idx val="9"/>
              <c:layout>
                <c:manualLayout>
                  <c:x val="-3.7813713499779765E-2"/>
                  <c:y val="-2.47153139223695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75E-4D10-AAB3-079A5B52E23B}"/>
                </c:ext>
              </c:extLst>
            </c:dLbl>
            <c:dLbl>
              <c:idx val="10"/>
              <c:layout>
                <c:manualLayout>
                  <c:x val="-3.7143239128686098E-2"/>
                  <c:y val="2.9143882751449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75E-4D10-AAB3-079A5B52E23B}"/>
                </c:ext>
              </c:extLst>
            </c:dLbl>
            <c:dLbl>
              <c:idx val="11"/>
              <c:layout>
                <c:manualLayout>
                  <c:x val="-2.1593058832734175E-2"/>
                  <c:y val="2.36143237255800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75E-4D10-AAB3-079A5B52E23B}"/>
                </c:ext>
              </c:extLst>
            </c:dLbl>
            <c:dLbl>
              <c:idx val="12"/>
              <c:layout>
                <c:manualLayout>
                  <c:x val="-5.1502011604300756E-3"/>
                  <c:y val="1.43146728225417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75E-4D10-AAB3-079A5B52E23B}"/>
                </c:ext>
              </c:extLst>
            </c:dLbl>
            <c:dLbl>
              <c:idx val="13"/>
              <c:layout>
                <c:manualLayout>
                  <c:x val="-2.5834023085064044E-2"/>
                  <c:y val="2.3327824524640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75E-4D10-AAB3-079A5B52E23B}"/>
                </c:ext>
              </c:extLst>
            </c:dLbl>
            <c:dLbl>
              <c:idx val="14"/>
              <c:layout>
                <c:manualLayout>
                  <c:x val="-5.3854497387179262E-2"/>
                  <c:y val="2.83847668837785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T2X3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75E-4D10-AAB3-079A5B52E2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17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</c:spPr>
                </c15:leaderLines>
              </c:ext>
            </c:extLst>
          </c:dLbls>
          <c:xVal>
            <c:numRef>
              <c:f>'Planilla de datos'!$AA$71:$AA$77</c:f>
              <c:numCache>
                <c:formatCode>0.00</c:formatCode>
                <c:ptCount val="7"/>
                <c:pt idx="1">
                  <c:v>0.52</c:v>
                </c:pt>
                <c:pt idx="2">
                  <c:v>0.24383561643835616</c:v>
                </c:pt>
                <c:pt idx="3">
                  <c:v>7.0064631637754615E-2</c:v>
                </c:pt>
                <c:pt idx="4">
                  <c:v>7.7777777777777724E-2</c:v>
                </c:pt>
                <c:pt idx="5">
                  <c:v>4.1666666666666623E-2</c:v>
                </c:pt>
                <c:pt idx="6">
                  <c:v>0.61112411737225436</c:v>
                </c:pt>
              </c:numCache>
            </c:numRef>
          </c:xVal>
          <c:yVal>
            <c:numRef>
              <c:f>'Planilla de datos'!$Z$71:$Z$77</c:f>
              <c:numCache>
                <c:formatCode>0.00%</c:formatCode>
                <c:ptCount val="7"/>
                <c:pt idx="1">
                  <c:v>0.46197354980468763</c:v>
                </c:pt>
                <c:pt idx="2">
                  <c:v>0.40036319824218758</c:v>
                </c:pt>
                <c:pt idx="3">
                  <c:v>0.44034463378906252</c:v>
                </c:pt>
                <c:pt idx="4">
                  <c:v>0.45743927246093752</c:v>
                </c:pt>
                <c:pt idx="5">
                  <c:v>0.40642046386718755</c:v>
                </c:pt>
                <c:pt idx="6">
                  <c:v>0.44950780761718756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5E-4D10-AAB3-079A5B52E23B}"/>
            </c:ext>
          </c:extLst>
        </c:ser>
        <c:ser>
          <c:idx val="2"/>
          <c:order val="2"/>
          <c:tx>
            <c:v>Lecer</c:v>
          </c:tx>
          <c:spPr>
            <a:ln w="28575">
              <a:noFill/>
            </a:ln>
          </c:spPr>
          <c:marker>
            <c:spPr>
              <a:solidFill>
                <a:srgbClr val="FFCC66"/>
              </a:solidFill>
              <a:ln>
                <a:solidFill>
                  <a:srgbClr val="FFCC66"/>
                </a:solidFill>
              </a:ln>
            </c:spPr>
          </c:marker>
          <c:dLbls>
            <c:dLbl>
              <c:idx val="0"/>
              <c:layout>
                <c:manualLayout>
                  <c:x val="-3.5562363851244227E-2"/>
                  <c:y val="3.12577678648270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X13S1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C61-4C35-8F7C-90276D5039A0}"/>
                </c:ext>
              </c:extLst>
            </c:dLbl>
            <c:dLbl>
              <c:idx val="1"/>
              <c:layout>
                <c:manualLayout>
                  <c:x val="-3.9636314751129845E-2"/>
                  <c:y val="2.37033644748632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X13S1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C61-4C35-8F7C-90276D5039A0}"/>
                </c:ext>
              </c:extLst>
            </c:dLbl>
            <c:dLbl>
              <c:idx val="2"/>
              <c:layout>
                <c:manualLayout>
                  <c:x val="-6.2757112678666288E-3"/>
                  <c:y val="-1.6330968814793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S30A1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C61-4C35-8F7C-90276D5039A0}"/>
                </c:ext>
              </c:extLst>
            </c:dLbl>
            <c:dLbl>
              <c:idx val="3"/>
              <c:layout>
                <c:manualLayout>
                  <c:x val="-8.1584246482266171E-2"/>
                  <c:y val="-6.53238752591737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S30J1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C61-4C35-8F7C-90276D5039A0}"/>
                </c:ext>
              </c:extLst>
            </c:dLbl>
            <c:dLbl>
              <c:idx val="4"/>
              <c:layout>
                <c:manualLayout>
                  <c:x val="-1.0459518779777714E-2"/>
                  <c:y val="6.532387525917376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S30L1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C61-4C35-8F7C-90276D5039A0}"/>
                </c:ext>
              </c:extLst>
            </c:dLbl>
            <c:dLbl>
              <c:idx val="5"/>
              <c:layout>
                <c:manualLayout>
                  <c:x val="-4.1838075119110855E-2"/>
                  <c:y val="-3.2661937629586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SA301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C61-4C35-8F7C-90276D5039A0}"/>
                </c:ext>
              </c:extLst>
            </c:dLbl>
            <c:dLbl>
              <c:idx val="6"/>
              <c:layout>
                <c:manualLayout>
                  <c:x val="-1.46433262916888E-2"/>
                  <c:y val="1.63309688147934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SJ301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C61-4C35-8F7C-90276D5039A0}"/>
                </c:ext>
              </c:extLst>
            </c:dLbl>
            <c:dLbl>
              <c:idx val="7"/>
              <c:layout>
                <c:manualLayout>
                  <c:x val="-3.5562363851244227E-2"/>
                  <c:y val="2.93957438666280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C61-4C35-8F7C-90276D5039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datos'!$J$37:$J$37</c:f>
              <c:numCache>
                <c:formatCode>0.00</c:formatCode>
                <c:ptCount val="1"/>
                <c:pt idx="0">
                  <c:v>0.18630136986301371</c:v>
                </c:pt>
              </c:numCache>
            </c:numRef>
          </c:xVal>
          <c:yVal>
            <c:numRef>
              <c:f>'Planilla de datos'!$I$37:$I$37</c:f>
              <c:numCache>
                <c:formatCode>0.00%</c:formatCode>
                <c:ptCount val="1"/>
                <c:pt idx="0">
                  <c:v>0.43629648693281164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1-4C35-8F7C-90276D5039A0}"/>
            </c:ext>
          </c:extLst>
        </c:ser>
        <c:ser>
          <c:idx val="4"/>
          <c:order val="3"/>
          <c:tx>
            <c:v>Ledes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1.2551422535733258E-2"/>
                  <c:y val="2.137139444862993E-2"/>
                </c:manualLayout>
              </c:layout>
              <c:tx>
                <c:rich>
                  <a:bodyPr/>
                  <a:lstStyle/>
                  <a:p>
                    <a:fld id="{BEABD882-A0D6-47EB-92B8-0C503ADE5965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D4-4189-9D42-B8BA06BBB3C0}"/>
                </c:ext>
              </c:extLst>
            </c:dLbl>
            <c:dLbl>
              <c:idx val="1"/>
              <c:layout>
                <c:manualLayout>
                  <c:x val="-3.9746171363155315E-2"/>
                  <c:y val="2.4424450798434336E-2"/>
                </c:manualLayout>
              </c:layout>
              <c:tx>
                <c:rich>
                  <a:bodyPr/>
                  <a:lstStyle/>
                  <a:p>
                    <a:fld id="{9E9DDD7E-6A1E-4716-B6F0-2A305C00A090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9D4-4189-9D42-B8BA06BBB3C0}"/>
                </c:ext>
              </c:extLst>
            </c:dLbl>
            <c:dLbl>
              <c:idx val="2"/>
              <c:layout>
                <c:manualLayout>
                  <c:x val="-7.3215807874288117E-3"/>
                  <c:y val="3.053176548873181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fld id="{1D6F61C9-4D3B-4DE5-B83C-6B2EFEE051B9}" type="CELLRANGE">
                      <a:rPr lang="en-US"/>
                      <a:pPr>
                        <a:defRPr sz="80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s-AR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258469533563103E-2"/>
                      <c:h val="4.33382550845408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9D4-4189-9D42-B8BA06BBB3C0}"/>
                </c:ext>
              </c:extLst>
            </c:dLbl>
            <c:dLbl>
              <c:idx val="3"/>
              <c:layout>
                <c:manualLayout>
                  <c:x val="-2.0919037559555428E-2"/>
                  <c:y val="2.4424450798434222E-2"/>
                </c:manualLayout>
              </c:layout>
              <c:tx>
                <c:rich>
                  <a:bodyPr/>
                  <a:lstStyle/>
                  <a:p>
                    <a:fld id="{4B120036-D706-4F88-9D63-7356A336D661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D4-4189-9D42-B8BA06BBB3C0}"/>
                </c:ext>
              </c:extLst>
            </c:dLbl>
            <c:dLbl>
              <c:idx val="4"/>
              <c:layout>
                <c:manualLayout>
                  <c:x val="-1.8827133803599887E-2"/>
                  <c:y val="2.1371394448630045E-2"/>
                </c:manualLayout>
              </c:layout>
              <c:tx>
                <c:rich>
                  <a:bodyPr/>
                  <a:lstStyle/>
                  <a:p>
                    <a:fld id="{0F1FACF9-FB9A-4D66-9342-30F28F53BA13}" type="CELLRANGE">
                      <a:rPr lang="en-US"/>
                      <a:pPr/>
                      <a:t>[CELLRANGE]</a:t>
                    </a:fld>
                    <a:endParaRPr lang="es-A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5C-4FCA-85F6-6DC924883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'Planilla de datos'!$J$43:$J$47</c:f>
              <c:numCache>
                <c:formatCode>0.00</c:formatCode>
                <c:ptCount val="5"/>
                <c:pt idx="0">
                  <c:v>6.8493150684931503E-2</c:v>
                </c:pt>
                <c:pt idx="1">
                  <c:v>0.15616438356164383</c:v>
                </c:pt>
                <c:pt idx="2">
                  <c:v>0.23287671232876711</c:v>
                </c:pt>
                <c:pt idx="3">
                  <c:v>0.31780821917808222</c:v>
                </c:pt>
                <c:pt idx="4">
                  <c:v>0.4</c:v>
                </c:pt>
              </c:numCache>
            </c:numRef>
          </c:xVal>
          <c:yVal>
            <c:numRef>
              <c:f>'Planilla de datos'!$I$43:$I$47</c:f>
              <c:numCache>
                <c:formatCode>0.00%</c:formatCode>
                <c:ptCount val="5"/>
                <c:pt idx="0">
                  <c:v>0.41933194005153318</c:v>
                </c:pt>
                <c:pt idx="1">
                  <c:v>0.42204005737458794</c:v>
                </c:pt>
                <c:pt idx="2">
                  <c:v>0.41858105083732777</c:v>
                </c:pt>
                <c:pt idx="3">
                  <c:v>0.44140628489004374</c:v>
                </c:pt>
                <c:pt idx="4">
                  <c:v>0.43700980472577222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datos'!$B$43:$B$47</c15:f>
                <c15:dlblRangeCache>
                  <c:ptCount val="5"/>
                  <c:pt idx="0">
                    <c:v>S30L1</c:v>
                  </c:pt>
                  <c:pt idx="1">
                    <c:v>S31G1</c:v>
                  </c:pt>
                  <c:pt idx="2">
                    <c:v>S30S1</c:v>
                  </c:pt>
                  <c:pt idx="3">
                    <c:v>S29O1</c:v>
                  </c:pt>
                  <c:pt idx="4">
                    <c:v>S30N1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9D4-4189-9D42-B8BA06BBB3C0}"/>
            </c:ext>
          </c:extLst>
        </c:ser>
        <c:ser>
          <c:idx val="3"/>
          <c:order val="5"/>
          <c:tx>
            <c:v>Boli</c:v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dLbl>
              <c:idx val="0"/>
              <c:layout>
                <c:manualLayout>
                  <c:x val="-5.6481401410799659E-2"/>
                  <c:y val="2.411145242304495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T2V1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B6-49DB-B355-B6285713C4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'Planilla de datos'!$Z$45</c:f>
              <c:numCache>
                <c:formatCode>_(* #,##0.00_);_(* \(#,##0.00\);_(* "-"??_);_(@_)</c:formatCode>
                <c:ptCount val="1"/>
                <c:pt idx="0">
                  <c:v>0.4</c:v>
                </c:pt>
              </c:numCache>
            </c:numRef>
          </c:xVal>
          <c:yVal>
            <c:numRef>
              <c:f>'Planilla de datos'!$Y$45</c:f>
              <c:numCache>
                <c:formatCode>0.00%</c:formatCode>
                <c:ptCount val="1"/>
                <c:pt idx="0">
                  <c:v>0.5541558691406252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6-49DB-B355-B6285713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24256"/>
        <c:axId val="141710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Provinciales</c:v>
                </c:tx>
                <c:spPr>
                  <a:ln w="28575">
                    <a:noFill/>
                  </a:ln>
                </c:spPr>
                <c:marker>
                  <c:symbol val="diamond"/>
                  <c:size val="6"/>
                  <c:spPr>
                    <a:solidFill>
                      <a:schemeClr val="accent4"/>
                    </a:solidFill>
                    <a:ln>
                      <a:solidFill>
                        <a:schemeClr val="accent4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'Planilla de datos'!$G$26:$G$27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0.42851042011354146</c:v>
                      </c:pt>
                      <c:pt idx="1">
                        <c:v>0.67958930149478336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'Planilla de datos'!$H$26:$H$27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0.46249353027343754</c:v>
                      </c:pt>
                      <c:pt idx="1">
                        <c:v>0.5163133691406252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F75E-4D10-AAB3-079A5B52E23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Lepase</c:v>
                </c:tx>
                <c:spPr>
                  <a:ln w="28575">
                    <a:noFill/>
                  </a:ln>
                </c:spPr>
                <c:marker>
                  <c:symbol val="circle"/>
                  <c:size val="6"/>
                  <c:spPr>
                    <a:solidFill>
                      <a:srgbClr val="0B991C"/>
                    </a:solidFill>
                    <a:ln>
                      <a:solidFill>
                        <a:srgbClr val="0B991C"/>
                      </a:solidFill>
                    </a:ln>
                  </c:spPr>
                </c:marker>
                <c:dLbls>
                  <c:dLbl>
                    <c:idx val="0"/>
                    <c:layout>
                      <c:manualLayout>
                        <c:x val="-4.1838082010547228E-2"/>
                        <c:y val="-3.203281146102929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SJ301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9-59D4-4189-9D42-B8BA06BBB3C0}"/>
                      </c:ext>
                    </c:extLst>
                  </c:dLbl>
                  <c:dLbl>
                    <c:idx val="1"/>
                    <c:layout>
                      <c:manualLayout>
                        <c:x val="-2.2996450022269719E-2"/>
                        <c:y val="2.240678922804792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SJ301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B-59D4-4189-9D42-B8BA06BBB3C0}"/>
                      </c:ext>
                    </c:extLst>
                  </c:dLbl>
                  <c:dLbl>
                    <c:idx val="2"/>
                    <c:layout>
                      <c:manualLayout>
                        <c:x val="-4.602189021160194E-2"/>
                        <c:y val="-2.636831014052238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SL301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59D4-4189-9D42-B8BA06BBB3C0}"/>
                      </c:ext>
                    </c:extLst>
                  </c:dLbl>
                  <c:dLbl>
                    <c:idx val="3"/>
                    <c:layout>
                      <c:manualLayout>
                        <c:x val="-1.2566002045124513E-2"/>
                        <c:y val="-4.3757269038691678E-3"/>
                      </c:manualLayout>
                    </c:layout>
                    <c:tx>
                      <c:rich>
                        <a:bodyPr wrap="square" lIns="38100" tIns="19050" rIns="38100" bIns="19050" anchor="ctr">
                          <a:noAutofit/>
                        </a:bodyPr>
                        <a:lstStyle/>
                        <a:p>
                          <a:pPr>
                            <a:defRPr/>
                          </a:pPr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SG301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>
                          <c:manualLayout>
                            <c:w val="6.8844563948355322E-2"/>
                            <c:h val="4.6279311425661405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2A5C-4FCA-85F6-6DC924883048}"/>
                      </c:ext>
                    </c:extLst>
                  </c:dLbl>
                  <c:dLbl>
                    <c:idx val="4"/>
                    <c:layout>
                      <c:manualLayout>
                        <c:x val="-1.0459520502636941E-2"/>
                        <c:y val="9.1002715056567526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sz="80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SS301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E5B9-4959-8102-D83354ACD2C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'Planilla de datos'!$J$49:$J$51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6.3013698630136991E-2</c:v>
                      </c:pt>
                      <c:pt idx="1">
                        <c:v>0.15068493150684931</c:v>
                      </c:pt>
                      <c:pt idx="2">
                        <c:v>0.23287671232876711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'Planilla de datos'!$I$49:$I$51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0.69839019967331306</c:v>
                      </c:pt>
                      <c:pt idx="1">
                        <c:v>0.56964060429321828</c:v>
                      </c:pt>
                      <c:pt idx="2">
                        <c:v>0.51512073662388014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D4-4189-9D42-B8BA06BBB3C0}"/>
                  </c:ext>
                </c:extLst>
              </c15:ser>
            </c15:filteredScatterSeries>
          </c:ext>
        </c:extLst>
      </c:scatterChart>
      <c:valAx>
        <c:axId val="137424256"/>
        <c:scaling>
          <c:orientation val="minMax"/>
          <c:max val="0.5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50958923740225082"/>
              <c:y val="0.850022332986999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710848"/>
        <c:crosses val="autoZero"/>
        <c:crossBetween val="midCat"/>
        <c:majorUnit val="0.1"/>
      </c:valAx>
      <c:valAx>
        <c:axId val="141710848"/>
        <c:scaling>
          <c:orientation val="minMax"/>
          <c:max val="0.45"/>
          <c:min val="0.4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TEA</a:t>
                </a:r>
              </a:p>
            </c:rich>
          </c:tx>
          <c:layout>
            <c:manualLayout>
              <c:xMode val="edge"/>
              <c:yMode val="edge"/>
              <c:x val="3.9759836887341873E-2"/>
              <c:y val="0.455331217502869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37424256"/>
        <c:crossesAt val="0"/>
        <c:crossBetween val="midCat"/>
        <c:majorUnit val="1.0000000000000002E-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10615060883458724"/>
          <c:y val="0.8989563355246426"/>
          <c:w val="0.39882095692243064"/>
          <c:h val="4.1454976073173347E-2"/>
        </c:manualLayout>
      </c:layout>
      <c:overlay val="0"/>
      <c:spPr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800">
              <a:latin typeface="Arial Nova Light" panose="020B03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Parte corta y media de la 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958046750837138"/>
          <c:y val="6.42190238220506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526612191949596E-2"/>
          <c:y val="0.1882917738729411"/>
          <c:w val="0.84915975723174175"/>
          <c:h val="0.68143234014181076"/>
        </c:manualLayout>
      </c:layout>
      <c:scatterChart>
        <c:scatterStyle val="lineMarker"/>
        <c:varyColors val="0"/>
        <c:ser>
          <c:idx val="0"/>
          <c:order val="0"/>
          <c:tx>
            <c:v>09.04.2021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7"/>
            <c:marker>
              <c:spPr>
                <a:solidFill>
                  <a:schemeClr val="tx2">
                    <a:lumMod val="5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596-4C9E-9ED5-7ABC55A92E3F}"/>
              </c:ext>
            </c:extLst>
          </c:dPt>
          <c:dLbls>
            <c:dLbl>
              <c:idx val="0"/>
              <c:layout>
                <c:manualLayout>
                  <c:x val="-3.8444068868036842E-2"/>
                  <c:y val="2.9944898160842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596-4C9E-9ED5-7ABC55A92E3F}"/>
                </c:ext>
              </c:extLst>
            </c:dLbl>
            <c:dLbl>
              <c:idx val="1"/>
              <c:layout>
                <c:manualLayout>
                  <c:x val="-5.3158105376938609E-2"/>
                  <c:y val="-3.10110972862769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596-4C9E-9ED5-7ABC55A92E3F}"/>
                </c:ext>
              </c:extLst>
            </c:dLbl>
            <c:dLbl>
              <c:idx val="2"/>
              <c:layout>
                <c:manualLayout>
                  <c:x val="-5.256715979915217E-2"/>
                  <c:y val="2.95695246238413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596-4C9E-9ED5-7ABC55A92E3F}"/>
                </c:ext>
              </c:extLst>
            </c:dLbl>
            <c:dLbl>
              <c:idx val="3"/>
              <c:layout>
                <c:manualLayout>
                  <c:x val="-9.6895966756988493E-3"/>
                  <c:y val="-8.013634442639437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T2X2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827266356103385E-2"/>
                      <c:h val="5.24877643495393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3596-4C9E-9ED5-7ABC55A92E3F}"/>
                </c:ext>
              </c:extLst>
            </c:dLbl>
            <c:dLbl>
              <c:idx val="4"/>
              <c:layout>
                <c:manualLayout>
                  <c:x val="-4.5856921049074781E-2"/>
                  <c:y val="3.02348213962776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TC23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596-4C9E-9ED5-7ABC55A92E3F}"/>
                </c:ext>
              </c:extLst>
            </c:dLbl>
            <c:dLbl>
              <c:idx val="5"/>
              <c:layout>
                <c:manualLayout>
                  <c:x val="-7.8980901992263194E-3"/>
                  <c:y val="-4.007336994540746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TX23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345384837366534E-2"/>
                      <c:h val="4.87029159004830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3596-4C9E-9ED5-7ABC55A92E3F}"/>
                </c:ext>
              </c:extLst>
            </c:dLbl>
            <c:dLbl>
              <c:idx val="6"/>
              <c:layout>
                <c:manualLayout>
                  <c:x val="-1.1712678087874793E-2"/>
                  <c:y val="-2.313488849130946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T2X3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771983345013816E-2"/>
                      <c:h val="5.91436585927266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3596-4C9E-9ED5-7ABC55A92E3F}"/>
                </c:ext>
              </c:extLst>
            </c:dLbl>
            <c:dLbl>
              <c:idx val="7"/>
              <c:layout>
                <c:manualLayout>
                  <c:x val="-1.0263450235142347E-2"/>
                  <c:y val="1.9428389359441864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596-4C9E-9ED5-7ABC55A92E3F}"/>
                </c:ext>
              </c:extLst>
            </c:dLbl>
            <c:dLbl>
              <c:idx val="8"/>
              <c:layout>
                <c:manualLayout>
                  <c:x val="-5.3742837119182089E-3"/>
                  <c:y val="-9.18181532716698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596-4C9E-9ED5-7ABC55A92E3F}"/>
                </c:ext>
              </c:extLst>
            </c:dLbl>
            <c:dLbl>
              <c:idx val="9"/>
              <c:layout>
                <c:manualLayout>
                  <c:x val="-2.4653485895366627E-2"/>
                  <c:y val="2.55347988124746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596-4C9E-9ED5-7ABC55A92E3F}"/>
                </c:ext>
              </c:extLst>
            </c:dLbl>
            <c:dLbl>
              <c:idx val="10"/>
              <c:layout>
                <c:manualLayout>
                  <c:x val="-9.1838144198992232E-3"/>
                  <c:y val="-1.58167781766547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596-4C9E-9ED5-7ABC55A92E3F}"/>
                </c:ext>
              </c:extLst>
            </c:dLbl>
            <c:dLbl>
              <c:idx val="11"/>
              <c:layout>
                <c:manualLayout>
                  <c:x val="-9.8373651716435039E-3"/>
                  <c:y val="2.79332692585005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596-4C9E-9ED5-7ABC55A92E3F}"/>
                </c:ext>
              </c:extLst>
            </c:dLbl>
            <c:dLbl>
              <c:idx val="12"/>
              <c:layout>
                <c:manualLayout>
                  <c:x val="-4.6478661914875874E-2"/>
                  <c:y val="2.82028336200824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596-4C9E-9ED5-7ABC55A92E3F}"/>
                </c:ext>
              </c:extLst>
            </c:dLbl>
            <c:dLbl>
              <c:idx val="13"/>
              <c:layout>
                <c:manualLayout>
                  <c:x val="-1.3620188706471706E-2"/>
                  <c:y val="-1.8099834878706073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CUAP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596-4C9E-9ED5-7ABC55A92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datos'!$F$69:$F$76</c:f>
              <c:numCache>
                <c:formatCode>0.00</c:formatCode>
                <c:ptCount val="8"/>
                <c:pt idx="0">
                  <c:v>4.1666666666666623E-2</c:v>
                </c:pt>
                <c:pt idx="1">
                  <c:v>7.7777777777777724E-2</c:v>
                </c:pt>
                <c:pt idx="2">
                  <c:v>0.69425779534475174</c:v>
                </c:pt>
                <c:pt idx="3" formatCode="#,##0.00">
                  <c:v>1.1932142662525203</c:v>
                </c:pt>
                <c:pt idx="4">
                  <c:v>1.6083333333333332</c:v>
                </c:pt>
                <c:pt idx="5">
                  <c:v>1.662007405906285</c:v>
                </c:pt>
                <c:pt idx="6">
                  <c:v>2.0239757381520938</c:v>
                </c:pt>
                <c:pt idx="7">
                  <c:v>2.5917870041663953</c:v>
                </c:pt>
              </c:numCache>
            </c:numRef>
          </c:xVal>
          <c:yVal>
            <c:numRef>
              <c:f>'Planilla de datos'!$E$69:$E$76</c:f>
              <c:numCache>
                <c:formatCode>0.00%</c:formatCode>
                <c:ptCount val="8"/>
                <c:pt idx="0">
                  <c:v>-2.724795131947845E-2</c:v>
                </c:pt>
                <c:pt idx="1">
                  <c:v>-6.9670180949196209E-3</c:v>
                </c:pt>
                <c:pt idx="2">
                  <c:v>2.4951860351562501E-2</c:v>
                </c:pt>
                <c:pt idx="3">
                  <c:v>2.5866645507812508E-2</c:v>
                </c:pt>
                <c:pt idx="4">
                  <c:v>3.9441540837287917E-2</c:v>
                </c:pt>
                <c:pt idx="5">
                  <c:v>4.0047280273437499E-2</c:v>
                </c:pt>
                <c:pt idx="6">
                  <c:v>4.11685205078125E-2</c:v>
                </c:pt>
                <c:pt idx="7">
                  <c:v>5.3621752929687502E-2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596-4C9E-9ED5-7ABC55A92E3F}"/>
            </c:ext>
          </c:extLst>
        </c:ser>
        <c:ser>
          <c:idx val="1"/>
          <c:order val="1"/>
          <c:tx>
            <c:v>26.02.2021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>
                <a:solidFill>
                  <a:srgbClr val="FFC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datos'!$AC$91:$AC$97</c:f>
              <c:numCache>
                <c:formatCode>General</c:formatCode>
                <c:ptCount val="7"/>
                <c:pt idx="0">
                  <c:v>0.4</c:v>
                </c:pt>
                <c:pt idx="1">
                  <c:v>0.44</c:v>
                </c:pt>
                <c:pt idx="2">
                  <c:v>1.05</c:v>
                </c:pt>
                <c:pt idx="3">
                  <c:v>1.55</c:v>
                </c:pt>
                <c:pt idx="4">
                  <c:v>1.91</c:v>
                </c:pt>
                <c:pt idx="5">
                  <c:v>2.02</c:v>
                </c:pt>
                <c:pt idx="6">
                  <c:v>2.93</c:v>
                </c:pt>
              </c:numCache>
            </c:numRef>
          </c:xVal>
          <c:yVal>
            <c:numRef>
              <c:f>'Planilla de datos'!$AB$91:$AB$97</c:f>
              <c:numCache>
                <c:formatCode>0.00%</c:formatCode>
                <c:ptCount val="7"/>
                <c:pt idx="0">
                  <c:v>-4.1099999999999998E-2</c:v>
                </c:pt>
                <c:pt idx="1">
                  <c:v>-4.58E-2</c:v>
                </c:pt>
                <c:pt idx="2">
                  <c:v>1E-3</c:v>
                </c:pt>
                <c:pt idx="3">
                  <c:v>8.0999999999999996E-3</c:v>
                </c:pt>
                <c:pt idx="4">
                  <c:v>2.23E-2</c:v>
                </c:pt>
                <c:pt idx="5">
                  <c:v>4.8899999999999999E-2</c:v>
                </c:pt>
                <c:pt idx="6">
                  <c:v>3.1399999999999997E-2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96-4C9E-9ED5-7ABC55A9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6533002228236209"/>
              <c:y val="0.9254327597597554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0.12000000000000001"/>
        <c:crossBetween val="midCat"/>
        <c:majorUnit val="1"/>
      </c:valAx>
      <c:valAx>
        <c:axId val="141047296"/>
        <c:scaling>
          <c:orientation val="minMax"/>
          <c:max val="6.0000000000000012E-2"/>
          <c:min val="-8.0000000000000016E-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2.434460463504113E-3"/>
              <c:y val="0.492931299405870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2.0000000000000004E-2"/>
      </c:valAx>
      <c:spPr>
        <a:ln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4997788555780546E-2"/>
          <c:y val="0.93018191361311375"/>
          <c:w val="0.25696420861237879"/>
          <c:h val="5.2862641918048729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200" b="1" i="0" baseline="0">
                <a:effectLst/>
                <a:latin typeface="Arial Nova" panose="020B0504020202020204" pitchFamily="34" charset="0"/>
                <a:cs typeface="Arial" pitchFamily="34" charset="0"/>
              </a:rPr>
              <a:t>Parte corta y media de la curva de bonos ajustables por CER</a:t>
            </a:r>
            <a:endParaRPr lang="es-AR" sz="1200">
              <a:effectLst/>
              <a:latin typeface="Arial Nova" panose="020B0504020202020204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041387795275588"/>
          <c:y val="6.42191236540352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526612191949596E-2"/>
          <c:y val="0.1882917738729411"/>
          <c:w val="0.89020259186351702"/>
          <c:h val="0.699236489212535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marker>
          <c:dPt>
            <c:idx val="7"/>
            <c:marker>
              <c:spPr>
                <a:solidFill>
                  <a:schemeClr val="tx2">
                    <a:lumMod val="50000"/>
                  </a:schemeClr>
                </a:solidFill>
                <a:ln>
                  <a:solidFill>
                    <a:schemeClr val="accent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4CB-4EDA-96DF-0E85ED9EB969}"/>
              </c:ext>
            </c:extLst>
          </c:dPt>
          <c:dLbls>
            <c:dLbl>
              <c:idx val="0"/>
              <c:layout>
                <c:manualLayout>
                  <c:x val="-4.2386635196311091E-2"/>
                  <c:y val="-5.420445729427413E-2"/>
                </c:manualLayout>
              </c:layout>
              <c:tx>
                <c:rich>
                  <a:bodyPr/>
                  <a:lstStyle/>
                  <a:p>
                    <a:fld id="{A973E4BE-84BD-47E4-964B-9770DBA621E7}" type="CELLRANGE">
                      <a:rPr lang="en-US"/>
                      <a:pPr/>
                      <a:t>[CELLRANGE]</a:t>
                    </a:fld>
                    <a:br>
                      <a:rPr lang="en-US"/>
                    </a:br>
                    <a:r>
                      <a:rPr lang="en-US" baseline="0"/>
                      <a:t> </a:t>
                    </a:r>
                    <a:fld id="{64EEE711-0804-42CD-8583-67F09CFE485C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CB-4EDA-96DF-0E85ED9EB969}"/>
                </c:ext>
              </c:extLst>
            </c:dLbl>
            <c:dLbl>
              <c:idx val="1"/>
              <c:layout>
                <c:manualLayout>
                  <c:x val="-3.5299318983748773E-2"/>
                  <c:y val="5.3138258168839735E-2"/>
                </c:manualLayout>
              </c:layout>
              <c:tx>
                <c:rich>
                  <a:bodyPr/>
                  <a:lstStyle/>
                  <a:p>
                    <a:fld id="{9FE73B38-761C-4DEB-B719-092CBF41007E}" type="CELLRANGE">
                      <a:rPr lang="en-US"/>
                      <a:pPr/>
                      <a:t>[CELLRANGE]</a:t>
                    </a:fld>
                    <a:br>
                      <a:rPr lang="en-US" baseline="0"/>
                    </a:br>
                    <a:fld id="{EEB62025-6EB3-4A7D-8987-170E6F9B3EAE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4CB-4EDA-96DF-0E85ED9EB969}"/>
                </c:ext>
              </c:extLst>
            </c:dLbl>
            <c:dLbl>
              <c:idx val="2"/>
              <c:layout>
                <c:manualLayout>
                  <c:x val="-3.8224947128680659E-2"/>
                  <c:y val="5.3350864208983093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BEE55273-2E85-472B-A17B-B19A2F9FF9C2}" type="CELLRANGE">
                      <a:rPr lang="en-US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br>
                      <a:rPr lang="en-US" baseline="0"/>
                    </a:br>
                    <a:r>
                      <a:rPr lang="en-US" baseline="0"/>
                      <a:t> </a:t>
                    </a:r>
                    <a:fld id="{6C6E036F-48BB-4C71-B50A-82A1D6D53171}" type="YVALUE">
                      <a:rPr lang="en-US" baseline="0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098476934843815E-2"/>
                      <c:h val="8.66191001463755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4CB-4EDA-96DF-0E85ED9EB969}"/>
                </c:ext>
              </c:extLst>
            </c:dLbl>
            <c:dLbl>
              <c:idx val="3"/>
              <c:layout>
                <c:manualLayout>
                  <c:x val="-9.1616652782686256E-2"/>
                  <c:y val="-4.277097691323116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0E7A1288-7B0D-4551-8FDF-A55DFE33C474}" type="CELLRANGE"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 </a:t>
                    </a:r>
                    <a:fld id="{4A6F5153-18DB-4317-BD08-F9A441CE4F55}" type="YVALUE"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sz="800" baseline="0">
                      <a:latin typeface="Arial Nova" panose="020B05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769778576846673E-2"/>
                      <c:h val="9.273310826285596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CB-4EDA-96DF-0E85ED9EB969}"/>
                </c:ext>
              </c:extLst>
            </c:dLbl>
            <c:dLbl>
              <c:idx val="4"/>
              <c:layout>
                <c:manualLayout>
                  <c:x val="-5.5681422953725718E-2"/>
                  <c:y val="-4.6597309467681147E-2"/>
                </c:manualLayout>
              </c:layout>
              <c:tx>
                <c:rich>
                  <a:bodyPr/>
                  <a:lstStyle/>
                  <a:p>
                    <a:fld id="{3C71C457-CCBE-46CF-8C3D-27E16C56F40E}" type="CELLRANGE">
                      <a:rPr lang="en-US"/>
                      <a:pPr/>
                      <a:t>[CELLRANGE]</a:t>
                    </a:fld>
                    <a:br>
                      <a:rPr lang="en-US"/>
                    </a:br>
                    <a:r>
                      <a:rPr lang="en-US" baseline="0"/>
                      <a:t> </a:t>
                    </a:r>
                    <a:fld id="{E55B3EF1-F148-4BB1-809D-CB161BB17DA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CB-4EDA-96DF-0E85ED9EB969}"/>
                </c:ext>
              </c:extLst>
            </c:dLbl>
            <c:dLbl>
              <c:idx val="5"/>
              <c:layout>
                <c:manualLayout>
                  <c:x val="-4.2563428052933026E-2"/>
                  <c:y val="-5.425285541723359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8D677465-1FA9-41CC-98E4-D5E29C237ACA}" type="CELLRANGE">
                      <a:rPr lang="en-US" sz="80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t> </a:t>
                    </a:r>
                    <a:fld id="{B2ED454A-1768-4056-BD13-81310F00E222}" type="YVALUE">
                      <a:rPr lang="en-US" sz="800" baseline="0">
                        <a:latin typeface="Arial Nova" panose="020B0504020202020204" pitchFamily="34" charset="0"/>
                        <a:cs typeface="Arial" panose="020B0604020202020204" pitchFamily="34" charset="0"/>
                      </a:rPr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sz="800" baseline="0">
                      <a:latin typeface="Arial Nova" panose="020B05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929786689858047E-2"/>
                      <c:h val="8.894825981379975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CB-4EDA-96DF-0E85ED9EB969}"/>
                </c:ext>
              </c:extLst>
            </c:dLbl>
            <c:dLbl>
              <c:idx val="6"/>
              <c:layout>
                <c:manualLayout>
                  <c:x val="-2.3129273881848812E-2"/>
                  <c:y val="4.0020494300400812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00">
                        <a:latin typeface="Arial Nova" panose="020B0504020202020204" pitchFamily="34" charset="0"/>
                        <a:cs typeface="Arial" panose="020B0604020202020204" pitchFamily="34" charset="0"/>
                      </a:defRPr>
                    </a:pPr>
                    <a:fld id="{431BE3BE-22B6-4514-BF0F-1FCFB93301F9}" type="CELLRANGE">
                      <a:rPr lang="en-US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 baseline="0"/>
                      <a:t> </a:t>
                    </a:r>
                    <a:fld id="{8989BA14-A172-435F-9CB9-13E633490911}" type="YVALUE">
                      <a:rPr lang="en-US" baseline="0"/>
                      <a:pPr>
                        <a:defRPr sz="800">
                          <a:latin typeface="Arial Nova" panose="020B0504020202020204" pitchFamily="34" charset="0"/>
                          <a:cs typeface="Arial" panose="020B0604020202020204" pitchFamily="34" charset="0"/>
                        </a:defRPr>
                      </a:pPr>
                      <a:t>[VALOR DE Y]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582784894106589E-2"/>
                      <c:h val="9.20716672490766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CB-4EDA-96DF-0E85ED9EB969}"/>
                </c:ext>
              </c:extLst>
            </c:dLbl>
            <c:dLbl>
              <c:idx val="7"/>
              <c:layout>
                <c:manualLayout>
                  <c:x val="-5.9859063574606144E-2"/>
                  <c:y val="-4.9317975379759647E-2"/>
                </c:manualLayout>
              </c:layout>
              <c:tx>
                <c:rich>
                  <a:bodyPr/>
                  <a:lstStyle/>
                  <a:p>
                    <a:fld id="{2D72C0D1-9B6C-4274-A1CF-430FB54FC88D}" type="CELLRANG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[CELLRANGE]</a:t>
                    </a:fld>
                    <a:br>
                      <a:rPr lang="en-US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83A1E7D5-435D-4E07-AB54-0268D68CADB8}" type="Y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[VALOR DE Y]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4CB-4EDA-96DF-0E85ED9EB969}"/>
                </c:ext>
              </c:extLst>
            </c:dLbl>
            <c:dLbl>
              <c:idx val="8"/>
              <c:layout>
                <c:manualLayout>
                  <c:x val="-1.2716463876407331E-2"/>
                  <c:y val="-2.04047062565233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TX28</a:t>
                    </a:r>
                    <a:br>
                      <a:rPr lang="en-US"/>
                    </a:br>
                    <a:fld id="{BA6DF351-8691-4EB8-BFE1-A29CABACB2B6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4CB-4EDA-96DF-0E85ED9EB969}"/>
                </c:ext>
              </c:extLst>
            </c:dLbl>
            <c:dLbl>
              <c:idx val="9"/>
              <c:layout>
                <c:manualLayout>
                  <c:x val="-3.3380279418611825E-2"/>
                  <c:y val="5.11455806896098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DICP</a:t>
                    </a:r>
                    <a:br>
                      <a:rPr lang="en-US"/>
                    </a:br>
                    <a:fld id="{CF728FE6-1E76-46DC-9044-8D54017FAE54}" type="YVALUE">
                      <a:rPr lang="en-US"/>
                      <a:pPr/>
                      <a:t>[VALOR DE Y]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CB-4EDA-96DF-0E85ED9EB969}"/>
                </c:ext>
              </c:extLst>
            </c:dLbl>
            <c:dLbl>
              <c:idx val="10"/>
              <c:layout>
                <c:manualLayout>
                  <c:x val="-9.1838144198992232E-3"/>
                  <c:y val="-1.5816778176654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A-F4CB-4EDA-96DF-0E85ED9EB969}"/>
                </c:ext>
              </c:extLst>
            </c:dLbl>
            <c:dLbl>
              <c:idx val="11"/>
              <c:layout>
                <c:manualLayout>
                  <c:x val="-9.8373651716435039E-3"/>
                  <c:y val="2.79332692585005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B-F4CB-4EDA-96DF-0E85ED9EB969}"/>
                </c:ext>
              </c:extLst>
            </c:dLbl>
            <c:dLbl>
              <c:idx val="12"/>
              <c:layout>
                <c:manualLayout>
                  <c:x val="-4.6478661914875874E-2"/>
                  <c:y val="2.8202833620082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C-F4CB-4EDA-96DF-0E85ED9EB969}"/>
                </c:ext>
              </c:extLst>
            </c:dLbl>
            <c:dLbl>
              <c:idx val="13"/>
              <c:layout>
                <c:manualLayout>
                  <c:x val="-1.3620188706471706E-2"/>
                  <c:y val="-1.809983487870607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D-F4CB-4EDA-96DF-0E85ED9EB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ova" panose="020B0504020202020204" pitchFamily="34" charset="0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trendline>
            <c:spPr>
              <a:ln w="12700">
                <a:solidFill>
                  <a:schemeClr val="tx2">
                    <a:lumMod val="50000"/>
                  </a:schemeClr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'Planilla de datos'!$F$71:$F$80</c:f>
              <c:numCache>
                <c:formatCode>#,##0.00</c:formatCode>
                <c:ptCount val="10"/>
                <c:pt idx="0" formatCode="0.00">
                  <c:v>0.69425779534475174</c:v>
                </c:pt>
                <c:pt idx="1">
                  <c:v>1.1932142662525203</c:v>
                </c:pt>
                <c:pt idx="2" formatCode="0.00">
                  <c:v>1.6083333333333332</c:v>
                </c:pt>
                <c:pt idx="3" formatCode="0.00">
                  <c:v>1.662007405906285</c:v>
                </c:pt>
                <c:pt idx="4" formatCode="0.00">
                  <c:v>2.0239757381520938</c:v>
                </c:pt>
                <c:pt idx="5" formatCode="0.00">
                  <c:v>2.5917870041663953</c:v>
                </c:pt>
                <c:pt idx="6" formatCode="0.00">
                  <c:v>3.4463314448936377</c:v>
                </c:pt>
                <c:pt idx="7" formatCode="0.00">
                  <c:v>3.9728324794626375</c:v>
                </c:pt>
                <c:pt idx="8" formatCode="0.00">
                  <c:v>4.4621243930737826</c:v>
                </c:pt>
                <c:pt idx="9" formatCode="0.00">
                  <c:v>5.646842021814459</c:v>
                </c:pt>
              </c:numCache>
            </c:numRef>
          </c:xVal>
          <c:yVal>
            <c:numRef>
              <c:f>'Planilla de datos'!$E$71:$E$80</c:f>
              <c:numCache>
                <c:formatCode>0.00%</c:formatCode>
                <c:ptCount val="10"/>
                <c:pt idx="0">
                  <c:v>2.4951860351562501E-2</c:v>
                </c:pt>
                <c:pt idx="1">
                  <c:v>2.5866645507812508E-2</c:v>
                </c:pt>
                <c:pt idx="2">
                  <c:v>3.9441540837287917E-2</c:v>
                </c:pt>
                <c:pt idx="3">
                  <c:v>4.0047280273437499E-2</c:v>
                </c:pt>
                <c:pt idx="4">
                  <c:v>4.11685205078125E-2</c:v>
                </c:pt>
                <c:pt idx="5">
                  <c:v>5.3621752929687502E-2</c:v>
                </c:pt>
                <c:pt idx="6">
                  <c:v>5.1355245709419253E-2</c:v>
                </c:pt>
                <c:pt idx="7">
                  <c:v>7.0981059570312532E-2</c:v>
                </c:pt>
                <c:pt idx="8">
                  <c:v>8.2448557019233717E-2</c:v>
                </c:pt>
                <c:pt idx="9">
                  <c:v>8.8107535243034357E-2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'Planilla de datos'!$B$71:$B$78</c15:f>
                <c15:dlblRangeCache>
                  <c:ptCount val="8"/>
                  <c:pt idx="0">
                    <c:v>TX22</c:v>
                  </c:pt>
                  <c:pt idx="1">
                    <c:v>T2X2</c:v>
                  </c:pt>
                  <c:pt idx="2">
                    <c:v>TC23</c:v>
                  </c:pt>
                  <c:pt idx="3">
                    <c:v>TX23</c:v>
                  </c:pt>
                  <c:pt idx="4">
                    <c:v>T2X3</c:v>
                  </c:pt>
                  <c:pt idx="5">
                    <c:v>TX24</c:v>
                  </c:pt>
                  <c:pt idx="6">
                    <c:v>TC25P</c:v>
                  </c:pt>
                  <c:pt idx="7">
                    <c:v>TX26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4CB-4EDA-96DF-0E85ED9E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592"/>
        <c:axId val="141047296"/>
      </c:scatterChart>
      <c:valAx>
        <c:axId val="141278592"/>
        <c:scaling>
          <c:orientation val="minMax"/>
          <c:max val="6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s-AR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MD</a:t>
                </a:r>
              </a:p>
            </c:rich>
          </c:tx>
          <c:layout>
            <c:manualLayout>
              <c:xMode val="edge"/>
              <c:yMode val="edge"/>
              <c:x val="0.46533002228236209"/>
              <c:y val="0.9254327597597554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>
                <a:solidFill>
                  <a:sysClr val="windowText" lastClr="000000"/>
                </a:solidFill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047296"/>
        <c:crossesAt val="-0.12000000000000001"/>
        <c:crossBetween val="midCat"/>
      </c:valAx>
      <c:valAx>
        <c:axId val="141047296"/>
        <c:scaling>
          <c:orientation val="minMax"/>
          <c:max val="0.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Arial Nova" panose="020B0504020202020204" pitchFamily="34" charset="0"/>
                  </a:defRPr>
                </a:pPr>
                <a:r>
                  <a:rPr lang="en-US" sz="800" b="0">
                    <a:latin typeface="Arial Nova" panose="020B0504020202020204" pitchFamily="34" charset="0"/>
                    <a:cs typeface="Arial" panose="020B0604020202020204" pitchFamily="34" charset="0"/>
                  </a:rPr>
                  <a:t>TIR</a:t>
                </a:r>
              </a:p>
            </c:rich>
          </c:tx>
          <c:layout>
            <c:manualLayout>
              <c:xMode val="edge"/>
              <c:yMode val="edge"/>
              <c:x val="1.2979257764472304E-2"/>
              <c:y val="0.492931425333363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0">
                <a:latin typeface="Arial Nova" panose="020B0504020202020204" pitchFamily="34" charset="0"/>
                <a:cs typeface="Arial" panose="020B0604020202020204" pitchFamily="34" charset="0"/>
              </a:defRPr>
            </a:pPr>
            <a:endParaRPr lang="es-AR"/>
          </a:p>
        </c:txPr>
        <c:crossAx val="141278592"/>
        <c:crossesAt val="0"/>
        <c:crossBetween val="midCat"/>
        <c:majorUnit val="1.0000000000000002E-2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22</xdr:row>
      <xdr:rowOff>0</xdr:rowOff>
    </xdr:from>
    <xdr:to>
      <xdr:col>30</xdr:col>
      <xdr:colOff>218095</xdr:colOff>
      <xdr:row>56</xdr:row>
      <xdr:rowOff>132524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37B630-DF5E-4F42-AE1A-EA932802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95500" y="4201583"/>
          <a:ext cx="7838095" cy="6609524"/>
        </a:xfrm>
        <a:prstGeom prst="rect">
          <a:avLst/>
        </a:prstGeom>
      </xdr:spPr>
    </xdr:pic>
    <xdr:clientData/>
  </xdr:twoCellAnchor>
  <xdr:twoCellAnchor editAs="oneCell">
    <xdr:from>
      <xdr:col>19</xdr:col>
      <xdr:colOff>730250</xdr:colOff>
      <xdr:row>56</xdr:row>
      <xdr:rowOff>127000</xdr:rowOff>
    </xdr:from>
    <xdr:to>
      <xdr:col>29</xdr:col>
      <xdr:colOff>472155</xdr:colOff>
      <xdr:row>97</xdr:row>
      <xdr:rowOff>30786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1AA355-74F5-4412-8D90-88E00EF38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0" y="10805583"/>
          <a:ext cx="7361905" cy="7714286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0.92781</cdr:x>
      <cdr:y>0.17274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298708" y="358510"/>
          <a:ext cx="4026965" cy="1422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Comparativo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 entre el cierre de febrero y las tasas actuales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ysClr val="windowText" lastClr="000000"/>
              </a:solidFill>
              <a:latin typeface="Bahnschrift SemiBold" panose="020B0502040204020203" pitchFamily="34" charset="0"/>
            </a:rPr>
            <a:t>Cuadro III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0.97222</cdr:x>
      <cdr:y>0.16769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390571" y="429319"/>
          <a:ext cx="5536095" cy="1527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Curva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laborada con precios BYMA T+2 </a:t>
          </a: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chemeClr val="bg1"/>
              </a:solidFill>
              <a:latin typeface="Bahnschrift SemiBold" panose="020B0502040204020203" pitchFamily="34" charset="0"/>
            </a:rPr>
            <a:t>Cuadro IX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0.12319</cdr:x>
      <cdr:y>0.12281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652358" y="435612"/>
          <a:ext cx="4290043" cy="19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Comparativo de tasas entre los instrumentos CER con Vto. 2022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0.08852</cdr:x>
      <cdr:y>0.11978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539750" y="464610"/>
          <a:ext cx="5150969" cy="2233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de 3% para Junio y 2.8% para el resto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0.08852</cdr:x>
      <cdr:y>0.11978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539750" y="464610"/>
          <a:ext cx="5150969" cy="2233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proyectada de 3% mensual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26</xdr:col>
      <xdr:colOff>437332</xdr:colOff>
      <xdr:row>36</xdr:row>
      <xdr:rowOff>146345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A353A6-C376-4211-B163-95C3395E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32917" y="582083"/>
          <a:ext cx="6533333" cy="61047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613833</xdr:colOff>
      <xdr:row>0</xdr:row>
      <xdr:rowOff>42333</xdr:rowOff>
    </xdr:from>
    <xdr:to>
      <xdr:col>29</xdr:col>
      <xdr:colOff>662515</xdr:colOff>
      <xdr:row>24</xdr:row>
      <xdr:rowOff>33867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0750" y="42333"/>
          <a:ext cx="6144682" cy="4790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220133</xdr:colOff>
      <xdr:row>25</xdr:row>
      <xdr:rowOff>1</xdr:rowOff>
    </xdr:from>
    <xdr:to>
      <xdr:col>14</xdr:col>
      <xdr:colOff>76623</xdr:colOff>
      <xdr:row>47</xdr:row>
      <xdr:rowOff>46567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D2801-A592-4664-BE89-F37CAE3E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133" y="4665134"/>
          <a:ext cx="10573173" cy="414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296333</xdr:colOff>
      <xdr:row>1</xdr:row>
      <xdr:rowOff>10584</xdr:rowOff>
    </xdr:from>
    <xdr:to>
      <xdr:col>45</xdr:col>
      <xdr:colOff>192639</xdr:colOff>
      <xdr:row>26</xdr:row>
      <xdr:rowOff>187743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34166" y="201084"/>
          <a:ext cx="8278306" cy="51195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126999</xdr:colOff>
      <xdr:row>1</xdr:row>
      <xdr:rowOff>52917</xdr:rowOff>
    </xdr:from>
    <xdr:to>
      <xdr:col>44</xdr:col>
      <xdr:colOff>364332</xdr:colOff>
      <xdr:row>29</xdr:row>
      <xdr:rowOff>70203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9666" y="243417"/>
          <a:ext cx="6333333" cy="5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338667</xdr:colOff>
      <xdr:row>54</xdr:row>
      <xdr:rowOff>74083</xdr:rowOff>
    </xdr:from>
    <xdr:to>
      <xdr:col>68</xdr:col>
      <xdr:colOff>444501</xdr:colOff>
      <xdr:row>72</xdr:row>
      <xdr:rowOff>52918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14C8CF-E6F9-4549-BD74-DCFB43A57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412749</xdr:colOff>
      <xdr:row>74</xdr:row>
      <xdr:rowOff>148166</xdr:rowOff>
    </xdr:from>
    <xdr:to>
      <xdr:col>68</xdr:col>
      <xdr:colOff>518584</xdr:colOff>
      <xdr:row>92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B59160-9DDA-4C81-BBC7-2D96C4194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465667</xdr:colOff>
      <xdr:row>3</xdr:row>
      <xdr:rowOff>31750</xdr:rowOff>
    </xdr:from>
    <xdr:to>
      <xdr:col>42</xdr:col>
      <xdr:colOff>150524</xdr:colOff>
      <xdr:row>17</xdr:row>
      <xdr:rowOff>52559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D8F37-A498-4D4B-8999-EE86D160C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47084" y="613833"/>
          <a:ext cx="6542857" cy="285714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21</xdr:col>
      <xdr:colOff>104000</xdr:colOff>
      <xdr:row>24</xdr:row>
      <xdr:rowOff>161429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858F76-0BAF-4450-866F-0FC36A3AA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01083" y="772583"/>
          <a:ext cx="6200000" cy="397142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391583</xdr:colOff>
      <xdr:row>2</xdr:row>
      <xdr:rowOff>74083</xdr:rowOff>
    </xdr:from>
    <xdr:to>
      <xdr:col>24</xdr:col>
      <xdr:colOff>540106</xdr:colOff>
      <xdr:row>17</xdr:row>
      <xdr:rowOff>154125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E74304-B346-47D9-B62E-94C4C055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0" y="455083"/>
          <a:ext cx="5609523" cy="311745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34</xdr:col>
      <xdr:colOff>75429</xdr:colOff>
      <xdr:row>36</xdr:row>
      <xdr:rowOff>84929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C7117A-8BDE-437A-A6D2-6EE96229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02917" y="571500"/>
          <a:ext cx="6171429" cy="63714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389466</xdr:colOff>
      <xdr:row>19</xdr:row>
      <xdr:rowOff>143934</xdr:rowOff>
    </xdr:from>
    <xdr:to>
      <xdr:col>9</xdr:col>
      <xdr:colOff>363219</xdr:colOff>
      <xdr:row>45</xdr:row>
      <xdr:rowOff>58421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E553F9-7D5B-458D-9542-DC24D487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3" y="3699934"/>
          <a:ext cx="5714153" cy="4757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613833</xdr:colOff>
      <xdr:row>0</xdr:row>
      <xdr:rowOff>42333</xdr:rowOff>
    </xdr:from>
    <xdr:to>
      <xdr:col>29</xdr:col>
      <xdr:colOff>662516</xdr:colOff>
      <xdr:row>25</xdr:row>
      <xdr:rowOff>59267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90E0178-CCDC-444D-9523-31941BE41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78158" y="42333"/>
          <a:ext cx="6144682" cy="4792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418286</xdr:colOff>
      <xdr:row>29</xdr:row>
      <xdr:rowOff>123190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AB7D7C-1A28-4B0D-B9EA-EE20CE139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4917" y="582083"/>
          <a:ext cx="6514286" cy="507619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491066</xdr:colOff>
      <xdr:row>1</xdr:row>
      <xdr:rowOff>160866</xdr:rowOff>
    </xdr:from>
    <xdr:to>
      <xdr:col>25</xdr:col>
      <xdr:colOff>268393</xdr:colOff>
      <xdr:row>27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91842F-72CB-4EF5-BE54-34BF1A3C5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4266" y="347133"/>
          <a:ext cx="6144260" cy="4936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558800</xdr:colOff>
      <xdr:row>1</xdr:row>
      <xdr:rowOff>160866</xdr:rowOff>
    </xdr:from>
    <xdr:to>
      <xdr:col>24</xdr:col>
      <xdr:colOff>656166</xdr:colOff>
      <xdr:row>39</xdr:row>
      <xdr:rowOff>96520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0903A6-F4DE-4718-82DD-B1DE3C0B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347133"/>
          <a:ext cx="5668433" cy="703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0.03072</cdr:x>
      <cdr:y>0.09627</cdr:y>
    </cdr:from>
    <cdr:to>
      <cdr:x>0.98635</cdr:x>
      <cdr:y>0.15839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0B1AA7B3-9934-4ED7-A7A7-7932BFFA4A3D}"/>
            </a:ext>
          </a:extLst>
        </cdr:cNvPr>
        <cdr:cNvSpPr txBox="1"/>
      </cdr:nvSpPr>
      <cdr:spPr>
        <a:xfrm xmlns:a="http://schemas.openxmlformats.org/drawingml/2006/main">
          <a:off x="190499" y="328084"/>
          <a:ext cx="5926667" cy="211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AR" sz="1000">
              <a:latin typeface="Arial Nova Light" panose="020B0304020202020204" pitchFamily="34" charset="0"/>
              <a:cs typeface="Arial" panose="020B0604020202020204" pitchFamily="34" charset="0"/>
            </a:rPr>
            <a:t>En los cálculos realizados</a:t>
          </a:r>
          <a:r>
            <a:rPr lang="es-AR" sz="1000" baseline="0">
              <a:latin typeface="Arial Nova Light" panose="020B0304020202020204" pitchFamily="34" charset="0"/>
              <a:cs typeface="Arial" panose="020B0604020202020204" pitchFamily="34" charset="0"/>
            </a:rPr>
            <a:t> se incluye el cobro de los intereses correspondientes</a:t>
          </a:r>
          <a:endParaRPr lang="es-AR" sz="1000">
            <a:latin typeface="Arial Nova Light" panose="020B03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95</xdr:row>
      <xdr:rowOff>78318</xdr:rowOff>
    </xdr:from>
    <xdr:to>
      <xdr:col>20</xdr:col>
      <xdr:colOff>107949</xdr:colOff>
      <xdr:row>112</xdr:row>
      <xdr:rowOff>119328</xdr:rowOff>
    </xdr:to>
    <xdr:graphicFrame macro="">
      <xdr:nvGraphicFramePr>
        <xdr:cNvPr id="13" name="4 Gráfico">
          <a:extLst>
            <a:ext uri="{FF2B5EF4-FFF2-40B4-BE49-F238E27FC236}">
              <a16:creationId xmlns:a16="http://schemas.microsoft.com/office/drawing/2014/main" id="{1F057475-1FB6-4F7B-A032-622D2ABD1A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607059</xdr:colOff>
      <xdr:row>1</xdr:row>
      <xdr:rowOff>27517</xdr:rowOff>
    </xdr:from>
    <xdr:to>
      <xdr:col>21</xdr:col>
      <xdr:colOff>63500</xdr:colOff>
      <xdr:row>21</xdr:row>
      <xdr:rowOff>31751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E6B987CE-EF15-476B-A226-31566F1DE309}"/>
            </a:ext>
          </a:extLst>
        </xdr:cNvPr>
        <xdr:cNvGrpSpPr/>
      </xdr:nvGrpSpPr>
      <xdr:grpSpPr>
        <a:xfrm>
          <a:off x="7158142" y="207434"/>
          <a:ext cx="6071025" cy="3888317"/>
          <a:chOff x="7020558" y="916939"/>
          <a:chExt cx="4832773" cy="3043161"/>
        </a:xfrm>
      </xdr:grpSpPr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24461289-867E-4101-BE5A-EB44C67AB563}"/>
              </a:ext>
            </a:extLst>
          </xdr:cNvPr>
          <xdr:cNvGrpSpPr/>
        </xdr:nvGrpSpPr>
        <xdr:grpSpPr>
          <a:xfrm>
            <a:off x="7020558" y="916939"/>
            <a:ext cx="4832773" cy="3043161"/>
            <a:chOff x="6326538" y="5676899"/>
            <a:chExt cx="5795866" cy="3548973"/>
          </a:xfrm>
        </xdr:grpSpPr>
        <xdr:graphicFrame macro="">
          <xdr:nvGraphicFramePr>
            <xdr:cNvPr id="2" name="4 Gráfico">
              <a:extLst>
                <a:ext uri="{FF2B5EF4-FFF2-40B4-BE49-F238E27FC236}">
                  <a16:creationId xmlns:a16="http://schemas.microsoft.com/office/drawing/2014/main" id="{EAAF26DA-06BE-49B5-9D47-679D768F807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899"/>
            <a:ext cx="5795866" cy="354897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E8BD469-400A-4561-80CF-FB8C9A118B0F}"/>
                </a:ext>
              </a:extLst>
            </xdr:cNvPr>
            <xdr:cNvSpPr txBox="1"/>
          </xdr:nvSpPr>
          <xdr:spPr>
            <a:xfrm>
              <a:off x="8862007" y="8921822"/>
              <a:ext cx="2935096" cy="19779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chemeClr val="bg1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chemeClr val="bg1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6" name="CuadroTexto 5">
            <a:extLst>
              <a:ext uri="{FF2B5EF4-FFF2-40B4-BE49-F238E27FC236}">
                <a16:creationId xmlns:a16="http://schemas.microsoft.com/office/drawing/2014/main" id="{6848E1CF-003C-4F43-9350-BBD4634F7F21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chemeClr val="bg1"/>
                </a:solidFill>
                <a:latin typeface="Bahnschrift SemiBold" panose="020B0502040204020203" pitchFamily="34" charset="0"/>
              </a:rPr>
              <a:t>Cuadro VI</a:t>
            </a:r>
          </a:p>
        </xdr:txBody>
      </xdr:sp>
    </xdr:grpSp>
    <xdr:clientData/>
  </xdr:twoCellAnchor>
  <xdr:twoCellAnchor>
    <xdr:from>
      <xdr:col>12</xdr:col>
      <xdr:colOff>137583</xdr:colOff>
      <xdr:row>73</xdr:row>
      <xdr:rowOff>169334</xdr:rowOff>
    </xdr:from>
    <xdr:to>
      <xdr:col>21</xdr:col>
      <xdr:colOff>127000</xdr:colOff>
      <xdr:row>90</xdr:row>
      <xdr:rowOff>10583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7DA0E2DE-3DF7-49A7-BAA7-25E10D160CC5}"/>
            </a:ext>
          </a:extLst>
        </xdr:cNvPr>
        <xdr:cNvGrpSpPr/>
      </xdr:nvGrpSpPr>
      <xdr:grpSpPr>
        <a:xfrm>
          <a:off x="7937500" y="13885334"/>
          <a:ext cx="5355167" cy="2910416"/>
          <a:chOff x="4393405" y="9334501"/>
          <a:chExt cx="5203031" cy="3433368"/>
        </a:xfrm>
      </xdr:grpSpPr>
      <xdr:graphicFrame macro="">
        <xdr:nvGraphicFramePr>
          <xdr:cNvPr id="20" name="4 Gráfico">
            <a:extLst>
              <a:ext uri="{FF2B5EF4-FFF2-40B4-BE49-F238E27FC236}">
                <a16:creationId xmlns:a16="http://schemas.microsoft.com/office/drawing/2014/main" id="{9C91A459-65A4-4617-A4FB-F0D85989A9A6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1"/>
          <a:ext cx="5203031" cy="3345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11860B53-4241-448F-8C73-9B03956722B3}"/>
              </a:ext>
            </a:extLst>
          </xdr:cNvPr>
          <xdr:cNvSpPr txBox="1"/>
        </xdr:nvSpPr>
        <xdr:spPr>
          <a:xfrm>
            <a:off x="5145845" y="12562043"/>
            <a:ext cx="4251326" cy="20582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ysClr val="windowText" lastClr="000000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215898</xdr:colOff>
      <xdr:row>23</xdr:row>
      <xdr:rowOff>154785</xdr:rowOff>
    </xdr:from>
    <xdr:to>
      <xdr:col>28</xdr:col>
      <xdr:colOff>563561</xdr:colOff>
      <xdr:row>42</xdr:row>
      <xdr:rowOff>111127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B01913E-7B96-4ED3-9BAD-CE5852A0FF8F}"/>
            </a:ext>
          </a:extLst>
        </xdr:cNvPr>
        <xdr:cNvGrpSpPr/>
      </xdr:nvGrpSpPr>
      <xdr:grpSpPr>
        <a:xfrm>
          <a:off x="13381565" y="4578618"/>
          <a:ext cx="5766329" cy="3607592"/>
          <a:chOff x="4393405" y="9334501"/>
          <a:chExt cx="5203031" cy="3494443"/>
        </a:xfrm>
      </xdr:grpSpPr>
      <xdr:graphicFrame macro="">
        <xdr:nvGraphicFramePr>
          <xdr:cNvPr id="4" name="4 Gráfico">
            <a:extLst>
              <a:ext uri="{FF2B5EF4-FFF2-40B4-BE49-F238E27FC236}">
                <a16:creationId xmlns:a16="http://schemas.microsoft.com/office/drawing/2014/main" id="{A12CA50A-2031-4587-9839-46E7CE4786BB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1"/>
          <a:ext cx="5203031" cy="3345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FBC61DA-72A7-464F-8CA8-73B773E4A40A}"/>
              </a:ext>
            </a:extLst>
          </xdr:cNvPr>
          <xdr:cNvSpPr txBox="1"/>
        </xdr:nvSpPr>
        <xdr:spPr>
          <a:xfrm>
            <a:off x="5157656" y="12623118"/>
            <a:ext cx="4251326" cy="205826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chemeClr val="tx1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11</xdr:col>
      <xdr:colOff>29105</xdr:colOff>
      <xdr:row>23</xdr:row>
      <xdr:rowOff>95249</xdr:rowOff>
    </xdr:from>
    <xdr:to>
      <xdr:col>21</xdr:col>
      <xdr:colOff>152296</xdr:colOff>
      <xdr:row>45</xdr:row>
      <xdr:rowOff>64015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B013D055-D8C8-41BE-8FA6-75BF1C1598C8}"/>
            </a:ext>
          </a:extLst>
        </xdr:cNvPr>
        <xdr:cNvGrpSpPr/>
      </xdr:nvGrpSpPr>
      <xdr:grpSpPr>
        <a:xfrm>
          <a:off x="7246938" y="4519082"/>
          <a:ext cx="6071025" cy="4159766"/>
          <a:chOff x="7020558" y="916936"/>
          <a:chExt cx="4832773" cy="3043161"/>
        </a:xfrm>
      </xdr:grpSpPr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DF7747D1-A1C9-442A-9E1B-7996E7483FD7}"/>
              </a:ext>
            </a:extLst>
          </xdr:cNvPr>
          <xdr:cNvGrpSpPr/>
        </xdr:nvGrpSpPr>
        <xdr:grpSpPr>
          <a:xfrm>
            <a:off x="7020558" y="916936"/>
            <a:ext cx="4832773" cy="3043161"/>
            <a:chOff x="6326538" y="5676900"/>
            <a:chExt cx="5795866" cy="3548974"/>
          </a:xfrm>
        </xdr:grpSpPr>
        <xdr:graphicFrame macro="">
          <xdr:nvGraphicFramePr>
            <xdr:cNvPr id="30" name="4 Gráfico">
              <a:extLst>
                <a:ext uri="{FF2B5EF4-FFF2-40B4-BE49-F238E27FC236}">
                  <a16:creationId xmlns:a16="http://schemas.microsoft.com/office/drawing/2014/main" id="{96794638-AB5F-4422-AD4B-AE4673A3B357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900"/>
            <a:ext cx="5795866" cy="35489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CE81BF5-8B96-4302-9C79-5CFF1AC4E4AF}"/>
                </a:ext>
              </a:extLst>
            </xdr:cNvPr>
            <xdr:cNvSpPr txBox="1"/>
          </xdr:nvSpPr>
          <xdr:spPr>
            <a:xfrm>
              <a:off x="9380369" y="8846202"/>
              <a:ext cx="2416733" cy="1715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26574E74-E25A-4544-9167-18782525E453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chemeClr val="bg1"/>
                </a:solidFill>
                <a:latin typeface="Bahnschrift SemiBold" panose="020B0502040204020203" pitchFamily="34" charset="0"/>
              </a:rPr>
              <a:t>Cuadro IV</a:t>
            </a:r>
          </a:p>
        </xdr:txBody>
      </xdr:sp>
    </xdr:grpSp>
    <xdr:clientData/>
  </xdr:twoCellAnchor>
  <xdr:twoCellAnchor>
    <xdr:from>
      <xdr:col>23</xdr:col>
      <xdr:colOff>0</xdr:colOff>
      <xdr:row>107</xdr:row>
      <xdr:rowOff>179916</xdr:rowOff>
    </xdr:from>
    <xdr:to>
      <xdr:col>30</xdr:col>
      <xdr:colOff>127000</xdr:colOff>
      <xdr:row>127</xdr:row>
      <xdr:rowOff>126999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F7BC8942-4DFC-4D20-AB58-FFFD6ABA4D66}"/>
            </a:ext>
          </a:extLst>
        </xdr:cNvPr>
        <xdr:cNvGrpSpPr/>
      </xdr:nvGrpSpPr>
      <xdr:grpSpPr>
        <a:xfrm>
          <a:off x="14552083" y="20023666"/>
          <a:ext cx="5503334" cy="3566583"/>
          <a:chOff x="4393405" y="9334500"/>
          <a:chExt cx="5203031" cy="3437580"/>
        </a:xfrm>
      </xdr:grpSpPr>
      <xdr:graphicFrame macro="">
        <xdr:nvGraphicFramePr>
          <xdr:cNvPr id="33" name="4 Gráfico">
            <a:extLst>
              <a:ext uri="{FF2B5EF4-FFF2-40B4-BE49-F238E27FC236}">
                <a16:creationId xmlns:a16="http://schemas.microsoft.com/office/drawing/2014/main" id="{CC934E18-5D9D-4C19-87A7-AACF360E2673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0"/>
          <a:ext cx="5203031" cy="34375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D62B37DC-5E94-4BE8-AB85-7C2274393F65}"/>
              </a:ext>
            </a:extLst>
          </xdr:cNvPr>
          <xdr:cNvSpPr txBox="1"/>
        </xdr:nvSpPr>
        <xdr:spPr>
          <a:xfrm>
            <a:off x="6768072" y="12554045"/>
            <a:ext cx="2665469" cy="17442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ysClr val="windowText" lastClr="000000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ysClr val="windowText" lastClr="000000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21</xdr:col>
      <xdr:colOff>211667</xdr:colOff>
      <xdr:row>1</xdr:row>
      <xdr:rowOff>127001</xdr:rowOff>
    </xdr:from>
    <xdr:to>
      <xdr:col>28</xdr:col>
      <xdr:colOff>497417</xdr:colOff>
      <xdr:row>19</xdr:row>
      <xdr:rowOff>134673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378F02F-0E30-4C97-9E6C-174F0E39F905}"/>
            </a:ext>
          </a:extLst>
        </xdr:cNvPr>
        <xdr:cNvGrpSpPr/>
      </xdr:nvGrpSpPr>
      <xdr:grpSpPr>
        <a:xfrm>
          <a:off x="13377334" y="306918"/>
          <a:ext cx="5704416" cy="3531922"/>
          <a:chOff x="4393405" y="9334500"/>
          <a:chExt cx="5203031" cy="3404172"/>
        </a:xfrm>
      </xdr:grpSpPr>
      <xdr:graphicFrame macro="">
        <xdr:nvGraphicFramePr>
          <xdr:cNvPr id="36" name="4 Gráfico">
            <a:extLst>
              <a:ext uri="{FF2B5EF4-FFF2-40B4-BE49-F238E27FC236}">
                <a16:creationId xmlns:a16="http://schemas.microsoft.com/office/drawing/2014/main" id="{FBC83A99-4A49-4641-97F9-2A60759EF443}"/>
              </a:ext>
            </a:extLst>
          </xdr:cNvPr>
          <xdr:cNvGraphicFramePr>
            <a:graphicFrameLocks noChangeAspect="1"/>
          </xdr:cNvGraphicFramePr>
        </xdr:nvGraphicFramePr>
        <xdr:xfrm>
          <a:off x="4393405" y="9334500"/>
          <a:ext cx="5203031" cy="33456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A0C636CF-D40F-4B21-8FB7-95FAFCE1E432}"/>
              </a:ext>
            </a:extLst>
          </xdr:cNvPr>
          <xdr:cNvSpPr txBox="1"/>
        </xdr:nvSpPr>
        <xdr:spPr>
          <a:xfrm>
            <a:off x="6870326" y="12564245"/>
            <a:ext cx="2665469" cy="17442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AR" sz="700" i="1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Fuente: BAVSA Research en base a BYMA,</a:t>
            </a:r>
            <a:r>
              <a:rPr lang="es-AR" sz="700" i="1" baseline="0">
                <a:solidFill>
                  <a:schemeClr val="tx1"/>
                </a:solidFill>
                <a:latin typeface="Arial Nova Light" panose="020B0304020202020204" pitchFamily="34" charset="0"/>
                <a:cs typeface="Arial" panose="020B0604020202020204" pitchFamily="34" charset="0"/>
              </a:rPr>
              <a:t> IAMC y cálculos propios</a:t>
            </a:r>
            <a:endParaRPr lang="es-AR" sz="700" i="1">
              <a:solidFill>
                <a:schemeClr val="tx1"/>
              </a:solidFill>
              <a:latin typeface="Arial Nova Light" panose="020B03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11</xdr:col>
      <xdr:colOff>137582</xdr:colOff>
      <xdr:row>47</xdr:row>
      <xdr:rowOff>148165</xdr:rowOff>
    </xdr:from>
    <xdr:to>
      <xdr:col>21</xdr:col>
      <xdr:colOff>260773</xdr:colOff>
      <xdr:row>70</xdr:row>
      <xdr:rowOff>116932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39C178DE-8451-4592-A7F1-279BB936C8BE}"/>
            </a:ext>
          </a:extLst>
        </xdr:cNvPr>
        <xdr:cNvGrpSpPr/>
      </xdr:nvGrpSpPr>
      <xdr:grpSpPr>
        <a:xfrm>
          <a:off x="7355415" y="9122832"/>
          <a:ext cx="6071025" cy="4170350"/>
          <a:chOff x="7020558" y="916936"/>
          <a:chExt cx="4832773" cy="3043161"/>
        </a:xfrm>
      </xdr:grpSpPr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EC4FEB91-6731-45DC-92A7-BB250B1A3AE3}"/>
              </a:ext>
            </a:extLst>
          </xdr:cNvPr>
          <xdr:cNvGrpSpPr/>
        </xdr:nvGrpSpPr>
        <xdr:grpSpPr>
          <a:xfrm>
            <a:off x="7020558" y="916936"/>
            <a:ext cx="4832773" cy="3043161"/>
            <a:chOff x="6326538" y="5676900"/>
            <a:chExt cx="5795866" cy="3548974"/>
          </a:xfrm>
        </xdr:grpSpPr>
        <xdr:graphicFrame macro="">
          <xdr:nvGraphicFramePr>
            <xdr:cNvPr id="41" name="4 Gráfico">
              <a:extLst>
                <a:ext uri="{FF2B5EF4-FFF2-40B4-BE49-F238E27FC236}">
                  <a16:creationId xmlns:a16="http://schemas.microsoft.com/office/drawing/2014/main" id="{469CAF5A-6E35-43BE-A7E8-0EF92EE5A951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900"/>
            <a:ext cx="5795866" cy="35489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45D2C5A3-5C12-4A20-9EA2-8C055B5B1F9E}"/>
                </a:ext>
              </a:extLst>
            </xdr:cNvPr>
            <xdr:cNvSpPr txBox="1"/>
          </xdr:nvSpPr>
          <xdr:spPr>
            <a:xfrm>
              <a:off x="9279228" y="8914445"/>
              <a:ext cx="2507771" cy="19360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13E5729B-5915-4841-B02E-104F4A0B42B9}"/>
              </a:ext>
            </a:extLst>
          </xdr:cNvPr>
          <xdr:cNvSpPr txBox="1"/>
        </xdr:nvSpPr>
        <xdr:spPr>
          <a:xfrm>
            <a:off x="7306692" y="961576"/>
            <a:ext cx="810170" cy="1876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chemeClr val="bg1"/>
                </a:solidFill>
                <a:latin typeface="Bahnschrift SemiBold" panose="020B0502040204020203" pitchFamily="34" charset="0"/>
              </a:rPr>
              <a:t>Cuadro VI</a:t>
            </a:r>
          </a:p>
        </xdr:txBody>
      </xdr:sp>
    </xdr:grpSp>
    <xdr:clientData/>
  </xdr:twoCellAnchor>
  <xdr:twoCellAnchor>
    <xdr:from>
      <xdr:col>1</xdr:col>
      <xdr:colOff>539751</xdr:colOff>
      <xdr:row>103</xdr:row>
      <xdr:rowOff>11640</xdr:rowOff>
    </xdr:from>
    <xdr:to>
      <xdr:col>10</xdr:col>
      <xdr:colOff>414233</xdr:colOff>
      <xdr:row>124</xdr:row>
      <xdr:rowOff>91015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3C4C5D10-D3D9-4DA0-BA3A-68D8A1679CB9}"/>
            </a:ext>
          </a:extLst>
        </xdr:cNvPr>
        <xdr:cNvGrpSpPr/>
      </xdr:nvGrpSpPr>
      <xdr:grpSpPr>
        <a:xfrm>
          <a:off x="867834" y="19135723"/>
          <a:ext cx="6097482" cy="3878792"/>
          <a:chOff x="7020558" y="916937"/>
          <a:chExt cx="4832773" cy="3043160"/>
        </a:xfrm>
      </xdr:grpSpPr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9271F846-D6D0-4046-879F-10309B0266AD}"/>
              </a:ext>
            </a:extLst>
          </xdr:cNvPr>
          <xdr:cNvGrpSpPr/>
        </xdr:nvGrpSpPr>
        <xdr:grpSpPr>
          <a:xfrm>
            <a:off x="7020558" y="916937"/>
            <a:ext cx="4832773" cy="3043160"/>
            <a:chOff x="6326538" y="5676899"/>
            <a:chExt cx="5795866" cy="3548972"/>
          </a:xfrm>
        </xdr:grpSpPr>
        <xdr:graphicFrame macro="">
          <xdr:nvGraphicFramePr>
            <xdr:cNvPr id="45" name="4 Gráfico">
              <a:extLst>
                <a:ext uri="{FF2B5EF4-FFF2-40B4-BE49-F238E27FC236}">
                  <a16:creationId xmlns:a16="http://schemas.microsoft.com/office/drawing/2014/main" id="{894BD5D7-D4AC-4BA1-BBA0-473609EF91F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899"/>
            <a:ext cx="5795866" cy="35489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4041352-01FA-4D25-B3FE-BEE2A7622F39}"/>
                </a:ext>
              </a:extLst>
            </xdr:cNvPr>
            <xdr:cNvSpPr txBox="1"/>
          </xdr:nvSpPr>
          <xdr:spPr>
            <a:xfrm>
              <a:off x="9376770" y="8907948"/>
              <a:ext cx="2468011" cy="21830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CEA746B6-0F46-4C92-AB82-4ECEC3E017D5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 IV</a:t>
            </a:r>
          </a:p>
        </xdr:txBody>
      </xdr:sp>
    </xdr:grpSp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169334</xdr:colOff>
      <xdr:row>157</xdr:row>
      <xdr:rowOff>100542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7C3551A9-87EE-45CF-87C9-4547B91D14CF}"/>
            </a:ext>
          </a:extLst>
        </xdr:cNvPr>
        <xdr:cNvGrpSpPr/>
      </xdr:nvGrpSpPr>
      <xdr:grpSpPr>
        <a:xfrm>
          <a:off x="920750" y="25082500"/>
          <a:ext cx="5799667" cy="3878792"/>
          <a:chOff x="7020558" y="916937"/>
          <a:chExt cx="4832773" cy="3043160"/>
        </a:xfrm>
      </xdr:grpSpPr>
      <xdr:grpSp>
        <xdr:nvGrpSpPr>
          <xdr:cNvPr id="48" name="Grupo 47">
            <a:extLst>
              <a:ext uri="{FF2B5EF4-FFF2-40B4-BE49-F238E27FC236}">
                <a16:creationId xmlns:a16="http://schemas.microsoft.com/office/drawing/2014/main" id="{2445B19D-B759-43B2-A630-259F24DB2734}"/>
              </a:ext>
            </a:extLst>
          </xdr:cNvPr>
          <xdr:cNvGrpSpPr/>
        </xdr:nvGrpSpPr>
        <xdr:grpSpPr>
          <a:xfrm>
            <a:off x="7020558" y="916937"/>
            <a:ext cx="4832773" cy="3043160"/>
            <a:chOff x="6326538" y="5676899"/>
            <a:chExt cx="5795866" cy="3548972"/>
          </a:xfrm>
        </xdr:grpSpPr>
        <xdr:graphicFrame macro="">
          <xdr:nvGraphicFramePr>
            <xdr:cNvPr id="50" name="4 Gráfico">
              <a:extLst>
                <a:ext uri="{FF2B5EF4-FFF2-40B4-BE49-F238E27FC236}">
                  <a16:creationId xmlns:a16="http://schemas.microsoft.com/office/drawing/2014/main" id="{11F18BEC-AF81-4AAE-99B8-66B8635D635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6326538" y="5676899"/>
            <a:ext cx="5795866" cy="354897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27BAA00C-7503-4AA3-A0F4-A1109229CD2D}"/>
                </a:ext>
              </a:extLst>
            </xdr:cNvPr>
            <xdr:cNvSpPr txBox="1"/>
          </xdr:nvSpPr>
          <xdr:spPr>
            <a:xfrm>
              <a:off x="9256200" y="8891793"/>
              <a:ext cx="2588581" cy="23446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 eaLnBrk="1" fontAlgn="auto" latinLnBrk="0" hangingPunct="1"/>
              <a:r>
                <a:rPr lang="es-AR" sz="700" i="1">
                  <a:solidFill>
                    <a:sysClr val="windowText" lastClr="000000"/>
                  </a:solidFill>
                  <a:effectLst/>
                  <a:latin typeface="Arial Nova Light" panose="020B0304020202020204" pitchFamily="34" charset="0"/>
                  <a:ea typeface="+mn-ea"/>
                  <a:cs typeface="+mn-cs"/>
                </a:rPr>
                <a:t>Fuente: BAVSA Research en base a BYMA y cálculos propios</a:t>
              </a:r>
              <a:endParaRPr lang="es-AR" sz="300">
                <a:solidFill>
                  <a:sysClr val="windowText" lastClr="000000"/>
                </a:solidFill>
                <a:effectLst/>
                <a:latin typeface="Arial Nova Light" panose="020B0304020202020204" pitchFamily="34" charset="0"/>
              </a:endParaRPr>
            </a:p>
          </xdr:txBody>
        </xdr:sp>
      </xdr:grp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6860BE7B-7883-4F72-8334-93AE078B056C}"/>
              </a:ext>
            </a:extLst>
          </xdr:cNvPr>
          <xdr:cNvSpPr txBox="1"/>
        </xdr:nvSpPr>
        <xdr:spPr>
          <a:xfrm>
            <a:off x="7298267" y="922865"/>
            <a:ext cx="810170" cy="24703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AR" sz="1050">
                <a:solidFill>
                  <a:sysClr val="windowText" lastClr="000000"/>
                </a:solidFill>
                <a:latin typeface="Bahnschrift SemiBold" panose="020B0502040204020203" pitchFamily="34" charset="0"/>
              </a:rPr>
              <a:t>Cuadro IV</a:t>
            </a: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0.09837</cdr:x>
      <cdr:y>0.13691</cdr:y>
    </cdr:from>
    <cdr:to>
      <cdr:x>0.9077</cdr:x>
      <cdr:y>0.18381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496620" y="421644"/>
          <a:ext cx="4085700" cy="1444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solidFill>
                <a:schemeClr val="dk1"/>
              </a:solidFill>
              <a:latin typeface="Arial Nova Light" panose="020B0304020202090204" pitchFamily="34" charset="0"/>
              <a:ea typeface="+mn-ea"/>
              <a:cs typeface="Arial" pitchFamily="34" charset="0"/>
            </a:rPr>
            <a:t>Comparativo</a:t>
          </a:r>
          <a:r>
            <a:rPr lang="es-AR" sz="900" i="1">
              <a:latin typeface="Arial Nova Light" panose="020B0304020202090204" pitchFamily="34" charset="0"/>
              <a:cs typeface="Arial" pitchFamily="34" charset="0"/>
            </a:rPr>
            <a:t> curva actual vs curva objetivo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0.12319</cdr:x>
      <cdr:y>0.12281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652358" y="435612"/>
          <a:ext cx="4290043" cy="19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de 3% para junio y 2.8% para el resto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0.92781</cdr:x>
      <cdr:y>0.17274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298708" y="358510"/>
          <a:ext cx="4026965" cy="1422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Curva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laborada con precios BYMA T+2</a:t>
          </a: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chemeClr val="bg1"/>
              </a:solidFill>
              <a:latin typeface="Bahnschrift SemiBold" panose="020B0502040204020203" pitchFamily="34" charset="0"/>
            </a:rPr>
            <a:t>Cuadro IV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0.06407</cdr:x>
      <cdr:y>0.12368</cdr:y>
    </cdr:from>
    <cdr:to>
      <cdr:x>0.92781</cdr:x>
      <cdr:y>0.17274</cdr:y>
    </cdr:to>
    <cdr:sp macro="" textlink="">
      <cdr:nvSpPr>
        <cdr:cNvPr id="5" name="3 CuadroTexto">
          <a:extLst xmlns:a="http://schemas.openxmlformats.org/drawingml/2006/main">
            <a:ext uri="{FF2B5EF4-FFF2-40B4-BE49-F238E27FC236}">
              <a16:creationId xmlns:a16="http://schemas.microsoft.com/office/drawing/2014/main" id="{0D5B2553-0243-4B47-9FEA-F8D31A594503}"/>
            </a:ext>
          </a:extLst>
        </cdr:cNvPr>
        <cdr:cNvSpPr txBox="1"/>
      </cdr:nvSpPr>
      <cdr:spPr>
        <a:xfrm xmlns:a="http://schemas.openxmlformats.org/drawingml/2006/main">
          <a:off x="298708" y="358510"/>
          <a:ext cx="4026965" cy="1422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Curva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laborada con precios BYMA T+2</a:t>
          </a:r>
        </a:p>
      </cdr:txBody>
    </cdr:sp>
  </cdr:relSizeAnchor>
  <cdr:relSizeAnchor xmlns:cdr="http://schemas.openxmlformats.org/drawingml/2006/chartDrawing">
    <cdr:from>
      <cdr:x>0.00961</cdr:x>
      <cdr:y>0.01786</cdr:y>
    </cdr:from>
    <cdr:to>
      <cdr:x>0.18861</cdr:x>
      <cdr:y>0.07993</cdr:y>
    </cdr:to>
    <cdr:sp macro="" textlink="">
      <cdr:nvSpPr>
        <cdr:cNvPr id="3" name="CuadroTexto 5">
          <a:extLst xmlns:a="http://schemas.openxmlformats.org/drawingml/2006/main">
            <a:ext uri="{FF2B5EF4-FFF2-40B4-BE49-F238E27FC236}">
              <a16:creationId xmlns:a16="http://schemas.microsoft.com/office/drawing/2014/main" id="{6848E1CF-003C-4F43-9350-BBD4634F7F21}"/>
            </a:ext>
          </a:extLst>
        </cdr:cNvPr>
        <cdr:cNvSpPr txBox="1"/>
      </cdr:nvSpPr>
      <cdr:spPr>
        <a:xfrm xmlns:a="http://schemas.openxmlformats.org/drawingml/2006/main">
          <a:off x="44823" y="52029"/>
          <a:ext cx="834917" cy="1808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50">
              <a:solidFill>
                <a:schemeClr val="bg1"/>
              </a:solidFill>
              <a:latin typeface="Bahnschrift SemiBold" panose="020B0502040204020203" pitchFamily="34" charset="0"/>
            </a:rPr>
            <a:t>Cuadro IV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0.12319</cdr:x>
      <cdr:y>0.12281</cdr:y>
    </cdr:from>
    <cdr:to>
      <cdr:x>0.93329</cdr:x>
      <cdr:y>0.17736</cdr:y>
    </cdr:to>
    <cdr:sp macro="" textlink="">
      <cdr:nvSpPr>
        <cdr:cNvPr id="2" name="3 CuadroTexto">
          <a:extLst xmlns:a="http://schemas.openxmlformats.org/drawingml/2006/main">
            <a:ext uri="{FF2B5EF4-FFF2-40B4-BE49-F238E27FC236}">
              <a16:creationId xmlns:a16="http://schemas.microsoft.com/office/drawing/2014/main" id="{FB43759E-6862-4565-9858-D0A985EA2DEE}"/>
            </a:ext>
          </a:extLst>
        </cdr:cNvPr>
        <cdr:cNvSpPr txBox="1"/>
      </cdr:nvSpPr>
      <cdr:spPr>
        <a:xfrm xmlns:a="http://schemas.openxmlformats.org/drawingml/2006/main">
          <a:off x="652358" y="435612"/>
          <a:ext cx="4290043" cy="19350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Tasa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s calculadas con </a:t>
          </a:r>
          <a:r>
            <a:rPr lang="es-AR" sz="900" i="1">
              <a:latin typeface="Arial Nova Light" panose="020B0304020202020204" pitchFamily="34" charset="0"/>
              <a:cs typeface="Arial" pitchFamily="34" charset="0"/>
            </a:rPr>
            <a:t>BADLAR actual </a:t>
          </a:r>
          <a:r>
            <a:rPr lang="es-AR" sz="900" i="1" baseline="0">
              <a:latin typeface="Arial Nova Light" panose="020B0304020202020204" pitchFamily="34" charset="0"/>
              <a:cs typeface="Arial" pitchFamily="34" charset="0"/>
            </a:rPr>
            <a:t>e inflación de 3% para Junio y 2.8% para el resto</a:t>
          </a:r>
          <a:endParaRPr lang="es-AR" sz="900" i="1">
            <a:latin typeface="Arial Nova Light" panose="020B0304020202020204" pitchFamily="34" charset="0"/>
            <a:cs typeface="Arial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&#225;s/Google%20Drive/Dollar%20lin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&#225;s/Desktop/TC21%20TX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Brecha"/>
      <sheetName val="Comparativo"/>
      <sheetName val="T2V1"/>
      <sheetName val="TV22"/>
      <sheetName val="T2V2"/>
      <sheetName val="T2V1 - Matriz %"/>
      <sheetName val="TV22 - Matriz %"/>
      <sheetName val="T2V1 - Matriz Px."/>
      <sheetName val="T2V1 - Sensibilidad TC $"/>
      <sheetName val="T2V1 - Sensibilidad TC %"/>
      <sheetName val="TV22 - Sensibilidad TC %"/>
    </sheetNames>
    <sheetDataSet>
      <sheetData sheetId="0"/>
      <sheetData sheetId="1"/>
      <sheetData sheetId="2"/>
      <sheetData sheetId="3">
        <row r="9">
          <cell r="U9">
            <v>0.5541558691406252</v>
          </cell>
        </row>
        <row r="10">
          <cell r="U10">
            <v>0.4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showGridLines="0" zoomScale="90" zoomScaleNormal="90" workbookViewId="0">
      <selection activeCell="J7" sqref="J7"/>
    </sheetView>
  </sheetViews>
  <sheetFormatPr baseColWidth="10" defaultRowHeight="15" x14ac:dyDescent="0.25"/>
  <cols>
    <col min="2" max="2" width="15.42578125" bestFit="1" customWidth="1"/>
    <col min="3" max="3" width="14.140625" bestFit="1" customWidth="1"/>
    <col min="4" max="4" width="3.42578125" customWidth="1"/>
    <col min="5" max="5" width="14.140625" bestFit="1" customWidth="1"/>
    <col min="6" max="7" width="9.42578125" customWidth="1"/>
    <col min="8" max="8" width="9.28515625" bestFit="1" customWidth="1"/>
    <col min="9" max="10" width="10.42578125" customWidth="1"/>
  </cols>
  <sheetData>
    <row r="1" spans="1:2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x14ac:dyDescent="0.25">
      <c r="A2" s="12"/>
      <c r="B2" s="372" t="s">
        <v>121</v>
      </c>
      <c r="C2" s="372"/>
      <c r="D2" s="372"/>
      <c r="E2" s="372"/>
      <c r="F2" s="372"/>
      <c r="G2" s="372"/>
      <c r="H2" s="372"/>
      <c r="I2" s="372"/>
      <c r="J2" s="372"/>
      <c r="K2" s="12"/>
      <c r="L2" s="248"/>
      <c r="M2" s="248"/>
      <c r="N2" s="248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25">
      <c r="A4" s="12"/>
      <c r="B4" s="373" t="s">
        <v>34</v>
      </c>
      <c r="C4" s="374"/>
      <c r="D4" s="12"/>
      <c r="E4" s="375" t="s">
        <v>122</v>
      </c>
      <c r="F4" s="375"/>
      <c r="G4" s="375"/>
      <c r="H4" s="375"/>
      <c r="I4" s="375"/>
      <c r="J4" s="375"/>
      <c r="K4" s="12"/>
      <c r="L4" s="249"/>
      <c r="M4" s="249"/>
      <c r="N4" s="249"/>
      <c r="O4" s="12"/>
      <c r="P4" s="375" t="s">
        <v>122</v>
      </c>
      <c r="Q4" s="375"/>
      <c r="R4" s="375"/>
      <c r="S4" s="375"/>
      <c r="T4" s="375"/>
      <c r="U4" s="375"/>
      <c r="V4" s="12"/>
      <c r="W4" s="12"/>
    </row>
    <row r="5" spans="1:23" x14ac:dyDescent="0.25">
      <c r="A5" s="12"/>
      <c r="B5" s="24" t="s">
        <v>0</v>
      </c>
      <c r="C5" s="33">
        <v>43938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21</v>
      </c>
      <c r="M5" s="29" t="s">
        <v>126</v>
      </c>
      <c r="N5" s="29" t="s">
        <v>127</v>
      </c>
      <c r="O5" s="12"/>
      <c r="P5" s="29" t="s">
        <v>14</v>
      </c>
      <c r="Q5" s="29" t="s">
        <v>7</v>
      </c>
      <c r="R5" s="29" t="s">
        <v>21</v>
      </c>
      <c r="S5" s="29" t="s">
        <v>8</v>
      </c>
      <c r="T5" s="29" t="s">
        <v>33</v>
      </c>
      <c r="U5" s="29" t="s">
        <v>9</v>
      </c>
      <c r="V5" s="12"/>
      <c r="W5" s="12"/>
    </row>
    <row r="6" spans="1:23" x14ac:dyDescent="0.25">
      <c r="A6" s="12"/>
      <c r="B6" s="24" t="s">
        <v>1</v>
      </c>
      <c r="C6" s="33">
        <v>45061</v>
      </c>
      <c r="D6" s="12"/>
      <c r="E6" s="15">
        <f>+'Planilla de datos'!D3</f>
        <v>44384</v>
      </c>
      <c r="F6" s="14">
        <v>100</v>
      </c>
      <c r="G6" s="12"/>
      <c r="H6" s="30"/>
      <c r="I6" s="12"/>
      <c r="J6" s="14">
        <v>-90</v>
      </c>
      <c r="K6" s="12"/>
      <c r="L6" s="14"/>
      <c r="M6" s="14"/>
      <c r="N6" s="14"/>
      <c r="O6" s="12"/>
      <c r="P6" s="15">
        <f>+E6</f>
        <v>44384</v>
      </c>
      <c r="Q6" s="14">
        <f>+F6</f>
        <v>100</v>
      </c>
      <c r="R6" s="12"/>
      <c r="S6" s="30"/>
      <c r="T6" s="12"/>
      <c r="U6" s="14">
        <v>0</v>
      </c>
      <c r="V6" s="12"/>
      <c r="W6" s="12"/>
    </row>
    <row r="7" spans="1:23" x14ac:dyDescent="0.25">
      <c r="A7" s="12"/>
      <c r="B7" s="24" t="s">
        <v>28</v>
      </c>
      <c r="C7" s="35">
        <f>'Planilla de datos'!D4</f>
        <v>0.34060000000000001</v>
      </c>
      <c r="D7" s="12"/>
      <c r="E7" s="15">
        <v>44423</v>
      </c>
      <c r="F7" s="14">
        <f>+F6</f>
        <v>100</v>
      </c>
      <c r="G7" s="12">
        <f>DAYS360(C9,E7)</f>
        <v>90</v>
      </c>
      <c r="H7" s="14">
        <f>($C$7+$C$8)/360*G7*F7</f>
        <v>8.5150000000000006</v>
      </c>
      <c r="I7" s="14"/>
      <c r="J7" s="14">
        <f t="shared" ref="J7:J14" si="0">SUM(H7:I7)</f>
        <v>8.5150000000000006</v>
      </c>
      <c r="K7" s="12"/>
      <c r="L7" s="67">
        <f t="shared" ref="L7:L14" si="1">DAYS360($E$6,E7)</f>
        <v>38</v>
      </c>
      <c r="M7" s="14">
        <f>J7/(1+$J$16)^(L7/360)</f>
        <v>8.0747847666426651</v>
      </c>
      <c r="N7" s="14">
        <f t="shared" ref="N7:N14" si="2">M7*(L7/360)</f>
        <v>0.85233839203450357</v>
      </c>
      <c r="O7" s="12"/>
      <c r="P7" s="15">
        <f t="shared" ref="P7:U14" si="3">+E7</f>
        <v>44423</v>
      </c>
      <c r="Q7" s="14">
        <f t="shared" si="3"/>
        <v>100</v>
      </c>
      <c r="R7" s="12">
        <f t="shared" si="3"/>
        <v>90</v>
      </c>
      <c r="S7" s="14">
        <f t="shared" si="3"/>
        <v>8.5150000000000006</v>
      </c>
      <c r="T7" s="14">
        <f t="shared" si="3"/>
        <v>0</v>
      </c>
      <c r="U7" s="14">
        <f t="shared" si="3"/>
        <v>8.5150000000000006</v>
      </c>
      <c r="V7" s="12"/>
      <c r="W7" s="12"/>
    </row>
    <row r="8" spans="1:23" x14ac:dyDescent="0.25">
      <c r="A8" s="12"/>
      <c r="B8" s="24" t="s">
        <v>30</v>
      </c>
      <c r="C8" s="35">
        <v>0</v>
      </c>
      <c r="D8" s="12"/>
      <c r="E8" s="15">
        <v>44515</v>
      </c>
      <c r="F8" s="14">
        <f t="shared" ref="F8:F14" si="4">+F7-I7</f>
        <v>100</v>
      </c>
      <c r="G8" s="12">
        <f>DAYS360(E7,E8)</f>
        <v>90</v>
      </c>
      <c r="H8" s="14">
        <f t="shared" ref="H8:H14" si="5">($C$7+$C$8)/360*G8*F8</f>
        <v>8.5150000000000006</v>
      </c>
      <c r="I8" s="14">
        <v>25</v>
      </c>
      <c r="J8" s="14">
        <f t="shared" si="0"/>
        <v>33.515000000000001</v>
      </c>
      <c r="K8" s="12"/>
      <c r="L8" s="67">
        <f t="shared" si="1"/>
        <v>128</v>
      </c>
      <c r="M8" s="14">
        <f t="shared" ref="M8:M14" si="6">J8/(1+$J$16)^(L8/360)</f>
        <v>28.02751957370506</v>
      </c>
      <c r="N8" s="14">
        <f t="shared" si="2"/>
        <v>9.9653402928729111</v>
      </c>
      <c r="O8" s="12"/>
      <c r="P8" s="15">
        <f t="shared" si="3"/>
        <v>44515</v>
      </c>
      <c r="Q8" s="14">
        <f t="shared" si="3"/>
        <v>100</v>
      </c>
      <c r="R8" s="12">
        <f t="shared" si="3"/>
        <v>90</v>
      </c>
      <c r="S8" s="14">
        <f t="shared" si="3"/>
        <v>8.5150000000000006</v>
      </c>
      <c r="T8" s="14">
        <f t="shared" si="3"/>
        <v>25</v>
      </c>
      <c r="U8" s="14">
        <f t="shared" si="3"/>
        <v>33.515000000000001</v>
      </c>
      <c r="V8" s="12"/>
      <c r="W8" s="12"/>
    </row>
    <row r="9" spans="1:23" x14ac:dyDescent="0.25">
      <c r="A9" s="12"/>
      <c r="B9" s="24" t="s">
        <v>27</v>
      </c>
      <c r="C9" s="33">
        <v>44331</v>
      </c>
      <c r="D9" s="12"/>
      <c r="E9" s="15">
        <v>44607</v>
      </c>
      <c r="F9" s="14">
        <f t="shared" si="4"/>
        <v>75</v>
      </c>
      <c r="G9" s="12">
        <f t="shared" ref="G9:G14" si="7">DAYS360(E8,E9)</f>
        <v>90</v>
      </c>
      <c r="H9" s="14">
        <f t="shared" si="5"/>
        <v>6.3862500000000004</v>
      </c>
      <c r="I9" s="14"/>
      <c r="J9" s="14">
        <f t="shared" si="0"/>
        <v>6.3862500000000004</v>
      </c>
      <c r="K9" s="12"/>
      <c r="L9" s="67">
        <f t="shared" si="1"/>
        <v>218</v>
      </c>
      <c r="M9" s="14">
        <f t="shared" si="6"/>
        <v>4.7096701820342295</v>
      </c>
      <c r="N9" s="14">
        <f t="shared" si="2"/>
        <v>2.8519669435651722</v>
      </c>
      <c r="O9" s="12"/>
      <c r="P9" s="15">
        <f t="shared" si="3"/>
        <v>44607</v>
      </c>
      <c r="Q9" s="14">
        <f t="shared" si="3"/>
        <v>75</v>
      </c>
      <c r="R9" s="12">
        <f t="shared" si="3"/>
        <v>90</v>
      </c>
      <c r="S9" s="14">
        <f t="shared" si="3"/>
        <v>6.3862500000000004</v>
      </c>
      <c r="T9" s="14">
        <f t="shared" si="3"/>
        <v>0</v>
      </c>
      <c r="U9" s="14">
        <f t="shared" si="3"/>
        <v>6.3862500000000004</v>
      </c>
      <c r="V9" s="12"/>
      <c r="W9" s="12"/>
    </row>
    <row r="10" spans="1:23" x14ac:dyDescent="0.25">
      <c r="A10" s="12"/>
      <c r="B10" s="24" t="s">
        <v>247</v>
      </c>
      <c r="C10" s="35">
        <v>0.4</v>
      </c>
      <c r="D10" s="12"/>
      <c r="E10" s="15">
        <v>44696</v>
      </c>
      <c r="F10" s="14">
        <f t="shared" si="4"/>
        <v>75</v>
      </c>
      <c r="G10" s="12">
        <f t="shared" si="7"/>
        <v>90</v>
      </c>
      <c r="H10" s="14">
        <f t="shared" si="5"/>
        <v>6.3862500000000004</v>
      </c>
      <c r="I10" s="14">
        <v>25</v>
      </c>
      <c r="J10" s="14">
        <f t="shared" si="0"/>
        <v>31.38625</v>
      </c>
      <c r="K10" s="12"/>
      <c r="L10" s="67">
        <f t="shared" si="1"/>
        <v>308</v>
      </c>
      <c r="M10" s="14">
        <f t="shared" si="6"/>
        <v>20.411886588039589</v>
      </c>
      <c r="N10" s="14">
        <f t="shared" si="2"/>
        <v>17.463502969767202</v>
      </c>
      <c r="O10" s="12"/>
      <c r="P10" s="15">
        <f t="shared" si="3"/>
        <v>44696</v>
      </c>
      <c r="Q10" s="14">
        <f t="shared" si="3"/>
        <v>75</v>
      </c>
      <c r="R10" s="12">
        <f t="shared" si="3"/>
        <v>90</v>
      </c>
      <c r="S10" s="14">
        <f t="shared" si="3"/>
        <v>6.3862500000000004</v>
      </c>
      <c r="T10" s="14">
        <f t="shared" si="3"/>
        <v>25</v>
      </c>
      <c r="U10" s="14">
        <f t="shared" si="3"/>
        <v>31.38625</v>
      </c>
      <c r="V10" s="12"/>
      <c r="W10" s="12"/>
    </row>
    <row r="11" spans="1:23" x14ac:dyDescent="0.25">
      <c r="A11" s="12"/>
      <c r="B11" s="36"/>
      <c r="C11" s="37"/>
      <c r="D11" s="12"/>
      <c r="E11" s="15">
        <v>44788</v>
      </c>
      <c r="F11" s="14">
        <f t="shared" si="4"/>
        <v>50</v>
      </c>
      <c r="G11" s="12">
        <f t="shared" si="7"/>
        <v>90</v>
      </c>
      <c r="H11" s="14">
        <f t="shared" si="5"/>
        <v>4.2575000000000003</v>
      </c>
      <c r="I11" s="14"/>
      <c r="J11" s="14">
        <f t="shared" si="0"/>
        <v>4.2575000000000003</v>
      </c>
      <c r="K11" s="12"/>
      <c r="L11" s="67">
        <f t="shared" si="1"/>
        <v>398</v>
      </c>
      <c r="M11" s="14">
        <f t="shared" si="6"/>
        <v>2.4417292832839461</v>
      </c>
      <c r="N11" s="14">
        <f t="shared" si="2"/>
        <v>2.6994673742972517</v>
      </c>
      <c r="O11" s="12"/>
      <c r="P11" s="15">
        <f t="shared" si="3"/>
        <v>44788</v>
      </c>
      <c r="Q11" s="14">
        <f t="shared" si="3"/>
        <v>50</v>
      </c>
      <c r="R11" s="12">
        <f t="shared" si="3"/>
        <v>90</v>
      </c>
      <c r="S11" s="14">
        <f t="shared" si="3"/>
        <v>4.2575000000000003</v>
      </c>
      <c r="T11" s="14">
        <f t="shared" si="3"/>
        <v>0</v>
      </c>
      <c r="U11" s="14">
        <f t="shared" si="3"/>
        <v>4.2575000000000003</v>
      </c>
      <c r="V11" s="12"/>
      <c r="W11" s="12"/>
    </row>
    <row r="12" spans="1:23" x14ac:dyDescent="0.25">
      <c r="A12" s="12"/>
      <c r="B12" s="12"/>
      <c r="C12" s="12"/>
      <c r="D12" s="12"/>
      <c r="E12" s="15">
        <v>44880</v>
      </c>
      <c r="F12" s="14">
        <f t="shared" si="4"/>
        <v>50</v>
      </c>
      <c r="G12" s="12">
        <f t="shared" si="7"/>
        <v>90</v>
      </c>
      <c r="H12" s="14">
        <f t="shared" si="5"/>
        <v>4.2575000000000003</v>
      </c>
      <c r="I12" s="14">
        <v>25</v>
      </c>
      <c r="J12" s="14">
        <f t="shared" si="0"/>
        <v>29.2575</v>
      </c>
      <c r="K12" s="12"/>
      <c r="L12" s="67">
        <f t="shared" si="1"/>
        <v>488</v>
      </c>
      <c r="M12" s="14">
        <f t="shared" si="6"/>
        <v>14.797188517735783</v>
      </c>
      <c r="N12" s="14">
        <f t="shared" si="2"/>
        <v>20.058411101819619</v>
      </c>
      <c r="O12" s="12"/>
      <c r="P12" s="15">
        <f t="shared" si="3"/>
        <v>44880</v>
      </c>
      <c r="Q12" s="14">
        <f t="shared" si="3"/>
        <v>50</v>
      </c>
      <c r="R12" s="12">
        <f t="shared" si="3"/>
        <v>90</v>
      </c>
      <c r="S12" s="14">
        <f t="shared" si="3"/>
        <v>4.2575000000000003</v>
      </c>
      <c r="T12" s="14">
        <f t="shared" si="3"/>
        <v>25</v>
      </c>
      <c r="U12" s="14">
        <f t="shared" si="3"/>
        <v>29.2575</v>
      </c>
      <c r="V12" s="12"/>
      <c r="W12" s="12"/>
    </row>
    <row r="13" spans="1:23" x14ac:dyDescent="0.25">
      <c r="A13" s="12"/>
      <c r="B13" s="12"/>
      <c r="C13" s="12"/>
      <c r="D13" s="12"/>
      <c r="E13" s="15">
        <v>44972</v>
      </c>
      <c r="F13" s="14">
        <f t="shared" si="4"/>
        <v>25</v>
      </c>
      <c r="G13" s="12">
        <f t="shared" si="7"/>
        <v>90</v>
      </c>
      <c r="H13" s="14">
        <f t="shared" si="5"/>
        <v>2.1287500000000001</v>
      </c>
      <c r="I13" s="14"/>
      <c r="J13" s="14">
        <f t="shared" si="0"/>
        <v>2.1287500000000001</v>
      </c>
      <c r="K13" s="12"/>
      <c r="L13" s="67">
        <f t="shared" si="1"/>
        <v>578</v>
      </c>
      <c r="M13" s="14">
        <f t="shared" si="6"/>
        <v>0.94943621247451737</v>
      </c>
      <c r="N13" s="14">
        <f t="shared" si="2"/>
        <v>1.5243725855840864</v>
      </c>
      <c r="O13" s="12"/>
      <c r="P13" s="15">
        <f t="shared" si="3"/>
        <v>44972</v>
      </c>
      <c r="Q13" s="14">
        <f t="shared" si="3"/>
        <v>25</v>
      </c>
      <c r="R13" s="12">
        <f t="shared" si="3"/>
        <v>90</v>
      </c>
      <c r="S13" s="14">
        <f t="shared" si="3"/>
        <v>2.1287500000000001</v>
      </c>
      <c r="T13" s="14">
        <f t="shared" si="3"/>
        <v>0</v>
      </c>
      <c r="U13" s="14">
        <f t="shared" si="3"/>
        <v>2.1287500000000001</v>
      </c>
      <c r="V13" s="12"/>
      <c r="W13" s="12"/>
    </row>
    <row r="14" spans="1:23" x14ac:dyDescent="0.25">
      <c r="A14" s="12"/>
      <c r="B14" s="12"/>
      <c r="C14" s="12"/>
      <c r="D14" s="12"/>
      <c r="E14" s="15">
        <v>45061</v>
      </c>
      <c r="F14" s="14">
        <f t="shared" si="4"/>
        <v>25</v>
      </c>
      <c r="G14" s="12">
        <f t="shared" si="7"/>
        <v>90</v>
      </c>
      <c r="H14" s="14">
        <f t="shared" si="5"/>
        <v>2.1287500000000001</v>
      </c>
      <c r="I14" s="14">
        <v>25</v>
      </c>
      <c r="J14" s="14">
        <f t="shared" si="0"/>
        <v>27.12875</v>
      </c>
      <c r="K14" s="12"/>
      <c r="L14" s="67">
        <f t="shared" si="1"/>
        <v>668</v>
      </c>
      <c r="M14" s="14">
        <f t="shared" si="6"/>
        <v>10.670138401402168</v>
      </c>
      <c r="N14" s="14">
        <f t="shared" si="2"/>
        <v>19.799034589268469</v>
      </c>
      <c r="O14" s="12"/>
      <c r="P14" s="15">
        <f t="shared" si="3"/>
        <v>45061</v>
      </c>
      <c r="Q14" s="14">
        <f t="shared" si="3"/>
        <v>25</v>
      </c>
      <c r="R14" s="12">
        <f t="shared" si="3"/>
        <v>90</v>
      </c>
      <c r="S14" s="14">
        <f t="shared" si="3"/>
        <v>2.1287500000000001</v>
      </c>
      <c r="T14" s="14">
        <f t="shared" si="3"/>
        <v>25</v>
      </c>
      <c r="U14" s="14">
        <f t="shared" si="3"/>
        <v>27.12875</v>
      </c>
      <c r="V14" s="12"/>
      <c r="W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67"/>
      <c r="M15" s="14"/>
      <c r="N15" s="14"/>
      <c r="O15" s="12"/>
      <c r="V15" s="12"/>
      <c r="W15" s="12"/>
    </row>
    <row r="16" spans="1:23" x14ac:dyDescent="0.25">
      <c r="A16" s="12"/>
      <c r="B16" s="12"/>
      <c r="C16" s="12"/>
      <c r="D16" s="12"/>
      <c r="I16" s="92" t="s">
        <v>10</v>
      </c>
      <c r="J16" s="86">
        <f>XIRR(J6:J14,E6:E14,0)</f>
        <v>0.65349713867187487</v>
      </c>
      <c r="K16" s="12"/>
      <c r="L16" s="67"/>
      <c r="M16" s="14"/>
      <c r="N16" s="14"/>
      <c r="O16" s="12"/>
      <c r="V16" s="12"/>
      <c r="W16" s="12"/>
    </row>
    <row r="17" spans="1:23" x14ac:dyDescent="0.25">
      <c r="A17" s="12"/>
      <c r="B17" s="12"/>
      <c r="C17" s="12"/>
      <c r="D17" s="12"/>
      <c r="I17" s="92" t="s">
        <v>64</v>
      </c>
      <c r="J17" s="71">
        <f>N19/(1+(J16/4))</f>
        <v>0.71769845129970733</v>
      </c>
      <c r="K17" s="12"/>
      <c r="L17" s="67"/>
      <c r="M17" s="14">
        <f>SUM(M7:M14)</f>
        <v>90.082353525317984</v>
      </c>
      <c r="N17" s="14">
        <f>SUM(N7:N14)</f>
        <v>75.214434249209219</v>
      </c>
      <c r="O17" s="12"/>
      <c r="P17" s="12"/>
      <c r="Q17" s="12"/>
      <c r="R17" s="12"/>
      <c r="S17" s="27"/>
      <c r="T17" s="27"/>
      <c r="U17" s="27"/>
      <c r="V17" s="12"/>
      <c r="W17" s="12"/>
    </row>
    <row r="18" spans="1:23" x14ac:dyDescent="0.25">
      <c r="A18" s="12"/>
      <c r="B18" s="12"/>
      <c r="C18" s="12"/>
      <c r="D18" s="12"/>
      <c r="K18" s="12"/>
      <c r="L18" s="67"/>
      <c r="M18" s="14"/>
      <c r="N18" s="14"/>
      <c r="O18" s="12"/>
      <c r="P18" s="12"/>
      <c r="Q18" s="12"/>
      <c r="R18" s="12"/>
      <c r="S18" s="12"/>
      <c r="T18" s="12"/>
      <c r="U18" s="12"/>
      <c r="V18" s="27"/>
      <c r="W18" s="12"/>
    </row>
    <row r="19" spans="1:2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71"/>
      <c r="M19" s="71" t="s">
        <v>22</v>
      </c>
      <c r="N19" s="71">
        <f>N17/M17</f>
        <v>0.83495192238810589</v>
      </c>
      <c r="O19" s="12"/>
      <c r="P19" s="12"/>
      <c r="Q19" s="12"/>
      <c r="R19" s="12"/>
      <c r="S19" s="12"/>
      <c r="T19" s="12"/>
      <c r="U19" s="12"/>
      <c r="V19" s="27"/>
      <c r="W19" s="12"/>
    </row>
    <row r="20" spans="1:23" x14ac:dyDescent="0.25">
      <c r="A20" s="12"/>
      <c r="B20" s="12"/>
      <c r="C20" s="12"/>
      <c r="D20" s="12"/>
      <c r="E20" s="376" t="s">
        <v>92</v>
      </c>
      <c r="F20" s="335"/>
      <c r="G20" s="129"/>
      <c r="H20" s="61">
        <v>0.4</v>
      </c>
      <c r="I20" s="62">
        <f>XNPV(H20,U6:U14,P6:P14)</f>
        <v>103.88453714466803</v>
      </c>
      <c r="J20" s="61">
        <f>(I20/-J6)-1</f>
        <v>0.15427263494075594</v>
      </c>
      <c r="K20" s="12"/>
      <c r="V20" s="12"/>
      <c r="W20" s="12"/>
    </row>
    <row r="21" spans="1:23" x14ac:dyDescent="0.25">
      <c r="A21" s="12"/>
      <c r="B21" s="12"/>
      <c r="C21" s="12"/>
      <c r="D21" s="12"/>
      <c r="E21" s="377"/>
      <c r="F21" s="336"/>
      <c r="G21" s="130"/>
      <c r="H21" s="63">
        <v>0.45</v>
      </c>
      <c r="I21" s="64">
        <f>XNPV(H21,U6:U14,P6:P14)</f>
        <v>100.71798343755287</v>
      </c>
      <c r="J21" s="63">
        <f>(I21/-J6)-1</f>
        <v>0.11908870486169865</v>
      </c>
      <c r="K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s="12"/>
      <c r="B22" s="12"/>
      <c r="C22" s="12"/>
      <c r="D22" s="12"/>
      <c r="V22" s="12"/>
      <c r="W22" s="12"/>
    </row>
    <row r="23" spans="1:23" x14ac:dyDescent="0.25">
      <c r="A23" s="12"/>
      <c r="B23" s="12"/>
      <c r="C23" s="12"/>
      <c r="D23" s="12"/>
      <c r="K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s="12"/>
      <c r="B28" s="12"/>
      <c r="C28" s="12"/>
      <c r="D28" s="12"/>
      <c r="E28" s="12"/>
      <c r="F28" s="12"/>
      <c r="G28" s="12"/>
      <c r="H28" s="14"/>
      <c r="I28" s="12"/>
      <c r="J28" s="12"/>
      <c r="K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s="12"/>
      <c r="B29" s="12"/>
      <c r="C29" s="12"/>
      <c r="D29" s="12"/>
      <c r="E29" s="12"/>
      <c r="F29" s="12"/>
      <c r="G29" s="12"/>
      <c r="H29" s="22"/>
      <c r="I29" s="12"/>
      <c r="J29" s="12"/>
      <c r="K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O37" s="12"/>
      <c r="P37" s="12"/>
      <c r="Q37" s="12"/>
      <c r="R37" s="12"/>
      <c r="S37" s="12"/>
      <c r="T37" s="12"/>
      <c r="U37" s="12"/>
      <c r="V37" s="12"/>
      <c r="W37" s="12"/>
    </row>
  </sheetData>
  <mergeCells count="5">
    <mergeCell ref="B2:J2"/>
    <mergeCell ref="B4:C4"/>
    <mergeCell ref="E4:J4"/>
    <mergeCell ref="P4:U4"/>
    <mergeCell ref="E20:E2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51"/>
  <sheetViews>
    <sheetView showGridLines="0" zoomScale="90" zoomScaleNormal="90" workbookViewId="0">
      <selection activeCell="C7" sqref="C7"/>
    </sheetView>
  </sheetViews>
  <sheetFormatPr baseColWidth="10" defaultRowHeight="15" x14ac:dyDescent="0.25"/>
  <cols>
    <col min="1" max="1" width="4" customWidth="1"/>
    <col min="2" max="2" width="12.28515625" customWidth="1"/>
    <col min="3" max="3" width="11.28515625" customWidth="1"/>
    <col min="4" max="4" width="3.140625" customWidth="1"/>
    <col min="5" max="5" width="12.140625" bestFit="1" customWidth="1"/>
    <col min="6" max="6" width="9.42578125" customWidth="1"/>
    <col min="7" max="7" width="10.85546875" customWidth="1"/>
    <col min="8" max="8" width="10" customWidth="1"/>
    <col min="9" max="9" width="10.140625" customWidth="1"/>
    <col min="10" max="10" width="4.5703125" customWidth="1"/>
    <col min="14" max="14" width="12.5703125" customWidth="1"/>
    <col min="15" max="15" width="12" customWidth="1"/>
    <col min="16" max="16" width="5.140625" customWidth="1"/>
    <col min="22" max="22" width="4.5703125" customWidth="1"/>
    <col min="23" max="23" width="11.7109375" bestFit="1" customWidth="1"/>
  </cols>
  <sheetData>
    <row r="1" spans="1:2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5.75" x14ac:dyDescent="0.25">
      <c r="A2" s="12"/>
      <c r="B2" s="372" t="s">
        <v>38</v>
      </c>
      <c r="C2" s="372"/>
      <c r="D2" s="372"/>
      <c r="E2" s="372"/>
      <c r="F2" s="372"/>
      <c r="G2" s="372"/>
      <c r="H2" s="372"/>
      <c r="I2" s="37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x14ac:dyDescent="0.25">
      <c r="A4" s="12"/>
      <c r="B4" s="373" t="s">
        <v>37</v>
      </c>
      <c r="C4" s="374"/>
      <c r="D4" s="12"/>
      <c r="E4" s="398" t="s">
        <v>36</v>
      </c>
      <c r="F4" s="398"/>
      <c r="G4" s="398"/>
      <c r="H4" s="398"/>
      <c r="I4" s="398"/>
      <c r="J4" s="12"/>
      <c r="K4" s="395" t="s">
        <v>85</v>
      </c>
      <c r="L4" s="395"/>
      <c r="M4" s="395"/>
      <c r="N4" s="395"/>
      <c r="O4" s="395"/>
      <c r="P4" s="12"/>
      <c r="Q4" s="395" t="s">
        <v>85</v>
      </c>
      <c r="R4" s="395"/>
      <c r="S4" s="395"/>
      <c r="T4" s="395"/>
      <c r="U4" s="395"/>
      <c r="V4" s="12"/>
      <c r="W4" s="398" t="s">
        <v>36</v>
      </c>
      <c r="X4" s="398"/>
      <c r="Y4" s="398"/>
      <c r="Z4" s="398"/>
      <c r="AA4" s="398"/>
      <c r="AB4" s="12"/>
    </row>
    <row r="5" spans="1:28" x14ac:dyDescent="0.25">
      <c r="A5" s="12"/>
      <c r="B5" s="24" t="s">
        <v>0</v>
      </c>
      <c r="C5" s="33">
        <v>42573</v>
      </c>
      <c r="D5" s="12"/>
      <c r="E5" s="68" t="s">
        <v>14</v>
      </c>
      <c r="F5" s="68" t="s">
        <v>7</v>
      </c>
      <c r="G5" s="68" t="s">
        <v>8</v>
      </c>
      <c r="H5" s="68" t="s">
        <v>33</v>
      </c>
      <c r="I5" s="68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68" t="s">
        <v>14</v>
      </c>
      <c r="X5" s="68" t="s">
        <v>7</v>
      </c>
      <c r="Y5" s="68" t="s">
        <v>8</v>
      </c>
      <c r="Z5" s="68" t="s">
        <v>33</v>
      </c>
      <c r="AA5" s="68" t="s">
        <v>9</v>
      </c>
      <c r="AB5" s="12"/>
    </row>
    <row r="6" spans="1:28" x14ac:dyDescent="0.25">
      <c r="A6" s="12"/>
      <c r="B6" s="24" t="s">
        <v>1</v>
      </c>
      <c r="C6" s="33">
        <v>44399</v>
      </c>
      <c r="D6" s="12"/>
      <c r="E6" s="69">
        <f>'Planilla de datos'!D3</f>
        <v>44384</v>
      </c>
      <c r="F6" s="70">
        <v>100</v>
      </c>
      <c r="G6" s="26"/>
      <c r="H6" s="26"/>
      <c r="I6" s="71">
        <f>-'Planilla de datos'!C12</f>
        <v>-525.1</v>
      </c>
      <c r="J6" s="12"/>
      <c r="K6" s="15">
        <f>E6</f>
        <v>44384</v>
      </c>
      <c r="L6" s="243">
        <v>100</v>
      </c>
      <c r="M6" s="244"/>
      <c r="N6" s="243"/>
      <c r="O6" s="245">
        <f>I6</f>
        <v>-525.1</v>
      </c>
      <c r="P6" s="12"/>
      <c r="Q6" s="15">
        <f>+K6</f>
        <v>44384</v>
      </c>
      <c r="R6" s="12">
        <f>L6</f>
        <v>100</v>
      </c>
      <c r="S6" s="30"/>
      <c r="T6" s="12"/>
      <c r="U6" s="14">
        <v>0</v>
      </c>
      <c r="V6" s="12"/>
      <c r="W6" s="69">
        <f>+E6</f>
        <v>44384</v>
      </c>
      <c r="X6" s="70">
        <v>100</v>
      </c>
      <c r="Y6" s="26"/>
      <c r="Z6" s="26"/>
      <c r="AA6" s="71">
        <v>0</v>
      </c>
      <c r="AB6" s="12"/>
    </row>
    <row r="7" spans="1:28" x14ac:dyDescent="0.25">
      <c r="A7" s="12"/>
      <c r="B7" s="24" t="s">
        <v>2</v>
      </c>
      <c r="C7" s="25">
        <v>6.1618000000000004</v>
      </c>
      <c r="D7" s="12"/>
      <c r="E7" s="69">
        <v>44399</v>
      </c>
      <c r="F7" s="70">
        <v>100</v>
      </c>
      <c r="G7" s="72">
        <f>(C11*C10)/360*180</f>
        <v>6.4753602843325</v>
      </c>
      <c r="H7" s="74">
        <f>C11</f>
        <v>518.02882274659999</v>
      </c>
      <c r="I7" s="71">
        <f>SUM(G7:H7)</f>
        <v>524.5041830309325</v>
      </c>
      <c r="J7" s="12"/>
      <c r="K7" s="15">
        <f>E7</f>
        <v>44399</v>
      </c>
      <c r="L7" s="243">
        <v>100</v>
      </c>
      <c r="M7" s="245">
        <f>O17*(C10/360*180)</f>
        <v>6.5742153266902523</v>
      </c>
      <c r="N7" s="245">
        <f>O17</f>
        <v>525.93722613522016</v>
      </c>
      <c r="O7" s="245">
        <f>SUM(M7:N7)</f>
        <v>532.51144146191041</v>
      </c>
      <c r="P7" s="12"/>
      <c r="Q7" s="15">
        <f>K7</f>
        <v>44399</v>
      </c>
      <c r="R7" s="12">
        <f>L7</f>
        <v>100</v>
      </c>
      <c r="S7" s="14">
        <f>M7</f>
        <v>6.5742153266902523</v>
      </c>
      <c r="T7" s="14">
        <f>N7</f>
        <v>525.93722613522016</v>
      </c>
      <c r="U7" s="14">
        <f>SUM(S7:T7)</f>
        <v>532.51144146191041</v>
      </c>
      <c r="V7" s="12"/>
      <c r="W7" s="69">
        <f>+E7</f>
        <v>44399</v>
      </c>
      <c r="X7" s="70">
        <v>100</v>
      </c>
      <c r="Y7" s="72">
        <f>+G7</f>
        <v>6.4753602843325</v>
      </c>
      <c r="Z7" s="74">
        <v>334.01036527100166</v>
      </c>
      <c r="AA7" s="71">
        <f>+I7</f>
        <v>524.5041830309325</v>
      </c>
      <c r="AB7" s="12"/>
    </row>
    <row r="8" spans="1:28" x14ac:dyDescent="0.25">
      <c r="A8" s="12"/>
      <c r="B8" s="24" t="s">
        <v>3</v>
      </c>
      <c r="C8" s="25">
        <f>'Planilla de datos'!D64</f>
        <v>31.919899999999998</v>
      </c>
      <c r="D8" s="12"/>
      <c r="E8" s="26"/>
      <c r="F8" s="26"/>
      <c r="G8" s="26"/>
      <c r="H8" s="12"/>
      <c r="I8" s="12"/>
      <c r="J8" s="12"/>
      <c r="P8" s="12"/>
      <c r="AB8" s="12"/>
    </row>
    <row r="9" spans="1:28" x14ac:dyDescent="0.25">
      <c r="A9" s="12"/>
      <c r="B9" s="24" t="s">
        <v>4</v>
      </c>
      <c r="C9" s="34">
        <f>C8/C7</f>
        <v>5.1802882274659998</v>
      </c>
      <c r="D9" s="12"/>
      <c r="E9" s="12">
        <f>E7-E6</f>
        <v>15</v>
      </c>
      <c r="F9" s="12"/>
      <c r="G9" s="12"/>
      <c r="H9" s="92" t="s">
        <v>13</v>
      </c>
      <c r="I9" s="86">
        <f>XIRR(I6:I7,E6:E7,0)</f>
        <v>-2.724795131947845E-2</v>
      </c>
      <c r="J9" s="12"/>
      <c r="K9" s="15"/>
      <c r="L9" s="12"/>
      <c r="M9" s="30"/>
      <c r="N9" s="12"/>
      <c r="O9" s="30"/>
      <c r="P9" s="12"/>
      <c r="V9" s="12"/>
      <c r="AB9" s="12"/>
    </row>
    <row r="10" spans="1:28" x14ac:dyDescent="0.25">
      <c r="A10" s="12"/>
      <c r="B10" s="24" t="s">
        <v>5</v>
      </c>
      <c r="C10" s="35">
        <v>2.5000000000000001E-2</v>
      </c>
      <c r="D10" s="12"/>
      <c r="E10" s="12"/>
      <c r="F10" s="12"/>
      <c r="G10" s="12"/>
      <c r="H10" s="92" t="s">
        <v>64</v>
      </c>
      <c r="I10" s="71">
        <f>MDURATION(E6,E7,C10,0,2)</f>
        <v>4.1666666666666623E-2</v>
      </c>
      <c r="J10" s="12"/>
      <c r="K10" s="15"/>
      <c r="L10" s="12"/>
      <c r="M10" s="12"/>
      <c r="N10" s="92" t="s">
        <v>10</v>
      </c>
      <c r="O10" s="86">
        <f>XIRR(O6:O7,K6:K7,0)</f>
        <v>0.40642046386718755</v>
      </c>
      <c r="P10" s="12"/>
      <c r="Q10" s="15"/>
      <c r="R10" s="12"/>
      <c r="S10" s="30"/>
      <c r="T10" s="12"/>
      <c r="U10" s="30"/>
      <c r="V10" s="12"/>
      <c r="W10" s="12"/>
      <c r="X10" s="12"/>
      <c r="Y10" s="12"/>
      <c r="Z10" s="12"/>
      <c r="AA10" s="12"/>
      <c r="AB10" s="12"/>
    </row>
    <row r="11" spans="1:28" x14ac:dyDescent="0.25">
      <c r="A11" s="12"/>
      <c r="B11" s="36" t="s">
        <v>16</v>
      </c>
      <c r="C11" s="37">
        <f>C9*F6</f>
        <v>518.02882274659999</v>
      </c>
      <c r="D11" s="12"/>
      <c r="J11" s="12"/>
      <c r="K11" s="12"/>
      <c r="L11" s="12"/>
      <c r="M11" s="12"/>
      <c r="N11" s="92" t="s">
        <v>22</v>
      </c>
      <c r="O11" s="71">
        <f>DURATION(K6,K7,C10,O10,2)</f>
        <v>4.1666666666666637E-2</v>
      </c>
      <c r="P11" s="12"/>
      <c r="Q11" s="15"/>
      <c r="R11" s="12"/>
      <c r="S11" s="12"/>
      <c r="T11" s="87"/>
      <c r="U11" s="42"/>
      <c r="V11" s="12"/>
      <c r="W11" s="12"/>
      <c r="X11" s="12"/>
      <c r="Y11" s="12"/>
      <c r="Z11" s="12"/>
      <c r="AA11" s="12"/>
      <c r="AB11" s="12"/>
    </row>
    <row r="12" spans="1:28" x14ac:dyDescent="0.25">
      <c r="A12" s="12"/>
      <c r="B12" s="12"/>
      <c r="C12" s="12"/>
      <c r="D12" s="12"/>
      <c r="J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12"/>
      <c r="B13" s="12"/>
      <c r="C13" s="12"/>
      <c r="D13" s="12"/>
      <c r="E13" s="405" t="s">
        <v>18</v>
      </c>
      <c r="F13" s="405"/>
      <c r="G13" s="76">
        <v>0.35</v>
      </c>
      <c r="H13" s="129">
        <f>XNPV(G13,U6:U7,Q6:Q7)</f>
        <v>525.98427572031699</v>
      </c>
      <c r="I13" s="76">
        <f>(H13+$I$6)/(-$I$6)</f>
        <v>1.6840139408054922E-3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12"/>
      <c r="B14" s="12"/>
      <c r="C14" s="12"/>
      <c r="D14" s="12"/>
      <c r="E14" s="406"/>
      <c r="F14" s="406"/>
      <c r="G14" s="42">
        <v>0.45</v>
      </c>
      <c r="H14" s="109">
        <f>XNPV(G14,U6:U7,Q6:Q7)</f>
        <v>524.44189944075981</v>
      </c>
      <c r="I14" s="42">
        <f>(H14+$I$6)/(-$I$6)</f>
        <v>-1.2532861535711497E-3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12"/>
      <c r="B15" s="12"/>
      <c r="C15" s="12"/>
      <c r="D15" s="12"/>
      <c r="E15" s="407"/>
      <c r="F15" s="407"/>
      <c r="G15" s="78">
        <v>0.4</v>
      </c>
      <c r="H15" s="79">
        <f>XNPV(G15,U6:U7,Q6:Q7)</f>
        <v>525.19874743890603</v>
      </c>
      <c r="I15" s="78">
        <f>(H15+I6)/(-I6)</f>
        <v>1.8805453990859372E-4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ht="28.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38" t="s">
        <v>6</v>
      </c>
      <c r="L16" s="138" t="s">
        <v>58</v>
      </c>
      <c r="M16" s="138" t="s">
        <v>24</v>
      </c>
      <c r="N16" s="138" t="s">
        <v>4</v>
      </c>
      <c r="O16" s="138" t="s">
        <v>59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399" t="s">
        <v>12</v>
      </c>
      <c r="F17" s="399"/>
      <c r="G17" s="399"/>
      <c r="H17" s="399"/>
      <c r="I17" s="399"/>
      <c r="J17" s="12"/>
      <c r="K17" s="155">
        <v>44399</v>
      </c>
      <c r="L17" s="155">
        <v>44384</v>
      </c>
      <c r="M17" s="240">
        <f>+'Serie CER'!H192</f>
        <v>32.407200000000003</v>
      </c>
      <c r="N17" s="159">
        <f>(M17/$C$7)</f>
        <v>5.259372261352202</v>
      </c>
      <c r="O17" s="128">
        <f>100*N17</f>
        <v>525.93722613522016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 t="s">
        <v>183</v>
      </c>
      <c r="O20" s="22">
        <f>(O7+O6)/-O6</f>
        <v>1.4114342909751257E-2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10"/>
      <c r="L21" s="110"/>
      <c r="M21" s="110"/>
      <c r="N21" s="110" t="s">
        <v>17</v>
      </c>
      <c r="O21" s="22">
        <f>O20/E9*365</f>
        <v>0.34344901080394724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2"/>
      <c r="B22" s="12"/>
      <c r="C22" s="12"/>
      <c r="D22" s="12"/>
      <c r="E22" s="12"/>
      <c r="F22" s="110"/>
      <c r="G22" s="110"/>
      <c r="H22" s="110"/>
      <c r="I22" s="110"/>
      <c r="J22" s="110"/>
      <c r="K22" s="110"/>
      <c r="L22" s="110"/>
      <c r="M22" s="110"/>
      <c r="N22" s="110" t="s">
        <v>150</v>
      </c>
      <c r="O22" s="22">
        <f>(1+O20)^(365/E9)-1</f>
        <v>0.40642046645105223</v>
      </c>
      <c r="P22" s="110"/>
      <c r="Q22" s="110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2"/>
      <c r="B23" s="12"/>
      <c r="C23" s="12"/>
      <c r="D23" s="12"/>
      <c r="E23" s="12"/>
      <c r="F23" s="110"/>
      <c r="G23" s="110"/>
      <c r="H23" s="110"/>
      <c r="I23" s="110"/>
      <c r="J23" s="110"/>
      <c r="P23" s="110"/>
      <c r="Q23" s="110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2"/>
      <c r="B24" s="12"/>
      <c r="C24" s="12"/>
      <c r="D24" s="12"/>
      <c r="E24" s="12"/>
      <c r="F24" s="110"/>
      <c r="G24" s="110"/>
      <c r="H24" s="110"/>
      <c r="I24" s="110"/>
      <c r="J24" s="110"/>
      <c r="K24" s="134"/>
      <c r="L24" s="134"/>
      <c r="M24" s="134"/>
      <c r="N24" s="134"/>
      <c r="O24" s="134"/>
      <c r="P24" s="134"/>
      <c r="Q24" s="110"/>
      <c r="R24" s="12"/>
      <c r="S24" s="12"/>
      <c r="T24" s="12"/>
      <c r="U24" s="12"/>
      <c r="V24" s="12"/>
      <c r="W24" s="404" t="s">
        <v>41</v>
      </c>
      <c r="X24" s="404"/>
      <c r="Y24" s="404"/>
      <c r="Z24" s="12"/>
      <c r="AA24" s="12"/>
      <c r="AB24" s="12"/>
    </row>
    <row r="25" spans="1:28" x14ac:dyDescent="0.25">
      <c r="A25" s="12"/>
      <c r="B25" s="12"/>
      <c r="C25" s="12"/>
      <c r="D25" s="12"/>
      <c r="E25" s="12"/>
      <c r="F25" s="110"/>
      <c r="G25" s="110"/>
      <c r="H25" s="110"/>
      <c r="I25" s="110"/>
      <c r="J25" s="110"/>
      <c r="K25" s="110"/>
      <c r="L25" s="110"/>
      <c r="M25" s="110"/>
      <c r="N25" s="110"/>
      <c r="O25" s="115"/>
      <c r="P25" s="110"/>
      <c r="Q25" s="110"/>
      <c r="R25" s="12"/>
      <c r="S25" s="12"/>
      <c r="T25" s="12"/>
      <c r="U25" s="12"/>
      <c r="V25" s="12"/>
      <c r="W25" s="404" t="s">
        <v>82</v>
      </c>
      <c r="X25" s="404"/>
      <c r="Y25" s="404"/>
      <c r="Z25" s="12"/>
      <c r="AA25" s="12"/>
      <c r="AB25" s="12"/>
    </row>
    <row r="26" spans="1:28" x14ac:dyDescent="0.25">
      <c r="A26" s="12"/>
      <c r="B26" s="12"/>
      <c r="C26" s="26"/>
      <c r="D26" s="26"/>
      <c r="E26" s="26"/>
      <c r="F26" s="95"/>
      <c r="G26" s="95"/>
      <c r="H26" s="95"/>
      <c r="I26" s="95"/>
      <c r="J26" s="95"/>
      <c r="K26" s="403"/>
      <c r="L26" s="403"/>
      <c r="M26" s="110"/>
      <c r="N26" s="111"/>
      <c r="O26" s="111"/>
      <c r="P26" s="111"/>
      <c r="Q26" s="110"/>
      <c r="R26" s="12"/>
      <c r="S26" s="12"/>
      <c r="T26" s="12"/>
      <c r="U26" s="12"/>
      <c r="V26" s="12"/>
      <c r="W26" s="108" t="s">
        <v>10</v>
      </c>
      <c r="X26" s="108" t="s">
        <v>83</v>
      </c>
      <c r="Y26" s="108" t="s">
        <v>84</v>
      </c>
      <c r="Z26" s="12"/>
      <c r="AA26" s="12"/>
      <c r="AB26" s="12"/>
    </row>
    <row r="27" spans="1:28" x14ac:dyDescent="0.25">
      <c r="A27" s="12"/>
      <c r="B27" s="12"/>
      <c r="C27" s="26"/>
      <c r="D27" s="26"/>
      <c r="E27" s="26"/>
      <c r="F27" s="95"/>
      <c r="G27" s="95"/>
      <c r="H27" s="95"/>
      <c r="I27" s="95"/>
      <c r="J27" s="95"/>
      <c r="K27" s="112"/>
      <c r="L27" s="112"/>
      <c r="M27" s="110"/>
      <c r="N27" s="121"/>
      <c r="O27" s="110"/>
      <c r="P27" s="114"/>
      <c r="Q27" s="110"/>
      <c r="R27" s="12"/>
      <c r="S27" s="12"/>
      <c r="T27" s="12"/>
      <c r="U27" s="12"/>
      <c r="V27" s="12"/>
      <c r="W27" s="227">
        <v>0.15</v>
      </c>
      <c r="X27" s="241">
        <f>XNPV(W27,AA6:AA7,W6:W7)</f>
        <v>521.50025405906842</v>
      </c>
      <c r="Y27" s="242">
        <f t="shared" ref="Y27:Y32" si="0">(X27+$I$6)/(-$I$6)</f>
        <v>-6.8553531535547468E-3</v>
      </c>
      <c r="Z27" s="12"/>
      <c r="AA27" s="12"/>
      <c r="AB27" s="12"/>
    </row>
    <row r="28" spans="1:28" x14ac:dyDescent="0.25">
      <c r="A28" s="12"/>
      <c r="B28" s="12"/>
      <c r="C28" s="26"/>
      <c r="D28" s="26"/>
      <c r="E28" s="26"/>
      <c r="F28" s="95"/>
      <c r="G28" s="95"/>
      <c r="H28" s="95"/>
      <c r="I28" s="95"/>
      <c r="J28" s="95"/>
      <c r="K28" s="113"/>
      <c r="L28" s="115"/>
      <c r="M28" s="110"/>
      <c r="N28" s="121"/>
      <c r="O28" s="110"/>
      <c r="P28" s="114"/>
      <c r="Q28" s="110"/>
      <c r="R28" s="12"/>
      <c r="S28" s="12"/>
      <c r="T28" s="12"/>
      <c r="U28" s="12"/>
      <c r="V28" s="12"/>
      <c r="W28" s="227">
        <v>0.14000000000000001</v>
      </c>
      <c r="X28" s="241">
        <f>XNPV(W28,AA6:AA7,W6:W7)</f>
        <v>521.6874636667975</v>
      </c>
      <c r="Y28" s="242">
        <f t="shared" si="0"/>
        <v>-6.4988313334651002E-3</v>
      </c>
      <c r="Z28" s="12"/>
      <c r="AA28" s="12"/>
      <c r="AB28" s="12"/>
    </row>
    <row r="29" spans="1:28" x14ac:dyDescent="0.25">
      <c r="A29" s="12"/>
      <c r="B29" s="12"/>
      <c r="C29" s="26"/>
      <c r="D29" s="26"/>
      <c r="E29" s="26"/>
      <c r="F29" s="95"/>
      <c r="G29" s="95"/>
      <c r="H29" s="95"/>
      <c r="I29" s="95"/>
      <c r="J29" s="95"/>
      <c r="K29" s="114"/>
      <c r="L29" s="110"/>
      <c r="M29" s="110"/>
      <c r="N29" s="121"/>
      <c r="O29" s="110"/>
      <c r="P29" s="114"/>
      <c r="Q29" s="110"/>
      <c r="R29" s="12"/>
      <c r="S29" s="12"/>
      <c r="T29" s="12"/>
      <c r="U29" s="12"/>
      <c r="V29" s="12"/>
      <c r="W29" s="227">
        <v>0.13</v>
      </c>
      <c r="X29" s="241">
        <f>XNPV(W29,AA6:AA7,W6:W7)</f>
        <v>521.87639081551822</v>
      </c>
      <c r="Y29" s="242">
        <f t="shared" si="0"/>
        <v>-6.1390386297501464E-3</v>
      </c>
      <c r="Z29" s="12"/>
      <c r="AA29" s="12"/>
      <c r="AB29" s="12"/>
    </row>
    <row r="30" spans="1:28" x14ac:dyDescent="0.25">
      <c r="A30" s="12"/>
      <c r="B30" s="12"/>
      <c r="C30" s="26"/>
      <c r="D30" s="26"/>
      <c r="E30" s="26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110"/>
      <c r="R30" s="12"/>
      <c r="S30" s="12"/>
      <c r="T30" s="12"/>
      <c r="U30" s="12"/>
      <c r="V30" s="12"/>
      <c r="W30" s="227">
        <v>0.12</v>
      </c>
      <c r="X30" s="241">
        <f>XNPV(W30,AA6:AA7,W6:W7)</f>
        <v>522.06706667299079</v>
      </c>
      <c r="Y30" s="242">
        <f t="shared" si="0"/>
        <v>-5.7759156865534794E-3</v>
      </c>
      <c r="Z30" s="12"/>
      <c r="AA30" s="12"/>
      <c r="AB30" s="12"/>
    </row>
    <row r="31" spans="1:28" x14ac:dyDescent="0.25">
      <c r="A31" s="12"/>
      <c r="B31" s="12"/>
      <c r="C31" s="26"/>
      <c r="D31" s="26"/>
      <c r="E31" s="26"/>
      <c r="F31" s="117"/>
      <c r="G31" s="135"/>
      <c r="H31" s="117"/>
      <c r="I31" s="117"/>
      <c r="J31" s="117"/>
      <c r="K31" s="117"/>
      <c r="L31" s="118"/>
      <c r="M31" s="95"/>
      <c r="N31" s="401"/>
      <c r="O31" s="401"/>
      <c r="P31" s="95"/>
      <c r="Q31" s="110"/>
      <c r="R31" s="12"/>
      <c r="S31" s="12"/>
      <c r="T31" s="12"/>
      <c r="U31" s="12"/>
      <c r="V31" s="12"/>
      <c r="W31" s="227">
        <v>0.11</v>
      </c>
      <c r="X31" s="241">
        <f>XNPV(W31,AA6:AA7,W6:W7)</f>
        <v>522.25952325723608</v>
      </c>
      <c r="Y31" s="242">
        <f t="shared" si="0"/>
        <v>-5.4094015287829743E-3</v>
      </c>
      <c r="Z31" s="12"/>
      <c r="AA31" s="12"/>
      <c r="AB31" s="12"/>
    </row>
    <row r="32" spans="1:28" x14ac:dyDescent="0.25">
      <c r="A32" s="12"/>
      <c r="B32" s="12"/>
      <c r="C32" s="26"/>
      <c r="D32" s="26"/>
      <c r="E32" s="26"/>
      <c r="F32" s="402"/>
      <c r="G32" s="402"/>
      <c r="H32" s="402"/>
      <c r="I32" s="402"/>
      <c r="J32" s="402"/>
      <c r="K32" s="402"/>
      <c r="L32" s="120"/>
      <c r="M32" s="95"/>
      <c r="N32" s="95"/>
      <c r="O32" s="276"/>
      <c r="P32" s="136"/>
      <c r="Q32" s="110"/>
      <c r="R32" s="12"/>
      <c r="S32" s="12"/>
      <c r="T32" s="12"/>
      <c r="U32" s="12"/>
      <c r="V32" s="12"/>
      <c r="W32" s="227">
        <v>0.1</v>
      </c>
      <c r="X32" s="241">
        <f>XNPV(W32,AA6:AA7,W6:W7)</f>
        <v>522.45379346763718</v>
      </c>
      <c r="Y32" s="242">
        <f t="shared" si="0"/>
        <v>-5.0394335028810496E-3</v>
      </c>
      <c r="Z32" s="12"/>
      <c r="AA32" s="12"/>
      <c r="AB32" s="12"/>
    </row>
    <row r="33" spans="1:28" x14ac:dyDescent="0.25">
      <c r="A33" s="12"/>
      <c r="B33" s="12"/>
      <c r="C33" s="26"/>
      <c r="D33" s="26"/>
      <c r="E33" s="26"/>
      <c r="F33" s="28"/>
      <c r="G33" s="95"/>
      <c r="H33" s="95"/>
      <c r="I33" s="120"/>
      <c r="J33" s="137"/>
      <c r="K33" s="98"/>
      <c r="L33" s="120"/>
      <c r="M33" s="95"/>
      <c r="N33" s="95"/>
      <c r="O33" s="120"/>
      <c r="P33" s="95"/>
      <c r="Q33" s="110"/>
      <c r="R33" s="12"/>
      <c r="S33" s="12"/>
      <c r="T33" s="12"/>
      <c r="U33" s="12"/>
      <c r="V33" s="12"/>
      <c r="W33" s="227">
        <v>0.09</v>
      </c>
      <c r="X33" s="241">
        <f>XNPV(W33,AA6:AA7,W6:W7)</f>
        <v>522.64991111747293</v>
      </c>
      <c r="Y33" s="242">
        <f t="shared" ref="Y33:Y40" si="1">(X33+$I$6)/(-$I$6)</f>
        <v>-4.6659472148678303E-3</v>
      </c>
      <c r="Z33" s="12"/>
      <c r="AA33" s="12"/>
      <c r="AB33" s="12"/>
    </row>
    <row r="34" spans="1:28" x14ac:dyDescent="0.25">
      <c r="A34" s="12"/>
      <c r="B34" s="12"/>
      <c r="C34" s="26"/>
      <c r="D34" s="26"/>
      <c r="E34" s="26"/>
      <c r="F34" s="28"/>
      <c r="G34" s="95"/>
      <c r="H34" s="95"/>
      <c r="I34" s="120"/>
      <c r="J34" s="137"/>
      <c r="K34" s="98"/>
      <c r="L34" s="120"/>
      <c r="M34" s="95"/>
      <c r="N34" s="95"/>
      <c r="O34" s="95"/>
      <c r="P34" s="95"/>
      <c r="Q34" s="110"/>
      <c r="R34" s="12"/>
      <c r="S34" s="12"/>
      <c r="T34" s="12"/>
      <c r="U34" s="12"/>
      <c r="V34" s="12"/>
      <c r="W34" s="227">
        <v>0.08</v>
      </c>
      <c r="X34" s="241">
        <f>XNPV(W34,AA6:AA7,W6:W7)</f>
        <v>522.84791096796425</v>
      </c>
      <c r="Y34" s="242">
        <f t="shared" si="1"/>
        <v>-4.2888764655032744E-3</v>
      </c>
      <c r="Z34" s="12"/>
      <c r="AA34" s="12"/>
      <c r="AB34" s="12"/>
    </row>
    <row r="35" spans="1:28" x14ac:dyDescent="0.25">
      <c r="A35" s="12"/>
      <c r="B35" s="12"/>
      <c r="C35" s="26"/>
      <c r="D35" s="26"/>
      <c r="E35" s="26"/>
      <c r="F35" s="28"/>
      <c r="G35" s="95"/>
      <c r="H35" s="95"/>
      <c r="I35" s="120"/>
      <c r="J35" s="137"/>
      <c r="K35" s="98"/>
      <c r="L35" s="95"/>
      <c r="M35" s="95"/>
      <c r="N35" s="95"/>
      <c r="O35" s="127"/>
      <c r="P35" s="95"/>
      <c r="Q35" s="110"/>
      <c r="R35" s="12"/>
      <c r="S35" s="12"/>
      <c r="T35" s="12"/>
      <c r="U35" s="12"/>
      <c r="V35" s="12"/>
      <c r="W35" s="227">
        <v>7.0000000000000007E-2</v>
      </c>
      <c r="X35" s="241">
        <f>XNPV(W35,AA6:AA7,W6:W7)</f>
        <v>523.04782876391641</v>
      </c>
      <c r="Y35" s="242">
        <f t="shared" si="1"/>
        <v>-3.9081531824102251E-3</v>
      </c>
      <c r="Z35" s="12"/>
      <c r="AA35" s="12"/>
      <c r="AB35" s="12"/>
    </row>
    <row r="36" spans="1:28" x14ac:dyDescent="0.25">
      <c r="A36" s="12"/>
      <c r="B36" s="12"/>
      <c r="C36" s="26"/>
      <c r="D36" s="26"/>
      <c r="E36" s="26"/>
      <c r="F36" s="83"/>
      <c r="G36" s="26"/>
      <c r="H36" s="26"/>
      <c r="I36" s="82"/>
      <c r="J36" s="84"/>
      <c r="K36" s="71"/>
      <c r="L36" s="26"/>
      <c r="M36" s="26"/>
      <c r="N36" s="26"/>
      <c r="O36" s="26"/>
      <c r="P36" s="26"/>
      <c r="Q36" s="12"/>
      <c r="R36" s="12"/>
      <c r="S36" s="12"/>
      <c r="T36" s="12"/>
      <c r="U36" s="12"/>
      <c r="V36" s="12"/>
      <c r="W36" s="227">
        <v>0.06</v>
      </c>
      <c r="X36" s="241">
        <f>XNPV(W36,AA6:AA7,W6:W7)</f>
        <v>523.24970127104916</v>
      </c>
      <c r="Y36" s="242">
        <f t="shared" si="1"/>
        <v>-3.5237073489827859E-3</v>
      </c>
      <c r="Z36" s="12"/>
      <c r="AA36" s="12"/>
      <c r="AB36" s="12"/>
    </row>
    <row r="37" spans="1:28" x14ac:dyDescent="0.25">
      <c r="A37" s="12"/>
      <c r="B37" s="12"/>
      <c r="C37" s="26"/>
      <c r="D37" s="26"/>
      <c r="E37" s="26"/>
      <c r="F37" s="83"/>
      <c r="G37" s="26"/>
      <c r="H37" s="26"/>
      <c r="I37" s="82"/>
      <c r="J37" s="84"/>
      <c r="K37" s="71"/>
      <c r="L37" s="26"/>
      <c r="M37" s="26"/>
      <c r="N37" s="26"/>
      <c r="O37" s="71"/>
      <c r="P37" s="26"/>
      <c r="Q37" s="12"/>
      <c r="R37" s="12"/>
      <c r="S37" s="12"/>
      <c r="T37" s="12"/>
      <c r="U37" s="12"/>
      <c r="V37" s="12"/>
      <c r="W37" s="227">
        <v>0.05</v>
      </c>
      <c r="X37" s="241">
        <f>XNPV(W37,AA6:AA7,W6:W7)</f>
        <v>523.45356631511174</v>
      </c>
      <c r="Y37" s="242">
        <f t="shared" si="1"/>
        <v>-3.1354669298957901E-3</v>
      </c>
      <c r="Z37" s="12"/>
      <c r="AA37" s="12"/>
      <c r="AB37" s="12"/>
    </row>
    <row r="38" spans="1:28" x14ac:dyDescent="0.25">
      <c r="A38" s="12"/>
      <c r="B38" s="12"/>
      <c r="C38" s="26"/>
      <c r="D38" s="26"/>
      <c r="E38" s="26"/>
      <c r="F38" s="83"/>
      <c r="G38" s="26"/>
      <c r="H38" s="26"/>
      <c r="I38" s="82"/>
      <c r="J38" s="84"/>
      <c r="K38" s="71"/>
      <c r="L38" s="26"/>
      <c r="M38" s="26"/>
      <c r="N38" s="26"/>
      <c r="O38" s="26"/>
      <c r="P38" s="26"/>
      <c r="Q38" s="12"/>
      <c r="R38" s="12"/>
      <c r="S38" s="12"/>
      <c r="T38" s="12"/>
      <c r="U38" s="12"/>
      <c r="V38" s="12"/>
      <c r="W38" s="227">
        <v>0.04</v>
      </c>
      <c r="X38" s="241">
        <f>XNPV(W38,AA6:AA7,W6:W7)</f>
        <v>523.6594628228836</v>
      </c>
      <c r="Y38" s="242">
        <f t="shared" si="1"/>
        <v>-2.7433577930230917E-3</v>
      </c>
      <c r="Z38" s="12"/>
      <c r="AA38" s="12"/>
      <c r="AB38" s="12"/>
    </row>
    <row r="39" spans="1:28" x14ac:dyDescent="0.25">
      <c r="A39" s="12"/>
      <c r="B39" s="12"/>
      <c r="C39" s="26"/>
      <c r="D39" s="26"/>
      <c r="E39" s="26"/>
      <c r="F39" s="400"/>
      <c r="G39" s="400"/>
      <c r="H39" s="400"/>
      <c r="I39" s="400"/>
      <c r="J39" s="400"/>
      <c r="K39" s="400"/>
      <c r="L39" s="26"/>
      <c r="M39" s="26"/>
      <c r="N39" s="26"/>
      <c r="O39" s="26"/>
      <c r="P39" s="26"/>
      <c r="Q39" s="12"/>
      <c r="R39" s="12"/>
      <c r="S39" s="12"/>
      <c r="T39" s="12"/>
      <c r="U39" s="12"/>
      <c r="V39" s="12"/>
      <c r="W39" s="227">
        <v>0.03</v>
      </c>
      <c r="X39" s="241">
        <f>XNPV(W39,AA6:AA7,W6:W7)</f>
        <v>523.86743086517447</v>
      </c>
      <c r="Y39" s="242">
        <f t="shared" si="1"/>
        <v>-2.3473036275481873E-3</v>
      </c>
      <c r="Z39" s="12"/>
      <c r="AA39" s="12"/>
      <c r="AB39" s="12"/>
    </row>
    <row r="40" spans="1:28" x14ac:dyDescent="0.25">
      <c r="A40" s="12"/>
      <c r="B40" s="12"/>
      <c r="C40" s="26"/>
      <c r="D40" s="26"/>
      <c r="E40" s="26"/>
      <c r="F40" s="83"/>
      <c r="G40" s="26"/>
      <c r="H40" s="26"/>
      <c r="I40" s="82"/>
      <c r="J40" s="84"/>
      <c r="K40" s="71"/>
      <c r="L40" s="26"/>
      <c r="M40" s="26"/>
      <c r="N40" s="26"/>
      <c r="O40" s="26"/>
      <c r="P40" s="26"/>
      <c r="Q40" s="12"/>
      <c r="R40" s="12"/>
      <c r="S40" s="12"/>
      <c r="T40" s="12"/>
      <c r="U40" s="12"/>
      <c r="V40" s="12"/>
      <c r="W40" s="227">
        <v>0.02</v>
      </c>
      <c r="X40" s="241">
        <f>XNPV(W40,AA6:AA7,W6:W7)</f>
        <v>524.07751170193831</v>
      </c>
      <c r="Y40" s="242">
        <f t="shared" si="1"/>
        <v>-1.9472258580493557E-3</v>
      </c>
      <c r="Z40" s="12"/>
      <c r="AA40" s="12"/>
      <c r="AB40" s="12"/>
    </row>
    <row r="41" spans="1:28" x14ac:dyDescent="0.25">
      <c r="A41" s="12"/>
      <c r="B41" s="12"/>
      <c r="C41" s="26"/>
      <c r="D41" s="26"/>
      <c r="E41" s="26"/>
      <c r="F41" s="83"/>
      <c r="G41" s="26"/>
      <c r="H41" s="26"/>
      <c r="I41" s="82"/>
      <c r="J41" s="84"/>
      <c r="K41" s="71"/>
      <c r="L41" s="26"/>
      <c r="M41" s="26"/>
      <c r="N41" s="26"/>
      <c r="O41" s="26"/>
      <c r="P41" s="26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2"/>
      <c r="B42" s="12"/>
      <c r="C42" s="26"/>
      <c r="D42" s="26"/>
      <c r="E42" s="26"/>
      <c r="F42" s="26"/>
      <c r="G42" s="26"/>
      <c r="H42" s="26"/>
      <c r="I42" s="26"/>
      <c r="J42" s="26"/>
      <c r="K42" s="71"/>
      <c r="L42" s="26"/>
      <c r="M42" s="26"/>
      <c r="N42" s="26"/>
      <c r="O42" s="26"/>
      <c r="P42" s="26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x14ac:dyDescent="0.25">
      <c r="A43" s="12"/>
      <c r="B43" s="12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2"/>
      <c r="B44" s="1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x14ac:dyDescent="0.25">
      <c r="A45" s="12"/>
      <c r="B45" s="1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25">
      <c r="A46" s="12"/>
      <c r="B46" s="1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25">
      <c r="A47" s="12"/>
      <c r="B47" s="1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14">
    <mergeCell ref="W4:AA4"/>
    <mergeCell ref="W24:Y24"/>
    <mergeCell ref="W25:Y25"/>
    <mergeCell ref="Q4:U4"/>
    <mergeCell ref="E13:F15"/>
    <mergeCell ref="B2:I2"/>
    <mergeCell ref="F39:K39"/>
    <mergeCell ref="N31:O31"/>
    <mergeCell ref="E4:I4"/>
    <mergeCell ref="B4:C4"/>
    <mergeCell ref="F32:K32"/>
    <mergeCell ref="E17:I17"/>
    <mergeCell ref="K26:L26"/>
    <mergeCell ref="K4:O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158"/>
  <sheetViews>
    <sheetView showGridLines="0" zoomScale="90" zoomScaleNormal="90" workbookViewId="0">
      <selection activeCell="E33" sqref="E33"/>
    </sheetView>
  </sheetViews>
  <sheetFormatPr baseColWidth="10" defaultRowHeight="15" x14ac:dyDescent="0.25"/>
  <cols>
    <col min="1" max="1" width="4.28515625" customWidth="1"/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0" max="10" width="4.42578125" customWidth="1"/>
    <col min="11" max="11" width="11.28515625" customWidth="1"/>
    <col min="12" max="13" width="11" customWidth="1"/>
    <col min="14" max="14" width="11.140625" customWidth="1"/>
    <col min="15" max="15" width="11.85546875" bestFit="1" customWidth="1"/>
    <col min="16" max="16" width="5.28515625" customWidth="1"/>
    <col min="22" max="22" width="4.140625" customWidth="1"/>
  </cols>
  <sheetData>
    <row r="1" spans="1:3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3" ht="15.75" x14ac:dyDescent="0.25">
      <c r="A2" s="12"/>
      <c r="B2" s="372" t="s">
        <v>39</v>
      </c>
      <c r="C2" s="372"/>
      <c r="D2" s="372"/>
      <c r="E2" s="372"/>
      <c r="F2" s="372"/>
      <c r="G2" s="372"/>
      <c r="H2" s="372"/>
      <c r="I2" s="37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3" x14ac:dyDescent="0.25">
      <c r="A4" s="12"/>
      <c r="B4" s="373" t="s">
        <v>34</v>
      </c>
      <c r="C4" s="374"/>
      <c r="D4" s="12"/>
      <c r="E4" s="395" t="s">
        <v>35</v>
      </c>
      <c r="F4" s="395"/>
      <c r="G4" s="395"/>
      <c r="H4" s="395"/>
      <c r="I4" s="395"/>
      <c r="J4" s="12"/>
      <c r="K4" s="395" t="s">
        <v>86</v>
      </c>
      <c r="L4" s="395"/>
      <c r="M4" s="395"/>
      <c r="N4" s="395"/>
      <c r="O4" s="395"/>
      <c r="P4" s="12"/>
      <c r="Q4" s="395" t="s">
        <v>86</v>
      </c>
      <c r="R4" s="395"/>
      <c r="S4" s="395"/>
      <c r="T4" s="395"/>
      <c r="U4" s="395"/>
      <c r="V4" s="12"/>
      <c r="W4" s="395" t="s">
        <v>35</v>
      </c>
      <c r="X4" s="395"/>
      <c r="Y4" s="395"/>
      <c r="Z4" s="395"/>
      <c r="AA4" s="395"/>
      <c r="AB4" s="12"/>
      <c r="AC4" s="395" t="s">
        <v>35</v>
      </c>
      <c r="AD4" s="395"/>
      <c r="AE4" s="395"/>
      <c r="AF4" s="395"/>
      <c r="AG4" s="395"/>
    </row>
    <row r="5" spans="1:33" x14ac:dyDescent="0.25">
      <c r="A5" s="12"/>
      <c r="B5" s="24" t="s">
        <v>0</v>
      </c>
      <c r="C5" s="32">
        <v>43866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B5" s="12"/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1:33" x14ac:dyDescent="0.25">
      <c r="A6" s="12"/>
      <c r="B6" s="24" t="s">
        <v>1</v>
      </c>
      <c r="C6" s="33">
        <v>44413</v>
      </c>
      <c r="D6" s="12"/>
      <c r="E6" s="15">
        <f>+'Planilla de datos'!D3</f>
        <v>44384</v>
      </c>
      <c r="F6" s="12">
        <v>100</v>
      </c>
      <c r="G6" s="30"/>
      <c r="H6" s="12"/>
      <c r="I6" s="14">
        <f>-'Planilla de datos'!C11</f>
        <v>-166.8</v>
      </c>
      <c r="J6" s="12"/>
      <c r="K6" s="15">
        <f>E6</f>
        <v>44384</v>
      </c>
      <c r="L6" s="12">
        <v>100</v>
      </c>
      <c r="M6" s="30"/>
      <c r="N6" s="12"/>
      <c r="O6" s="14">
        <f>I6</f>
        <v>-166.8</v>
      </c>
      <c r="P6" s="12"/>
      <c r="Q6" s="15">
        <f>+K6</f>
        <v>44384</v>
      </c>
      <c r="R6" s="12">
        <f>L6</f>
        <v>100</v>
      </c>
      <c r="S6" s="30"/>
      <c r="T6" s="12"/>
      <c r="U6" s="14">
        <v>0</v>
      </c>
      <c r="V6" s="12"/>
      <c r="W6" s="15">
        <f>+E6</f>
        <v>44384</v>
      </c>
      <c r="X6" s="12">
        <f>+F6</f>
        <v>100</v>
      </c>
      <c r="Y6" s="30"/>
      <c r="Z6" s="12"/>
      <c r="AA6" s="14">
        <v>0</v>
      </c>
      <c r="AB6" s="12"/>
      <c r="AC6" s="15">
        <f>+W6</f>
        <v>44384</v>
      </c>
      <c r="AD6" s="12">
        <f>+X6</f>
        <v>100</v>
      </c>
      <c r="AE6" s="30"/>
      <c r="AF6" s="12"/>
      <c r="AG6" s="14">
        <f>-X39</f>
        <v>-166.44528712739842</v>
      </c>
    </row>
    <row r="7" spans="1:33" x14ac:dyDescent="0.25">
      <c r="A7" s="12"/>
      <c r="B7" s="24" t="s">
        <v>2</v>
      </c>
      <c r="C7" s="34">
        <v>19.242999999999999</v>
      </c>
      <c r="D7" s="12"/>
      <c r="E7" s="15">
        <v>44413</v>
      </c>
      <c r="F7" s="12">
        <v>100</v>
      </c>
      <c r="G7" s="14">
        <f>C11*$C$10*(180/360)</f>
        <v>0.82938990801850032</v>
      </c>
      <c r="H7" s="14">
        <f>+C11</f>
        <v>165.87798160370005</v>
      </c>
      <c r="I7" s="14">
        <f>SUM(G7:H7)</f>
        <v>166.70737151171855</v>
      </c>
      <c r="J7" s="12"/>
      <c r="K7" s="15">
        <v>44413</v>
      </c>
      <c r="L7" s="12">
        <v>100</v>
      </c>
      <c r="M7" s="14">
        <f>O15*$C$10*(180/360)</f>
        <v>0.85506196355544772</v>
      </c>
      <c r="N7" s="14">
        <f>O15</f>
        <v>171.01239271108955</v>
      </c>
      <c r="O7" s="14">
        <f>SUM(M7:N7)</f>
        <v>171.86745467464499</v>
      </c>
      <c r="P7" s="12"/>
      <c r="Q7" s="15">
        <v>44413</v>
      </c>
      <c r="R7" s="12">
        <f>L7</f>
        <v>100</v>
      </c>
      <c r="S7" s="14">
        <f>M7</f>
        <v>0.85506196355544772</v>
      </c>
      <c r="T7" s="14">
        <f>N7</f>
        <v>171.01239271108955</v>
      </c>
      <c r="U7" s="14">
        <f>SUM(S7:T7)</f>
        <v>171.86745467464499</v>
      </c>
      <c r="V7" s="12"/>
      <c r="W7" s="15">
        <f>+E7</f>
        <v>44413</v>
      </c>
      <c r="X7" s="12">
        <f>+F7</f>
        <v>100</v>
      </c>
      <c r="Y7" s="14">
        <f>+G7</f>
        <v>0.82938990801850032</v>
      </c>
      <c r="Z7" s="14">
        <f>+H7</f>
        <v>165.87798160370005</v>
      </c>
      <c r="AA7" s="14">
        <f>+I7</f>
        <v>166.70737151171855</v>
      </c>
      <c r="AB7" s="12"/>
      <c r="AC7" s="15">
        <f>+W7</f>
        <v>44413</v>
      </c>
      <c r="AD7" s="12">
        <f>+X7</f>
        <v>100</v>
      </c>
      <c r="AE7" s="14">
        <f>+Y7</f>
        <v>0.82938990801850032</v>
      </c>
      <c r="AF7" s="14">
        <f>+Z7</f>
        <v>165.87798160370005</v>
      </c>
      <c r="AG7" s="14">
        <f>+AA7</f>
        <v>166.70737151171855</v>
      </c>
    </row>
    <row r="8" spans="1:33" x14ac:dyDescent="0.25">
      <c r="A8" s="12"/>
      <c r="B8" s="24" t="s">
        <v>3</v>
      </c>
      <c r="C8" s="34">
        <f>'Planilla de datos'!D64</f>
        <v>31.919899999999998</v>
      </c>
      <c r="D8" s="12"/>
      <c r="E8" s="15"/>
      <c r="F8" s="12"/>
      <c r="G8" s="30"/>
      <c r="H8" s="12"/>
      <c r="I8" s="30"/>
      <c r="J8" s="12"/>
      <c r="K8" s="15"/>
      <c r="L8" s="12"/>
      <c r="M8" s="30"/>
      <c r="N8" s="12"/>
      <c r="O8" s="30"/>
      <c r="P8" s="12"/>
      <c r="Q8" s="15"/>
      <c r="R8" s="12"/>
      <c r="S8" s="30"/>
      <c r="T8" s="12"/>
      <c r="U8" s="30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3" x14ac:dyDescent="0.25">
      <c r="A9" s="12"/>
      <c r="B9" s="24" t="s">
        <v>4</v>
      </c>
      <c r="C9" s="34">
        <f>((C8-C7)/C7)+1</f>
        <v>1.6587798160370006</v>
      </c>
      <c r="D9" s="12"/>
      <c r="E9" s="12">
        <f>E7-E6</f>
        <v>29</v>
      </c>
      <c r="F9" s="12"/>
      <c r="G9" s="12"/>
      <c r="H9" s="92" t="s">
        <v>13</v>
      </c>
      <c r="I9" s="86">
        <f>XIRR(I6:I7,E6:E7,0)</f>
        <v>-6.9670180949196209E-3</v>
      </c>
      <c r="J9" s="12"/>
      <c r="K9" s="15"/>
      <c r="L9" s="12"/>
      <c r="M9" s="12"/>
      <c r="N9" s="92" t="s">
        <v>10</v>
      </c>
      <c r="O9" s="86">
        <f>XIRR(O6:O7,K6:K7,0)</f>
        <v>0.45743927246093752</v>
      </c>
      <c r="P9" s="12"/>
      <c r="Q9" s="15"/>
      <c r="R9" s="12"/>
      <c r="S9" s="12"/>
      <c r="T9" s="59"/>
      <c r="U9" s="60"/>
      <c r="V9" s="12"/>
      <c r="W9" s="12"/>
      <c r="X9" s="12"/>
      <c r="Y9" s="12"/>
      <c r="Z9" s="12"/>
      <c r="AA9" s="12"/>
      <c r="AB9" s="12"/>
      <c r="AC9" s="12"/>
      <c r="AD9" s="12"/>
      <c r="AE9" s="12"/>
      <c r="AF9" t="s">
        <v>10</v>
      </c>
      <c r="AG9" s="2">
        <f>XIRR(AG6:AG7,AC6:AC7)</f>
        <v>2.0000001788139359E-2</v>
      </c>
    </row>
    <row r="10" spans="1:33" x14ac:dyDescent="0.25">
      <c r="A10" s="12"/>
      <c r="B10" s="24" t="s">
        <v>5</v>
      </c>
      <c r="C10" s="35">
        <v>0.01</v>
      </c>
      <c r="D10" s="12"/>
      <c r="E10" s="12"/>
      <c r="F10" s="12"/>
      <c r="G10" s="12"/>
      <c r="H10" s="92" t="s">
        <v>29</v>
      </c>
      <c r="I10" s="71">
        <f>MDURATION(E6,E7,C10,0,2)</f>
        <v>7.7777777777777724E-2</v>
      </c>
      <c r="J10" s="12"/>
      <c r="K10" s="12"/>
      <c r="L10" s="12"/>
      <c r="M10" s="12"/>
      <c r="N10" s="92" t="s">
        <v>64</v>
      </c>
      <c r="O10" s="71">
        <f>MDURATION(K6,K7,C10,O9,2)</f>
        <v>6.3299857416121805E-2</v>
      </c>
      <c r="P10" s="12"/>
      <c r="Q10" s="12"/>
      <c r="R10" s="12"/>
      <c r="S10" s="12"/>
      <c r="T10" s="27"/>
      <c r="U10" s="27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t="s">
        <v>64</v>
      </c>
      <c r="AG10" s="4">
        <f>MDURATION(AC6,AC7,C10,AG9,2)</f>
        <v>7.7007700701908391E-2</v>
      </c>
    </row>
    <row r="11" spans="1:33" x14ac:dyDescent="0.25">
      <c r="A11" s="12"/>
      <c r="B11" s="36" t="s">
        <v>16</v>
      </c>
      <c r="C11" s="37">
        <f>C9*100</f>
        <v>165.87798160370005</v>
      </c>
      <c r="D11" s="12"/>
      <c r="J11" s="12"/>
    </row>
    <row r="12" spans="1:3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408"/>
      <c r="L12" s="408"/>
      <c r="M12" s="408"/>
      <c r="N12" s="408"/>
      <c r="O12" s="408"/>
      <c r="P12" s="44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3" ht="35.2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33" t="s">
        <v>6</v>
      </c>
      <c r="L14" s="133" t="s">
        <v>58</v>
      </c>
      <c r="M14" s="133" t="s">
        <v>24</v>
      </c>
      <c r="N14" s="133" t="s">
        <v>4</v>
      </c>
      <c r="O14" s="133" t="s">
        <v>59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3" ht="16.5" customHeight="1" x14ac:dyDescent="0.25">
      <c r="A15" s="12"/>
      <c r="B15" s="12"/>
      <c r="C15" s="12"/>
      <c r="D15" s="12"/>
      <c r="J15" s="12"/>
      <c r="K15" s="15">
        <v>44413</v>
      </c>
      <c r="L15" s="31">
        <v>44399</v>
      </c>
      <c r="M15" s="46">
        <f>+'Serie CER'!H207</f>
        <v>32.90791472939496</v>
      </c>
      <c r="N15" s="47">
        <f>(M15/$C$7)</f>
        <v>1.7101239271108954</v>
      </c>
      <c r="O15" s="14">
        <f>100*N15</f>
        <v>171.01239271108955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3" x14ac:dyDescent="0.25">
      <c r="A16" s="12"/>
      <c r="B16" s="12"/>
      <c r="C16" s="12"/>
      <c r="D16" s="12"/>
      <c r="J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ht="1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 t="s">
        <v>183</v>
      </c>
      <c r="O18" s="22">
        <f>(O7+O6)/-O6</f>
        <v>3.0380423708902742E-2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25">
      <c r="A19" s="12"/>
      <c r="B19" s="12"/>
      <c r="C19" s="12"/>
      <c r="D19" s="12"/>
      <c r="E19" s="405" t="s">
        <v>18</v>
      </c>
      <c r="F19" s="405"/>
      <c r="G19" s="61">
        <v>0.35</v>
      </c>
      <c r="H19" s="62">
        <f>XNPV(G19,U6:U7,Q6:Q7)</f>
        <v>167.81792985523447</v>
      </c>
      <c r="I19" s="61">
        <f>(H19/-I6)-1</f>
        <v>6.1026969738275927E-3</v>
      </c>
      <c r="J19" s="12"/>
      <c r="K19" s="12"/>
      <c r="L19" s="12"/>
      <c r="M19" s="12"/>
      <c r="N19" s="12" t="s">
        <v>17</v>
      </c>
      <c r="O19" s="22">
        <f>O18/E9*365</f>
        <v>0.38237429840515524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25">
      <c r="A20" s="12"/>
      <c r="B20" s="12"/>
      <c r="C20" s="12"/>
      <c r="D20" s="12"/>
      <c r="E20" s="406"/>
      <c r="F20" s="406"/>
      <c r="G20" s="18">
        <v>0.4</v>
      </c>
      <c r="H20" s="49">
        <f>XNPV(G20,U6:U7,Q6:Q7)</f>
        <v>167.33372251395843</v>
      </c>
      <c r="I20" s="18">
        <f>(H20/-I6)-1</f>
        <v>3.1997752635397614E-3</v>
      </c>
      <c r="J20" s="110"/>
      <c r="K20" s="134"/>
      <c r="L20" s="134"/>
      <c r="M20" s="134"/>
      <c r="N20" s="12" t="s">
        <v>150</v>
      </c>
      <c r="O20" s="22">
        <f>(1+O18)^(365/E9)-1</f>
        <v>0.45743927548493835</v>
      </c>
      <c r="P20" s="134"/>
      <c r="Q20" s="110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25">
      <c r="A21" s="12"/>
      <c r="B21" s="12"/>
      <c r="C21" s="12"/>
      <c r="D21" s="12"/>
      <c r="E21" s="407"/>
      <c r="F21" s="407"/>
      <c r="G21" s="63">
        <v>0.45</v>
      </c>
      <c r="H21" s="64">
        <f>XNPV(G21,U6:U7,Q6:Q7)</f>
        <v>166.86783290313053</v>
      </c>
      <c r="I21" s="63">
        <f>(H21/-I6)-1</f>
        <v>4.0667208111822006E-4</v>
      </c>
      <c r="J21" s="110"/>
      <c r="K21" s="110"/>
      <c r="L21" s="110"/>
      <c r="M21" s="110"/>
      <c r="N21" s="110"/>
      <c r="O21" s="110"/>
      <c r="P21" s="110"/>
      <c r="Q21" s="110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25">
      <c r="A22" s="12"/>
      <c r="B22" s="12"/>
      <c r="C22" s="12"/>
      <c r="D22" s="12"/>
      <c r="J22" s="110"/>
      <c r="K22" s="403"/>
      <c r="L22" s="403"/>
      <c r="M22" s="110"/>
      <c r="N22" s="141"/>
      <c r="O22" s="141"/>
      <c r="P22" s="141"/>
      <c r="Q22" s="110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25">
      <c r="A23" s="31"/>
      <c r="B23" s="12"/>
      <c r="C23" s="12"/>
      <c r="D23" s="12"/>
      <c r="J23" s="110"/>
      <c r="K23" s="112"/>
      <c r="L23" s="112"/>
      <c r="M23" s="110"/>
      <c r="N23" s="113"/>
      <c r="O23" s="110"/>
      <c r="P23" s="110"/>
      <c r="Q23" s="110"/>
      <c r="R23" s="12"/>
      <c r="S23" s="12"/>
      <c r="T23" s="12"/>
      <c r="U23" s="12"/>
      <c r="V23" s="12"/>
      <c r="W23" s="404" t="s">
        <v>42</v>
      </c>
      <c r="X23" s="404"/>
      <c r="Y23" s="404"/>
      <c r="Z23" s="12"/>
      <c r="AA23" s="12"/>
      <c r="AB23" s="12"/>
      <c r="AC23" s="12"/>
      <c r="AD23" s="12"/>
      <c r="AE23" s="12"/>
    </row>
    <row r="24" spans="1:31" x14ac:dyDescent="0.25">
      <c r="A24" s="31"/>
      <c r="B24" s="12"/>
      <c r="C24" s="12"/>
      <c r="D24" s="12"/>
      <c r="E24" s="12"/>
      <c r="F24" s="12"/>
      <c r="G24" s="12"/>
      <c r="H24" s="12"/>
      <c r="I24" s="12"/>
      <c r="J24" s="110"/>
      <c r="K24" s="113"/>
      <c r="L24" s="115"/>
      <c r="M24" s="110"/>
      <c r="N24" s="113"/>
      <c r="O24" s="110"/>
      <c r="P24" s="110"/>
      <c r="Q24" s="110"/>
      <c r="R24" s="12"/>
      <c r="S24" s="12"/>
      <c r="T24" s="12"/>
      <c r="U24" s="12"/>
      <c r="V24" s="12"/>
      <c r="W24" s="404" t="s">
        <v>82</v>
      </c>
      <c r="X24" s="404"/>
      <c r="Y24" s="404"/>
      <c r="Z24" s="12"/>
      <c r="AA24" s="12"/>
      <c r="AB24" s="12"/>
      <c r="AC24" s="12"/>
      <c r="AD24" s="12"/>
      <c r="AE24" s="12"/>
    </row>
    <row r="25" spans="1:31" x14ac:dyDescent="0.25">
      <c r="A25" s="31"/>
      <c r="B25" s="12"/>
      <c r="C25" s="12"/>
      <c r="D25" s="12"/>
      <c r="E25" s="12"/>
      <c r="F25" s="12"/>
      <c r="G25" s="12"/>
      <c r="H25" s="12"/>
      <c r="I25" s="12"/>
      <c r="J25" s="110"/>
      <c r="K25" s="114"/>
      <c r="L25" s="110"/>
      <c r="M25" s="110"/>
      <c r="N25" s="113"/>
      <c r="O25" s="110"/>
      <c r="P25" s="110"/>
      <c r="Q25" s="110"/>
      <c r="R25" s="12"/>
      <c r="S25" s="12"/>
      <c r="T25" s="12"/>
      <c r="U25" s="12"/>
      <c r="V25" s="12"/>
      <c r="W25" s="108" t="s">
        <v>10</v>
      </c>
      <c r="X25" s="108" t="s">
        <v>83</v>
      </c>
      <c r="Y25" s="108" t="s">
        <v>84</v>
      </c>
      <c r="Z25" s="12"/>
      <c r="AA25" s="12"/>
      <c r="AB25" s="12"/>
      <c r="AC25" s="12"/>
      <c r="AD25" s="12"/>
      <c r="AE25" s="12"/>
    </row>
    <row r="26" spans="1:31" x14ac:dyDescent="0.25">
      <c r="A26" s="3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6">
        <v>0.15</v>
      </c>
      <c r="X26" s="49">
        <f>XNPV(W26,AA6:AA7,W6:W7)</f>
        <v>164.86643075621109</v>
      </c>
      <c r="Y26" s="18">
        <f t="shared" ref="Y26:Y31" si="0">(X26+$I$6)/(-$I$6)</f>
        <v>-1.1592141749334074E-2</v>
      </c>
      <c r="Z26" s="12"/>
      <c r="AA26" s="12"/>
      <c r="AB26" s="12"/>
      <c r="AC26" s="12"/>
      <c r="AD26" s="12"/>
      <c r="AE26" s="12"/>
    </row>
    <row r="27" spans="1:31" x14ac:dyDescent="0.25">
      <c r="A27" s="31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6">
        <v>0.14000000000000001</v>
      </c>
      <c r="X27" s="49">
        <f>XNPV(W27,AA6:AA7,W6:W7)</f>
        <v>164.98087272809636</v>
      </c>
      <c r="Y27" s="18">
        <f t="shared" si="0"/>
        <v>-1.0906038800381613E-2</v>
      </c>
      <c r="Z27" s="12"/>
      <c r="AA27" s="12"/>
      <c r="AB27" s="12"/>
      <c r="AC27" s="12"/>
      <c r="AD27" s="12"/>
      <c r="AE27" s="12"/>
    </row>
    <row r="28" spans="1:31" x14ac:dyDescent="0.25">
      <c r="A28" s="31"/>
      <c r="B28" s="341"/>
      <c r="C28" s="342"/>
      <c r="D28" s="95"/>
      <c r="E28" s="343"/>
      <c r="F28" s="95"/>
      <c r="G28" s="95"/>
      <c r="H28" s="95"/>
      <c r="I28" s="95"/>
      <c r="J28" s="95"/>
      <c r="K28" s="95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6">
        <v>0.13</v>
      </c>
      <c r="X28" s="49">
        <f>XNPV(W28,AA6:AA7,W6:W7)</f>
        <v>165.09640350526104</v>
      </c>
      <c r="Y28" s="18">
        <f t="shared" si="0"/>
        <v>-1.0213408241840373E-2</v>
      </c>
      <c r="Z28" s="12"/>
      <c r="AA28" s="12"/>
      <c r="AB28" s="12"/>
      <c r="AC28" s="12"/>
      <c r="AD28" s="12"/>
      <c r="AE28" s="12"/>
    </row>
    <row r="29" spans="1:31" ht="15.75" x14ac:dyDescent="0.25">
      <c r="A29" s="31"/>
      <c r="B29" s="409"/>
      <c r="C29" s="409"/>
      <c r="D29" s="409"/>
      <c r="E29" s="409"/>
      <c r="F29" s="409"/>
      <c r="G29" s="409"/>
      <c r="H29" s="409"/>
      <c r="I29" s="409"/>
      <c r="J29" s="95"/>
      <c r="K29" s="95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6">
        <v>0.12</v>
      </c>
      <c r="X29" s="49">
        <f>XNPV(W29,AA6:AA7,W6:W7)</f>
        <v>165.2130432206836</v>
      </c>
      <c r="Y29" s="18">
        <f t="shared" si="0"/>
        <v>-9.5141293724005354E-3</v>
      </c>
      <c r="Z29" s="12"/>
      <c r="AA29" s="12"/>
      <c r="AB29" s="12"/>
      <c r="AC29" s="12"/>
      <c r="AD29" s="12"/>
      <c r="AE29" s="12"/>
    </row>
    <row r="30" spans="1:31" x14ac:dyDescent="0.25">
      <c r="A30" s="31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6">
        <v>0.11</v>
      </c>
      <c r="X30" s="49">
        <f>XNPV(W30,AA6:AA7,W6:W7)</f>
        <v>165.33081256359537</v>
      </c>
      <c r="Y30" s="18">
        <f t="shared" si="0"/>
        <v>-8.8080781559031068E-3</v>
      </c>
      <c r="Z30" s="12"/>
      <c r="AA30" s="12"/>
      <c r="AB30" s="12"/>
      <c r="AC30" s="12"/>
      <c r="AD30" s="12"/>
      <c r="AE30" s="12"/>
    </row>
    <row r="31" spans="1:31" x14ac:dyDescent="0.25">
      <c r="A31" s="31"/>
      <c r="B31" s="410"/>
      <c r="C31" s="410"/>
      <c r="D31" s="95"/>
      <c r="E31" s="411"/>
      <c r="F31" s="411"/>
      <c r="G31" s="411"/>
      <c r="H31" s="411"/>
      <c r="I31" s="411"/>
      <c r="J31" s="95"/>
      <c r="K31" s="95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6">
        <v>0.1</v>
      </c>
      <c r="X31" s="49">
        <f>XNPV(W31,AA6:AA7,W6:W7)</f>
        <v>165.44973280002412</v>
      </c>
      <c r="Y31" s="18">
        <f t="shared" si="0"/>
        <v>-8.0951270981767919E-3</v>
      </c>
      <c r="Z31" s="12"/>
      <c r="AA31" s="12"/>
      <c r="AB31" s="12"/>
      <c r="AC31" s="12"/>
      <c r="AD31" s="12"/>
      <c r="AE31" s="12"/>
    </row>
    <row r="32" spans="1:31" x14ac:dyDescent="0.25">
      <c r="A32" s="31"/>
      <c r="B32" s="95"/>
      <c r="C32" s="344"/>
      <c r="D32" s="95"/>
      <c r="E32" s="340"/>
      <c r="F32" s="340"/>
      <c r="G32" s="340"/>
      <c r="H32" s="340"/>
      <c r="I32" s="340"/>
      <c r="J32" s="95"/>
      <c r="K32" s="95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6">
        <v>0.09</v>
      </c>
      <c r="X32" s="49">
        <f>XNPV(W32,AA6:AA7,W6:W7)</f>
        <v>165.56982579429155</v>
      </c>
      <c r="Y32" s="18">
        <f t="shared" ref="Y32:Y39" si="1">(X32+$I$6)/(-$I$6)</f>
        <v>-7.3751451181562656E-3</v>
      </c>
      <c r="Z32" s="12"/>
      <c r="AA32" s="12"/>
      <c r="AB32" s="12"/>
      <c r="AC32" s="12"/>
      <c r="AD32" s="12"/>
      <c r="AE32" s="12"/>
    </row>
    <row r="33" spans="1:31" x14ac:dyDescent="0.25">
      <c r="A33" s="31"/>
      <c r="B33" s="95"/>
      <c r="C33" s="97"/>
      <c r="D33" s="95"/>
      <c r="E33" s="97"/>
      <c r="F33" s="95"/>
      <c r="G33" s="136"/>
      <c r="H33" s="95"/>
      <c r="I33" s="96"/>
      <c r="J33" s="95"/>
      <c r="K33" s="95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6">
        <v>0.08</v>
      </c>
      <c r="X33" s="49">
        <f>XNPV(W33,AA6:AA7,W6:W7)</f>
        <v>165.69111403151697</v>
      </c>
      <c r="Y33" s="18">
        <f t="shared" si="1"/>
        <v>-6.6479974129678458E-3</v>
      </c>
      <c r="Z33" s="12"/>
      <c r="AA33" s="12"/>
      <c r="AB33" s="12"/>
      <c r="AC33" s="12"/>
      <c r="AD33" s="12"/>
      <c r="AE33" s="12"/>
    </row>
    <row r="34" spans="1:31" x14ac:dyDescent="0.25">
      <c r="A34" s="31"/>
      <c r="B34" s="95"/>
      <c r="C34" s="345"/>
      <c r="D34" s="95"/>
      <c r="E34" s="97"/>
      <c r="F34" s="95"/>
      <c r="G34" s="96"/>
      <c r="H34" s="96"/>
      <c r="I34" s="96"/>
      <c r="J34" s="95"/>
      <c r="K34" s="95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6">
        <v>7.0000000000000007E-2</v>
      </c>
      <c r="X34" s="49">
        <f>XNPV(W34,AA6:AA7,W6:W7)</f>
        <v>165.81362064118534</v>
      </c>
      <c r="Y34" s="18">
        <f t="shared" si="1"/>
        <v>-5.9135453166347324E-3</v>
      </c>
      <c r="Z34" s="12"/>
      <c r="AA34" s="12"/>
      <c r="AB34" s="12"/>
      <c r="AC34" s="12"/>
      <c r="AD34" s="12"/>
      <c r="AE34" s="12"/>
    </row>
    <row r="35" spans="1:31" x14ac:dyDescent="0.25">
      <c r="A35" s="31"/>
      <c r="B35" s="95"/>
      <c r="C35" s="345"/>
      <c r="D35" s="95"/>
      <c r="E35" s="97"/>
      <c r="F35" s="95"/>
      <c r="G35" s="136"/>
      <c r="H35" s="95"/>
      <c r="I35" s="136"/>
      <c r="J35" s="95"/>
      <c r="K35" s="95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6">
        <v>0.06</v>
      </c>
      <c r="X35" s="49">
        <f>XNPV(W35,AA6:AA7,W6:W7)</f>
        <v>165.93736942183941</v>
      </c>
      <c r="Y35" s="18">
        <f t="shared" si="1"/>
        <v>-5.1716461520419955E-3</v>
      </c>
      <c r="Z35" s="12"/>
      <c r="AA35" s="12"/>
      <c r="AB35" s="12"/>
      <c r="AC35" s="12"/>
      <c r="AD35" s="12"/>
      <c r="AE35" s="12"/>
    </row>
    <row r="36" spans="1:31" x14ac:dyDescent="0.25">
      <c r="A36" s="31"/>
      <c r="B36" s="95"/>
      <c r="C36" s="345"/>
      <c r="D36" s="95"/>
      <c r="E36" s="95"/>
      <c r="F36" s="95"/>
      <c r="G36" s="95"/>
      <c r="H36" s="99"/>
      <c r="I36" s="276"/>
      <c r="J36" s="95"/>
      <c r="K36" s="95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6">
        <v>0.05</v>
      </c>
      <c r="X36" s="49">
        <f>XNPV(W36,AA6:AA7,W6:W7)</f>
        <v>166.06238486696131</v>
      </c>
      <c r="Y36" s="18">
        <f t="shared" si="1"/>
        <v>-4.4221530757715928E-3</v>
      </c>
      <c r="Z36" s="12"/>
      <c r="AA36" s="12"/>
      <c r="AB36" s="12"/>
      <c r="AC36" s="12"/>
      <c r="AD36" s="12"/>
      <c r="AE36" s="12"/>
    </row>
    <row r="37" spans="1:31" x14ac:dyDescent="0.25">
      <c r="A37" s="31"/>
      <c r="B37" s="95"/>
      <c r="C37" s="276"/>
      <c r="D37" s="95"/>
      <c r="E37" s="95"/>
      <c r="F37" s="95"/>
      <c r="G37" s="95"/>
      <c r="H37" s="99"/>
      <c r="I37" s="98"/>
      <c r="J37" s="95"/>
      <c r="K37" s="95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6">
        <v>0.04</v>
      </c>
      <c r="X37" s="49">
        <f>XNPV(W37,AA6:AA7,W6:W7)</f>
        <v>166.18869219211291</v>
      </c>
      <c r="Y37" s="18">
        <f t="shared" si="1"/>
        <v>-3.6649149153902953E-3</v>
      </c>
      <c r="Z37" s="12"/>
      <c r="AA37" s="12"/>
      <c r="AB37" s="12"/>
      <c r="AC37" s="12"/>
      <c r="AD37" s="12"/>
      <c r="AE37" s="12"/>
    </row>
    <row r="38" spans="1:31" x14ac:dyDescent="0.25">
      <c r="A38" s="31"/>
      <c r="B38" s="95"/>
      <c r="C38" s="96"/>
      <c r="D38" s="95"/>
      <c r="E38" s="346"/>
      <c r="F38" s="346"/>
      <c r="G38" s="346"/>
      <c r="H38" s="346"/>
      <c r="I38" s="346"/>
      <c r="J38" s="95"/>
      <c r="K38" s="95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6">
        <v>0.03</v>
      </c>
      <c r="X38" s="49">
        <f>XNPV(W38,AA6:AA7,W6:W7)</f>
        <v>166.31631736340836</v>
      </c>
      <c r="Y38" s="18">
        <f t="shared" si="1"/>
        <v>-2.8997759987509125E-3</v>
      </c>
      <c r="Z38" s="12"/>
      <c r="AA38" s="12"/>
      <c r="AB38" s="12"/>
      <c r="AC38" s="12"/>
      <c r="AD38" s="12"/>
      <c r="AE38" s="12"/>
    </row>
    <row r="39" spans="1:31" x14ac:dyDescent="0.25">
      <c r="A39" s="12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6">
        <v>0.02</v>
      </c>
      <c r="X39" s="49">
        <f>XNPV(W39,AA6:AA7,W6:W7)</f>
        <v>166.44528712739842</v>
      </c>
      <c r="Y39" s="18">
        <f t="shared" si="1"/>
        <v>-2.1265759748297095E-3</v>
      </c>
      <c r="Z39" s="12"/>
      <c r="AA39" s="12"/>
      <c r="AB39" s="12"/>
      <c r="AC39" s="12"/>
      <c r="AD39" s="12"/>
      <c r="AE39" s="12"/>
    </row>
    <row r="40" spans="1:31" x14ac:dyDescent="0.25">
      <c r="A40" s="12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12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12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12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12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</sheetData>
  <mergeCells count="15">
    <mergeCell ref="B29:I29"/>
    <mergeCell ref="B31:C31"/>
    <mergeCell ref="E31:I31"/>
    <mergeCell ref="W24:Y24"/>
    <mergeCell ref="K22:L22"/>
    <mergeCell ref="K12:O12"/>
    <mergeCell ref="B4:C4"/>
    <mergeCell ref="W4:AA4"/>
    <mergeCell ref="W23:Y23"/>
    <mergeCell ref="E19:F21"/>
    <mergeCell ref="AC4:AG4"/>
    <mergeCell ref="B2:I2"/>
    <mergeCell ref="E4:I4"/>
    <mergeCell ref="K4:O4"/>
    <mergeCell ref="Q4:U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54"/>
  <sheetViews>
    <sheetView showGridLines="0" zoomScale="90" zoomScaleNormal="90" workbookViewId="0">
      <selection activeCell="E12" sqref="E12"/>
    </sheetView>
  </sheetViews>
  <sheetFormatPr baseColWidth="10" defaultRowHeight="15" x14ac:dyDescent="0.25"/>
  <cols>
    <col min="1" max="1" width="4.140625" customWidth="1"/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0" max="10" width="4.28515625" customWidth="1"/>
    <col min="11" max="11" width="11.28515625" customWidth="1"/>
    <col min="12" max="13" width="11" customWidth="1"/>
    <col min="14" max="14" width="11.140625" customWidth="1"/>
    <col min="15" max="15" width="12" customWidth="1"/>
    <col min="16" max="16" width="2.7109375" customWidth="1"/>
    <col min="22" max="22" width="4.5703125" customWidth="1"/>
  </cols>
  <sheetData>
    <row r="1" spans="1:3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3" ht="15.75" x14ac:dyDescent="0.25">
      <c r="A2" s="12"/>
      <c r="B2" s="413" t="s">
        <v>103</v>
      </c>
      <c r="C2" s="413"/>
      <c r="D2" s="413"/>
      <c r="E2" s="413"/>
      <c r="F2" s="413"/>
      <c r="G2" s="413"/>
      <c r="H2" s="413"/>
      <c r="I2" s="413"/>
      <c r="J2" s="12"/>
      <c r="K2" s="12" t="s">
        <v>60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3" x14ac:dyDescent="0.25">
      <c r="A4" s="12"/>
      <c r="B4" s="373" t="s">
        <v>34</v>
      </c>
      <c r="C4" s="374"/>
      <c r="D4" s="12"/>
      <c r="E4" s="395" t="s">
        <v>44</v>
      </c>
      <c r="F4" s="395"/>
      <c r="G4" s="395"/>
      <c r="H4" s="395"/>
      <c r="I4" s="395"/>
      <c r="J4" s="12"/>
      <c r="K4" s="395" t="s">
        <v>87</v>
      </c>
      <c r="L4" s="395"/>
      <c r="M4" s="395"/>
      <c r="N4" s="395"/>
      <c r="O4" s="395"/>
      <c r="P4" s="12"/>
      <c r="Q4" s="395" t="s">
        <v>87</v>
      </c>
      <c r="R4" s="395"/>
      <c r="S4" s="395"/>
      <c r="T4" s="395"/>
      <c r="U4" s="395"/>
      <c r="V4" s="12"/>
      <c r="W4" s="395" t="s">
        <v>44</v>
      </c>
      <c r="X4" s="395"/>
      <c r="Y4" s="395"/>
      <c r="Z4" s="395"/>
      <c r="AA4" s="395"/>
      <c r="AB4" s="12"/>
      <c r="AC4" s="395" t="s">
        <v>44</v>
      </c>
      <c r="AD4" s="395"/>
      <c r="AE4" s="395"/>
      <c r="AF4" s="395"/>
      <c r="AG4" s="395"/>
    </row>
    <row r="5" spans="1:33" x14ac:dyDescent="0.25">
      <c r="A5" s="12"/>
      <c r="B5" s="24" t="s">
        <v>0</v>
      </c>
      <c r="C5" s="32">
        <v>43908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B5" s="12"/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1:33" x14ac:dyDescent="0.25">
      <c r="A6" s="12"/>
      <c r="B6" s="24" t="s">
        <v>1</v>
      </c>
      <c r="C6" s="33">
        <v>44638</v>
      </c>
      <c r="D6" s="12"/>
      <c r="E6" s="15">
        <f>'Planilla de datos'!D3</f>
        <v>44384</v>
      </c>
      <c r="F6" s="12">
        <v>100</v>
      </c>
      <c r="G6" s="30"/>
      <c r="H6" s="12"/>
      <c r="I6" s="14">
        <f>-'Planilla de datos'!C15</f>
        <v>-158.19999999999999</v>
      </c>
      <c r="J6" s="12"/>
      <c r="K6" s="15">
        <f>E6</f>
        <v>44384</v>
      </c>
      <c r="L6" s="12">
        <v>100</v>
      </c>
      <c r="M6" s="30"/>
      <c r="N6" s="12"/>
      <c r="O6" s="14">
        <f>I6</f>
        <v>-158.19999999999999</v>
      </c>
      <c r="P6" s="12"/>
      <c r="Q6" s="15">
        <f>+E6</f>
        <v>44384</v>
      </c>
      <c r="R6" s="12">
        <v>100</v>
      </c>
      <c r="S6" s="30">
        <f>M7</f>
        <v>1.0251012066367349</v>
      </c>
      <c r="T6" s="14"/>
      <c r="U6" s="14">
        <v>0</v>
      </c>
      <c r="V6" s="12"/>
      <c r="W6" s="15">
        <f>+E6</f>
        <v>44384</v>
      </c>
      <c r="X6" s="12">
        <f>+F6</f>
        <v>100</v>
      </c>
      <c r="Y6" s="30"/>
      <c r="Z6" s="12"/>
      <c r="AA6" s="14">
        <v>0</v>
      </c>
      <c r="AB6" s="12"/>
      <c r="AC6" s="15">
        <f>+W6</f>
        <v>44384</v>
      </c>
      <c r="AD6" s="12">
        <f>+X6</f>
        <v>100</v>
      </c>
      <c r="AE6" s="30"/>
      <c r="AF6" s="12"/>
      <c r="AG6" s="14">
        <f>-X39</f>
        <v>-158.19485171255269</v>
      </c>
    </row>
    <row r="7" spans="1:33" x14ac:dyDescent="0.25">
      <c r="A7" s="12"/>
      <c r="B7" s="24" t="s">
        <v>2</v>
      </c>
      <c r="C7" s="34">
        <v>20.0733</v>
      </c>
      <c r="D7" s="12"/>
      <c r="E7" s="15">
        <v>44457</v>
      </c>
      <c r="F7" s="12">
        <v>100</v>
      </c>
      <c r="G7" s="14">
        <f>$C$11*$C$10*(180/360)</f>
        <v>0.95410022268386374</v>
      </c>
      <c r="H7" s="14"/>
      <c r="I7" s="14">
        <f>SUM(G7:H7)</f>
        <v>0.95410022268386374</v>
      </c>
      <c r="J7" s="12"/>
      <c r="K7" s="15">
        <f>E7</f>
        <v>44457</v>
      </c>
      <c r="L7" s="12">
        <v>100</v>
      </c>
      <c r="M7" s="30">
        <f>O18*($C$10/360*180)</f>
        <v>1.0251012066367349</v>
      </c>
      <c r="N7" s="14"/>
      <c r="O7" s="14">
        <f>SUM(M7:N7)</f>
        <v>1.0251012066367349</v>
      </c>
      <c r="P7" s="12"/>
      <c r="Q7" s="15">
        <f>+K7</f>
        <v>44457</v>
      </c>
      <c r="R7" s="12">
        <f>+L7</f>
        <v>100</v>
      </c>
      <c r="S7" s="30">
        <f>+M7</f>
        <v>1.0251012066367349</v>
      </c>
      <c r="T7" s="14"/>
      <c r="U7" s="14">
        <f>+O7</f>
        <v>1.0251012066367349</v>
      </c>
      <c r="V7" s="12"/>
      <c r="W7" s="15">
        <f t="shared" ref="W7:Y8" si="0">+E7</f>
        <v>44457</v>
      </c>
      <c r="X7" s="12">
        <f t="shared" si="0"/>
        <v>100</v>
      </c>
      <c r="Y7" s="14">
        <f t="shared" si="0"/>
        <v>0.95410022268386374</v>
      </c>
      <c r="Z7" s="14"/>
      <c r="AA7" s="14">
        <f>+I7</f>
        <v>0.95410022268386374</v>
      </c>
      <c r="AB7" s="12"/>
      <c r="AC7" s="15">
        <f t="shared" ref="AC7:AE8" si="1">+W7</f>
        <v>44457</v>
      </c>
      <c r="AD7" s="12">
        <f t="shared" si="1"/>
        <v>100</v>
      </c>
      <c r="AE7" s="14">
        <f t="shared" si="1"/>
        <v>0.95410022268386374</v>
      </c>
      <c r="AF7" s="14"/>
      <c r="AG7" s="14">
        <f>+AA7</f>
        <v>0.95410022268386374</v>
      </c>
    </row>
    <row r="8" spans="1:33" x14ac:dyDescent="0.25">
      <c r="A8" s="12"/>
      <c r="B8" s="24" t="s">
        <v>3</v>
      </c>
      <c r="C8" s="34">
        <f>'Planilla de datos'!D64</f>
        <v>31.919899999999998</v>
      </c>
      <c r="D8" s="12"/>
      <c r="E8" s="15">
        <v>44638</v>
      </c>
      <c r="F8" s="12">
        <v>100</v>
      </c>
      <c r="G8" s="14">
        <f>$C$11*$C$10*(180/360)</f>
        <v>0.95410022268386374</v>
      </c>
      <c r="H8" s="14">
        <f>+C11</f>
        <v>159.01670378064395</v>
      </c>
      <c r="I8" s="14">
        <f>SUM(G8:H8)</f>
        <v>159.97080400332783</v>
      </c>
      <c r="J8" s="12"/>
      <c r="K8" s="15">
        <f>E8</f>
        <v>44638</v>
      </c>
      <c r="L8" s="12">
        <v>100</v>
      </c>
      <c r="M8" s="30">
        <f>O19*($C$10/360*180)</f>
        <v>1.2098330175928174</v>
      </c>
      <c r="N8" s="14">
        <f>O19</f>
        <v>201.63883626546956</v>
      </c>
      <c r="O8" s="14">
        <f>SUM(M8:N8)</f>
        <v>202.84866928306238</v>
      </c>
      <c r="P8" s="12"/>
      <c r="Q8" s="15">
        <f>K8</f>
        <v>44638</v>
      </c>
      <c r="R8" s="12">
        <v>100</v>
      </c>
      <c r="S8" s="30">
        <f>M8</f>
        <v>1.2098330175928174</v>
      </c>
      <c r="T8" s="14">
        <f>N8</f>
        <v>201.63883626546956</v>
      </c>
      <c r="U8" s="14">
        <f>SUM(S8:T8)</f>
        <v>202.84866928306238</v>
      </c>
      <c r="V8" s="12"/>
      <c r="W8" s="15">
        <f t="shared" si="0"/>
        <v>44638</v>
      </c>
      <c r="X8" s="12">
        <f t="shared" si="0"/>
        <v>100</v>
      </c>
      <c r="Y8" s="14">
        <f t="shared" si="0"/>
        <v>0.95410022268386374</v>
      </c>
      <c r="Z8" s="14">
        <f>+H8</f>
        <v>159.01670378064395</v>
      </c>
      <c r="AA8" s="14">
        <f>+I8</f>
        <v>159.97080400332783</v>
      </c>
      <c r="AB8" s="12"/>
      <c r="AC8" s="15">
        <f t="shared" si="1"/>
        <v>44638</v>
      </c>
      <c r="AD8" s="12">
        <f t="shared" si="1"/>
        <v>100</v>
      </c>
      <c r="AE8" s="14">
        <f t="shared" si="1"/>
        <v>0.95410022268386374</v>
      </c>
      <c r="AF8" s="14">
        <f>+Z8</f>
        <v>159.01670378064395</v>
      </c>
      <c r="AG8" s="14">
        <f>+AA8</f>
        <v>159.97080400332783</v>
      </c>
    </row>
    <row r="9" spans="1:33" x14ac:dyDescent="0.25">
      <c r="A9" s="12"/>
      <c r="B9" s="24" t="s">
        <v>4</v>
      </c>
      <c r="C9" s="34">
        <f>((C8-C7)/C7)+1</f>
        <v>1.5901670378064394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V9" s="12"/>
      <c r="AB9" s="12"/>
      <c r="AC9" s="12"/>
      <c r="AD9" s="12"/>
    </row>
    <row r="10" spans="1:33" x14ac:dyDescent="0.25">
      <c r="A10" s="12"/>
      <c r="B10" s="24" t="s">
        <v>5</v>
      </c>
      <c r="C10" s="35">
        <v>1.2E-2</v>
      </c>
      <c r="D10" s="12"/>
      <c r="E10" s="12"/>
      <c r="F10" s="12"/>
      <c r="H10" s="92" t="s">
        <v>13</v>
      </c>
      <c r="I10" s="86">
        <f>XIRR(I6:I8,E6:E8,0)</f>
        <v>2.4951860351562501E-2</v>
      </c>
      <c r="J10" s="12"/>
      <c r="K10" s="15"/>
      <c r="L10" s="12"/>
      <c r="M10" s="12"/>
      <c r="N10" s="92" t="s">
        <v>10</v>
      </c>
      <c r="O10" s="86">
        <f>XIRR(O6:O8,K6:K8,0)</f>
        <v>0.44184126464843754</v>
      </c>
      <c r="P10" s="12"/>
      <c r="V10" s="12"/>
      <c r="AB10" s="12"/>
      <c r="AC10" s="12"/>
      <c r="AD10" s="12"/>
      <c r="AF10" t="s">
        <v>10</v>
      </c>
      <c r="AG10" s="22">
        <f>XIRR(AG6:AG8,AC6:AC8)</f>
        <v>2.4999997019767763E-2</v>
      </c>
    </row>
    <row r="11" spans="1:33" x14ac:dyDescent="0.25">
      <c r="A11" s="12"/>
      <c r="B11" s="36" t="s">
        <v>16</v>
      </c>
      <c r="C11" s="37">
        <f>C9*F6</f>
        <v>159.01670378064395</v>
      </c>
      <c r="D11" s="12"/>
      <c r="E11" s="12"/>
      <c r="F11" s="12"/>
      <c r="H11" s="92" t="s">
        <v>29</v>
      </c>
      <c r="I11" s="71">
        <f>MDURATION(E6,E8,C10,0,2)</f>
        <v>0.69425779534475174</v>
      </c>
      <c r="J11" s="12"/>
      <c r="K11" s="12"/>
      <c r="L11" s="12"/>
      <c r="M11" s="12"/>
      <c r="N11" s="92" t="s">
        <v>64</v>
      </c>
      <c r="O11" s="71">
        <f>MDURATION(K6,K8,C10,O10,2)</f>
        <v>0.56810214221987676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t="s">
        <v>64</v>
      </c>
      <c r="AG11" s="4">
        <f>MDURATION(AC6,AC8,C10,AG10,2)</f>
        <v>0.68565033428173039</v>
      </c>
    </row>
    <row r="12" spans="1:33" x14ac:dyDescent="0.25">
      <c r="A12" s="12"/>
      <c r="B12" s="12"/>
      <c r="C12" s="12"/>
      <c r="D12" s="12"/>
      <c r="E12">
        <f>E8-E6</f>
        <v>254</v>
      </c>
      <c r="J12" s="12"/>
      <c r="P12" s="12"/>
      <c r="Q12" s="15"/>
      <c r="R12" s="12"/>
      <c r="S12" s="27"/>
      <c r="T12" s="87"/>
      <c r="U12" s="42"/>
      <c r="V12" s="27"/>
      <c r="W12" s="27"/>
      <c r="X12" s="12"/>
      <c r="Y12" s="12"/>
      <c r="Z12" s="12"/>
      <c r="AA12" s="12"/>
      <c r="AB12" s="12"/>
    </row>
    <row r="13" spans="1:33" x14ac:dyDescent="0.25">
      <c r="A13" s="12"/>
      <c r="B13" s="12"/>
      <c r="C13" s="12"/>
      <c r="D13" s="12"/>
      <c r="J13" s="12"/>
      <c r="P13" s="12"/>
      <c r="Q13" s="12"/>
      <c r="R13" s="12"/>
      <c r="S13" s="27"/>
      <c r="T13" s="27"/>
      <c r="U13" s="27"/>
      <c r="V13" s="27"/>
      <c r="W13" s="27"/>
      <c r="X13" s="12"/>
      <c r="Y13" s="12"/>
      <c r="Z13" s="12"/>
      <c r="AA13" s="12"/>
      <c r="AB13" s="12"/>
    </row>
    <row r="14" spans="1:3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7"/>
      <c r="O14" s="49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408"/>
      <c r="L15" s="408"/>
      <c r="M15" s="408"/>
      <c r="N15" s="408"/>
      <c r="O15" s="408"/>
      <c r="P15" s="44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28.5" x14ac:dyDescent="0.25">
      <c r="A17" s="12"/>
      <c r="B17" s="12"/>
      <c r="C17" s="12"/>
      <c r="D17" s="12"/>
      <c r="E17" s="405" t="s">
        <v>18</v>
      </c>
      <c r="F17" s="405"/>
      <c r="G17" s="61">
        <v>0.35</v>
      </c>
      <c r="H17" s="62">
        <f>XNPV(G17,U6:U8,Q6:Q8)</f>
        <v>165.58217927253406</v>
      </c>
      <c r="I17" s="61">
        <f>(H17/-$I$6)-1</f>
        <v>4.6663585793514928E-2</v>
      </c>
      <c r="J17" s="12"/>
      <c r="K17" s="45" t="s">
        <v>6</v>
      </c>
      <c r="L17" s="45" t="s">
        <v>58</v>
      </c>
      <c r="M17" s="45" t="s">
        <v>24</v>
      </c>
      <c r="N17" s="45" t="s">
        <v>4</v>
      </c>
      <c r="O17" s="45" t="s">
        <v>59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" customHeight="1" x14ac:dyDescent="0.25">
      <c r="A18" s="12"/>
      <c r="B18" s="12"/>
      <c r="C18" s="12"/>
      <c r="D18" s="12"/>
      <c r="E18" s="406"/>
      <c r="F18" s="406"/>
      <c r="G18" s="18">
        <v>0.4</v>
      </c>
      <c r="H18" s="49">
        <f>XNPV(G18,U6:U8,Q6:Q8)</f>
        <v>161.46135419278457</v>
      </c>
      <c r="I18" s="18">
        <f>(H18/-$I$6)-1</f>
        <v>2.0615386806476454E-2</v>
      </c>
      <c r="J18" s="12"/>
      <c r="K18" s="15">
        <f>K7</f>
        <v>44457</v>
      </c>
      <c r="L18" s="31">
        <v>44443</v>
      </c>
      <c r="M18" s="46">
        <f>+'Serie CER'!H251</f>
        <v>34.295273418635283</v>
      </c>
      <c r="N18" s="47">
        <f>(M18/$C$7)</f>
        <v>1.7085020110612248</v>
      </c>
      <c r="O18" s="14">
        <f>100*N18</f>
        <v>170.85020110612248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12"/>
      <c r="B19" s="12"/>
      <c r="C19" s="12"/>
      <c r="D19" s="12"/>
      <c r="E19" s="407"/>
      <c r="F19" s="407"/>
      <c r="G19" s="63">
        <v>0.45</v>
      </c>
      <c r="H19" s="64">
        <f>XNPV(G19,U6:U8,Q6:Q8)</f>
        <v>157.58268372860846</v>
      </c>
      <c r="I19" s="63">
        <f>(H19/-I6)-1</f>
        <v>-3.9021256093016987E-3</v>
      </c>
      <c r="J19" s="12"/>
      <c r="K19" s="15">
        <f>K8</f>
        <v>44638</v>
      </c>
      <c r="L19" s="31">
        <v>44624</v>
      </c>
      <c r="M19" s="46">
        <f>+'Serie CER'!K67</f>
        <v>40.4755685200765</v>
      </c>
      <c r="N19" s="47">
        <f>(M19/$C$7)</f>
        <v>2.0163883626546957</v>
      </c>
      <c r="O19" s="14">
        <f>100*N19</f>
        <v>201.63883626546956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2"/>
      <c r="B23" s="12"/>
      <c r="C23" s="12"/>
      <c r="D23" s="12"/>
      <c r="J23" s="110"/>
      <c r="K23" s="110"/>
      <c r="L23" s="110"/>
      <c r="M23" s="110"/>
      <c r="N23" s="110"/>
      <c r="O23" s="110"/>
      <c r="P23" s="110"/>
      <c r="Q23" s="110"/>
      <c r="R23" s="110"/>
      <c r="S23" s="12"/>
      <c r="T23" s="12"/>
      <c r="U23" s="12"/>
      <c r="V23" s="12"/>
      <c r="W23" s="404" t="s">
        <v>45</v>
      </c>
      <c r="X23" s="404"/>
      <c r="Y23" s="404"/>
      <c r="Z23" s="12"/>
      <c r="AA23" s="12"/>
      <c r="AB23" s="12"/>
      <c r="AC23" s="12"/>
      <c r="AD23" s="12"/>
    </row>
    <row r="24" spans="1:30" x14ac:dyDescent="0.25">
      <c r="A24" s="12"/>
      <c r="B24" s="12"/>
      <c r="C24" s="12"/>
      <c r="D24" s="12"/>
      <c r="J24" s="110"/>
      <c r="K24" s="412"/>
      <c r="L24" s="412"/>
      <c r="M24" s="412"/>
      <c r="N24" s="412"/>
      <c r="O24" s="412"/>
      <c r="P24" s="412"/>
      <c r="Q24" s="110"/>
      <c r="R24" s="110"/>
      <c r="S24" s="12"/>
      <c r="T24" s="12"/>
      <c r="U24" s="12"/>
      <c r="V24" s="12"/>
      <c r="W24" s="404" t="s">
        <v>82</v>
      </c>
      <c r="X24" s="404"/>
      <c r="Y24" s="404"/>
      <c r="Z24" s="12"/>
      <c r="AA24" s="12"/>
      <c r="AB24" s="12"/>
      <c r="AC24" s="12"/>
      <c r="AD24" s="12"/>
    </row>
    <row r="25" spans="1:30" x14ac:dyDescent="0.25">
      <c r="A25" s="12"/>
      <c r="B25" s="12"/>
      <c r="C25" s="12"/>
      <c r="D25" s="12"/>
      <c r="J25" s="110"/>
      <c r="K25" s="110"/>
      <c r="L25" s="110"/>
      <c r="M25" s="110"/>
      <c r="N25" s="110"/>
      <c r="O25" s="110"/>
      <c r="P25" s="110"/>
      <c r="Q25" s="110"/>
      <c r="R25" s="110"/>
      <c r="S25" s="12"/>
      <c r="T25" s="12"/>
      <c r="U25" s="12"/>
      <c r="V25" s="12"/>
      <c r="W25" s="108" t="s">
        <v>10</v>
      </c>
      <c r="X25" s="108" t="s">
        <v>83</v>
      </c>
      <c r="Y25" s="108" t="s">
        <v>84</v>
      </c>
      <c r="Z25" s="12"/>
      <c r="AA25" s="12"/>
      <c r="AB25" s="12"/>
      <c r="AC25" s="12"/>
      <c r="AD25" s="12"/>
    </row>
    <row r="26" spans="1:3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10"/>
      <c r="K26" s="111"/>
      <c r="L26" s="111"/>
      <c r="M26" s="110"/>
      <c r="N26" s="111"/>
      <c r="O26" s="111"/>
      <c r="P26" s="111"/>
      <c r="Q26" s="110"/>
      <c r="R26" s="110"/>
      <c r="S26" s="12"/>
      <c r="T26" s="12"/>
      <c r="U26" s="12"/>
      <c r="V26" s="12"/>
      <c r="W26" s="16">
        <v>0.15</v>
      </c>
      <c r="X26" s="49">
        <f>XNPV(W26,AA6:AA8,W6:W8)</f>
        <v>146.07266737116731</v>
      </c>
      <c r="Y26" s="18">
        <f t="shared" ref="Y26:Y31" si="2">(X26+$I$6)/(-$I$6)</f>
        <v>-7.665823406341768E-2</v>
      </c>
      <c r="Z26" s="12"/>
      <c r="AA26" s="12"/>
      <c r="AB26" s="12"/>
      <c r="AC26" s="12"/>
      <c r="AD26" s="12"/>
    </row>
    <row r="27" spans="1:3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10"/>
      <c r="K27" s="112"/>
      <c r="L27" s="112"/>
      <c r="M27" s="110"/>
      <c r="N27" s="113"/>
      <c r="O27" s="110"/>
      <c r="P27" s="114"/>
      <c r="Q27" s="110"/>
      <c r="R27" s="115">
        <f>0.325/365*4</f>
        <v>3.5616438356164386E-3</v>
      </c>
      <c r="S27" s="12"/>
      <c r="T27" s="12"/>
      <c r="U27" s="12"/>
      <c r="V27" s="12"/>
      <c r="W27" s="16">
        <v>0.14000000000000001</v>
      </c>
      <c r="X27" s="49">
        <f>XNPV(W27,AA6:AA8,W6:W8)</f>
        <v>146.95912020466341</v>
      </c>
      <c r="Y27" s="18">
        <f t="shared" si="2"/>
        <v>-7.1054865962936684E-2</v>
      </c>
      <c r="Z27" s="12"/>
      <c r="AA27" s="12"/>
      <c r="AB27" s="12"/>
      <c r="AC27" s="12"/>
      <c r="AD27" s="12"/>
    </row>
    <row r="28" spans="1:3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10"/>
      <c r="K28" s="12"/>
      <c r="L28" s="12"/>
      <c r="M28" s="12"/>
      <c r="N28" s="12"/>
      <c r="O28" s="12"/>
      <c r="P28" s="114"/>
      <c r="Q28" s="110"/>
      <c r="R28" s="110"/>
      <c r="S28" s="12"/>
      <c r="T28" s="12"/>
      <c r="U28" s="12"/>
      <c r="V28" s="12"/>
      <c r="W28" s="16">
        <v>0.13</v>
      </c>
      <c r="X28" s="49">
        <f>XNPV(W28,AA6:AA8,W6:W8)</f>
        <v>147.85885186216169</v>
      </c>
      <c r="Y28" s="18">
        <f t="shared" si="2"/>
        <v>-6.5367560921860329E-2</v>
      </c>
      <c r="Z28" s="12"/>
      <c r="AA28" s="12"/>
      <c r="AB28" s="12"/>
      <c r="AC28" s="12"/>
      <c r="AD28" s="12"/>
    </row>
    <row r="29" spans="1:3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10"/>
      <c r="K29" s="12"/>
      <c r="L29" s="12"/>
      <c r="M29" s="12"/>
      <c r="N29" s="12"/>
      <c r="O29" s="12"/>
      <c r="P29" s="114"/>
      <c r="Q29" s="110"/>
      <c r="R29" s="110"/>
      <c r="S29" s="12"/>
      <c r="T29" s="12"/>
      <c r="U29" s="12"/>
      <c r="V29" s="12"/>
      <c r="W29" s="16">
        <v>0.12</v>
      </c>
      <c r="X29" s="49">
        <f>XNPV(W29,AA6:AA8,W6:W8)</f>
        <v>148.77218146329841</v>
      </c>
      <c r="Y29" s="18">
        <f t="shared" si="2"/>
        <v>-5.9594301749061822E-2</v>
      </c>
      <c r="Z29" s="12"/>
      <c r="AA29" s="12"/>
      <c r="AB29" s="12"/>
      <c r="AC29" s="12"/>
      <c r="AD29" s="12"/>
    </row>
    <row r="30" spans="1:3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10"/>
      <c r="K30" s="395"/>
      <c r="L30" s="395"/>
      <c r="M30" s="395"/>
      <c r="N30" s="395"/>
      <c r="O30" s="395"/>
      <c r="P30" s="114"/>
      <c r="Q30" s="110"/>
      <c r="R30" s="110">
        <v>149.69999999999999</v>
      </c>
      <c r="S30" s="12"/>
      <c r="T30" s="12"/>
      <c r="U30" s="12"/>
      <c r="V30" s="12"/>
      <c r="W30" s="16">
        <v>0.11</v>
      </c>
      <c r="X30" s="49">
        <f>XNPV(W30,AA6:AA8,W6:W8)</f>
        <v>149.69943873726095</v>
      </c>
      <c r="Y30" s="18">
        <f t="shared" si="2"/>
        <v>-5.3733004189248049E-2</v>
      </c>
      <c r="Z30" s="12"/>
      <c r="AA30" s="12"/>
      <c r="AB30" s="12"/>
      <c r="AC30" s="12"/>
      <c r="AD30" s="12"/>
    </row>
    <row r="31" spans="1:30" ht="15.75" x14ac:dyDescent="0.25">
      <c r="A31" s="12"/>
      <c r="B31" s="413" t="s">
        <v>103</v>
      </c>
      <c r="C31" s="413"/>
      <c r="D31" s="413"/>
      <c r="E31" s="413"/>
      <c r="F31" s="413"/>
      <c r="G31" s="413"/>
      <c r="H31" s="413"/>
      <c r="I31" s="413"/>
      <c r="J31" s="12"/>
      <c r="K31" s="12" t="s">
        <v>60</v>
      </c>
      <c r="L31" s="12"/>
      <c r="M31" s="12"/>
      <c r="N31" s="12"/>
      <c r="O31" s="12"/>
      <c r="P31" s="110"/>
      <c r="Q31" s="110"/>
      <c r="R31" s="110"/>
      <c r="S31" s="12"/>
      <c r="T31" s="12"/>
      <c r="U31" s="12"/>
      <c r="V31" s="12"/>
      <c r="W31" s="16">
        <v>0.1</v>
      </c>
      <c r="X31" s="49">
        <f>XNPV(W31,AA6:AA8,W6:W8)</f>
        <v>150.64096447504423</v>
      </c>
      <c r="Y31" s="18">
        <f t="shared" si="2"/>
        <v>-4.7781514064195708E-2</v>
      </c>
      <c r="Z31" s="12"/>
      <c r="AA31" s="12"/>
      <c r="AB31" s="12"/>
      <c r="AC31" s="12"/>
      <c r="AD31" s="12"/>
    </row>
    <row r="32" spans="1:3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10"/>
      <c r="Q32" s="110"/>
      <c r="R32" s="110">
        <f>R30/(1+R27)</f>
        <v>149.16871416871413</v>
      </c>
      <c r="S32" s="12"/>
      <c r="T32" s="12"/>
      <c r="U32" s="12"/>
      <c r="V32" s="12"/>
      <c r="W32" s="16">
        <v>0.09</v>
      </c>
      <c r="X32" s="49">
        <f>XNPV(W32,AA6:AA8,W6:W8)</f>
        <v>151.59711100530623</v>
      </c>
      <c r="Y32" s="18">
        <f t="shared" ref="Y32:Y39" si="3">(X32+$I$6)/(-$I$6)</f>
        <v>-4.1737604264815154E-2</v>
      </c>
      <c r="Z32" s="12"/>
      <c r="AA32" s="12"/>
      <c r="AB32" s="12"/>
      <c r="AC32" s="12"/>
      <c r="AD32" s="12"/>
    </row>
    <row r="33" spans="1:30" x14ac:dyDescent="0.25">
      <c r="A33" s="12"/>
      <c r="B33" s="373" t="s">
        <v>34</v>
      </c>
      <c r="C33" s="374"/>
      <c r="D33" s="12"/>
      <c r="E33" s="395" t="s">
        <v>44</v>
      </c>
      <c r="F33" s="395"/>
      <c r="G33" s="395"/>
      <c r="H33" s="395"/>
      <c r="I33" s="395"/>
      <c r="J33" s="12"/>
      <c r="K33" s="395" t="s">
        <v>87</v>
      </c>
      <c r="L33" s="395"/>
      <c r="M33" s="395"/>
      <c r="N33" s="395"/>
      <c r="O33" s="395"/>
      <c r="P33" s="12"/>
      <c r="Q33" s="12"/>
      <c r="R33" s="12"/>
      <c r="S33" s="12"/>
      <c r="T33" s="12"/>
      <c r="U33" s="12"/>
      <c r="V33" s="12"/>
      <c r="W33" s="16">
        <v>0.08</v>
      </c>
      <c r="X33" s="49">
        <f>XNPV(W33,AA6:AA8,W6:W8)</f>
        <v>152.56824269528286</v>
      </c>
      <c r="Y33" s="18">
        <f t="shared" si="3"/>
        <v>-3.5598971584811172E-2</v>
      </c>
      <c r="Z33" s="12"/>
      <c r="AA33" s="12"/>
      <c r="AB33" s="12"/>
      <c r="AC33" s="12"/>
      <c r="AD33" s="12"/>
    </row>
    <row r="34" spans="1:30" x14ac:dyDescent="0.25">
      <c r="A34" s="12"/>
      <c r="B34" s="24" t="s">
        <v>0</v>
      </c>
      <c r="C34" s="32">
        <v>43908</v>
      </c>
      <c r="D34" s="12"/>
      <c r="E34" s="29" t="s">
        <v>14</v>
      </c>
      <c r="F34" s="29" t="s">
        <v>7</v>
      </c>
      <c r="G34" s="29" t="s">
        <v>8</v>
      </c>
      <c r="H34" s="29" t="s">
        <v>33</v>
      </c>
      <c r="I34" s="29" t="s">
        <v>9</v>
      </c>
      <c r="J34" s="12"/>
      <c r="K34" s="29" t="s">
        <v>14</v>
      </c>
      <c r="L34" s="29" t="s">
        <v>7</v>
      </c>
      <c r="M34" s="29" t="s">
        <v>8</v>
      </c>
      <c r="N34" s="29" t="s">
        <v>33</v>
      </c>
      <c r="O34" s="29" t="s">
        <v>9</v>
      </c>
      <c r="P34" s="12"/>
      <c r="Q34" s="12"/>
      <c r="R34" s="12">
        <f>149.7</f>
        <v>149.69999999999999</v>
      </c>
      <c r="S34" s="12"/>
      <c r="T34" s="12"/>
      <c r="U34" s="12"/>
      <c r="V34" s="12"/>
      <c r="W34" s="16">
        <v>7.0000000000000007E-2</v>
      </c>
      <c r="X34" s="49">
        <f>XNPV(W34,AA6:AA8,W6:W8)</f>
        <v>153.55473647832895</v>
      </c>
      <c r="Y34" s="18">
        <f t="shared" si="3"/>
        <v>-2.936323338603692E-2</v>
      </c>
      <c r="Z34" s="12"/>
      <c r="AA34" s="12"/>
      <c r="AB34" s="12"/>
      <c r="AC34" s="12"/>
      <c r="AD34" s="12"/>
    </row>
    <row r="35" spans="1:30" x14ac:dyDescent="0.25">
      <c r="A35" s="12"/>
      <c r="B35" s="24" t="s">
        <v>1</v>
      </c>
      <c r="C35" s="33">
        <v>44638</v>
      </c>
      <c r="D35" s="12"/>
      <c r="E35" s="15">
        <v>44399</v>
      </c>
      <c r="F35" s="12">
        <v>100</v>
      </c>
      <c r="G35" s="30"/>
      <c r="H35" s="12"/>
      <c r="I35" s="14" t="e">
        <f>-[2]Hoja1!#REF!</f>
        <v>#REF!</v>
      </c>
      <c r="J35" s="12"/>
      <c r="K35" s="15">
        <f>E35</f>
        <v>44399</v>
      </c>
      <c r="L35" s="12">
        <v>100</v>
      </c>
      <c r="M35" s="30"/>
      <c r="N35" s="12"/>
      <c r="O35" s="14" t="e">
        <f>I35</f>
        <v>#REF!</v>
      </c>
      <c r="P35" s="12"/>
      <c r="Q35" s="12"/>
      <c r="R35" s="12">
        <v>149.35</v>
      </c>
      <c r="S35" s="12"/>
      <c r="T35" s="12"/>
      <c r="U35" s="12"/>
      <c r="V35" s="12"/>
      <c r="W35" s="16">
        <v>0.06</v>
      </c>
      <c r="X35" s="49">
        <f>XNPV(W35,AA6:AA8,W6:W8)</f>
        <v>154.55698240976398</v>
      </c>
      <c r="Y35" s="18">
        <f t="shared" si="3"/>
        <v>-2.3027924084930554E-2</v>
      </c>
      <c r="Z35" s="12"/>
      <c r="AA35" s="12"/>
      <c r="AB35" s="12"/>
      <c r="AC35" s="12"/>
      <c r="AD35" s="12"/>
    </row>
    <row r="36" spans="1:30" x14ac:dyDescent="0.25">
      <c r="A36" s="12"/>
      <c r="B36" s="24" t="s">
        <v>2</v>
      </c>
      <c r="C36" s="34">
        <v>20.0733</v>
      </c>
      <c r="D36" s="12"/>
      <c r="E36" s="15">
        <v>44457</v>
      </c>
      <c r="F36" s="12">
        <v>100</v>
      </c>
      <c r="G36" s="14">
        <f>$C$41*$C$40*(180/360)</f>
        <v>0.9405</v>
      </c>
      <c r="H36" s="14"/>
      <c r="I36" s="14">
        <f>SUM(G36:H36)</f>
        <v>0.9405</v>
      </c>
      <c r="J36" s="12"/>
      <c r="K36" s="15">
        <f>E36</f>
        <v>44457</v>
      </c>
      <c r="L36" s="12">
        <v>100</v>
      </c>
      <c r="M36" s="30">
        <f>O47*($C$10/360*180)</f>
        <v>0</v>
      </c>
      <c r="N36" s="14"/>
      <c r="O36" s="14">
        <f>SUM(M36:N36)</f>
        <v>0</v>
      </c>
      <c r="P36" s="12"/>
      <c r="Q36" s="12"/>
      <c r="R36" s="22">
        <f>R34/R35-1</f>
        <v>2.3434884499498043E-3</v>
      </c>
      <c r="S36" s="12"/>
      <c r="T36" s="12"/>
      <c r="U36" s="12"/>
      <c r="V36" s="12"/>
      <c r="W36" s="16">
        <v>0.05</v>
      </c>
      <c r="X36" s="49">
        <f>XNPV(W36,AA6:AA8,W6:W8)</f>
        <v>155.57538425282539</v>
      </c>
      <c r="Y36" s="18">
        <f t="shared" si="3"/>
        <v>-1.6590491448638445E-2</v>
      </c>
      <c r="Z36" s="12"/>
      <c r="AA36" s="12"/>
      <c r="AB36" s="12"/>
      <c r="AC36" s="12"/>
      <c r="AD36" s="12"/>
    </row>
    <row r="37" spans="1:30" x14ac:dyDescent="0.25">
      <c r="A37" s="12"/>
      <c r="B37" s="24" t="s">
        <v>3</v>
      </c>
      <c r="C37" s="34">
        <f>+'Serie CER'!H139</f>
        <v>30.398399999999999</v>
      </c>
      <c r="D37" s="12"/>
      <c r="E37" s="15">
        <v>44638</v>
      </c>
      <c r="F37" s="12">
        <v>100</v>
      </c>
      <c r="G37" s="14">
        <f>$C$41*$C$40*(180/360)</f>
        <v>0.9405</v>
      </c>
      <c r="H37" s="14">
        <f>+C41</f>
        <v>156.75</v>
      </c>
      <c r="I37" s="14">
        <f>SUM(G37:H37)</f>
        <v>157.69049999999999</v>
      </c>
      <c r="J37" s="12"/>
      <c r="K37" s="15">
        <f>E37</f>
        <v>44638</v>
      </c>
      <c r="L37" s="12">
        <v>100</v>
      </c>
      <c r="M37" s="30">
        <f>O48*($C$10/360*180)</f>
        <v>0</v>
      </c>
      <c r="N37" s="14">
        <f>O48</f>
        <v>0</v>
      </c>
      <c r="O37" s="14">
        <f>SUM(M37:N37)</f>
        <v>0</v>
      </c>
      <c r="P37" s="12"/>
      <c r="Q37" s="12"/>
      <c r="R37" s="12"/>
      <c r="S37" s="12"/>
      <c r="T37" s="12"/>
      <c r="U37" s="12"/>
      <c r="V37" s="12"/>
      <c r="W37" s="16">
        <v>0.04</v>
      </c>
      <c r="X37" s="49">
        <f>XNPV(W37,AA6:AA8,W6:W8)</f>
        <v>156.61036009666489</v>
      </c>
      <c r="Y37" s="18">
        <f t="shared" si="3"/>
        <v>-1.0048292688591009E-2</v>
      </c>
      <c r="Z37" s="12"/>
      <c r="AA37" s="12"/>
      <c r="AB37" s="12"/>
      <c r="AC37" s="12"/>
      <c r="AD37" s="12"/>
    </row>
    <row r="38" spans="1:30" x14ac:dyDescent="0.25">
      <c r="A38" s="12"/>
      <c r="B38" s="24" t="s">
        <v>4</v>
      </c>
      <c r="C38" s="34">
        <f>((C37-C36)/C36)+1</f>
        <v>1.514369834556351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6">
        <v>0.03</v>
      </c>
      <c r="X38" s="49">
        <f>XNPV(W38,AA6:AA8,W6:W8)</f>
        <v>157.66234300846753</v>
      </c>
      <c r="Y38" s="18">
        <f t="shared" si="3"/>
        <v>-3.3985903383846909E-3</v>
      </c>
      <c r="Z38" s="12"/>
      <c r="AA38" s="12"/>
      <c r="AB38" s="12"/>
      <c r="AC38" s="12"/>
      <c r="AD38" s="12"/>
    </row>
    <row r="39" spans="1:30" x14ac:dyDescent="0.25">
      <c r="A39" s="12"/>
      <c r="B39" s="24" t="s">
        <v>223</v>
      </c>
      <c r="C39">
        <f>C38*100</f>
        <v>151.4369834556351</v>
      </c>
      <c r="D39" s="12"/>
      <c r="E39" s="12"/>
      <c r="F39" s="12"/>
      <c r="H39" s="92" t="s">
        <v>13</v>
      </c>
      <c r="I39" s="86" t="e">
        <f>XIRR(I35:I37,E35:E37,0)</f>
        <v>#REF!</v>
      </c>
      <c r="J39" s="12"/>
      <c r="K39" s="15"/>
      <c r="L39" s="12"/>
      <c r="M39" s="12"/>
      <c r="N39" s="92" t="s">
        <v>10</v>
      </c>
      <c r="O39" s="86" t="e">
        <f>XIRR(O35:O37,K35:K37,0)</f>
        <v>#REF!</v>
      </c>
      <c r="P39" s="12"/>
      <c r="Q39" s="12"/>
      <c r="R39" s="12"/>
      <c r="S39" s="12"/>
      <c r="T39" s="12"/>
      <c r="U39" s="12"/>
      <c r="V39" s="12"/>
      <c r="W39" s="16">
        <v>2.5000000000000001E-2</v>
      </c>
      <c r="X39" s="49">
        <f>XNPV(W39,AA6:AA8,W6:W8)</f>
        <v>158.19485171255269</v>
      </c>
      <c r="Y39" s="18">
        <f t="shared" si="3"/>
        <v>-3.2542904218066478E-5</v>
      </c>
      <c r="Z39" s="12"/>
      <c r="AA39" s="12"/>
      <c r="AB39" s="12"/>
      <c r="AC39" s="12"/>
      <c r="AD39" s="12"/>
    </row>
    <row r="40" spans="1:30" x14ac:dyDescent="0.25">
      <c r="A40" s="12"/>
      <c r="B40" s="24" t="s">
        <v>5</v>
      </c>
      <c r="C40" s="35">
        <v>1.2E-2</v>
      </c>
      <c r="D40" s="12"/>
      <c r="E40" s="12"/>
      <c r="F40" s="12"/>
      <c r="H40" s="92" t="s">
        <v>29</v>
      </c>
      <c r="I40" s="71">
        <f>MDURATION(E35,E37,C40,0,2)</f>
        <v>0.652591128678085</v>
      </c>
      <c r="J40" s="12"/>
      <c r="K40" s="12"/>
      <c r="L40" s="12"/>
      <c r="M40" s="12"/>
      <c r="N40" s="92" t="s">
        <v>64</v>
      </c>
      <c r="O40" s="71" t="e">
        <f>MDURATION(K35,K37,C40,O39,2)</f>
        <v>#REF!</v>
      </c>
      <c r="P40" s="12"/>
      <c r="Q40" s="12"/>
      <c r="R40" s="12"/>
      <c r="S40" s="12"/>
      <c r="T40" s="12"/>
      <c r="U40" s="12"/>
      <c r="V40" s="12"/>
      <c r="W40" s="16">
        <v>0.02</v>
      </c>
      <c r="X40" s="49">
        <f>XNPV(W40,AA6:AA8,W6:W8)</f>
        <v>158.73178172193025</v>
      </c>
      <c r="Y40" s="18">
        <f>(X40+$I$6)/(-$I$6)</f>
        <v>3.3614520981685102E-3</v>
      </c>
      <c r="Z40" s="12"/>
      <c r="AA40" s="12"/>
      <c r="AB40" s="12"/>
      <c r="AC40" s="12"/>
      <c r="AD40" s="12"/>
    </row>
    <row r="41" spans="1:30" x14ac:dyDescent="0.25">
      <c r="A41" s="12"/>
      <c r="B41" s="36" t="s">
        <v>16</v>
      </c>
      <c r="C41" s="37">
        <v>156.75</v>
      </c>
      <c r="D41" s="12"/>
      <c r="E41">
        <f>E37-E35</f>
        <v>239</v>
      </c>
      <c r="J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x14ac:dyDescent="0.25">
      <c r="A43" s="12"/>
      <c r="B43" s="12" t="s">
        <v>222</v>
      </c>
      <c r="C43" s="22">
        <f>(C41/C39)-1</f>
        <v>3.5084009355755619E-2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spans="1:30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spans="1:30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spans="1:3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</sheetData>
  <mergeCells count="17">
    <mergeCell ref="K33:O33"/>
    <mergeCell ref="K30:O30"/>
    <mergeCell ref="B31:I31"/>
    <mergeCell ref="B33:C33"/>
    <mergeCell ref="E33:I33"/>
    <mergeCell ref="E17:F19"/>
    <mergeCell ref="AC4:AG4"/>
    <mergeCell ref="B2:I2"/>
    <mergeCell ref="B4:C4"/>
    <mergeCell ref="E4:I4"/>
    <mergeCell ref="K4:O4"/>
    <mergeCell ref="Q4:U4"/>
    <mergeCell ref="K24:P24"/>
    <mergeCell ref="K15:O15"/>
    <mergeCell ref="W4:AA4"/>
    <mergeCell ref="W23:Y23"/>
    <mergeCell ref="W24:Y2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54"/>
  <sheetViews>
    <sheetView showGridLines="0" zoomScale="90" zoomScaleNormal="90" workbookViewId="0">
      <selection activeCell="N8" sqref="N8"/>
    </sheetView>
  </sheetViews>
  <sheetFormatPr baseColWidth="10" defaultRowHeight="15" x14ac:dyDescent="0.2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2" max="12" width="11.28515625" customWidth="1"/>
    <col min="13" max="14" width="11" customWidth="1"/>
    <col min="15" max="15" width="11.140625" customWidth="1"/>
    <col min="16" max="16" width="12" customWidth="1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4" ht="15.75" x14ac:dyDescent="0.25">
      <c r="A2" s="12"/>
      <c r="B2" s="413" t="s">
        <v>104</v>
      </c>
      <c r="C2" s="413"/>
      <c r="D2" s="413"/>
      <c r="E2" s="413"/>
      <c r="F2" s="413"/>
      <c r="G2" s="413"/>
      <c r="H2" s="413"/>
      <c r="I2" s="413"/>
      <c r="J2" s="12"/>
      <c r="K2" s="12"/>
      <c r="L2" s="12" t="s">
        <v>60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4" x14ac:dyDescent="0.25">
      <c r="A4" s="12"/>
      <c r="B4" s="373" t="s">
        <v>34</v>
      </c>
      <c r="C4" s="374"/>
      <c r="D4" s="12"/>
      <c r="E4" s="395" t="s">
        <v>105</v>
      </c>
      <c r="F4" s="395"/>
      <c r="G4" s="395"/>
      <c r="H4" s="395"/>
      <c r="I4" s="395"/>
      <c r="J4" s="12"/>
      <c r="K4" s="12"/>
      <c r="L4" s="395" t="s">
        <v>106</v>
      </c>
      <c r="M4" s="395"/>
      <c r="N4" s="395"/>
      <c r="O4" s="395"/>
      <c r="P4" s="395"/>
      <c r="Q4" s="12"/>
      <c r="R4" s="395" t="s">
        <v>106</v>
      </c>
      <c r="S4" s="395"/>
      <c r="T4" s="395"/>
      <c r="U4" s="395"/>
      <c r="V4" s="395"/>
      <c r="W4" s="12"/>
      <c r="X4" s="395" t="s">
        <v>105</v>
      </c>
      <c r="Y4" s="395"/>
      <c r="Z4" s="395"/>
      <c r="AA4" s="395"/>
      <c r="AB4" s="395"/>
      <c r="AC4" s="12"/>
      <c r="AD4" s="395" t="s">
        <v>105</v>
      </c>
      <c r="AE4" s="395"/>
      <c r="AF4" s="395"/>
      <c r="AG4" s="395"/>
      <c r="AH4" s="395"/>
    </row>
    <row r="5" spans="1:34" x14ac:dyDescent="0.25">
      <c r="A5" s="12"/>
      <c r="B5" s="24" t="s">
        <v>0</v>
      </c>
      <c r="C5" s="32">
        <v>43971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12"/>
      <c r="K5" s="12"/>
      <c r="L5" s="29" t="s">
        <v>14</v>
      </c>
      <c r="M5" s="29" t="s">
        <v>7</v>
      </c>
      <c r="N5" s="29" t="s">
        <v>8</v>
      </c>
      <c r="O5" s="29" t="s">
        <v>33</v>
      </c>
      <c r="P5" s="29" t="s">
        <v>9</v>
      </c>
      <c r="Q5" s="12"/>
      <c r="R5" s="29" t="s">
        <v>14</v>
      </c>
      <c r="S5" s="29" t="s">
        <v>7</v>
      </c>
      <c r="T5" s="29" t="s">
        <v>8</v>
      </c>
      <c r="U5" s="29" t="s">
        <v>33</v>
      </c>
      <c r="V5" s="29" t="s">
        <v>9</v>
      </c>
      <c r="W5" s="12"/>
      <c r="X5" s="29" t="s">
        <v>14</v>
      </c>
      <c r="Y5" s="29" t="s">
        <v>7</v>
      </c>
      <c r="Z5" s="29" t="s">
        <v>8</v>
      </c>
      <c r="AA5" s="29" t="s">
        <v>33</v>
      </c>
      <c r="AB5" s="29" t="s">
        <v>9</v>
      </c>
      <c r="AC5" s="12"/>
      <c r="AD5" s="29" t="s">
        <v>14</v>
      </c>
      <c r="AE5" s="29" t="s">
        <v>7</v>
      </c>
      <c r="AF5" s="29" t="s">
        <v>8</v>
      </c>
      <c r="AG5" s="29" t="s">
        <v>33</v>
      </c>
      <c r="AH5" s="29" t="s">
        <v>9</v>
      </c>
    </row>
    <row r="6" spans="1:34" x14ac:dyDescent="0.25">
      <c r="A6" s="12"/>
      <c r="B6" s="24" t="s">
        <v>1</v>
      </c>
      <c r="C6" s="33">
        <f>+E9</f>
        <v>44824</v>
      </c>
      <c r="D6" s="12"/>
      <c r="E6" s="15">
        <f>+'Planilla de datos'!D3</f>
        <v>44384</v>
      </c>
      <c r="F6" s="12">
        <v>100</v>
      </c>
      <c r="G6" s="30"/>
      <c r="H6" s="12"/>
      <c r="I6" s="14">
        <f>-'Planilla de datos'!C16</f>
        <v>-149.4</v>
      </c>
      <c r="J6" s="12"/>
      <c r="K6" s="12"/>
      <c r="L6" s="15">
        <f>E6</f>
        <v>44384</v>
      </c>
      <c r="M6" s="12">
        <v>100</v>
      </c>
      <c r="N6" s="30"/>
      <c r="O6" s="12"/>
      <c r="P6" s="14">
        <f>I6</f>
        <v>-149.4</v>
      </c>
      <c r="Q6" s="12"/>
      <c r="R6" s="15">
        <f>+L6</f>
        <v>44384</v>
      </c>
      <c r="S6" s="12">
        <v>100</v>
      </c>
      <c r="T6" s="30"/>
      <c r="U6" s="12"/>
      <c r="V6" s="14">
        <v>0</v>
      </c>
      <c r="W6" s="12"/>
      <c r="X6" s="15">
        <f>+E6</f>
        <v>44384</v>
      </c>
      <c r="Y6" s="12">
        <f>+F6</f>
        <v>100</v>
      </c>
      <c r="Z6" s="30"/>
      <c r="AA6" s="12"/>
      <c r="AB6" s="14">
        <v>0</v>
      </c>
      <c r="AC6" s="12"/>
      <c r="AD6" s="15">
        <f>+X6</f>
        <v>44384</v>
      </c>
      <c r="AE6" s="12">
        <f>+Y6</f>
        <v>100</v>
      </c>
      <c r="AF6" s="30"/>
      <c r="AG6" s="12"/>
      <c r="AH6" s="14">
        <f>-Y39</f>
        <v>-148.68343396958585</v>
      </c>
    </row>
    <row r="7" spans="1:34" x14ac:dyDescent="0.25">
      <c r="A7" s="12"/>
      <c r="B7" s="24" t="s">
        <v>2</v>
      </c>
      <c r="C7" s="34">
        <v>21.126899999999999</v>
      </c>
      <c r="D7" s="12"/>
      <c r="E7" s="15">
        <v>44459</v>
      </c>
      <c r="F7" s="12">
        <v>100</v>
      </c>
      <c r="G7" s="14">
        <f>$C$11*C10*(180/360)</f>
        <v>0.98206244172121793</v>
      </c>
      <c r="H7" s="14"/>
      <c r="I7" s="14">
        <f>SUM(G7:H7)</f>
        <v>0.98206244172121793</v>
      </c>
      <c r="J7" s="12"/>
      <c r="K7" s="12"/>
      <c r="L7" s="15">
        <f>E7</f>
        <v>44459</v>
      </c>
      <c r="M7" s="12">
        <v>100</v>
      </c>
      <c r="N7" s="30">
        <f>P20*($C$10/360*180)</f>
        <v>1.0580621070766847</v>
      </c>
      <c r="O7" s="14"/>
      <c r="P7" s="14">
        <f>SUM(N7:O7)</f>
        <v>1.0580621070766847</v>
      </c>
      <c r="Q7" s="12"/>
      <c r="R7" s="15">
        <f>L7</f>
        <v>44459</v>
      </c>
      <c r="S7" s="12">
        <v>100</v>
      </c>
      <c r="T7" s="30">
        <f>N7</f>
        <v>1.0580621070766847</v>
      </c>
      <c r="U7" s="14"/>
      <c r="V7" s="14">
        <f>SUM(T7:U7)</f>
        <v>1.0580621070766847</v>
      </c>
      <c r="W7" s="12"/>
      <c r="X7" s="15">
        <f t="shared" ref="X7:Z9" si="0">+E7</f>
        <v>44459</v>
      </c>
      <c r="Y7" s="12">
        <f t="shared" si="0"/>
        <v>100</v>
      </c>
      <c r="Z7" s="14">
        <f t="shared" si="0"/>
        <v>0.98206244172121793</v>
      </c>
      <c r="AA7" s="14"/>
      <c r="AB7" s="14">
        <f>+I7</f>
        <v>0.98206244172121793</v>
      </c>
      <c r="AC7" s="12"/>
      <c r="AD7" s="15">
        <f t="shared" ref="AD7:AF9" si="1">+X7</f>
        <v>44459</v>
      </c>
      <c r="AE7" s="12">
        <f t="shared" si="1"/>
        <v>100</v>
      </c>
      <c r="AF7" s="14">
        <f t="shared" si="1"/>
        <v>0.98206244172121793</v>
      </c>
      <c r="AG7" s="14"/>
      <c r="AH7" s="14">
        <f>+AB7</f>
        <v>0.98206244172121793</v>
      </c>
    </row>
    <row r="8" spans="1:34" x14ac:dyDescent="0.25">
      <c r="A8" s="12"/>
      <c r="B8" s="24" t="s">
        <v>3</v>
      </c>
      <c r="C8" s="34">
        <f>+'Planilla de datos'!D64</f>
        <v>31.919899999999998</v>
      </c>
      <c r="D8" s="12"/>
      <c r="E8" s="15">
        <v>44640</v>
      </c>
      <c r="F8" s="12">
        <v>100</v>
      </c>
      <c r="G8" s="14">
        <f>$C$11*C10*(180/360)</f>
        <v>0.98206244172121793</v>
      </c>
      <c r="H8" s="14"/>
      <c r="I8" s="14">
        <f>SUM(G8:H8)</f>
        <v>0.98206244172121793</v>
      </c>
      <c r="J8" s="12"/>
      <c r="K8" s="12"/>
      <c r="L8" s="15">
        <f>E8</f>
        <v>44640</v>
      </c>
      <c r="M8" s="12">
        <v>100</v>
      </c>
      <c r="N8" s="30">
        <f>P21*($C$10/360*180)</f>
        <v>1.2487337479633085</v>
      </c>
      <c r="O8" s="14"/>
      <c r="P8" s="14">
        <f>SUM(N8:O8)</f>
        <v>1.2487337479633085</v>
      </c>
      <c r="Q8" s="12"/>
      <c r="R8" s="15">
        <f>L8</f>
        <v>44640</v>
      </c>
      <c r="S8" s="12">
        <v>100</v>
      </c>
      <c r="T8" s="30">
        <f>N8</f>
        <v>1.2487337479633085</v>
      </c>
      <c r="U8" s="14"/>
      <c r="V8" s="14">
        <f>SUM(T8:U8)</f>
        <v>1.2487337479633085</v>
      </c>
      <c r="W8" s="12"/>
      <c r="X8" s="15">
        <f t="shared" si="0"/>
        <v>44640</v>
      </c>
      <c r="Y8" s="12">
        <f t="shared" si="0"/>
        <v>100</v>
      </c>
      <c r="Z8" s="14">
        <f t="shared" si="0"/>
        <v>0.98206244172121793</v>
      </c>
      <c r="AA8" s="14"/>
      <c r="AB8" s="14">
        <f>+I8</f>
        <v>0.98206244172121793</v>
      </c>
      <c r="AC8" s="12"/>
      <c r="AD8" s="15">
        <f t="shared" si="1"/>
        <v>44640</v>
      </c>
      <c r="AE8" s="12">
        <f t="shared" si="1"/>
        <v>100</v>
      </c>
      <c r="AF8" s="14">
        <f t="shared" si="1"/>
        <v>0.98206244172121793</v>
      </c>
      <c r="AG8" s="14"/>
      <c r="AH8" s="14">
        <f>+AB8</f>
        <v>0.98206244172121793</v>
      </c>
    </row>
    <row r="9" spans="1:34" x14ac:dyDescent="0.25">
      <c r="A9" s="12"/>
      <c r="B9" s="24" t="s">
        <v>4</v>
      </c>
      <c r="C9" s="34">
        <f>C8/C7</f>
        <v>1.51086529495572</v>
      </c>
      <c r="D9" s="12"/>
      <c r="E9" s="15">
        <v>44824</v>
      </c>
      <c r="F9" s="12">
        <v>100</v>
      </c>
      <c r="G9" s="14">
        <f>$C$11*C10*(180/360)</f>
        <v>0.98206244172121793</v>
      </c>
      <c r="H9" s="14">
        <f>C11</f>
        <v>151.08652949557199</v>
      </c>
      <c r="I9" s="14">
        <f>SUM(G9:H9)</f>
        <v>152.06859193729321</v>
      </c>
      <c r="J9" s="12"/>
      <c r="K9" s="12"/>
      <c r="L9" s="15">
        <f>E9</f>
        <v>44824</v>
      </c>
      <c r="M9" s="12">
        <v>100</v>
      </c>
      <c r="N9" s="30">
        <f>P22*($C$10/360*180)</f>
        <v>1.479202454926819</v>
      </c>
      <c r="O9" s="14">
        <f>P22</f>
        <v>227.56960845027984</v>
      </c>
      <c r="P9" s="14">
        <f>SUM(N9:O9)</f>
        <v>229.04881090520666</v>
      </c>
      <c r="Q9" s="12"/>
      <c r="R9" s="15">
        <f>L9</f>
        <v>44824</v>
      </c>
      <c r="S9" s="12">
        <v>100</v>
      </c>
      <c r="T9" s="30">
        <f>N9</f>
        <v>1.479202454926819</v>
      </c>
      <c r="U9" s="14">
        <f>O9</f>
        <v>227.56960845027984</v>
      </c>
      <c r="V9" s="14">
        <f>SUM(T9:U9)</f>
        <v>229.04881090520666</v>
      </c>
      <c r="W9" s="12"/>
      <c r="X9" s="15">
        <f t="shared" si="0"/>
        <v>44824</v>
      </c>
      <c r="Y9" s="12">
        <f t="shared" si="0"/>
        <v>100</v>
      </c>
      <c r="Z9" s="14">
        <f t="shared" si="0"/>
        <v>0.98206244172121793</v>
      </c>
      <c r="AA9" s="14">
        <f>+H9</f>
        <v>151.08652949557199</v>
      </c>
      <c r="AB9" s="14">
        <f>+I9</f>
        <v>152.06859193729321</v>
      </c>
      <c r="AC9" s="12"/>
      <c r="AD9" s="15">
        <f t="shared" si="1"/>
        <v>44824</v>
      </c>
      <c r="AE9" s="12">
        <f t="shared" si="1"/>
        <v>100</v>
      </c>
      <c r="AF9" s="14">
        <f t="shared" si="1"/>
        <v>0.98206244172121793</v>
      </c>
      <c r="AG9" s="14">
        <f>+AA9</f>
        <v>151.08652949557199</v>
      </c>
      <c r="AH9" s="14">
        <f>+AB9</f>
        <v>152.06859193729321</v>
      </c>
    </row>
    <row r="10" spans="1:34" x14ac:dyDescent="0.25">
      <c r="A10" s="12"/>
      <c r="B10" s="24" t="s">
        <v>5</v>
      </c>
      <c r="C10" s="35">
        <v>1.2999999999999999E-2</v>
      </c>
      <c r="D10" s="12"/>
      <c r="E10" s="12"/>
      <c r="F10" s="12"/>
      <c r="J10" s="12"/>
      <c r="K10" s="12"/>
      <c r="L10" s="15"/>
      <c r="M10" s="12"/>
      <c r="N10" s="12"/>
      <c r="Q10" s="12"/>
      <c r="W10" s="12"/>
      <c r="AC10" s="12"/>
      <c r="AD10" s="12"/>
      <c r="AE10" s="12"/>
    </row>
    <row r="11" spans="1:34" x14ac:dyDescent="0.25">
      <c r="A11" s="12"/>
      <c r="B11" s="36" t="s">
        <v>16</v>
      </c>
      <c r="C11" s="37">
        <f>F6*C9</f>
        <v>151.08652949557199</v>
      </c>
      <c r="D11" s="12"/>
      <c r="E11" s="12"/>
      <c r="F11" s="12"/>
      <c r="H11" s="92" t="s">
        <v>13</v>
      </c>
      <c r="I11" s="86">
        <f>XIRR(I6:I9,E6:E9,0)</f>
        <v>2.5866645507812508E-2</v>
      </c>
      <c r="J11" s="12"/>
      <c r="K11" s="12"/>
      <c r="L11" s="12"/>
      <c r="M11" s="12"/>
      <c r="N11" s="12"/>
      <c r="O11" s="92" t="s">
        <v>10</v>
      </c>
      <c r="P11" s="86">
        <f>XIRR(P6:P9,L6:L9,0)</f>
        <v>0.44103077636718746</v>
      </c>
      <c r="Q11" s="12"/>
      <c r="R11" s="15"/>
      <c r="S11" s="12"/>
      <c r="T11" s="27"/>
      <c r="U11" s="87"/>
      <c r="V11" s="42"/>
      <c r="W11" s="27"/>
      <c r="X11" s="27"/>
      <c r="Y11" s="12"/>
      <c r="Z11" s="12"/>
      <c r="AA11" s="12"/>
      <c r="AB11" s="12"/>
      <c r="AC11" s="12"/>
      <c r="AD11" s="12"/>
      <c r="AE11" s="12"/>
      <c r="AG11" t="s">
        <v>10</v>
      </c>
      <c r="AH11" s="22">
        <f>XIRR(AH6:AH9,AD6:AD9)</f>
        <v>2.9999998211860644E-2</v>
      </c>
    </row>
    <row r="12" spans="1:34" x14ac:dyDescent="0.25">
      <c r="A12" s="12"/>
      <c r="B12" s="12"/>
      <c r="C12" s="12"/>
      <c r="D12" s="12"/>
      <c r="E12" s="12"/>
      <c r="F12" s="12"/>
      <c r="G12" s="12"/>
      <c r="H12" s="92" t="s">
        <v>29</v>
      </c>
      <c r="I12" s="71">
        <f>MDURATION(E6,E9,C10,0,2)</f>
        <v>1.1932142662525203</v>
      </c>
      <c r="J12" s="12"/>
      <c r="K12" s="12"/>
      <c r="L12" s="12"/>
      <c r="M12" s="12"/>
      <c r="N12" s="12"/>
      <c r="O12" s="92" t="s">
        <v>64</v>
      </c>
      <c r="P12" s="71">
        <f>MDURATION(L6,L9,C10,P11,2)</f>
        <v>0.97454711260100635</v>
      </c>
      <c r="Q12" s="12"/>
      <c r="R12" s="12"/>
      <c r="S12" s="12"/>
      <c r="T12" s="27"/>
      <c r="U12" s="27"/>
      <c r="V12" s="27"/>
      <c r="W12" s="27"/>
      <c r="X12" s="27"/>
      <c r="Y12" s="12"/>
      <c r="Z12" s="12"/>
      <c r="AA12" s="12"/>
      <c r="AB12" s="12"/>
      <c r="AC12" s="12"/>
      <c r="AD12" s="12"/>
      <c r="AE12" s="12"/>
      <c r="AG12" t="s">
        <v>64</v>
      </c>
      <c r="AH12" s="4">
        <f>MDURATION(AD6,AD9,C10,AH11,2)</f>
        <v>1.175346375449996</v>
      </c>
    </row>
    <row r="13" spans="1:34" x14ac:dyDescent="0.25">
      <c r="A13" s="12"/>
      <c r="B13" s="12"/>
      <c r="C13" s="12"/>
      <c r="D13" s="12"/>
      <c r="J13" s="12"/>
      <c r="K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4" x14ac:dyDescent="0.25">
      <c r="A14" s="12"/>
      <c r="B14" s="12"/>
      <c r="C14" s="12"/>
      <c r="D14" s="12"/>
    </row>
    <row r="15" spans="1:3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408"/>
      <c r="M15" s="408"/>
      <c r="N15" s="408"/>
      <c r="O15" s="408"/>
      <c r="P15" s="408"/>
      <c r="Q15" s="4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6" ht="28.5" x14ac:dyDescent="0.25">
      <c r="A17" s="12"/>
      <c r="B17" s="12"/>
      <c r="C17" s="12"/>
      <c r="D17" s="12"/>
      <c r="E17" s="27"/>
      <c r="F17" s="27"/>
      <c r="G17" s="27"/>
      <c r="H17" s="27"/>
      <c r="I17" s="27"/>
      <c r="J17" s="12"/>
      <c r="K17" s="12"/>
      <c r="L17" s="45" t="s">
        <v>6</v>
      </c>
      <c r="M17" s="45" t="s">
        <v>58</v>
      </c>
      <c r="N17" s="45" t="s">
        <v>24</v>
      </c>
      <c r="O17" s="45" t="s">
        <v>4</v>
      </c>
      <c r="P17" s="45" t="s">
        <v>59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6" ht="15" customHeight="1" x14ac:dyDescent="0.25">
      <c r="A18" s="12"/>
      <c r="B18" s="12"/>
      <c r="C18" s="12"/>
      <c r="D18" s="12"/>
      <c r="J18" s="12"/>
      <c r="K18" s="12"/>
      <c r="L18" s="15" t="e">
        <f>#REF!</f>
        <v>#REF!</v>
      </c>
      <c r="M18" s="31">
        <v>44081</v>
      </c>
      <c r="N18" s="46">
        <f>+'Serie CER'!E28</f>
        <v>22.777799999999999</v>
      </c>
      <c r="O18" s="47">
        <f>(N18/C7)</f>
        <v>1.0781420842622438</v>
      </c>
      <c r="P18" s="14">
        <f>100*O18</f>
        <v>107.81420842622438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6" x14ac:dyDescent="0.25">
      <c r="A19" s="12"/>
      <c r="B19" s="12"/>
      <c r="C19" s="12"/>
      <c r="D19" s="12"/>
      <c r="J19" s="12"/>
      <c r="K19" s="12"/>
      <c r="L19" s="15" t="e">
        <f>#REF!</f>
        <v>#REF!</v>
      </c>
      <c r="M19" s="31">
        <v>44262</v>
      </c>
      <c r="N19" s="46">
        <f>+'Serie CER'!H70</f>
        <v>27.686199999999999</v>
      </c>
      <c r="O19" s="47">
        <f>(N19/$C$7)</f>
        <v>1.3104714842215375</v>
      </c>
      <c r="P19" s="14">
        <f>100*O19</f>
        <v>131.04714842215375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C19" s="12"/>
      <c r="AD19" s="12"/>
      <c r="AE19" s="12"/>
      <c r="AJ19" s="12"/>
    </row>
    <row r="20" spans="1:36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5">
        <f>L7</f>
        <v>44459</v>
      </c>
      <c r="M20" s="31">
        <v>44446</v>
      </c>
      <c r="N20" s="46">
        <f>+'Serie CER'!H254</f>
        <v>34.390111276920628</v>
      </c>
      <c r="O20" s="47">
        <f>(N20/$C$7)</f>
        <v>1.6277878570410533</v>
      </c>
      <c r="P20" s="14">
        <f>100*O20</f>
        <v>162.77878570410533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6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5">
        <f>L8</f>
        <v>44640</v>
      </c>
      <c r="M21" s="31">
        <v>44627</v>
      </c>
      <c r="N21" s="46">
        <f>+'Serie CER'!K70</f>
        <v>40.587496953609261</v>
      </c>
      <c r="O21" s="47">
        <f>(N21/$C$7)</f>
        <v>1.9211288430204745</v>
      </c>
      <c r="P21" s="14">
        <f>100*O21</f>
        <v>192.11288430204746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6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>
        <f>L9</f>
        <v>44824</v>
      </c>
      <c r="M22" s="31">
        <v>44811</v>
      </c>
      <c r="N22" s="46">
        <f>+'Serie CER'!K254</f>
        <v>48.078403607682169</v>
      </c>
      <c r="O22" s="47">
        <f>(N22/$C$7)</f>
        <v>2.2756960845027985</v>
      </c>
      <c r="P22" s="14">
        <f>100*O22</f>
        <v>227.56960845027984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6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10"/>
      <c r="L23" s="110"/>
      <c r="M23" s="110"/>
      <c r="N23" s="110"/>
      <c r="O23" s="110"/>
      <c r="P23" s="110"/>
      <c r="Q23" s="110"/>
      <c r="R23" s="110"/>
      <c r="S23" s="110"/>
      <c r="T23" s="12"/>
      <c r="U23" s="12"/>
      <c r="V23" s="12"/>
      <c r="W23" s="12"/>
      <c r="X23" s="404" t="s">
        <v>102</v>
      </c>
      <c r="Y23" s="404"/>
      <c r="Z23" s="404"/>
      <c r="AA23" s="12"/>
      <c r="AB23" s="12"/>
      <c r="AC23" s="12"/>
      <c r="AD23" s="12"/>
      <c r="AE23" s="12"/>
    </row>
    <row r="24" spans="1:36" x14ac:dyDescent="0.25">
      <c r="A24" s="12"/>
      <c r="B24" s="12"/>
      <c r="C24" s="12"/>
      <c r="D24" s="12"/>
      <c r="E24" s="405" t="s">
        <v>18</v>
      </c>
      <c r="F24" s="405"/>
      <c r="G24" s="61">
        <v>0.35</v>
      </c>
      <c r="H24" s="62">
        <f>XNPV(G24,V6:V9,R6:R9)</f>
        <v>161.52584758589177</v>
      </c>
      <c r="I24" s="61">
        <f>(H24/-$I$6)-1</f>
        <v>8.1163638459784249E-2</v>
      </c>
      <c r="J24" s="12"/>
      <c r="K24" s="110"/>
      <c r="L24" s="412"/>
      <c r="M24" s="412"/>
      <c r="N24" s="412"/>
      <c r="O24" s="412"/>
      <c r="P24" s="412"/>
      <c r="Q24" s="412"/>
      <c r="R24" s="110"/>
      <c r="S24" s="110"/>
      <c r="T24" s="12"/>
      <c r="U24" s="12"/>
      <c r="V24" s="12"/>
      <c r="W24" s="12"/>
      <c r="X24" s="404" t="s">
        <v>82</v>
      </c>
      <c r="Y24" s="404"/>
      <c r="Z24" s="404"/>
      <c r="AA24" s="12"/>
      <c r="AB24" s="12"/>
      <c r="AC24" s="12"/>
      <c r="AD24" s="12"/>
      <c r="AE24" s="12"/>
    </row>
    <row r="25" spans="1:36" x14ac:dyDescent="0.25">
      <c r="A25" s="12"/>
      <c r="D25" s="12"/>
      <c r="E25" s="406"/>
      <c r="F25" s="406"/>
      <c r="G25" s="18">
        <v>0.4</v>
      </c>
      <c r="H25" s="49">
        <f>XNPV(G25,V6:V9,R6:R9)</f>
        <v>154.65064327100393</v>
      </c>
      <c r="I25" s="18">
        <f>(H25/-$I$6)-1</f>
        <v>3.5144867945140046E-2</v>
      </c>
      <c r="J25" s="12"/>
      <c r="K25" s="110"/>
      <c r="L25" s="110"/>
      <c r="M25" s="110"/>
      <c r="N25" s="110"/>
      <c r="O25" s="110"/>
      <c r="P25" s="110"/>
      <c r="Q25" s="110"/>
      <c r="R25" s="110"/>
      <c r="S25" s="110"/>
      <c r="T25" s="12"/>
      <c r="U25" s="12"/>
      <c r="V25" s="12"/>
      <c r="W25" s="12"/>
      <c r="X25" s="108" t="s">
        <v>10</v>
      </c>
      <c r="Y25" s="108" t="s">
        <v>83</v>
      </c>
      <c r="Z25" s="108" t="s">
        <v>84</v>
      </c>
      <c r="AA25" s="12"/>
      <c r="AB25" s="12"/>
      <c r="AC25" s="12"/>
      <c r="AD25" s="12"/>
      <c r="AE25" s="12"/>
    </row>
    <row r="26" spans="1:36" x14ac:dyDescent="0.25">
      <c r="A26" s="12"/>
      <c r="B26" s="12"/>
      <c r="C26" s="12"/>
      <c r="D26" s="12"/>
      <c r="E26" s="407"/>
      <c r="F26" s="407"/>
      <c r="G26" s="63">
        <v>0.45</v>
      </c>
      <c r="H26" s="64">
        <f>XNPV(G26,V6:V9,R6:R9)</f>
        <v>148.29574716710195</v>
      </c>
      <c r="I26" s="63">
        <f>(H26/-I6)-1</f>
        <v>-7.3912505548732188E-3</v>
      </c>
      <c r="J26" s="12"/>
      <c r="K26" s="110"/>
      <c r="L26" s="140"/>
      <c r="M26" s="140"/>
      <c r="N26" s="110"/>
      <c r="O26" s="140"/>
      <c r="P26" s="140"/>
      <c r="Q26" s="140"/>
      <c r="R26" s="110"/>
      <c r="S26" s="110"/>
      <c r="T26" s="12"/>
      <c r="U26" s="12"/>
      <c r="V26" s="12"/>
      <c r="W26" s="12"/>
      <c r="X26" s="16">
        <v>0.15</v>
      </c>
      <c r="Y26" s="49">
        <f>XNPV(X26,AB6:AB9,X6:X9)</f>
        <v>130.33468228404246</v>
      </c>
      <c r="Z26" s="18">
        <f t="shared" ref="Z26:Z31" si="2">(Y26+$I$6)/(-$I$6)</f>
        <v>-0.12761256837990326</v>
      </c>
      <c r="AA26" s="12"/>
      <c r="AB26" s="12"/>
      <c r="AC26" s="12"/>
      <c r="AD26" s="12"/>
      <c r="AE26" s="12"/>
    </row>
    <row r="27" spans="1:36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10"/>
      <c r="L27" s="112"/>
      <c r="M27" s="112"/>
      <c r="N27" s="110"/>
      <c r="O27" s="113"/>
      <c r="P27" s="110"/>
      <c r="Q27" s="114"/>
      <c r="R27" s="110"/>
      <c r="S27" s="110"/>
      <c r="T27" s="12"/>
      <c r="U27" s="12"/>
      <c r="V27" s="12"/>
      <c r="W27" s="12"/>
      <c r="X27" s="16">
        <v>0.14000000000000001</v>
      </c>
      <c r="Y27" s="49">
        <f>XNPV(X27,AB6:AB9,X6:X9)</f>
        <v>131.70179153985745</v>
      </c>
      <c r="Z27" s="18">
        <f t="shared" si="2"/>
        <v>-0.11846190401701842</v>
      </c>
      <c r="AA27" s="12"/>
      <c r="AB27" s="12"/>
      <c r="AC27" s="12"/>
      <c r="AD27" s="12"/>
      <c r="AE27" s="12"/>
    </row>
    <row r="28" spans="1:36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10"/>
      <c r="L28" s="113"/>
      <c r="M28" s="115"/>
      <c r="N28" s="110"/>
      <c r="O28" s="113"/>
      <c r="P28" s="110"/>
      <c r="Q28" s="114"/>
      <c r="R28" s="110"/>
      <c r="S28" s="110"/>
      <c r="T28" s="12"/>
      <c r="U28" s="12"/>
      <c r="V28" s="12"/>
      <c r="W28" s="12"/>
      <c r="X28" s="16">
        <v>0.13</v>
      </c>
      <c r="Y28" s="49">
        <f>XNPV(X28,AB6:AB9,X6:X9)</f>
        <v>133.09556766893579</v>
      </c>
      <c r="Z28" s="18">
        <f t="shared" si="2"/>
        <v>-0.10913274652653426</v>
      </c>
      <c r="AA28" s="12"/>
      <c r="AB28" s="12"/>
      <c r="AC28" s="12"/>
      <c r="AD28" s="12"/>
      <c r="AE28" s="12"/>
    </row>
    <row r="29" spans="1:36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10"/>
      <c r="L29" s="114"/>
      <c r="M29" s="110"/>
      <c r="N29" s="110"/>
      <c r="O29" s="113"/>
      <c r="P29" s="110"/>
      <c r="Q29" s="114"/>
      <c r="R29" s="110"/>
      <c r="S29" s="110"/>
      <c r="T29" s="12"/>
      <c r="U29" s="12"/>
      <c r="V29" s="12"/>
      <c r="W29" s="12"/>
      <c r="X29" s="16">
        <v>0.12</v>
      </c>
      <c r="Y29" s="49">
        <f>XNPV(X29,AB6:AB9,X6:X9)</f>
        <v>134.51677404354774</v>
      </c>
      <c r="Z29" s="18">
        <f t="shared" si="2"/>
        <v>-9.9619986321634962E-2</v>
      </c>
      <c r="AA29" s="12"/>
      <c r="AB29" s="12"/>
      <c r="AC29" s="12"/>
      <c r="AD29" s="12"/>
      <c r="AE29" s="12"/>
    </row>
    <row r="30" spans="1:36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10"/>
      <c r="L30" s="110"/>
      <c r="M30" s="110"/>
      <c r="N30" s="110"/>
      <c r="O30" s="113"/>
      <c r="P30" s="110"/>
      <c r="Q30" s="114"/>
      <c r="R30" s="110"/>
      <c r="S30" s="110"/>
      <c r="T30" s="12"/>
      <c r="U30" s="12"/>
      <c r="V30" s="12"/>
      <c r="W30" s="12"/>
      <c r="X30" s="16">
        <v>0.11</v>
      </c>
      <c r="Y30" s="49">
        <f>XNPV(X30,AB6:AB9,X6:X9)</f>
        <v>135.96620297216595</v>
      </c>
      <c r="Z30" s="18">
        <f t="shared" si="2"/>
        <v>-8.9918320132758106E-2</v>
      </c>
      <c r="AA30" s="12"/>
      <c r="AB30" s="12"/>
      <c r="AC30" s="12"/>
      <c r="AD30" s="12"/>
      <c r="AE30" s="12"/>
    </row>
    <row r="31" spans="1:36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10"/>
      <c r="L31" s="110"/>
      <c r="M31" s="110"/>
      <c r="N31" s="110"/>
      <c r="O31" s="113"/>
      <c r="P31" s="110"/>
      <c r="Q31" s="110"/>
      <c r="R31" s="110"/>
      <c r="S31" s="110"/>
      <c r="T31" s="12"/>
      <c r="U31" s="12"/>
      <c r="V31" s="12"/>
      <c r="W31" s="12"/>
      <c r="X31" s="16">
        <v>0.1</v>
      </c>
      <c r="Y31" s="49">
        <f>XNPV(X31,AB6:AB9,X6:X9)</f>
        <v>137.44467706966327</v>
      </c>
      <c r="Z31" s="18">
        <f t="shared" si="2"/>
        <v>-8.0022241836256586E-2</v>
      </c>
      <c r="AA31" s="12"/>
      <c r="AB31" s="12"/>
      <c r="AC31" s="12"/>
      <c r="AD31" s="12"/>
      <c r="AE31" s="12"/>
    </row>
    <row r="32" spans="1:36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10"/>
      <c r="L32" s="110"/>
      <c r="M32" s="110"/>
      <c r="N32" s="110"/>
      <c r="O32" s="110"/>
      <c r="P32" s="110"/>
      <c r="Q32" s="110"/>
      <c r="R32" s="110"/>
      <c r="S32" s="110"/>
      <c r="T32" s="12"/>
      <c r="U32" s="12"/>
      <c r="V32" s="12"/>
      <c r="W32" s="12"/>
      <c r="X32" s="16">
        <v>0.09</v>
      </c>
      <c r="Y32" s="49">
        <f>XNPV(X32,AB6:AB9,X6:X9)</f>
        <v>138.95305070557427</v>
      </c>
      <c r="Z32" s="18">
        <f t="shared" ref="Z32:Z37" si="3">(Y32+$I$6)/(-$I$6)</f>
        <v>-6.9926032760547083E-2</v>
      </c>
      <c r="AA32" s="12"/>
      <c r="AB32" s="12"/>
      <c r="AC32" s="12"/>
      <c r="AD32" s="12"/>
      <c r="AE32" s="12"/>
    </row>
    <row r="33" spans="1:3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6">
        <v>0.08</v>
      </c>
      <c r="Y33" s="49">
        <f>XNPV(X33,AB6:AB9,X6:X9)</f>
        <v>140.49221153563073</v>
      </c>
      <c r="Z33" s="18">
        <f t="shared" si="3"/>
        <v>-5.9623751434867971E-2</v>
      </c>
      <c r="AA33" s="12"/>
      <c r="AB33" s="12"/>
      <c r="AC33" s="12"/>
      <c r="AD33" s="12"/>
      <c r="AE33" s="12"/>
    </row>
    <row r="34" spans="1:3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6">
        <v>7.0000000000000007E-2</v>
      </c>
      <c r="Y34" s="49">
        <f>XNPV(X34,AB6:AB9,X6:X9)</f>
        <v>142.0630821221842</v>
      </c>
      <c r="Z34" s="18">
        <f t="shared" si="3"/>
        <v>-4.9109222743077691E-2</v>
      </c>
      <c r="AA34" s="12"/>
      <c r="AB34" s="12"/>
      <c r="AC34" s="12"/>
      <c r="AD34" s="12"/>
      <c r="AE34" s="12"/>
    </row>
    <row r="35" spans="1:3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6">
        <v>0.06</v>
      </c>
      <c r="Y35" s="49">
        <f>XNPV(X35,AB6:AB9,X6:X9)</f>
        <v>143.66662164956227</v>
      </c>
      <c r="Z35" s="18">
        <f t="shared" si="3"/>
        <v>-3.8376026442019623E-2</v>
      </c>
      <c r="AA35" s="12"/>
      <c r="AB35" s="12"/>
      <c r="AC35" s="12"/>
      <c r="AD35" s="12"/>
      <c r="AE35" s="12"/>
    </row>
    <row r="36" spans="1:3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6">
        <v>0.05</v>
      </c>
      <c r="Y36" s="49">
        <f>XNPV(X36,AB6:AB9,X6:X9)</f>
        <v>145.3038277408786</v>
      </c>
      <c r="Z36" s="18">
        <f t="shared" si="3"/>
        <v>-2.7417485000812602E-2</v>
      </c>
      <c r="AA36" s="12"/>
      <c r="AB36" s="12"/>
      <c r="AC36" s="12"/>
      <c r="AD36" s="12"/>
      <c r="AE36" s="12"/>
    </row>
    <row r="37" spans="1:3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6">
        <v>4.4999999999999998E-2</v>
      </c>
      <c r="Y37" s="49">
        <f>XNPV(X37,AB6:AB9,X6:X9)</f>
        <v>146.13537848730067</v>
      </c>
      <c r="Z37" s="18">
        <f t="shared" si="3"/>
        <v>-2.1851549616461415E-2</v>
      </c>
      <c r="AA37" s="12"/>
      <c r="AB37" s="12"/>
      <c r="AC37" s="12"/>
      <c r="AD37" s="12"/>
      <c r="AE37" s="12"/>
    </row>
    <row r="38" spans="1:3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6">
        <v>0.04</v>
      </c>
      <c r="Y38" s="49">
        <f>XNPV(X38,AB6:AB9,X6:X9)</f>
        <v>146.97573838333133</v>
      </c>
      <c r="Z38" s="18">
        <f>(Y38+$I$6)/(-$I$6)</f>
        <v>-1.6226650713980408E-2</v>
      </c>
      <c r="AA38" s="12"/>
      <c r="AB38" s="12"/>
      <c r="AC38" s="12"/>
      <c r="AD38" s="12"/>
      <c r="AE38" s="12"/>
    </row>
    <row r="39" spans="1:3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6">
        <v>0.03</v>
      </c>
      <c r="Y39" s="49">
        <f>XNPV(X39,AB6:AB9,X6:X9)</f>
        <v>148.68343396958585</v>
      </c>
      <c r="Z39" s="18">
        <f>(Y39+$I$6)/(-$I$6)</f>
        <v>-4.7962920375780238E-3</v>
      </c>
      <c r="AA39" s="12"/>
      <c r="AB39" s="12"/>
      <c r="AC39" s="12"/>
      <c r="AD39" s="12"/>
      <c r="AE39" s="12"/>
    </row>
    <row r="40" spans="1:3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6">
        <v>0.02</v>
      </c>
      <c r="Y40" s="49">
        <f>XNPV(X40,AB6:AB9,X6:X9)</f>
        <v>150.42803946344833</v>
      </c>
      <c r="Z40" s="18">
        <f>(Y40+$I$6)/(-$I$6)</f>
        <v>6.8811209066152804E-3</v>
      </c>
      <c r="AA40" s="12"/>
      <c r="AB40" s="12"/>
      <c r="AC40" s="12"/>
      <c r="AD40" s="12"/>
      <c r="AE40" s="12"/>
    </row>
    <row r="41" spans="1:3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</sheetData>
  <mergeCells count="12">
    <mergeCell ref="E24:F26"/>
    <mergeCell ref="L15:P15"/>
    <mergeCell ref="X23:Z23"/>
    <mergeCell ref="L24:Q24"/>
    <mergeCell ref="X24:Z24"/>
    <mergeCell ref="AD4:AH4"/>
    <mergeCell ref="X4:AB4"/>
    <mergeCell ref="B2:I2"/>
    <mergeCell ref="B4:C4"/>
    <mergeCell ref="E4:I4"/>
    <mergeCell ref="L4:P4"/>
    <mergeCell ref="R4:V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G54"/>
  <sheetViews>
    <sheetView showGridLines="0" zoomScale="90" zoomScaleNormal="90" workbookViewId="0">
      <selection activeCell="H21" sqref="H21"/>
    </sheetView>
  </sheetViews>
  <sheetFormatPr baseColWidth="10" defaultRowHeight="15" x14ac:dyDescent="0.25"/>
  <cols>
    <col min="1" max="1" width="4.42578125" customWidth="1"/>
    <col min="2" max="2" width="12.28515625" customWidth="1"/>
    <col min="3" max="3" width="11.28515625" customWidth="1"/>
    <col min="4" max="4" width="3.140625" customWidth="1"/>
    <col min="5" max="5" width="12.140625" bestFit="1" customWidth="1"/>
    <col min="6" max="6" width="9.42578125" customWidth="1"/>
    <col min="7" max="7" width="10.85546875" customWidth="1"/>
    <col min="8" max="8" width="10" customWidth="1"/>
    <col min="9" max="9" width="10.140625" customWidth="1"/>
    <col min="10" max="10" width="4" customWidth="1"/>
    <col min="14" max="14" width="17.42578125" customWidth="1"/>
    <col min="15" max="15" width="13.5703125" bestFit="1" customWidth="1"/>
    <col min="16" max="16" width="3.140625" customWidth="1"/>
    <col min="22" max="22" width="3" customWidth="1"/>
  </cols>
  <sheetData>
    <row r="1" spans="2:33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2:33" ht="15.75" x14ac:dyDescent="0.25">
      <c r="B2" s="413" t="s">
        <v>76</v>
      </c>
      <c r="C2" s="413"/>
      <c r="D2" s="413"/>
      <c r="E2" s="413"/>
      <c r="F2" s="413"/>
      <c r="G2" s="413"/>
      <c r="H2" s="413"/>
      <c r="I2" s="41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3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2:33" x14ac:dyDescent="0.25">
      <c r="B4" s="373" t="s">
        <v>37</v>
      </c>
      <c r="C4" s="374"/>
      <c r="D4" s="12"/>
      <c r="E4" s="398" t="s">
        <v>77</v>
      </c>
      <c r="F4" s="398"/>
      <c r="G4" s="398"/>
      <c r="H4" s="398"/>
      <c r="I4" s="398"/>
      <c r="J4" s="12"/>
      <c r="K4" s="375" t="s">
        <v>88</v>
      </c>
      <c r="L4" s="375"/>
      <c r="M4" s="375"/>
      <c r="N4" s="375"/>
      <c r="O4" s="375"/>
      <c r="P4" s="12"/>
      <c r="Q4" s="375" t="s">
        <v>88</v>
      </c>
      <c r="R4" s="375"/>
      <c r="S4" s="375"/>
      <c r="T4" s="375"/>
      <c r="U4" s="375"/>
      <c r="V4" s="12"/>
      <c r="W4" s="398" t="s">
        <v>77</v>
      </c>
      <c r="X4" s="398"/>
      <c r="Y4" s="398"/>
      <c r="Z4" s="398"/>
      <c r="AA4" s="398"/>
      <c r="AC4" s="398" t="s">
        <v>77</v>
      </c>
      <c r="AD4" s="398"/>
      <c r="AE4" s="398"/>
      <c r="AF4" s="398"/>
      <c r="AG4" s="398"/>
    </row>
    <row r="5" spans="2:33" x14ac:dyDescent="0.25">
      <c r="B5" s="24" t="s">
        <v>0</v>
      </c>
      <c r="C5" s="32">
        <v>43165</v>
      </c>
      <c r="D5" s="12"/>
      <c r="E5" s="68" t="s">
        <v>14</v>
      </c>
      <c r="F5" s="68" t="s">
        <v>7</v>
      </c>
      <c r="G5" s="68" t="s">
        <v>8</v>
      </c>
      <c r="H5" s="68" t="s">
        <v>33</v>
      </c>
      <c r="I5" s="68" t="s">
        <v>9</v>
      </c>
      <c r="J5" s="12"/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P5" s="12"/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V5" s="12"/>
      <c r="W5" s="68" t="s">
        <v>14</v>
      </c>
      <c r="X5" s="68" t="s">
        <v>7</v>
      </c>
      <c r="Y5" s="68" t="s">
        <v>8</v>
      </c>
      <c r="Z5" s="68" t="s">
        <v>33</v>
      </c>
      <c r="AA5" s="68" t="s">
        <v>9</v>
      </c>
      <c r="AC5" s="68" t="s">
        <v>14</v>
      </c>
      <c r="AD5" s="68" t="s">
        <v>7</v>
      </c>
      <c r="AE5" s="68" t="s">
        <v>8</v>
      </c>
      <c r="AF5" s="68" t="s">
        <v>33</v>
      </c>
      <c r="AG5" s="68" t="s">
        <v>9</v>
      </c>
    </row>
    <row r="6" spans="2:33" x14ac:dyDescent="0.25">
      <c r="B6" s="24" t="s">
        <v>1</v>
      </c>
      <c r="C6" s="33">
        <v>44991</v>
      </c>
      <c r="D6" s="12"/>
      <c r="E6" s="69">
        <f>'Planilla de datos'!D3</f>
        <v>44384</v>
      </c>
      <c r="F6" s="70">
        <v>100</v>
      </c>
      <c r="G6" s="26"/>
      <c r="H6" s="26"/>
      <c r="I6" s="71">
        <f>-'Planilla de datos'!C18</f>
        <v>-371</v>
      </c>
      <c r="J6" s="12"/>
      <c r="K6" s="15">
        <f>+E6</f>
        <v>44384</v>
      </c>
      <c r="L6" s="12">
        <f>+F6</f>
        <v>100</v>
      </c>
      <c r="M6" s="30"/>
      <c r="N6" s="12"/>
      <c r="O6" s="14">
        <f>I6</f>
        <v>-371</v>
      </c>
      <c r="P6" s="12"/>
      <c r="Q6" s="15">
        <f>+K6</f>
        <v>44384</v>
      </c>
      <c r="R6" s="12">
        <f>+L6</f>
        <v>100</v>
      </c>
      <c r="S6" s="30"/>
      <c r="T6" s="12"/>
      <c r="U6" s="14">
        <v>0</v>
      </c>
      <c r="V6" s="12"/>
      <c r="W6" s="69">
        <f>+E6</f>
        <v>44384</v>
      </c>
      <c r="X6" s="70">
        <f>+F6</f>
        <v>100</v>
      </c>
      <c r="Y6" s="26"/>
      <c r="Z6" s="26"/>
      <c r="AA6" s="71">
        <v>0</v>
      </c>
      <c r="AC6" s="69">
        <f>+W6</f>
        <v>44384</v>
      </c>
      <c r="AD6" s="70">
        <f>+X6</f>
        <v>100</v>
      </c>
      <c r="AE6" s="26"/>
      <c r="AF6" s="26"/>
      <c r="AG6" s="71">
        <f>-X37</f>
        <v>-373.55912328778714</v>
      </c>
    </row>
    <row r="7" spans="2:33" x14ac:dyDescent="0.25">
      <c r="B7" s="24" t="s">
        <v>2</v>
      </c>
      <c r="C7" s="25">
        <v>8.7322000000000006</v>
      </c>
      <c r="D7" s="12"/>
      <c r="E7" s="69">
        <v>44445</v>
      </c>
      <c r="F7" s="70">
        <v>100</v>
      </c>
      <c r="G7" s="72">
        <f>(C11*C10)/360*180</f>
        <v>7.3108494995533766</v>
      </c>
      <c r="H7" s="74"/>
      <c r="I7" s="71">
        <f>SUM(G7:H7)</f>
        <v>7.3108494995533766</v>
      </c>
      <c r="J7" s="12"/>
      <c r="K7" s="15">
        <f t="shared" ref="K7:L10" si="0">+E7</f>
        <v>44445</v>
      </c>
      <c r="L7" s="12">
        <f t="shared" si="0"/>
        <v>100</v>
      </c>
      <c r="M7" s="14">
        <f>O18*($C$10/360*180)</f>
        <v>7.761462702042297</v>
      </c>
      <c r="N7" s="14"/>
      <c r="O7" s="14">
        <f>SUM(M7:N7)</f>
        <v>7.761462702042297</v>
      </c>
      <c r="P7" s="12"/>
      <c r="Q7" s="15">
        <f t="shared" ref="Q7:S10" si="1">+K7</f>
        <v>44445</v>
      </c>
      <c r="R7" s="12">
        <f t="shared" si="1"/>
        <v>100</v>
      </c>
      <c r="S7" s="30">
        <f t="shared" si="1"/>
        <v>7.761462702042297</v>
      </c>
      <c r="T7" s="14"/>
      <c r="U7" s="14">
        <f>SUM(S7:T7)</f>
        <v>7.761462702042297</v>
      </c>
      <c r="V7" s="12"/>
      <c r="W7" s="69">
        <f t="shared" ref="W7:Y10" si="2">+E7</f>
        <v>44445</v>
      </c>
      <c r="X7" s="70">
        <f t="shared" si="2"/>
        <v>100</v>
      </c>
      <c r="Y7" s="72">
        <f t="shared" si="2"/>
        <v>7.3108494995533766</v>
      </c>
      <c r="Z7" s="74"/>
      <c r="AA7" s="73">
        <f>+I7</f>
        <v>7.3108494995533766</v>
      </c>
      <c r="AC7" s="69">
        <f t="shared" ref="AC7:AE10" si="3">+W7</f>
        <v>44445</v>
      </c>
      <c r="AD7" s="70">
        <f t="shared" si="3"/>
        <v>100</v>
      </c>
      <c r="AE7" s="72">
        <f t="shared" si="3"/>
        <v>7.3108494995533766</v>
      </c>
      <c r="AF7" s="74"/>
      <c r="AG7" s="73">
        <f>+AA7</f>
        <v>7.3108494995533766</v>
      </c>
    </row>
    <row r="8" spans="2:33" x14ac:dyDescent="0.25">
      <c r="B8" s="24" t="s">
        <v>3</v>
      </c>
      <c r="C8" s="25">
        <f>'Planilla de datos'!D64</f>
        <v>31.919899999999998</v>
      </c>
      <c r="D8" s="12"/>
      <c r="E8" s="69">
        <v>44626</v>
      </c>
      <c r="F8" s="70">
        <v>100</v>
      </c>
      <c r="G8" s="72">
        <f>G7</f>
        <v>7.3108494995533766</v>
      </c>
      <c r="H8" s="12"/>
      <c r="I8" s="71">
        <f>SUM(G8:H8)</f>
        <v>7.3108494995533766</v>
      </c>
      <c r="J8" s="12"/>
      <c r="K8" s="15">
        <f t="shared" si="0"/>
        <v>44626</v>
      </c>
      <c r="L8" s="12">
        <f t="shared" si="0"/>
        <v>100</v>
      </c>
      <c r="M8" s="14">
        <f>O19*($C$10/360*180)</f>
        <v>9.1854740427151658</v>
      </c>
      <c r="N8" s="12"/>
      <c r="O8" s="14">
        <f>SUM(M8:N8)</f>
        <v>9.1854740427151658</v>
      </c>
      <c r="P8" s="12"/>
      <c r="Q8" s="15">
        <f t="shared" si="1"/>
        <v>44626</v>
      </c>
      <c r="R8" s="12">
        <f t="shared" si="1"/>
        <v>100</v>
      </c>
      <c r="S8" s="30">
        <f t="shared" si="1"/>
        <v>9.1854740427151658</v>
      </c>
      <c r="T8" s="12"/>
      <c r="U8" s="14">
        <f>SUM(S8:T8)</f>
        <v>9.1854740427151658</v>
      </c>
      <c r="V8" s="12"/>
      <c r="W8" s="69">
        <f t="shared" si="2"/>
        <v>44626</v>
      </c>
      <c r="X8" s="70">
        <f t="shared" si="2"/>
        <v>100</v>
      </c>
      <c r="Y8" s="72">
        <f t="shared" si="2"/>
        <v>7.3108494995533766</v>
      </c>
      <c r="Z8" s="12"/>
      <c r="AA8" s="73">
        <f>+I8</f>
        <v>7.3108494995533766</v>
      </c>
      <c r="AC8" s="69">
        <f t="shared" si="3"/>
        <v>44626</v>
      </c>
      <c r="AD8" s="70">
        <f t="shared" si="3"/>
        <v>100</v>
      </c>
      <c r="AE8" s="72">
        <f t="shared" si="3"/>
        <v>7.3108494995533766</v>
      </c>
      <c r="AF8" s="12"/>
      <c r="AG8" s="73">
        <f>+AA8</f>
        <v>7.3108494995533766</v>
      </c>
    </row>
    <row r="9" spans="2:33" x14ac:dyDescent="0.25">
      <c r="B9" s="24" t="s">
        <v>4</v>
      </c>
      <c r="C9" s="34">
        <f>((C8-C7)/C7)+1</f>
        <v>3.6554247497766883</v>
      </c>
      <c r="D9" s="12"/>
      <c r="E9" s="69">
        <v>44810</v>
      </c>
      <c r="F9" s="70">
        <v>100</v>
      </c>
      <c r="G9" s="72">
        <f>G8</f>
        <v>7.3108494995533766</v>
      </c>
      <c r="H9" s="12"/>
      <c r="I9" s="71">
        <f>SUM(G9:H9)</f>
        <v>7.3108494995533766</v>
      </c>
      <c r="J9" s="12"/>
      <c r="K9" s="15">
        <f t="shared" si="0"/>
        <v>44810</v>
      </c>
      <c r="L9" s="12">
        <f t="shared" si="0"/>
        <v>100</v>
      </c>
      <c r="M9" s="14">
        <f>O20*($C$10/360*180)</f>
        <v>10.870751639016818</v>
      </c>
      <c r="O9" s="14">
        <f>SUM(M9:N9)</f>
        <v>10.870751639016818</v>
      </c>
      <c r="P9" s="12"/>
      <c r="Q9" s="15">
        <f t="shared" si="1"/>
        <v>44810</v>
      </c>
      <c r="R9" s="12">
        <f t="shared" si="1"/>
        <v>100</v>
      </c>
      <c r="S9" s="30">
        <f t="shared" si="1"/>
        <v>10.870751639016818</v>
      </c>
      <c r="T9" s="87"/>
      <c r="U9" s="14">
        <f>SUM(S9:T9)</f>
        <v>10.870751639016818</v>
      </c>
      <c r="V9" s="12"/>
      <c r="W9" s="69">
        <f t="shared" si="2"/>
        <v>44810</v>
      </c>
      <c r="X9" s="70">
        <f t="shared" si="2"/>
        <v>100</v>
      </c>
      <c r="Y9" s="72">
        <f t="shared" si="2"/>
        <v>7.3108494995533766</v>
      </c>
      <c r="Z9" s="12"/>
      <c r="AA9" s="73">
        <f>+I9</f>
        <v>7.3108494995533766</v>
      </c>
      <c r="AC9" s="69">
        <f t="shared" si="3"/>
        <v>44810</v>
      </c>
      <c r="AD9" s="70">
        <f t="shared" si="3"/>
        <v>100</v>
      </c>
      <c r="AE9" s="72">
        <f t="shared" si="3"/>
        <v>7.3108494995533766</v>
      </c>
      <c r="AF9" s="12"/>
      <c r="AG9" s="73">
        <f>+AA9</f>
        <v>7.3108494995533766</v>
      </c>
    </row>
    <row r="10" spans="2:33" x14ac:dyDescent="0.25">
      <c r="B10" s="24" t="s">
        <v>5</v>
      </c>
      <c r="C10" s="35">
        <v>0.04</v>
      </c>
      <c r="D10" s="12"/>
      <c r="E10" s="69">
        <v>44991</v>
      </c>
      <c r="F10" s="70">
        <v>100</v>
      </c>
      <c r="G10" s="72">
        <f>G9</f>
        <v>7.3108494995533766</v>
      </c>
      <c r="H10" s="14">
        <f>+C11</f>
        <v>365.5424749776688</v>
      </c>
      <c r="I10" s="71">
        <f>SUM(G10:H10)</f>
        <v>372.8533244772222</v>
      </c>
      <c r="J10" s="12"/>
      <c r="K10" s="15">
        <f t="shared" si="0"/>
        <v>44991</v>
      </c>
      <c r="L10" s="12">
        <f t="shared" si="0"/>
        <v>100</v>
      </c>
      <c r="M10" s="14">
        <f>O21*($C$10/360*180)</f>
        <v>12.844806263872789</v>
      </c>
      <c r="N10" s="14">
        <f>+O21</f>
        <v>642.24031319363939</v>
      </c>
      <c r="O10" s="14">
        <f>SUM(M10:N10)</f>
        <v>655.08511945751218</v>
      </c>
      <c r="P10" s="12"/>
      <c r="Q10" s="15">
        <f t="shared" si="1"/>
        <v>44991</v>
      </c>
      <c r="R10" s="12">
        <f t="shared" si="1"/>
        <v>100</v>
      </c>
      <c r="S10" s="30">
        <f t="shared" si="1"/>
        <v>12.844806263872789</v>
      </c>
      <c r="T10" s="14">
        <f>+N10</f>
        <v>642.24031319363939</v>
      </c>
      <c r="U10" s="14">
        <f>SUM(S10:T10)</f>
        <v>655.08511945751218</v>
      </c>
      <c r="V10" s="12"/>
      <c r="W10" s="69">
        <f t="shared" si="2"/>
        <v>44991</v>
      </c>
      <c r="X10" s="70">
        <f t="shared" si="2"/>
        <v>100</v>
      </c>
      <c r="Y10" s="72">
        <f t="shared" si="2"/>
        <v>7.3108494995533766</v>
      </c>
      <c r="Z10" s="14">
        <f>+H10</f>
        <v>365.5424749776688</v>
      </c>
      <c r="AA10" s="73">
        <f>+I10</f>
        <v>372.8533244772222</v>
      </c>
      <c r="AC10" s="69">
        <f t="shared" si="3"/>
        <v>44991</v>
      </c>
      <c r="AD10" s="70">
        <f t="shared" si="3"/>
        <v>100</v>
      </c>
      <c r="AE10" s="72">
        <f t="shared" si="3"/>
        <v>7.3108494995533766</v>
      </c>
      <c r="AF10" s="14">
        <f>+Z10</f>
        <v>365.5424749776688</v>
      </c>
      <c r="AG10" s="73">
        <f>+AA10</f>
        <v>372.8533244772222</v>
      </c>
    </row>
    <row r="11" spans="2:33" x14ac:dyDescent="0.25">
      <c r="B11" s="36" t="s">
        <v>16</v>
      </c>
      <c r="C11" s="37">
        <f>C9*F6</f>
        <v>365.5424749776688</v>
      </c>
      <c r="D11" s="12"/>
      <c r="E11" s="12"/>
      <c r="F11" s="12"/>
      <c r="G11" s="12"/>
      <c r="H11" s="12"/>
      <c r="I11" s="12"/>
      <c r="J11" s="12"/>
      <c r="K11" s="15"/>
      <c r="L11" s="44"/>
      <c r="M11" s="44"/>
      <c r="N11" s="44"/>
      <c r="O11" s="44"/>
      <c r="P11" s="12"/>
      <c r="Q11" s="12"/>
      <c r="R11" s="12"/>
      <c r="S11" s="12"/>
      <c r="T11" s="12"/>
      <c r="U11" s="12"/>
      <c r="V11" s="12"/>
      <c r="W11" s="12"/>
    </row>
    <row r="12" spans="2:33" x14ac:dyDescent="0.25">
      <c r="B12" s="12"/>
      <c r="C12" s="12"/>
      <c r="D12" s="12"/>
      <c r="E12" s="12"/>
      <c r="F12" s="12"/>
      <c r="G12" s="12"/>
      <c r="H12" s="92" t="s">
        <v>10</v>
      </c>
      <c r="I12" s="86">
        <f>XIRR(I6:I10,E6:E10)</f>
        <v>3.9441540837287917E-2</v>
      </c>
      <c r="J12" s="12"/>
      <c r="K12" s="12"/>
      <c r="L12" s="12"/>
      <c r="M12" s="12"/>
      <c r="N12" s="92" t="s">
        <v>10</v>
      </c>
      <c r="O12" s="86">
        <f>XIRR(O6:O10,K6:K10,0)</f>
        <v>0.45888144042968759</v>
      </c>
      <c r="P12" s="12"/>
      <c r="Q12" s="12"/>
      <c r="R12" s="12"/>
      <c r="S12" s="12"/>
      <c r="T12" s="12"/>
      <c r="U12" s="12"/>
      <c r="V12" s="12"/>
      <c r="W12" s="12"/>
      <c r="AF12" t="s">
        <v>10</v>
      </c>
      <c r="AG12" s="86">
        <f>XIRR(AG6:AG10,AC6:AC10)</f>
        <v>3.4999999403953527E-2</v>
      </c>
    </row>
    <row r="13" spans="2:33" x14ac:dyDescent="0.25">
      <c r="B13" s="12"/>
      <c r="C13" s="12"/>
      <c r="D13" s="12"/>
      <c r="E13" s="12"/>
      <c r="F13" s="12"/>
      <c r="G13" s="12"/>
      <c r="H13" s="92" t="s">
        <v>29</v>
      </c>
      <c r="I13" s="71">
        <f>MDURATION(E6,E10,C10,0,2)</f>
        <v>1.6083333333333332</v>
      </c>
      <c r="J13" s="12"/>
      <c r="K13" s="12"/>
      <c r="L13" s="12"/>
      <c r="M13" s="12"/>
      <c r="N13" s="92" t="s">
        <v>29</v>
      </c>
      <c r="O13" s="71">
        <f>MDURATION(K6,K10,C10,O12,2)</f>
        <v>1.2814860717615904</v>
      </c>
      <c r="P13" s="12"/>
      <c r="Q13" s="12"/>
      <c r="R13" s="12"/>
      <c r="S13" s="12"/>
      <c r="T13" s="12"/>
      <c r="U13" s="12"/>
      <c r="V13" s="12"/>
      <c r="W13" s="12"/>
      <c r="AF13" t="s">
        <v>64</v>
      </c>
      <c r="AG13" s="4">
        <f>MDURATION(AC6,AC10,C10,AG12,2)</f>
        <v>1.5785229146975543</v>
      </c>
    </row>
    <row r="14" spans="2:33" x14ac:dyDescent="0.25">
      <c r="B14" s="12"/>
      <c r="C14" s="12"/>
      <c r="D14" s="12"/>
      <c r="J14" s="12"/>
    </row>
    <row r="15" spans="2:33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2:33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5" ht="28.5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75" t="s">
        <v>6</v>
      </c>
      <c r="L17" s="75" t="s">
        <v>58</v>
      </c>
      <c r="M17" s="75" t="s">
        <v>24</v>
      </c>
      <c r="N17" s="75" t="s">
        <v>4</v>
      </c>
      <c r="O17" s="75" t="s">
        <v>59</v>
      </c>
      <c r="P17" s="12"/>
      <c r="Q17" s="12"/>
      <c r="R17" s="12"/>
      <c r="S17" s="12"/>
      <c r="T17" s="12"/>
      <c r="U17" s="12"/>
      <c r="V17" s="12"/>
      <c r="W17" s="12"/>
    </row>
    <row r="18" spans="2:25" x14ac:dyDescent="0.25">
      <c r="D18" s="12"/>
      <c r="E18" s="12"/>
      <c r="F18" s="12"/>
      <c r="G18" s="12"/>
      <c r="H18" s="12"/>
      <c r="I18" s="12"/>
      <c r="J18" s="12"/>
      <c r="K18" s="15">
        <f>+K7</f>
        <v>44445</v>
      </c>
      <c r="L18" s="31">
        <v>44432</v>
      </c>
      <c r="M18" s="46">
        <f>+'Serie CER'!H238</f>
        <v>33.887322303386874</v>
      </c>
      <c r="N18" s="47">
        <f>(M18/$C$7)</f>
        <v>3.8807313510211485</v>
      </c>
      <c r="O18" s="14">
        <f>100*N18</f>
        <v>388.07313510211486</v>
      </c>
      <c r="P18" s="12"/>
      <c r="Q18" s="12"/>
      <c r="R18" s="12"/>
      <c r="S18" s="12"/>
      <c r="T18" s="12"/>
      <c r="U18" s="12"/>
      <c r="V18" s="12"/>
      <c r="W18" s="12"/>
    </row>
    <row r="19" spans="2:25" x14ac:dyDescent="0.25">
      <c r="D19" s="12"/>
      <c r="E19" s="12"/>
      <c r="F19" s="12"/>
      <c r="G19" s="12"/>
      <c r="H19" s="12"/>
      <c r="I19" s="12"/>
      <c r="J19" s="12"/>
      <c r="K19" s="15">
        <f>+K8</f>
        <v>44626</v>
      </c>
      <c r="L19" s="31">
        <v>44614</v>
      </c>
      <c r="M19" s="46">
        <f>+'Serie CER'!K57</f>
        <v>40.104698217898687</v>
      </c>
      <c r="N19" s="47">
        <f>(M19/$C$7)</f>
        <v>4.5927370213575829</v>
      </c>
      <c r="O19" s="14">
        <f>100*N19</f>
        <v>459.2737021357583</v>
      </c>
      <c r="P19" s="12"/>
      <c r="Q19" s="12"/>
      <c r="R19" s="12"/>
      <c r="S19" s="12"/>
      <c r="T19" s="12"/>
      <c r="U19" s="12"/>
      <c r="V19" s="12"/>
      <c r="W19" s="12"/>
    </row>
    <row r="20" spans="2:25" x14ac:dyDescent="0.25">
      <c r="D20" s="12"/>
      <c r="E20" s="12"/>
      <c r="F20" s="12"/>
      <c r="G20" s="12"/>
      <c r="H20" s="12"/>
      <c r="I20" s="12"/>
      <c r="J20" s="12"/>
      <c r="K20" s="15">
        <f>+K9</f>
        <v>44810</v>
      </c>
      <c r="L20" s="31">
        <v>44797</v>
      </c>
      <c r="M20" s="46">
        <f>+'Serie CER'!K240</f>
        <v>47.462788731111331</v>
      </c>
      <c r="N20" s="47">
        <f>(M20/$C$7)</f>
        <v>5.4353758195084092</v>
      </c>
      <c r="O20" s="14">
        <f>100*N20</f>
        <v>543.53758195084094</v>
      </c>
      <c r="P20" s="12"/>
      <c r="Q20" s="12"/>
      <c r="R20" s="12"/>
      <c r="S20" s="12"/>
      <c r="T20" s="12"/>
      <c r="U20" s="12"/>
      <c r="V20" s="12"/>
      <c r="W20" s="12"/>
    </row>
    <row r="21" spans="2:25" x14ac:dyDescent="0.25">
      <c r="D21" s="12"/>
      <c r="E21" s="12"/>
      <c r="F21" s="12"/>
      <c r="G21" s="12"/>
      <c r="H21" s="12"/>
      <c r="I21" s="12"/>
      <c r="J21" s="12"/>
      <c r="K21" s="15">
        <f>+K10</f>
        <v>44991</v>
      </c>
      <c r="L21" s="31">
        <v>44979</v>
      </c>
      <c r="M21" s="46">
        <f>+'Serie CER'!N57</f>
        <v>56.081708628694983</v>
      </c>
      <c r="N21" s="47">
        <f>(M21/$C$7)</f>
        <v>6.4224031319363943</v>
      </c>
      <c r="O21" s="14">
        <f>100*N21</f>
        <v>642.24031319363939</v>
      </c>
      <c r="P21" s="12"/>
      <c r="Q21" s="12"/>
      <c r="R21" s="12"/>
      <c r="S21" s="12"/>
      <c r="T21" s="12"/>
      <c r="U21" s="12"/>
      <c r="V21" s="12"/>
      <c r="W21" s="12"/>
    </row>
    <row r="22" spans="2:25" x14ac:dyDescent="0.25">
      <c r="D22" s="12"/>
      <c r="E22" s="12"/>
      <c r="F22" s="12"/>
      <c r="G22" s="12"/>
      <c r="H22" s="12"/>
      <c r="I22" s="12"/>
      <c r="J22" s="12"/>
      <c r="P22" s="12"/>
      <c r="Q22" s="12"/>
      <c r="R22" s="12"/>
      <c r="S22" s="12"/>
      <c r="T22" s="12"/>
      <c r="U22" s="12"/>
      <c r="V22" s="12"/>
      <c r="W22" s="404" t="s">
        <v>78</v>
      </c>
      <c r="X22" s="404"/>
      <c r="Y22" s="404"/>
    </row>
    <row r="23" spans="2:25" x14ac:dyDescent="0.25">
      <c r="D23" s="12"/>
      <c r="E23" s="12"/>
      <c r="F23" s="12"/>
      <c r="G23" s="12"/>
      <c r="H23" s="12"/>
      <c r="I23" s="12"/>
      <c r="J23" s="12"/>
      <c r="P23" s="12"/>
      <c r="Q23" s="12"/>
      <c r="R23" s="12"/>
      <c r="S23" s="12"/>
      <c r="T23" s="12"/>
      <c r="U23" s="12"/>
      <c r="V23" s="12"/>
      <c r="W23" s="404" t="s">
        <v>82</v>
      </c>
      <c r="X23" s="404"/>
      <c r="Y23" s="404"/>
    </row>
    <row r="24" spans="2:25" x14ac:dyDescent="0.25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08" t="s">
        <v>10</v>
      </c>
      <c r="X24" s="108" t="s">
        <v>83</v>
      </c>
      <c r="Y24" s="108" t="s">
        <v>84</v>
      </c>
    </row>
    <row r="25" spans="2:25" x14ac:dyDescent="0.25">
      <c r="D25" s="12"/>
      <c r="E25" s="12"/>
      <c r="F25" s="12"/>
      <c r="G25" s="12"/>
      <c r="H25" s="85"/>
      <c r="I25" s="86"/>
      <c r="J25" s="12"/>
      <c r="L25" s="66"/>
      <c r="M25" s="66"/>
      <c r="N25" s="66"/>
      <c r="O25" s="66"/>
      <c r="P25" s="66"/>
      <c r="Q25" s="12"/>
      <c r="R25" s="12"/>
      <c r="S25" s="12"/>
      <c r="T25" s="12"/>
      <c r="U25" s="12"/>
      <c r="V25" s="12"/>
      <c r="W25" s="16">
        <v>0.15</v>
      </c>
      <c r="X25" s="49">
        <f>XNPV(W25,AA6:AA10,W6:W10)</f>
        <v>315.54306338801638</v>
      </c>
      <c r="Y25" s="18">
        <f t="shared" ref="Y25:Y30" si="4">(X25+$I$6)/(-$I$6)</f>
        <v>-0.14947961350938982</v>
      </c>
    </row>
    <row r="26" spans="2:25" x14ac:dyDescent="0.25">
      <c r="B26" s="12"/>
      <c r="C26" s="12"/>
      <c r="D26" s="12"/>
      <c r="E26" s="12"/>
      <c r="F26" s="12"/>
      <c r="G26" s="12"/>
      <c r="H26" s="85"/>
      <c r="I26" s="86"/>
      <c r="J26" s="12"/>
      <c r="K26" s="66"/>
      <c r="L26" s="66"/>
      <c r="M26" s="66"/>
      <c r="N26" s="66"/>
      <c r="O26" s="66"/>
      <c r="P26" s="66"/>
      <c r="Q26" s="12"/>
      <c r="R26" s="12"/>
      <c r="S26" s="12"/>
      <c r="T26" s="12"/>
      <c r="U26" s="12"/>
      <c r="V26" s="12"/>
      <c r="W26" s="16">
        <v>0.14000000000000001</v>
      </c>
      <c r="X26" s="49">
        <f>XNPV(W26,AA6:AA10,W6:W10)</f>
        <v>319.97944358063711</v>
      </c>
      <c r="Y26" s="18">
        <f t="shared" si="4"/>
        <v>-0.13752171541607247</v>
      </c>
    </row>
    <row r="27" spans="2:25" x14ac:dyDescent="0.25">
      <c r="B27" s="12"/>
      <c r="C27" s="12"/>
      <c r="D27" s="12"/>
      <c r="E27" s="12"/>
      <c r="F27" s="12"/>
      <c r="G27" s="12"/>
      <c r="H27" s="85"/>
      <c r="I27" s="86"/>
      <c r="J27" s="12"/>
      <c r="K27" s="116"/>
      <c r="L27" s="116"/>
      <c r="M27" s="116"/>
      <c r="N27" s="116"/>
      <c r="O27" s="116"/>
      <c r="P27" s="116"/>
      <c r="Q27" s="110"/>
      <c r="R27" s="12"/>
      <c r="S27" s="12"/>
      <c r="T27" s="12"/>
      <c r="U27" s="12"/>
      <c r="V27" s="12"/>
      <c r="W27" s="16">
        <v>0.13</v>
      </c>
      <c r="X27" s="49">
        <f>XNPV(W27,AA6:AA10,W6:W10)</f>
        <v>324.51991174365486</v>
      </c>
      <c r="Y27" s="18">
        <f t="shared" si="4"/>
        <v>-0.12528325675564728</v>
      </c>
    </row>
    <row r="28" spans="2:25" x14ac:dyDescent="0.25">
      <c r="B28" s="12"/>
      <c r="C28" s="12"/>
      <c r="D28" s="12"/>
      <c r="E28" s="12"/>
      <c r="F28" s="12"/>
      <c r="G28" s="12"/>
      <c r="H28" s="27"/>
      <c r="I28" s="49"/>
      <c r="J28" s="12"/>
      <c r="K28" s="110"/>
      <c r="L28" s="110"/>
      <c r="M28" s="110"/>
      <c r="N28" s="110"/>
      <c r="O28" s="110"/>
      <c r="P28" s="110"/>
      <c r="Q28" s="110"/>
      <c r="R28" s="12"/>
      <c r="S28" s="12"/>
      <c r="T28" s="12"/>
      <c r="U28" s="12"/>
      <c r="V28" s="12"/>
      <c r="W28" s="16">
        <v>0.12</v>
      </c>
      <c r="X28" s="49">
        <f>XNPV(W28,AA6:AA10,W6:W10)</f>
        <v>329.16787005722335</v>
      </c>
      <c r="Y28" s="18">
        <f t="shared" si="4"/>
        <v>-0.1127550672312039</v>
      </c>
    </row>
    <row r="29" spans="2:25" x14ac:dyDescent="0.25">
      <c r="B29" s="12"/>
      <c r="C29" s="26"/>
      <c r="D29" s="26"/>
      <c r="E29" s="12"/>
      <c r="F29" s="12"/>
      <c r="G29" s="12"/>
      <c r="H29" s="12"/>
      <c r="I29" s="12"/>
      <c r="J29" s="26"/>
      <c r="K29" s="111"/>
      <c r="L29" s="111"/>
      <c r="M29" s="110"/>
      <c r="N29" s="111"/>
      <c r="O29" s="111"/>
      <c r="P29" s="111"/>
      <c r="Q29" s="110"/>
      <c r="R29" s="12"/>
      <c r="S29" s="12"/>
      <c r="T29" s="12"/>
      <c r="U29" s="12"/>
      <c r="V29" s="12"/>
      <c r="W29" s="16">
        <v>0.11</v>
      </c>
      <c r="X29" s="49">
        <f>XNPV(W29,AA6:AA10,W6:W10)</f>
        <v>333.92686373858237</v>
      </c>
      <c r="Y29" s="18">
        <f t="shared" si="4"/>
        <v>-9.9927591001125693E-2</v>
      </c>
    </row>
    <row r="30" spans="2:25" x14ac:dyDescent="0.25">
      <c r="B30" s="12"/>
      <c r="C30" s="26"/>
      <c r="D30" s="26"/>
      <c r="E30" s="12"/>
      <c r="F30" s="12"/>
      <c r="G30" s="12"/>
      <c r="H30" s="12"/>
      <c r="I30" s="12"/>
      <c r="J30" s="26"/>
      <c r="K30" s="112"/>
      <c r="L30" s="112"/>
      <c r="M30" s="110"/>
      <c r="N30" s="113"/>
      <c r="O30" s="110"/>
      <c r="P30" s="110"/>
      <c r="Q30" s="110"/>
      <c r="R30" s="12"/>
      <c r="S30" s="12"/>
      <c r="T30" s="12"/>
      <c r="U30" s="12"/>
      <c r="V30" s="12"/>
      <c r="W30" s="16">
        <v>0.1</v>
      </c>
      <c r="X30" s="49">
        <f>XNPV(W30,AA6:AA10,W6:W10)</f>
        <v>338.8005884169566</v>
      </c>
      <c r="Y30" s="18">
        <f t="shared" si="4"/>
        <v>-8.6790866800656064E-2</v>
      </c>
    </row>
    <row r="31" spans="2:25" x14ac:dyDescent="0.25">
      <c r="B31" s="12"/>
      <c r="C31" s="26"/>
      <c r="D31" s="26"/>
      <c r="E31" s="405" t="s">
        <v>18</v>
      </c>
      <c r="F31" s="405"/>
      <c r="G31" s="76">
        <v>0.35</v>
      </c>
      <c r="H31" s="62">
        <f>XNPV(G31,U6:U10,Q6:Q10)</f>
        <v>420.26414736215821</v>
      </c>
      <c r="I31" s="76">
        <f>(H31+I6)/(-I6)</f>
        <v>0.13278745919719195</v>
      </c>
      <c r="J31" s="26"/>
      <c r="K31" s="113"/>
      <c r="L31" s="115"/>
      <c r="M31" s="110"/>
      <c r="N31" s="113"/>
      <c r="O31" s="110"/>
      <c r="P31" s="110"/>
      <c r="Q31" s="110"/>
      <c r="R31" s="12"/>
      <c r="S31" s="12"/>
      <c r="T31" s="12"/>
      <c r="U31" s="12"/>
      <c r="V31" s="12"/>
      <c r="W31" s="16">
        <v>0.09</v>
      </c>
      <c r="X31" s="49">
        <f>XNPV(W31,AA6:AA10,W6:W10)</f>
        <v>343.79289796013717</v>
      </c>
      <c r="Y31" s="18">
        <f t="shared" ref="Y31:Y37" si="5">(X31+$I$6)/(-$I$6)</f>
        <v>-7.3334506845991465E-2</v>
      </c>
    </row>
    <row r="32" spans="2:25" x14ac:dyDescent="0.25">
      <c r="B32" s="12"/>
      <c r="C32" s="26"/>
      <c r="D32" s="26"/>
      <c r="E32" s="406"/>
      <c r="F32" s="406"/>
      <c r="G32" s="42">
        <v>0.45</v>
      </c>
      <c r="H32" s="109">
        <f>XNPV(G32,U6:U10,Q6:Q10)</f>
        <v>374.65445947989792</v>
      </c>
      <c r="I32" s="42">
        <f>(H32+I6)/(-I6)</f>
        <v>9.8502950940644839E-3</v>
      </c>
      <c r="J32" s="26"/>
      <c r="K32" s="114"/>
      <c r="L32" s="110"/>
      <c r="M32" s="110"/>
      <c r="N32" s="113"/>
      <c r="O32" s="110"/>
      <c r="P32" s="110"/>
      <c r="Q32" s="110"/>
      <c r="R32" s="12"/>
      <c r="S32" s="12"/>
      <c r="T32" s="12"/>
      <c r="U32" s="12"/>
      <c r="V32" s="12"/>
      <c r="W32" s="16">
        <v>0.08</v>
      </c>
      <c r="X32" s="49">
        <f>XNPV(W32,AA6:AA10,W6:W10)</f>
        <v>348.90781278486298</v>
      </c>
      <c r="Y32" s="18">
        <f t="shared" si="5"/>
        <v>-5.9547674434331579E-2</v>
      </c>
    </row>
    <row r="33" spans="2:25" x14ac:dyDescent="0.25">
      <c r="B33" s="12"/>
      <c r="C33" s="26"/>
      <c r="D33" s="26"/>
      <c r="E33" s="407"/>
      <c r="F33" s="407"/>
      <c r="G33" s="78">
        <v>0.4</v>
      </c>
      <c r="H33" s="79">
        <f>XNPV(G33,U6:U10,Q6:Q10)</f>
        <v>396.38211367264398</v>
      </c>
      <c r="I33" s="78">
        <f>(H33+I6)/(-I6)</f>
        <v>6.8415400734889442E-2</v>
      </c>
      <c r="J33" s="26"/>
      <c r="K33" s="95"/>
      <c r="L33" s="95"/>
      <c r="M33" s="95"/>
      <c r="N33" s="113"/>
      <c r="O33" s="110"/>
      <c r="P33" s="110"/>
      <c r="Q33" s="110"/>
      <c r="R33" s="12"/>
      <c r="S33" s="12"/>
      <c r="T33" s="12"/>
      <c r="U33" s="12"/>
      <c r="V33" s="12"/>
      <c r="W33" s="16">
        <v>7.0000000000000007E-2</v>
      </c>
      <c r="X33" s="49">
        <f>XNPV(W33,AA6:AA10,W6:W10)</f>
        <v>354.14952868572709</v>
      </c>
      <c r="Y33" s="18">
        <f t="shared" si="5"/>
        <v>-4.5419060146288166E-2</v>
      </c>
    </row>
    <row r="34" spans="2:25" x14ac:dyDescent="0.25">
      <c r="B34" s="12"/>
      <c r="C34" s="26"/>
      <c r="D34" s="26"/>
      <c r="E34" s="12"/>
      <c r="F34" s="12"/>
      <c r="G34" s="12"/>
      <c r="H34" s="12"/>
      <c r="I34" s="12"/>
      <c r="J34" s="80"/>
      <c r="K34" s="117"/>
      <c r="L34" s="118"/>
      <c r="M34" s="95"/>
      <c r="N34" s="113"/>
      <c r="O34" s="110"/>
      <c r="P34" s="110"/>
      <c r="Q34" s="110"/>
      <c r="R34" s="12"/>
      <c r="S34" s="12"/>
      <c r="T34" s="12"/>
      <c r="U34" s="12"/>
      <c r="V34" s="12"/>
      <c r="W34" s="16">
        <v>0.06</v>
      </c>
      <c r="X34" s="49">
        <f>XNPV(W34,AA6:AA10,W6:W10)</f>
        <v>359.52242622017786</v>
      </c>
      <c r="Y34" s="18">
        <f t="shared" si="5"/>
        <v>-3.0936856549385813E-2</v>
      </c>
    </row>
    <row r="35" spans="2:25" x14ac:dyDescent="0.25">
      <c r="B35" s="12"/>
      <c r="C35" s="26"/>
      <c r="D35" s="26"/>
      <c r="E35" s="399"/>
      <c r="F35" s="399"/>
      <c r="G35" s="399"/>
      <c r="H35" s="399"/>
      <c r="I35" s="399"/>
      <c r="J35" s="81"/>
      <c r="K35" s="119"/>
      <c r="L35" s="120"/>
      <c r="M35" s="95"/>
      <c r="N35" s="113"/>
      <c r="O35" s="110"/>
      <c r="P35" s="110"/>
      <c r="Q35" s="110"/>
      <c r="R35" s="12"/>
      <c r="S35" s="12"/>
      <c r="T35" s="12"/>
      <c r="U35" s="12"/>
      <c r="V35" s="12"/>
      <c r="W35" s="16">
        <v>0.05</v>
      </c>
      <c r="X35" s="49">
        <f>XNPV(W35,AA6:AA10,W6:W10)</f>
        <v>365.03108069029349</v>
      </c>
      <c r="Y35" s="18">
        <f t="shared" si="5"/>
        <v>-1.6088731293009452E-2</v>
      </c>
    </row>
    <row r="36" spans="2:25" x14ac:dyDescent="0.25">
      <c r="B36" s="12"/>
      <c r="C36" s="26"/>
      <c r="D36" s="26"/>
      <c r="E36" s="26"/>
      <c r="F36" s="83"/>
      <c r="G36" s="26"/>
      <c r="H36" s="26"/>
      <c r="I36" s="82"/>
      <c r="J36" s="84"/>
      <c r="K36" s="98"/>
      <c r="L36" s="120"/>
      <c r="M36" s="95"/>
      <c r="N36" s="113"/>
      <c r="O36" s="120"/>
      <c r="P36" s="95"/>
      <c r="Q36" s="110"/>
      <c r="R36" s="12"/>
      <c r="S36" s="12"/>
      <c r="T36" s="12"/>
      <c r="U36" s="12"/>
      <c r="V36" s="12"/>
      <c r="W36" s="16">
        <v>0.04</v>
      </c>
      <c r="X36" s="49">
        <f>XNPV(W36,AA6:AA10,W6:W10)</f>
        <v>370.68027276540249</v>
      </c>
      <c r="Y36" s="18">
        <f t="shared" si="5"/>
        <v>-8.6179847600406461E-4</v>
      </c>
    </row>
    <row r="37" spans="2:25" x14ac:dyDescent="0.25">
      <c r="B37" s="12"/>
      <c r="C37" s="26"/>
      <c r="D37" s="26"/>
      <c r="E37" s="26"/>
      <c r="F37" s="83"/>
      <c r="G37" s="26"/>
      <c r="H37" s="26"/>
      <c r="I37" s="82"/>
      <c r="J37" s="84"/>
      <c r="K37" s="98"/>
      <c r="L37" s="120"/>
      <c r="M37" s="95"/>
      <c r="N37" s="95"/>
      <c r="O37" s="95"/>
      <c r="P37" s="95"/>
      <c r="Q37" s="110"/>
      <c r="R37" s="12"/>
      <c r="S37" s="12"/>
      <c r="T37" s="12"/>
      <c r="U37" s="12"/>
      <c r="V37" s="12"/>
      <c r="W37" s="16">
        <v>3.5000000000000003E-2</v>
      </c>
      <c r="X37" s="49">
        <f>XNPV(W37,AA6:AA10,W6:W10)</f>
        <v>373.55912328778714</v>
      </c>
      <c r="Y37" s="18">
        <f t="shared" si="5"/>
        <v>6.8979064360839481E-3</v>
      </c>
    </row>
    <row r="38" spans="2:25" x14ac:dyDescent="0.25">
      <c r="B38" s="12"/>
      <c r="C38" s="26"/>
      <c r="D38" s="26"/>
      <c r="E38" s="26"/>
      <c r="F38" s="83"/>
      <c r="G38" s="26"/>
      <c r="H38" s="26"/>
      <c r="I38" s="82"/>
      <c r="J38" s="84"/>
      <c r="K38" s="98"/>
      <c r="L38" s="95"/>
      <c r="M38" s="95"/>
      <c r="N38" s="95"/>
      <c r="O38" s="120"/>
      <c r="P38" s="95"/>
      <c r="Q38" s="110"/>
      <c r="R38" s="12"/>
      <c r="S38" s="12"/>
      <c r="T38" s="12"/>
      <c r="U38" s="12"/>
      <c r="V38" s="12"/>
      <c r="W38" s="16">
        <v>0.03</v>
      </c>
      <c r="X38" s="49">
        <f>XNPV(W38,AA6:AA10,W6:W10)</f>
        <v>376.47499979334134</v>
      </c>
      <c r="Y38" s="18">
        <f>(X38+$I$6)/(-$I$6)</f>
        <v>1.4757411841890403E-2</v>
      </c>
    </row>
    <row r="39" spans="2:25" x14ac:dyDescent="0.25">
      <c r="B39" s="12"/>
      <c r="C39" s="26"/>
      <c r="D39" s="26"/>
      <c r="E39" s="26"/>
      <c r="F39" s="83"/>
      <c r="G39" s="26"/>
      <c r="H39" s="26"/>
      <c r="I39" s="82"/>
      <c r="J39" s="84"/>
      <c r="K39" s="71"/>
      <c r="L39" s="26"/>
      <c r="M39" s="26"/>
      <c r="N39" s="26"/>
      <c r="O39" s="26"/>
      <c r="P39" s="26"/>
      <c r="Q39" s="12"/>
      <c r="R39" s="12"/>
      <c r="S39" s="12"/>
      <c r="T39" s="12"/>
      <c r="U39" s="12"/>
      <c r="V39" s="12"/>
      <c r="W39" s="16">
        <v>0.02</v>
      </c>
      <c r="X39" s="49">
        <f>XNPV(W39,AA6:AA10,W6:W10)</f>
        <v>382.42048785220896</v>
      </c>
      <c r="Y39" s="18">
        <f>(X39+$I$6)/(-$I$6)</f>
        <v>3.0782986124552464E-2</v>
      </c>
    </row>
    <row r="40" spans="2:25" x14ac:dyDescent="0.25">
      <c r="C40" s="1"/>
      <c r="D40" s="1"/>
      <c r="E40" s="1"/>
      <c r="F40" s="8"/>
      <c r="G40" s="1"/>
      <c r="H40" s="1"/>
      <c r="I40" s="7"/>
      <c r="J40" s="9"/>
      <c r="K40" s="10"/>
      <c r="L40" s="1"/>
      <c r="M40" s="1"/>
      <c r="N40" s="1"/>
      <c r="O40" s="10"/>
      <c r="P40" s="1"/>
    </row>
    <row r="41" spans="2:25" x14ac:dyDescent="0.25">
      <c r="C41" s="1"/>
      <c r="D41" s="1"/>
      <c r="E41" s="1"/>
      <c r="F41" s="8"/>
      <c r="G41" s="1"/>
      <c r="H41" s="1"/>
      <c r="I41" s="7"/>
      <c r="J41" s="9"/>
      <c r="K41" s="10"/>
      <c r="L41" s="1"/>
      <c r="M41" s="1"/>
      <c r="N41" s="1"/>
      <c r="O41" s="1"/>
      <c r="P41" s="1"/>
    </row>
    <row r="42" spans="2:25" x14ac:dyDescent="0.25">
      <c r="C42" s="1"/>
      <c r="D42" s="1"/>
      <c r="E42" s="1"/>
      <c r="F42" s="414"/>
      <c r="G42" s="414"/>
      <c r="H42" s="414"/>
      <c r="I42" s="414"/>
      <c r="J42" s="414"/>
      <c r="K42" s="414"/>
      <c r="L42" s="1"/>
      <c r="M42" s="1"/>
      <c r="N42" s="1"/>
      <c r="O42" s="1"/>
      <c r="P42" s="1"/>
    </row>
    <row r="43" spans="2:25" x14ac:dyDescent="0.25">
      <c r="C43" s="1"/>
      <c r="D43" s="1"/>
      <c r="E43" s="1"/>
      <c r="F43" s="8"/>
      <c r="G43" s="1"/>
      <c r="H43" s="1"/>
      <c r="I43" s="7"/>
      <c r="J43" s="9"/>
      <c r="K43" s="10"/>
      <c r="L43" s="1"/>
      <c r="M43" s="1"/>
      <c r="N43" s="1"/>
      <c r="O43" s="1"/>
      <c r="P43" s="1"/>
    </row>
    <row r="44" spans="2:25" x14ac:dyDescent="0.25">
      <c r="C44" s="1"/>
      <c r="D44" s="1"/>
      <c r="E44" s="1"/>
      <c r="F44" s="8"/>
      <c r="G44" s="1"/>
      <c r="H44" s="1"/>
      <c r="I44" s="7"/>
      <c r="J44" s="9"/>
      <c r="K44" s="10"/>
      <c r="L44" s="1"/>
      <c r="M44" s="1"/>
      <c r="N44" s="1"/>
      <c r="O44" s="1"/>
      <c r="P44" s="1"/>
    </row>
    <row r="45" spans="2:25" x14ac:dyDescent="0.25">
      <c r="C45" s="1"/>
      <c r="D45" s="1"/>
      <c r="E45" s="1"/>
      <c r="F45" s="1"/>
      <c r="G45" s="1"/>
      <c r="H45" s="1"/>
      <c r="I45" s="1"/>
      <c r="J45" s="1"/>
      <c r="K45" s="10"/>
      <c r="L45" s="1"/>
      <c r="M45" s="1"/>
      <c r="N45" s="1"/>
      <c r="O45" s="1"/>
      <c r="P45" s="1"/>
    </row>
    <row r="46" spans="2:25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2:25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2:25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</sheetData>
  <mergeCells count="12">
    <mergeCell ref="W22:Y22"/>
    <mergeCell ref="W23:Y23"/>
    <mergeCell ref="Q4:U4"/>
    <mergeCell ref="F42:K42"/>
    <mergeCell ref="E35:I35"/>
    <mergeCell ref="E31:F33"/>
    <mergeCell ref="AC4:AG4"/>
    <mergeCell ref="B2:I2"/>
    <mergeCell ref="B4:C4"/>
    <mergeCell ref="E4:I4"/>
    <mergeCell ref="K4:O4"/>
    <mergeCell ref="W4:AA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G41"/>
  <sheetViews>
    <sheetView showGridLines="0" zoomScale="90" zoomScaleNormal="90" workbookViewId="0">
      <selection activeCell="E11" sqref="E11"/>
    </sheetView>
  </sheetViews>
  <sheetFormatPr baseColWidth="10" defaultRowHeight="15" x14ac:dyDescent="0.2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33" ht="15.75" x14ac:dyDescent="0.25">
      <c r="B2" s="413" t="s">
        <v>99</v>
      </c>
      <c r="C2" s="413"/>
      <c r="D2" s="413"/>
      <c r="E2" s="413"/>
      <c r="F2" s="413"/>
      <c r="G2" s="413"/>
      <c r="H2" s="413"/>
      <c r="I2" s="413"/>
      <c r="K2" s="6" t="s">
        <v>60</v>
      </c>
    </row>
    <row r="3" spans="2:33" x14ac:dyDescent="0.25">
      <c r="B3" s="12"/>
      <c r="C3" s="12"/>
      <c r="D3" s="12"/>
      <c r="E3" s="12"/>
      <c r="F3" s="12"/>
      <c r="G3" s="12"/>
      <c r="H3" s="12"/>
      <c r="I3" s="12"/>
    </row>
    <row r="4" spans="2:33" x14ac:dyDescent="0.25">
      <c r="B4" s="373" t="s">
        <v>34</v>
      </c>
      <c r="C4" s="374"/>
      <c r="D4" s="12"/>
      <c r="E4" s="375" t="s">
        <v>66</v>
      </c>
      <c r="F4" s="375"/>
      <c r="G4" s="375"/>
      <c r="H4" s="375"/>
      <c r="I4" s="375"/>
      <c r="K4" s="375" t="s">
        <v>89</v>
      </c>
      <c r="L4" s="375"/>
      <c r="M4" s="375"/>
      <c r="N4" s="375"/>
      <c r="O4" s="375"/>
      <c r="Q4" s="375" t="s">
        <v>89</v>
      </c>
      <c r="R4" s="375"/>
      <c r="S4" s="375"/>
      <c r="T4" s="375"/>
      <c r="U4" s="375"/>
      <c r="W4" s="375" t="s">
        <v>66</v>
      </c>
      <c r="X4" s="375"/>
      <c r="Y4" s="375"/>
      <c r="Z4" s="375"/>
      <c r="AA4" s="375"/>
      <c r="AC4" s="375" t="s">
        <v>66</v>
      </c>
      <c r="AD4" s="375"/>
      <c r="AE4" s="375"/>
      <c r="AF4" s="375"/>
      <c r="AG4" s="375"/>
    </row>
    <row r="5" spans="2:33" x14ac:dyDescent="0.25">
      <c r="B5" s="24" t="s">
        <v>0</v>
      </c>
      <c r="C5" s="33">
        <v>43915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2:33" x14ac:dyDescent="0.25">
      <c r="B6" s="24" t="s">
        <v>1</v>
      </c>
      <c r="C6" s="33">
        <v>45010</v>
      </c>
      <c r="D6" s="12"/>
      <c r="E6" s="15">
        <f>'Planilla de datos'!D3</f>
        <v>44384</v>
      </c>
      <c r="F6" s="12">
        <v>100</v>
      </c>
      <c r="G6" s="30"/>
      <c r="H6" s="12"/>
      <c r="I6" s="14">
        <f>-'Planilla de datos'!C20</f>
        <v>-152.35</v>
      </c>
      <c r="K6" s="15">
        <f>E6</f>
        <v>44384</v>
      </c>
      <c r="L6" s="12">
        <v>100</v>
      </c>
      <c r="M6" s="30"/>
      <c r="N6" s="12"/>
      <c r="O6" s="14">
        <f>I6</f>
        <v>-152.35</v>
      </c>
      <c r="Q6" s="15">
        <f>+K6</f>
        <v>44384</v>
      </c>
      <c r="R6" s="12">
        <v>100</v>
      </c>
      <c r="S6" s="30"/>
      <c r="T6" s="12"/>
      <c r="U6" s="14">
        <v>0</v>
      </c>
      <c r="W6" s="15">
        <f>+E6</f>
        <v>44384</v>
      </c>
      <c r="X6" s="12">
        <f>+F6</f>
        <v>100</v>
      </c>
      <c r="Y6" s="30"/>
      <c r="Z6" s="12"/>
      <c r="AA6" s="14">
        <v>0</v>
      </c>
      <c r="AC6" s="15">
        <f>+W6</f>
        <v>44384</v>
      </c>
      <c r="AD6" s="12">
        <f>+X6</f>
        <v>100</v>
      </c>
      <c r="AE6" s="30"/>
      <c r="AF6" s="12"/>
      <c r="AG6" s="14">
        <f>-X38</f>
        <v>-153.61055037237338</v>
      </c>
    </row>
    <row r="7" spans="2:33" x14ac:dyDescent="0.25">
      <c r="B7" s="24" t="s">
        <v>2</v>
      </c>
      <c r="C7" s="34">
        <v>20.152100000000001</v>
      </c>
      <c r="D7" s="12"/>
      <c r="E7" s="15">
        <v>44464</v>
      </c>
      <c r="F7" s="12">
        <v>100</v>
      </c>
      <c r="G7" s="14">
        <f>$C$11*$C$10*(180/360)</f>
        <v>1.1087643471400004</v>
      </c>
      <c r="H7" s="14"/>
      <c r="I7" s="14">
        <f>SUM(G7:H7)</f>
        <v>1.1087643471400004</v>
      </c>
      <c r="K7" s="15">
        <f>E7</f>
        <v>44464</v>
      </c>
      <c r="L7" s="12">
        <v>100</v>
      </c>
      <c r="M7" s="30">
        <f>O22*($C$10/360*180)</f>
        <v>1.1989757338477436</v>
      </c>
      <c r="N7" s="14"/>
      <c r="O7" s="14">
        <f>SUM(M7:N7)</f>
        <v>1.1989757338477436</v>
      </c>
      <c r="Q7" s="15">
        <f>K7</f>
        <v>44464</v>
      </c>
      <c r="R7" s="12">
        <v>100</v>
      </c>
      <c r="S7" s="30">
        <f>M7</f>
        <v>1.1989757338477436</v>
      </c>
      <c r="T7" s="14"/>
      <c r="U7" s="14">
        <f>SUM(S7:T7)</f>
        <v>1.1989757338477436</v>
      </c>
      <c r="W7" s="15">
        <f t="shared" ref="W7:Y10" si="0">+E7</f>
        <v>44464</v>
      </c>
      <c r="X7" s="12">
        <f t="shared" si="0"/>
        <v>100</v>
      </c>
      <c r="Y7" s="14">
        <f t="shared" si="0"/>
        <v>1.1087643471400004</v>
      </c>
      <c r="Z7" s="14"/>
      <c r="AA7" s="14">
        <f>SUM(Y7:Z7)</f>
        <v>1.1087643471400004</v>
      </c>
      <c r="AC7" s="15">
        <f t="shared" ref="AC7:AE10" si="1">+W7</f>
        <v>44464</v>
      </c>
      <c r="AD7" s="12">
        <f t="shared" si="1"/>
        <v>100</v>
      </c>
      <c r="AE7" s="14">
        <f t="shared" si="1"/>
        <v>1.1087643471400004</v>
      </c>
      <c r="AF7" s="14"/>
      <c r="AG7" s="14">
        <f>+AA7</f>
        <v>1.1087643471400004</v>
      </c>
    </row>
    <row r="8" spans="2:33" x14ac:dyDescent="0.25">
      <c r="B8" s="24" t="s">
        <v>98</v>
      </c>
      <c r="C8" s="34">
        <f>'Planilla de datos'!D64</f>
        <v>31.919899999999998</v>
      </c>
      <c r="D8" s="12"/>
      <c r="E8" s="15">
        <v>44645</v>
      </c>
      <c r="F8" s="12">
        <v>100</v>
      </c>
      <c r="G8" s="14">
        <f>$C$11*$C$10*(180/360)</f>
        <v>1.1087643471400004</v>
      </c>
      <c r="H8" s="12"/>
      <c r="I8" s="14">
        <f>SUM(G8:H8)</f>
        <v>1.1087643471400004</v>
      </c>
      <c r="K8" s="15">
        <f>E8</f>
        <v>44645</v>
      </c>
      <c r="L8" s="12">
        <v>100</v>
      </c>
      <c r="M8" s="30">
        <f>O23*($C$10/360*180)</f>
        <v>1.4150411888214796</v>
      </c>
      <c r="N8" s="14"/>
      <c r="O8" s="14">
        <f>SUM(M8:N8)</f>
        <v>1.4150411888214796</v>
      </c>
      <c r="Q8" s="15">
        <f>K8</f>
        <v>44645</v>
      </c>
      <c r="R8" s="12">
        <v>100</v>
      </c>
      <c r="S8" s="30">
        <f>M8</f>
        <v>1.4150411888214796</v>
      </c>
      <c r="T8" s="14"/>
      <c r="U8" s="14">
        <f>SUM(S8:T8)</f>
        <v>1.4150411888214796</v>
      </c>
      <c r="W8" s="15">
        <f t="shared" si="0"/>
        <v>44645</v>
      </c>
      <c r="X8" s="12">
        <f t="shared" si="0"/>
        <v>100</v>
      </c>
      <c r="Y8" s="14">
        <f t="shared" si="0"/>
        <v>1.1087643471400004</v>
      </c>
      <c r="Z8" s="12"/>
      <c r="AA8" s="14">
        <f>SUM(Y8:Z8)</f>
        <v>1.1087643471400004</v>
      </c>
      <c r="AC8" s="15">
        <f t="shared" si="1"/>
        <v>44645</v>
      </c>
      <c r="AD8" s="12">
        <f t="shared" si="1"/>
        <v>100</v>
      </c>
      <c r="AE8" s="14">
        <f t="shared" si="1"/>
        <v>1.1087643471400004</v>
      </c>
      <c r="AF8" s="12"/>
      <c r="AG8" s="14">
        <f>+AA8</f>
        <v>1.1087643471400004</v>
      </c>
    </row>
    <row r="9" spans="2:33" x14ac:dyDescent="0.25">
      <c r="B9" s="24" t="s">
        <v>4</v>
      </c>
      <c r="C9" s="34">
        <f>((C8-C7)/C7)+1</f>
        <v>1.5839490673428576</v>
      </c>
      <c r="D9" s="12"/>
      <c r="E9" s="15">
        <v>44829</v>
      </c>
      <c r="F9" s="12">
        <v>100</v>
      </c>
      <c r="G9" s="14">
        <f>$C$11*$C$10*(180/360)</f>
        <v>1.1087643471400004</v>
      </c>
      <c r="H9" s="12"/>
      <c r="I9" s="14">
        <f>SUM(G9:H9)</f>
        <v>1.1087643471400004</v>
      </c>
      <c r="K9" s="15">
        <f>E9</f>
        <v>44829</v>
      </c>
      <c r="L9" s="12">
        <v>100</v>
      </c>
      <c r="M9" s="30">
        <f>O24*($C$10/360*180)</f>
        <v>1.6762039175614551</v>
      </c>
      <c r="N9" s="12"/>
      <c r="O9" s="14">
        <f>SUM(M9:N9)</f>
        <v>1.6762039175614551</v>
      </c>
      <c r="Q9" s="15">
        <f>K9</f>
        <v>44829</v>
      </c>
      <c r="R9" s="12">
        <v>100</v>
      </c>
      <c r="S9" s="30">
        <f>M9</f>
        <v>1.6762039175614551</v>
      </c>
      <c r="T9" s="14"/>
      <c r="U9" s="14">
        <f>SUM(S9:T9)</f>
        <v>1.6762039175614551</v>
      </c>
      <c r="W9" s="15">
        <f t="shared" si="0"/>
        <v>44829</v>
      </c>
      <c r="X9" s="12">
        <f t="shared" si="0"/>
        <v>100</v>
      </c>
      <c r="Y9" s="14">
        <f t="shared" si="0"/>
        <v>1.1087643471400004</v>
      </c>
      <c r="Z9" s="12"/>
      <c r="AA9" s="14">
        <f>SUM(Y9:Z9)</f>
        <v>1.1087643471400004</v>
      </c>
      <c r="AC9" s="15">
        <f t="shared" si="1"/>
        <v>44829</v>
      </c>
      <c r="AD9" s="12">
        <f t="shared" si="1"/>
        <v>100</v>
      </c>
      <c r="AE9" s="14">
        <f t="shared" si="1"/>
        <v>1.1087643471400004</v>
      </c>
      <c r="AF9" s="12"/>
      <c r="AG9" s="14">
        <f>+AA9</f>
        <v>1.1087643471400004</v>
      </c>
    </row>
    <row r="10" spans="2:33" x14ac:dyDescent="0.25">
      <c r="B10" s="24" t="s">
        <v>5</v>
      </c>
      <c r="C10" s="35">
        <v>1.4E-2</v>
      </c>
      <c r="D10" s="12"/>
      <c r="E10" s="15">
        <v>45010</v>
      </c>
      <c r="F10" s="12">
        <v>100</v>
      </c>
      <c r="G10" s="14">
        <f>$C$11*$C$10*(180/360)</f>
        <v>1.1087643471400004</v>
      </c>
      <c r="H10" s="14">
        <f>C11</f>
        <v>158.39490673428577</v>
      </c>
      <c r="I10" s="14">
        <f>SUM(G10:H10)</f>
        <v>159.50367108142578</v>
      </c>
      <c r="K10" s="15">
        <f>E10</f>
        <v>45010</v>
      </c>
      <c r="L10" s="12">
        <v>100</v>
      </c>
      <c r="M10" s="30">
        <f>O25*($C$10/360*180)</f>
        <v>1.9783447199572954</v>
      </c>
      <c r="N10" s="30">
        <f>O25</f>
        <v>282.62067427961364</v>
      </c>
      <c r="O10" s="14">
        <f>SUM(M10:N10)</f>
        <v>284.59901899957094</v>
      </c>
      <c r="Q10" s="15">
        <f>K10</f>
        <v>45010</v>
      </c>
      <c r="R10" s="12">
        <v>100</v>
      </c>
      <c r="S10" s="30">
        <f>M10</f>
        <v>1.9783447199572954</v>
      </c>
      <c r="T10" s="14">
        <f>N10</f>
        <v>282.62067427961364</v>
      </c>
      <c r="U10" s="14">
        <f>SUM(S10:T10)</f>
        <v>284.59901899957094</v>
      </c>
      <c r="W10" s="15">
        <f t="shared" si="0"/>
        <v>45010</v>
      </c>
      <c r="X10" s="12">
        <f t="shared" si="0"/>
        <v>100</v>
      </c>
      <c r="Y10" s="14">
        <f t="shared" si="0"/>
        <v>1.1087643471400004</v>
      </c>
      <c r="Z10" s="14">
        <f>+H10</f>
        <v>158.39490673428577</v>
      </c>
      <c r="AA10" s="14">
        <f>SUM(Y10:Z10)</f>
        <v>159.50367108142578</v>
      </c>
      <c r="AC10" s="15">
        <f t="shared" si="1"/>
        <v>45010</v>
      </c>
      <c r="AD10" s="12">
        <f t="shared" si="1"/>
        <v>100</v>
      </c>
      <c r="AE10" s="14">
        <f t="shared" si="1"/>
        <v>1.1087643471400004</v>
      </c>
      <c r="AF10" s="14">
        <f>+Z10</f>
        <v>158.39490673428577</v>
      </c>
      <c r="AG10" s="14">
        <f>+AA10</f>
        <v>159.50367108142578</v>
      </c>
    </row>
    <row r="11" spans="2:33" x14ac:dyDescent="0.25">
      <c r="B11" s="24" t="s">
        <v>16</v>
      </c>
      <c r="C11" s="88">
        <f>C9*F6</f>
        <v>158.39490673428577</v>
      </c>
      <c r="D11" s="12"/>
      <c r="E11" s="12">
        <f>E10-E6</f>
        <v>626</v>
      </c>
      <c r="F11" s="12"/>
      <c r="G11" s="12"/>
      <c r="H11" s="12"/>
      <c r="I11" s="12"/>
      <c r="K11" s="12"/>
      <c r="L11" s="12"/>
      <c r="M11" s="12"/>
    </row>
    <row r="12" spans="2:33" x14ac:dyDescent="0.25">
      <c r="B12" s="167" t="s">
        <v>27</v>
      </c>
      <c r="C12" s="168">
        <v>44099</v>
      </c>
      <c r="D12" s="12"/>
      <c r="E12" s="12"/>
      <c r="F12" s="12"/>
      <c r="H12" s="92" t="s">
        <v>13</v>
      </c>
      <c r="I12" s="86">
        <f>XIRR(I6:I10,E6:E10,0)</f>
        <v>4.0047280273437499E-2</v>
      </c>
      <c r="K12" s="12"/>
      <c r="L12" s="12"/>
      <c r="M12" s="12"/>
      <c r="N12" s="92" t="s">
        <v>10</v>
      </c>
      <c r="O12" s="86">
        <f>XIRR(O6:O10,K6:K10,0)</f>
        <v>0.45776694824218767</v>
      </c>
      <c r="AF12" t="s">
        <v>10</v>
      </c>
      <c r="AG12" s="22">
        <f>XIRR(AG6:AG10,AC6:AC10)</f>
        <v>3.4999999403953527E-2</v>
      </c>
    </row>
    <row r="13" spans="2:33" x14ac:dyDescent="0.25">
      <c r="B13" s="12"/>
      <c r="C13" s="12"/>
      <c r="D13" s="12"/>
      <c r="E13" s="12"/>
      <c r="F13" s="12"/>
      <c r="H13" s="92" t="s">
        <v>29</v>
      </c>
      <c r="I13" s="71">
        <f>MDURATION(E6,E10,C10,I12,2)</f>
        <v>1.662007405906285</v>
      </c>
      <c r="K13" s="12"/>
      <c r="L13" s="12"/>
      <c r="M13" s="12"/>
      <c r="N13" s="92" t="s">
        <v>64</v>
      </c>
      <c r="O13" s="71">
        <f>MDURATION(K6,K10,C10,O12,2)</f>
        <v>1.3700269150760365</v>
      </c>
      <c r="T13" s="87"/>
      <c r="U13" s="42"/>
      <c r="AF13" t="s">
        <v>64</v>
      </c>
      <c r="AG13" s="4">
        <f>MDURATION(AC6,AC10,C10,AG12,2)</f>
        <v>1.6662490032436152</v>
      </c>
    </row>
    <row r="14" spans="2:33" x14ac:dyDescent="0.25">
      <c r="B14" s="12"/>
      <c r="C14" s="12"/>
      <c r="D14" s="12"/>
    </row>
    <row r="15" spans="2:33" x14ac:dyDescent="0.25">
      <c r="B15" s="12"/>
      <c r="C15" s="12"/>
      <c r="D15" s="12"/>
      <c r="T15" s="27"/>
      <c r="U15" s="49"/>
    </row>
    <row r="16" spans="2:33" x14ac:dyDescent="0.25">
      <c r="B16" s="12"/>
      <c r="C16" s="12"/>
      <c r="D16" s="12"/>
      <c r="E16" s="12"/>
      <c r="F16" s="12"/>
      <c r="G16" s="41"/>
      <c r="H16" s="41"/>
      <c r="I16" s="42"/>
      <c r="K16" s="12"/>
      <c r="L16" s="12"/>
      <c r="M16" s="12"/>
      <c r="N16" s="12"/>
      <c r="O16" s="12"/>
    </row>
    <row r="17" spans="2:25" x14ac:dyDescent="0.25">
      <c r="B17" s="12"/>
      <c r="C17" s="12"/>
      <c r="D17" s="12"/>
      <c r="E17" s="12"/>
      <c r="F17" s="12"/>
      <c r="G17" s="12"/>
      <c r="H17" s="12"/>
      <c r="I17" s="12"/>
      <c r="K17" s="21"/>
      <c r="L17" s="21"/>
      <c r="M17" s="21"/>
      <c r="N17" s="21"/>
      <c r="O17" s="21"/>
      <c r="P17" s="21"/>
    </row>
    <row r="19" spans="2:25" ht="28.5" x14ac:dyDescent="0.25">
      <c r="D19" s="12"/>
      <c r="E19" s="12"/>
      <c r="F19" s="12"/>
      <c r="G19" s="12"/>
      <c r="H19" s="12"/>
      <c r="I19" s="12"/>
      <c r="J19" s="12"/>
      <c r="K19" s="45" t="s">
        <v>6</v>
      </c>
      <c r="L19" s="45" t="s">
        <v>58</v>
      </c>
      <c r="M19" s="45" t="s">
        <v>24</v>
      </c>
      <c r="N19" s="45" t="s">
        <v>4</v>
      </c>
      <c r="O19" s="45" t="s">
        <v>59</v>
      </c>
      <c r="P19" s="12"/>
      <c r="Q19" s="12"/>
      <c r="R19" s="12"/>
    </row>
    <row r="20" spans="2:25" ht="15" customHeight="1" x14ac:dyDescent="0.25">
      <c r="D20" s="12"/>
      <c r="J20" s="12"/>
      <c r="K20" s="15" t="e">
        <f>#REF!</f>
        <v>#REF!</v>
      </c>
      <c r="L20" s="31">
        <v>44085</v>
      </c>
      <c r="M20" s="46">
        <f>+'Serie CER'!E32</f>
        <v>22.833200000000001</v>
      </c>
      <c r="N20" s="47">
        <f t="shared" ref="N20:N25" si="2">(M20/$C$7)</f>
        <v>1.1330432064152123</v>
      </c>
      <c r="O20" s="14">
        <f t="shared" ref="O20:O25" si="3">100*N20</f>
        <v>113.30432064152123</v>
      </c>
      <c r="P20" s="12"/>
      <c r="Q20" s="12"/>
      <c r="R20" s="12"/>
    </row>
    <row r="21" spans="2:25" x14ac:dyDescent="0.25">
      <c r="D21" s="12"/>
      <c r="J21" s="12"/>
      <c r="K21" s="15" t="e">
        <f>#REF!</f>
        <v>#REF!</v>
      </c>
      <c r="L21" s="31">
        <v>44266</v>
      </c>
      <c r="M21" s="46">
        <f>+'Serie CER'!H74</f>
        <v>27.841699999999999</v>
      </c>
      <c r="N21" s="47">
        <f t="shared" si="2"/>
        <v>1.3815780985604478</v>
      </c>
      <c r="O21" s="14">
        <f t="shared" si="3"/>
        <v>138.15780985604476</v>
      </c>
      <c r="P21" s="12"/>
      <c r="Q21" s="12"/>
      <c r="R21" s="12"/>
    </row>
    <row r="22" spans="2:25" x14ac:dyDescent="0.25">
      <c r="D22" s="12"/>
      <c r="E22" s="12"/>
      <c r="F22" s="12"/>
      <c r="G22" s="12"/>
      <c r="H22" s="12"/>
      <c r="I22" s="12"/>
      <c r="J22" s="12"/>
      <c r="K22" s="15">
        <f>K7</f>
        <v>44464</v>
      </c>
      <c r="L22" s="31">
        <v>44450</v>
      </c>
      <c r="M22" s="46">
        <f>+'Serie CER'!H258</f>
        <v>34.516969837247309</v>
      </c>
      <c r="N22" s="47">
        <f t="shared" si="2"/>
        <v>1.7128224769253482</v>
      </c>
      <c r="O22" s="14">
        <f t="shared" si="3"/>
        <v>171.28224769253481</v>
      </c>
      <c r="P22" s="12"/>
      <c r="Q22" s="12"/>
      <c r="R22" s="12"/>
    </row>
    <row r="23" spans="2:25" x14ac:dyDescent="0.25">
      <c r="D23" s="12"/>
      <c r="E23" s="12"/>
      <c r="F23" s="12"/>
      <c r="G23" s="12"/>
      <c r="H23" s="12"/>
      <c r="I23" s="12"/>
      <c r="J23" s="12"/>
      <c r="K23" s="15">
        <f>K8</f>
        <v>44645</v>
      </c>
      <c r="L23" s="31">
        <v>44631</v>
      </c>
      <c r="M23" s="46">
        <f>+'Serie CER'!K74</f>
        <v>40.737216487499055</v>
      </c>
      <c r="N23" s="47">
        <f t="shared" si="2"/>
        <v>2.0214874126021134</v>
      </c>
      <c r="O23" s="14">
        <f t="shared" si="3"/>
        <v>202.14874126021135</v>
      </c>
      <c r="P23" s="12"/>
      <c r="Q23" s="12"/>
      <c r="R23" s="12"/>
      <c r="W23" s="404" t="s">
        <v>78</v>
      </c>
      <c r="X23" s="404"/>
      <c r="Y23" s="404"/>
    </row>
    <row r="24" spans="2:25" x14ac:dyDescent="0.25">
      <c r="D24" s="12"/>
      <c r="E24" s="12"/>
      <c r="F24" s="12"/>
      <c r="G24" s="12"/>
      <c r="H24" s="12"/>
      <c r="I24" s="12"/>
      <c r="J24" s="12"/>
      <c r="K24" s="15">
        <f>K9</f>
        <v>44829</v>
      </c>
      <c r="L24" s="31">
        <v>44815</v>
      </c>
      <c r="M24" s="46">
        <f>+'Serie CER'!K258</f>
        <v>48.255755667271721</v>
      </c>
      <c r="N24" s="47">
        <f t="shared" si="2"/>
        <v>2.3945770250877931</v>
      </c>
      <c r="O24" s="14">
        <f t="shared" si="3"/>
        <v>239.45770250877931</v>
      </c>
      <c r="P24" s="12"/>
      <c r="Q24" s="12"/>
      <c r="R24" s="12"/>
      <c r="W24" s="404" t="s">
        <v>82</v>
      </c>
      <c r="X24" s="404"/>
      <c r="Y24" s="404"/>
    </row>
    <row r="25" spans="2:25" x14ac:dyDescent="0.25">
      <c r="D25" s="12"/>
      <c r="E25" s="12"/>
      <c r="F25" s="12"/>
      <c r="G25" s="12"/>
      <c r="H25" s="12"/>
      <c r="I25" s="12"/>
      <c r="J25" s="12"/>
      <c r="K25" s="15">
        <f>K10</f>
        <v>45010</v>
      </c>
      <c r="L25" s="31">
        <v>44996</v>
      </c>
      <c r="M25" s="46">
        <f>+'Serie CER'!N74</f>
        <v>56.954000901502013</v>
      </c>
      <c r="N25" s="47">
        <f t="shared" si="2"/>
        <v>2.8262067427961362</v>
      </c>
      <c r="O25" s="14">
        <f t="shared" si="3"/>
        <v>282.62067427961364</v>
      </c>
      <c r="P25" s="12"/>
      <c r="Q25" s="12"/>
      <c r="R25" s="12"/>
      <c r="W25" s="108" t="s">
        <v>10</v>
      </c>
      <c r="X25" s="108" t="s">
        <v>83</v>
      </c>
      <c r="Y25" s="108" t="s">
        <v>84</v>
      </c>
    </row>
    <row r="26" spans="2:25" x14ac:dyDescent="0.25">
      <c r="C26" s="12"/>
      <c r="D26" s="12"/>
      <c r="E26" s="12"/>
      <c r="F26" s="12"/>
      <c r="G26" s="12"/>
      <c r="H26" s="12"/>
      <c r="I26" s="12"/>
      <c r="J26" s="12"/>
      <c r="K26" s="15"/>
      <c r="L26" s="12"/>
      <c r="M26" s="12"/>
      <c r="N26" s="12"/>
      <c r="O26" s="12"/>
      <c r="P26" s="12"/>
      <c r="Q26" s="12"/>
      <c r="R26" s="12"/>
      <c r="W26" s="16">
        <v>0.15</v>
      </c>
      <c r="X26" s="49">
        <f>XNPV(W26,AA6:AA10,W6:W10)</f>
        <v>128.52119804308609</v>
      </c>
      <c r="Y26" s="18">
        <f t="shared" ref="Y26:Y31" si="4">(X26+$I$6)/(-$I$6)</f>
        <v>-0.1564082832747877</v>
      </c>
    </row>
    <row r="27" spans="2:25" x14ac:dyDescent="0.25">
      <c r="C27" s="12"/>
      <c r="D27" s="12"/>
      <c r="E27" s="12"/>
      <c r="F27" s="12"/>
      <c r="G27" s="12"/>
      <c r="H27" s="12"/>
      <c r="I27" s="12"/>
      <c r="J27" s="110"/>
      <c r="K27" s="412"/>
      <c r="L27" s="412"/>
      <c r="M27" s="412"/>
      <c r="N27" s="412"/>
      <c r="O27" s="412"/>
      <c r="P27" s="412"/>
      <c r="Q27" s="12"/>
      <c r="R27" s="12"/>
      <c r="W27" s="16">
        <v>0.14000000000000001</v>
      </c>
      <c r="X27" s="49">
        <f>XNPV(W27,AA6:AA10,W6:W10)</f>
        <v>130.43366327609604</v>
      </c>
      <c r="Y27" s="18">
        <f t="shared" si="4"/>
        <v>-0.14385518033412506</v>
      </c>
    </row>
    <row r="28" spans="2:25" x14ac:dyDescent="0.25">
      <c r="C28" s="12"/>
      <c r="D28" s="12"/>
      <c r="E28" s="405" t="s">
        <v>18</v>
      </c>
      <c r="F28" s="405"/>
      <c r="G28" s="61">
        <v>0.35</v>
      </c>
      <c r="H28" s="62">
        <f>XNPV(G28,U6:U10,Q6:Q10)</f>
        <v>173.52610791847187</v>
      </c>
      <c r="I28" s="61">
        <f>(H28/-$I$6)-1</f>
        <v>0.13899644186722604</v>
      </c>
      <c r="J28" s="110"/>
      <c r="K28" s="110"/>
      <c r="L28" s="110"/>
      <c r="M28" s="110"/>
      <c r="N28" s="110"/>
      <c r="O28" s="110"/>
      <c r="P28" s="110"/>
      <c r="Q28" s="12"/>
      <c r="R28" s="12"/>
      <c r="W28" s="16">
        <v>0.13</v>
      </c>
      <c r="X28" s="49">
        <f>XNPV(W28,AA6:AA10,W6:W10)</f>
        <v>132.39209644105892</v>
      </c>
      <c r="Y28" s="18">
        <f t="shared" si="4"/>
        <v>-0.13100035155195977</v>
      </c>
    </row>
    <row r="29" spans="2:25" x14ac:dyDescent="0.25">
      <c r="C29" s="12"/>
      <c r="D29" s="12"/>
      <c r="E29" s="406"/>
      <c r="F29" s="406"/>
      <c r="G29" s="18">
        <v>0.4</v>
      </c>
      <c r="H29" s="49">
        <f>XNPV(G29,U6:U10,Q6:Q10)</f>
        <v>163.15197477803747</v>
      </c>
      <c r="I29" s="18">
        <f>(H29/-$I$6)-1</f>
        <v>7.0902361523055291E-2</v>
      </c>
      <c r="J29" s="110"/>
      <c r="K29" s="111"/>
      <c r="L29" s="111"/>
      <c r="M29" s="110"/>
      <c r="N29" s="111"/>
      <c r="O29" s="111"/>
      <c r="P29" s="111"/>
      <c r="Q29" s="12"/>
      <c r="R29" s="12"/>
      <c r="W29" s="16">
        <v>0.12</v>
      </c>
      <c r="X29" s="49">
        <f>XNPV(W29,AA6:AA10,W6:W10)</f>
        <v>134.39802510525013</v>
      </c>
      <c r="Y29" s="18">
        <f t="shared" si="4"/>
        <v>-0.11783377023137426</v>
      </c>
    </row>
    <row r="30" spans="2:25" x14ac:dyDescent="0.25">
      <c r="C30" s="12"/>
      <c r="D30" s="12"/>
      <c r="E30" s="407"/>
      <c r="F30" s="407"/>
      <c r="G30" s="63">
        <v>0.45</v>
      </c>
      <c r="H30" s="64">
        <f>XNPV(G30,U6:U10,Q6:Q10)</f>
        <v>153.73478238242342</v>
      </c>
      <c r="I30" s="63">
        <f>(H30/-I6)-1</f>
        <v>9.0894806854180388E-3</v>
      </c>
      <c r="J30" s="110"/>
      <c r="K30" s="112"/>
      <c r="L30" s="112"/>
      <c r="M30" s="110"/>
      <c r="N30" s="113"/>
      <c r="O30" s="110"/>
      <c r="P30" s="114"/>
      <c r="Q30" s="12"/>
      <c r="R30" s="12"/>
      <c r="W30" s="16">
        <v>0.11</v>
      </c>
      <c r="X30" s="49">
        <f>XNPV(W30,AA6:AA10,W6:W10)</f>
        <v>136.453041878958</v>
      </c>
      <c r="Y30" s="18">
        <f t="shared" si="4"/>
        <v>-0.10434498274395793</v>
      </c>
    </row>
    <row r="31" spans="2:25" x14ac:dyDescent="0.25">
      <c r="C31" s="12"/>
      <c r="D31" s="12"/>
      <c r="E31" s="12"/>
      <c r="F31" s="12"/>
      <c r="G31" s="12"/>
      <c r="H31" s="12"/>
      <c r="I31" s="12"/>
      <c r="J31" s="110"/>
      <c r="K31" s="113"/>
      <c r="L31" s="115"/>
      <c r="M31" s="110"/>
      <c r="N31" s="113"/>
      <c r="O31" s="110"/>
      <c r="P31" s="114"/>
      <c r="Q31" s="12"/>
      <c r="R31" s="12"/>
      <c r="W31" s="16">
        <v>0.1</v>
      </c>
      <c r="X31" s="49">
        <f>XNPV(W31,AA6:AA10,W6:W10)</f>
        <v>138.55880780382279</v>
      </c>
      <c r="Y31" s="18">
        <f t="shared" si="4"/>
        <v>-9.0523086289315435E-2</v>
      </c>
    </row>
    <row r="32" spans="2:25" x14ac:dyDescent="0.25">
      <c r="C32" s="12"/>
      <c r="D32" s="12"/>
      <c r="E32" s="12"/>
      <c r="F32" s="12"/>
      <c r="G32" s="12"/>
      <c r="H32" s="12"/>
      <c r="I32" s="12"/>
      <c r="J32" s="110"/>
      <c r="K32" s="114"/>
      <c r="L32" s="110"/>
      <c r="M32" s="110"/>
      <c r="N32" s="113"/>
      <c r="O32" s="110"/>
      <c r="P32" s="114"/>
      <c r="Q32" s="12"/>
      <c r="R32" s="12"/>
      <c r="W32" s="16">
        <v>0.09</v>
      </c>
      <c r="X32" s="49">
        <f>XNPV(W32,AA6:AA10,W6:W10)</f>
        <v>140.71705595051148</v>
      </c>
      <c r="Y32" s="18">
        <f t="shared" ref="Y32:Y38" si="5">(X32+$I$6)/(-$I$6)</f>
        <v>-7.6356705280528486E-2</v>
      </c>
    </row>
    <row r="33" spans="3:25" x14ac:dyDescent="0.25">
      <c r="C33" s="12"/>
      <c r="D33" s="12"/>
      <c r="E33" s="12"/>
      <c r="F33" s="12"/>
      <c r="G33" s="12"/>
      <c r="H33" s="12"/>
      <c r="I33" s="12"/>
      <c r="J33" s="110"/>
      <c r="K33" s="110"/>
      <c r="L33" s="110"/>
      <c r="M33" s="110"/>
      <c r="N33" s="113"/>
      <c r="O33" s="110"/>
      <c r="P33" s="114"/>
      <c r="Q33" s="12"/>
      <c r="R33" s="12"/>
      <c r="W33" s="16">
        <v>0.08</v>
      </c>
      <c r="X33" s="49">
        <f>XNPV(W33,AA6:AA10,W6:W10)</f>
        <v>142.92959524072694</v>
      </c>
      <c r="Y33" s="18">
        <f t="shared" si="5"/>
        <v>-6.1833966257125401E-2</v>
      </c>
    </row>
    <row r="34" spans="3:25" x14ac:dyDescent="0.25">
      <c r="C34" s="12"/>
      <c r="D34" s="12"/>
      <c r="E34" s="12"/>
      <c r="F34" s="12"/>
      <c r="G34" s="12"/>
      <c r="H34" s="12"/>
      <c r="I34" s="12"/>
      <c r="J34" s="110"/>
      <c r="K34" s="110"/>
      <c r="L34" s="110"/>
      <c r="M34" s="110"/>
      <c r="N34" s="113"/>
      <c r="O34" s="110"/>
      <c r="P34" s="114"/>
      <c r="Q34" s="12"/>
      <c r="R34" s="12"/>
      <c r="W34" s="16">
        <v>7.0000000000000007E-2</v>
      </c>
      <c r="X34" s="49">
        <f>XNPV(W34,AA6:AA10,W6:W10)</f>
        <v>145.19831450977389</v>
      </c>
      <c r="Y34" s="18">
        <f t="shared" si="5"/>
        <v>-4.694247121907516E-2</v>
      </c>
    </row>
    <row r="35" spans="3:25" x14ac:dyDescent="0.25">
      <c r="C35" s="12"/>
      <c r="D35" s="12"/>
      <c r="E35" s="12"/>
      <c r="F35" s="12"/>
      <c r="G35" s="12"/>
      <c r="H35" s="12"/>
      <c r="I35" s="12"/>
      <c r="J35" s="110"/>
      <c r="K35" s="110"/>
      <c r="L35" s="110"/>
      <c r="M35" s="110"/>
      <c r="N35" s="113"/>
      <c r="O35" s="110"/>
      <c r="P35" s="114"/>
      <c r="Q35" s="12"/>
      <c r="R35" s="12"/>
      <c r="W35" s="16">
        <v>0.06</v>
      </c>
      <c r="X35" s="49">
        <f>XNPV(W35,AA6:AA10,W6:W10)</f>
        <v>147.52518682724431</v>
      </c>
      <c r="Y35" s="18">
        <f t="shared" si="5"/>
        <v>-3.1669269266528931E-2</v>
      </c>
    </row>
    <row r="36" spans="3:25" x14ac:dyDescent="0.25">
      <c r="D36" s="12"/>
      <c r="E36" s="12"/>
      <c r="F36" s="12"/>
      <c r="G36" s="12"/>
      <c r="H36" s="12"/>
      <c r="I36" s="12"/>
      <c r="J36" s="110"/>
      <c r="K36" s="110"/>
      <c r="L36" s="110"/>
      <c r="M36" s="110"/>
      <c r="N36" s="110"/>
      <c r="O36" s="110"/>
      <c r="P36" s="110"/>
      <c r="Q36" s="12"/>
      <c r="R36" s="12"/>
      <c r="W36" s="16">
        <v>0.05</v>
      </c>
      <c r="X36" s="49">
        <f>XNPV(W36,AA6:AA10,W6:W10)</f>
        <v>149.91227409484583</v>
      </c>
      <c r="Y36" s="18">
        <f t="shared" si="5"/>
        <v>-1.6000826420440876E-2</v>
      </c>
    </row>
    <row r="37" spans="3:25" x14ac:dyDescent="0.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0"/>
      <c r="O37" s="110"/>
      <c r="P37" s="110"/>
      <c r="Q37" s="12"/>
      <c r="R37" s="12"/>
      <c r="W37" s="16">
        <v>0.04</v>
      </c>
      <c r="X37" s="49">
        <f>XNPV(W37,AA6:AA10,W6:W10)</f>
        <v>152.3617319419956</v>
      </c>
      <c r="Y37" s="18">
        <f t="shared" si="5"/>
        <v>7.7006511293771726E-5</v>
      </c>
    </row>
    <row r="38" spans="3:25" x14ac:dyDescent="0.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0"/>
      <c r="O38" s="110"/>
      <c r="P38" s="110"/>
      <c r="Q38" s="12"/>
      <c r="R38" s="12"/>
      <c r="W38" s="16">
        <v>3.5000000000000003E-2</v>
      </c>
      <c r="X38" s="49">
        <f>XNPV(W38,AA6:AA10,W6:W10)</f>
        <v>153.61055037237338</v>
      </c>
      <c r="Y38" s="18">
        <f t="shared" si="5"/>
        <v>8.274042483579833E-3</v>
      </c>
    </row>
    <row r="39" spans="3:25" x14ac:dyDescent="0.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0"/>
      <c r="O39" s="110"/>
      <c r="P39" s="110"/>
      <c r="Q39" s="12"/>
      <c r="R39" s="12"/>
      <c r="W39" s="16">
        <v>0.03</v>
      </c>
      <c r="X39" s="49">
        <f>XNPV(W39,AA6:AA10,W6:W10)</f>
        <v>154.87581494155387</v>
      </c>
      <c r="Y39" s="18">
        <f>(X39+$I$6)/(-$I$6)</f>
        <v>1.6579028169044146E-2</v>
      </c>
    </row>
    <row r="40" spans="3:25" x14ac:dyDescent="0.25">
      <c r="J40" s="51"/>
      <c r="K40" s="51"/>
      <c r="L40" s="51"/>
      <c r="M40" s="51"/>
      <c r="N40" s="51"/>
      <c r="O40" s="51"/>
      <c r="P40" s="51"/>
      <c r="W40" s="16">
        <v>0.02</v>
      </c>
      <c r="X40" s="49">
        <f>XNPV(W40,AA6:AA10,W6:W10)</f>
        <v>157.45688216998795</v>
      </c>
      <c r="Y40" s="18">
        <f>(X40+$I$6)/(-$I$6)</f>
        <v>3.3520723137433248E-2</v>
      </c>
    </row>
    <row r="41" spans="3:25" x14ac:dyDescent="0.25">
      <c r="J41" s="51"/>
      <c r="K41" s="51"/>
      <c r="L41" s="51"/>
      <c r="M41" s="51"/>
      <c r="N41" s="51"/>
      <c r="O41" s="51"/>
      <c r="P41" s="51"/>
    </row>
  </sheetData>
  <mergeCells count="11">
    <mergeCell ref="E28:F30"/>
    <mergeCell ref="AC4:AG4"/>
    <mergeCell ref="K27:P27"/>
    <mergeCell ref="W23:Y23"/>
    <mergeCell ref="W24:Y24"/>
    <mergeCell ref="B2:I2"/>
    <mergeCell ref="B4:C4"/>
    <mergeCell ref="E4:I4"/>
    <mergeCell ref="K4:O4"/>
    <mergeCell ref="W4:AA4"/>
    <mergeCell ref="Q4:U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4E1-59AC-4962-BD0B-99EA92AA13FE}">
  <dimension ref="B2:U41"/>
  <sheetViews>
    <sheetView showGridLines="0" zoomScale="90" zoomScaleNormal="90" workbookViewId="0">
      <selection activeCell="G7" sqref="G7"/>
    </sheetView>
  </sheetViews>
  <sheetFormatPr baseColWidth="10" defaultRowHeight="15" x14ac:dyDescent="0.2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21" ht="15.75" x14ac:dyDescent="0.25">
      <c r="B2" s="413" t="s">
        <v>178</v>
      </c>
      <c r="C2" s="413"/>
      <c r="D2" s="413"/>
      <c r="E2" s="413"/>
      <c r="F2" s="413"/>
      <c r="G2" s="413"/>
      <c r="H2" s="413"/>
      <c r="I2" s="413"/>
      <c r="K2" s="6" t="s">
        <v>60</v>
      </c>
    </row>
    <row r="3" spans="2:21" x14ac:dyDescent="0.25">
      <c r="B3" s="12"/>
      <c r="C3" s="12"/>
      <c r="D3" s="12"/>
      <c r="E3" s="12"/>
      <c r="F3" s="12"/>
      <c r="G3" s="12"/>
      <c r="H3" s="12"/>
      <c r="I3" s="12"/>
    </row>
    <row r="4" spans="2:21" x14ac:dyDescent="0.25">
      <c r="B4" s="373" t="s">
        <v>34</v>
      </c>
      <c r="C4" s="374"/>
      <c r="D4" s="12"/>
      <c r="E4" s="375" t="s">
        <v>177</v>
      </c>
      <c r="F4" s="375"/>
      <c r="G4" s="375"/>
      <c r="H4" s="375"/>
      <c r="I4" s="375"/>
      <c r="K4" s="375" t="s">
        <v>180</v>
      </c>
      <c r="L4" s="375"/>
      <c r="M4" s="375"/>
      <c r="N4" s="375"/>
      <c r="O4" s="375"/>
      <c r="Q4" s="375" t="s">
        <v>180</v>
      </c>
      <c r="R4" s="375"/>
      <c r="S4" s="375"/>
      <c r="T4" s="375"/>
      <c r="U4" s="375"/>
    </row>
    <row r="5" spans="2:21" x14ac:dyDescent="0.25">
      <c r="B5" s="24" t="s">
        <v>0</v>
      </c>
      <c r="C5" s="33">
        <v>44056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</row>
    <row r="6" spans="2:21" x14ac:dyDescent="0.25">
      <c r="B6" s="24" t="s">
        <v>1</v>
      </c>
      <c r="C6" s="33">
        <v>45151</v>
      </c>
      <c r="D6" s="12"/>
      <c r="E6" s="15">
        <f>'Planilla de datos'!D3</f>
        <v>44384</v>
      </c>
      <c r="F6" s="12">
        <v>100</v>
      </c>
      <c r="G6" s="30"/>
      <c r="H6" s="12"/>
      <c r="I6" s="14">
        <f>-'Planilla de datos'!C21</f>
        <v>-137</v>
      </c>
      <c r="K6" s="15">
        <f t="shared" ref="K6:K11" si="0">E6</f>
        <v>44384</v>
      </c>
      <c r="L6" s="267">
        <v>100</v>
      </c>
      <c r="M6" s="160"/>
      <c r="N6" s="12"/>
      <c r="O6" s="14">
        <f>I6</f>
        <v>-137</v>
      </c>
      <c r="Q6" s="15">
        <f t="shared" ref="Q6:T11" si="1">+K6</f>
        <v>44384</v>
      </c>
      <c r="R6" s="267">
        <f t="shared" si="1"/>
        <v>100</v>
      </c>
      <c r="S6" s="160">
        <f t="shared" si="1"/>
        <v>0</v>
      </c>
      <c r="T6" s="14">
        <f t="shared" si="1"/>
        <v>0</v>
      </c>
      <c r="U6" s="14">
        <v>0</v>
      </c>
    </row>
    <row r="7" spans="2:21" x14ac:dyDescent="0.25">
      <c r="B7" s="24" t="s">
        <v>2</v>
      </c>
      <c r="C7" s="34">
        <v>22.211099999999998</v>
      </c>
      <c r="D7" s="12"/>
      <c r="E7" s="15">
        <v>44421</v>
      </c>
      <c r="F7" s="12">
        <v>100</v>
      </c>
      <c r="G7" s="14">
        <f>$C$11*$C$10*(180/360)</f>
        <v>1.0419082125603865</v>
      </c>
      <c r="H7" s="14"/>
      <c r="I7" s="14">
        <f>SUM(G7:H7)</f>
        <v>1.0419082125603865</v>
      </c>
      <c r="K7" s="15">
        <f t="shared" si="0"/>
        <v>44421</v>
      </c>
      <c r="L7" s="267">
        <v>100</v>
      </c>
      <c r="M7" s="160">
        <f>O20*($C$10/360*180)</f>
        <v>1.0823834287968719</v>
      </c>
      <c r="N7" s="14"/>
      <c r="O7" s="14">
        <f>SUM(M7:N7)</f>
        <v>1.0823834287968719</v>
      </c>
      <c r="Q7" s="15">
        <f t="shared" si="1"/>
        <v>44421</v>
      </c>
      <c r="R7" s="267">
        <f t="shared" si="1"/>
        <v>100</v>
      </c>
      <c r="S7" s="160">
        <f t="shared" si="1"/>
        <v>1.0823834287968719</v>
      </c>
      <c r="T7" s="14">
        <f t="shared" si="1"/>
        <v>0</v>
      </c>
      <c r="U7" s="14">
        <f>+O7</f>
        <v>1.0823834287968719</v>
      </c>
    </row>
    <row r="8" spans="2:21" x14ac:dyDescent="0.25">
      <c r="B8" s="24" t="s">
        <v>98</v>
      </c>
      <c r="C8" s="34">
        <f>'Planilla de datos'!D64</f>
        <v>31.919899999999998</v>
      </c>
      <c r="D8" s="12"/>
      <c r="E8" s="15">
        <v>44606</v>
      </c>
      <c r="F8" s="12">
        <v>100</v>
      </c>
      <c r="G8" s="14">
        <f>$C$11*$C$10*(180/360)</f>
        <v>1.0419082125603865</v>
      </c>
      <c r="H8" s="12"/>
      <c r="I8" s="14">
        <f>SUM(G8:H8)</f>
        <v>1.0419082125603865</v>
      </c>
      <c r="K8" s="15">
        <f t="shared" si="0"/>
        <v>44606</v>
      </c>
      <c r="L8" s="267">
        <v>100</v>
      </c>
      <c r="M8" s="160">
        <f>O21*($C$10/360*180)</f>
        <v>1.2833989463778781</v>
      </c>
      <c r="N8" s="14"/>
      <c r="O8" s="14">
        <f>SUM(M8:N8)</f>
        <v>1.2833989463778781</v>
      </c>
      <c r="Q8" s="15">
        <f t="shared" si="1"/>
        <v>44606</v>
      </c>
      <c r="R8" s="267">
        <f t="shared" si="1"/>
        <v>100</v>
      </c>
      <c r="S8" s="160">
        <f t="shared" si="1"/>
        <v>1.2833989463778781</v>
      </c>
      <c r="T8" s="14">
        <f t="shared" si="1"/>
        <v>0</v>
      </c>
      <c r="U8" s="14">
        <f>+O8</f>
        <v>1.2833989463778781</v>
      </c>
    </row>
    <row r="9" spans="2:21" x14ac:dyDescent="0.25">
      <c r="B9" s="24" t="s">
        <v>4</v>
      </c>
      <c r="C9" s="34">
        <f>((C8-C7)/C7)+1</f>
        <v>1.4371147759453606</v>
      </c>
      <c r="D9" s="12"/>
      <c r="E9" s="15">
        <v>44788</v>
      </c>
      <c r="F9" s="12">
        <v>100</v>
      </c>
      <c r="G9" s="14">
        <f>$C$11*$C$10*(180/360)</f>
        <v>1.0419082125603865</v>
      </c>
      <c r="H9" s="12"/>
      <c r="I9" s="14">
        <f>SUM(G9:H9)</f>
        <v>1.0419082125603865</v>
      </c>
      <c r="K9" s="15">
        <f t="shared" si="0"/>
        <v>44788</v>
      </c>
      <c r="L9" s="267">
        <v>100</v>
      </c>
      <c r="M9" s="160">
        <f>O22*($C$10/360*180)</f>
        <v>1.5167935388510447</v>
      </c>
      <c r="N9" s="12"/>
      <c r="O9" s="14">
        <f>SUM(M9:N9)</f>
        <v>1.5167935388510447</v>
      </c>
      <c r="Q9" s="15">
        <f t="shared" si="1"/>
        <v>44788</v>
      </c>
      <c r="R9" s="267">
        <f t="shared" si="1"/>
        <v>100</v>
      </c>
      <c r="S9" s="160">
        <f t="shared" si="1"/>
        <v>1.5167935388510447</v>
      </c>
      <c r="T9" s="14">
        <f t="shared" si="1"/>
        <v>0</v>
      </c>
      <c r="U9" s="14">
        <f>+O9</f>
        <v>1.5167935388510447</v>
      </c>
    </row>
    <row r="10" spans="2:21" x14ac:dyDescent="0.25">
      <c r="B10" s="24" t="s">
        <v>5</v>
      </c>
      <c r="C10" s="35">
        <v>1.4500000000000001E-2</v>
      </c>
      <c r="D10" s="12"/>
      <c r="E10" s="15">
        <v>44970</v>
      </c>
      <c r="F10" s="12">
        <v>100</v>
      </c>
      <c r="G10" s="14">
        <f>$C$11*$C$10*(180/360)</f>
        <v>1.0419082125603865</v>
      </c>
      <c r="H10" s="14"/>
      <c r="I10" s="14">
        <f>SUM(G10:H10)</f>
        <v>1.0419082125603865</v>
      </c>
      <c r="K10" s="15">
        <f t="shared" si="0"/>
        <v>44970</v>
      </c>
      <c r="L10" s="267">
        <v>100</v>
      </c>
      <c r="M10" s="160">
        <f>O23*($C$10/360*180)</f>
        <v>1.7927528009576401</v>
      </c>
      <c r="N10" s="4"/>
      <c r="O10" s="14">
        <f>SUM(M10:N10)</f>
        <v>1.7927528009576401</v>
      </c>
      <c r="Q10" s="15">
        <f t="shared" si="1"/>
        <v>44970</v>
      </c>
      <c r="R10" s="267">
        <f t="shared" si="1"/>
        <v>100</v>
      </c>
      <c r="S10" s="160">
        <f t="shared" si="1"/>
        <v>1.7927528009576401</v>
      </c>
      <c r="T10" s="14">
        <f t="shared" si="1"/>
        <v>0</v>
      </c>
      <c r="U10" s="14">
        <f>+O10</f>
        <v>1.7927528009576401</v>
      </c>
    </row>
    <row r="11" spans="2:21" x14ac:dyDescent="0.25">
      <c r="B11" s="24" t="s">
        <v>16</v>
      </c>
      <c r="C11" s="88">
        <f>C9*F6</f>
        <v>143.71147759453606</v>
      </c>
      <c r="D11" s="12"/>
      <c r="E11" s="15">
        <v>45152</v>
      </c>
      <c r="F11" s="12">
        <f>+F10</f>
        <v>100</v>
      </c>
      <c r="G11" s="14">
        <f>$C$11*$C$10*(180/360)</f>
        <v>1.0419082125603865</v>
      </c>
      <c r="H11" s="14">
        <f>+C11</f>
        <v>143.71147759453606</v>
      </c>
      <c r="I11" s="14">
        <f>SUM(G11:H11)</f>
        <v>144.75338580709644</v>
      </c>
      <c r="K11" s="15">
        <f t="shared" si="0"/>
        <v>45152</v>
      </c>
      <c r="L11" s="267">
        <v>100</v>
      </c>
      <c r="M11" s="160">
        <f>O24*($C$10/360*180)</f>
        <v>2.1148615945046405</v>
      </c>
      <c r="N11" s="14">
        <f>+O24</f>
        <v>291.70504751788144</v>
      </c>
      <c r="O11" s="14">
        <f>SUM(M11:N11)</f>
        <v>293.81990911238609</v>
      </c>
      <c r="Q11" s="15">
        <f t="shared" si="1"/>
        <v>45152</v>
      </c>
      <c r="R11" s="267">
        <f t="shared" si="1"/>
        <v>100</v>
      </c>
      <c r="S11" s="160">
        <f t="shared" si="1"/>
        <v>2.1148615945046405</v>
      </c>
      <c r="T11" s="14">
        <f t="shared" si="1"/>
        <v>291.70504751788144</v>
      </c>
      <c r="U11" s="14">
        <f>+O11</f>
        <v>293.81990911238609</v>
      </c>
    </row>
    <row r="12" spans="2:21" x14ac:dyDescent="0.25">
      <c r="B12" s="167" t="s">
        <v>27</v>
      </c>
      <c r="C12" s="168">
        <v>44099</v>
      </c>
      <c r="D12" s="12"/>
    </row>
    <row r="13" spans="2:21" x14ac:dyDescent="0.25">
      <c r="B13" s="12"/>
      <c r="C13" s="12"/>
      <c r="D13" s="12"/>
      <c r="E13" s="12"/>
      <c r="F13" s="12"/>
      <c r="H13" s="92" t="s">
        <v>13</v>
      </c>
      <c r="I13" s="86">
        <f>XIRR(I6:I11,E6:E11,0)</f>
        <v>4.11685205078125E-2</v>
      </c>
      <c r="K13" s="12"/>
      <c r="L13" s="12"/>
      <c r="M13" s="12"/>
      <c r="N13" s="92" t="s">
        <v>10</v>
      </c>
      <c r="O13" s="86">
        <f>XIRR(O6:O11,K6:K11,0)</f>
        <v>0.4576792919921876</v>
      </c>
    </row>
    <row r="14" spans="2:21" x14ac:dyDescent="0.25">
      <c r="B14" s="12"/>
      <c r="C14" s="12"/>
      <c r="D14" s="12"/>
      <c r="E14" s="12"/>
      <c r="F14" s="12"/>
      <c r="H14" s="92" t="s">
        <v>29</v>
      </c>
      <c r="I14" s="71">
        <f>MDURATION(E6,E11,C10,I13,2)</f>
        <v>2.0239757381520938</v>
      </c>
      <c r="K14" s="12"/>
      <c r="L14" s="12"/>
      <c r="M14" s="12"/>
      <c r="N14" s="92" t="s">
        <v>64</v>
      </c>
      <c r="O14" s="71">
        <f>MDURATION(K6,K11,C10,O13,2)</f>
        <v>1.6583446230787371</v>
      </c>
    </row>
    <row r="15" spans="2:21" x14ac:dyDescent="0.25">
      <c r="B15" s="12"/>
      <c r="C15" s="12"/>
      <c r="D15" s="12"/>
    </row>
    <row r="16" spans="2:21" x14ac:dyDescent="0.25">
      <c r="B16" s="12"/>
      <c r="C16" s="12"/>
      <c r="D16" s="12"/>
      <c r="E16" s="12"/>
      <c r="F16" s="12"/>
      <c r="G16" s="41"/>
      <c r="H16" s="41"/>
      <c r="I16" s="42"/>
      <c r="K16" s="12"/>
      <c r="L16" s="12"/>
      <c r="M16" s="12"/>
      <c r="N16" s="12"/>
      <c r="O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K17" s="21"/>
      <c r="L17" s="21"/>
      <c r="M17" s="21"/>
      <c r="N17" s="21"/>
      <c r="O17" s="21"/>
      <c r="P17" s="21"/>
    </row>
    <row r="19" spans="2:16" ht="28.5" x14ac:dyDescent="0.25">
      <c r="D19" s="12"/>
      <c r="J19" s="12"/>
      <c r="K19" s="45" t="s">
        <v>6</v>
      </c>
      <c r="L19" s="45" t="s">
        <v>58</v>
      </c>
      <c r="M19" s="45" t="s">
        <v>24</v>
      </c>
      <c r="N19" s="45" t="s">
        <v>4</v>
      </c>
      <c r="O19" s="45" t="s">
        <v>59</v>
      </c>
      <c r="P19" s="12"/>
    </row>
    <row r="20" spans="2:16" ht="15" customHeight="1" x14ac:dyDescent="0.25">
      <c r="B20" s="3"/>
      <c r="D20" s="12"/>
      <c r="J20" s="12"/>
      <c r="K20" s="15">
        <f>K7</f>
        <v>44421</v>
      </c>
      <c r="L20" s="15">
        <v>44407</v>
      </c>
      <c r="M20" s="46">
        <f>+'Serie CER'!H215</f>
        <v>33.159898724620959</v>
      </c>
      <c r="N20" s="47">
        <f>(M20/$C$7)</f>
        <v>1.4929426604094782</v>
      </c>
      <c r="O20" s="14">
        <f>100*N20</f>
        <v>149.29426604094783</v>
      </c>
      <c r="P20" s="12"/>
    </row>
    <row r="21" spans="2:16" x14ac:dyDescent="0.25">
      <c r="D21" s="12"/>
      <c r="J21" s="12"/>
      <c r="K21" s="15">
        <f>K8</f>
        <v>44606</v>
      </c>
      <c r="L21" s="15">
        <v>44592</v>
      </c>
      <c r="M21" s="46">
        <f>+'Serie CER'!K35</f>
        <v>39.318210121232667</v>
      </c>
      <c r="N21" s="47">
        <f>(M21/$C$7)</f>
        <v>1.7702054432798318</v>
      </c>
      <c r="O21" s="14">
        <f>100*N21</f>
        <v>177.02054432798317</v>
      </c>
      <c r="P21" s="12"/>
    </row>
    <row r="22" spans="2:16" x14ac:dyDescent="0.25">
      <c r="D22" s="12"/>
      <c r="E22" s="12"/>
      <c r="F22" s="12"/>
      <c r="G22" s="12"/>
      <c r="H22" s="12"/>
      <c r="I22" s="12"/>
      <c r="J22" s="12"/>
      <c r="K22" s="15">
        <f>K9</f>
        <v>44788</v>
      </c>
      <c r="L22" s="15">
        <v>44774</v>
      </c>
      <c r="M22" s="46">
        <f>+'Serie CER'!K217</f>
        <v>46.468486856240602</v>
      </c>
      <c r="N22" s="47">
        <f>(M22/$C$7)</f>
        <v>2.0921290191048891</v>
      </c>
      <c r="O22" s="14">
        <f>100*N22</f>
        <v>209.21290191048891</v>
      </c>
      <c r="P22" s="12"/>
    </row>
    <row r="23" spans="2:16" x14ac:dyDescent="0.25">
      <c r="D23" s="12"/>
      <c r="E23" s="12"/>
      <c r="F23" s="12"/>
      <c r="G23" s="12"/>
      <c r="H23" s="12"/>
      <c r="I23" s="12"/>
      <c r="J23" s="12"/>
      <c r="K23" s="15">
        <f>K10</f>
        <v>44970</v>
      </c>
      <c r="L23" s="15">
        <v>44591</v>
      </c>
      <c r="M23" s="46">
        <f>+'Serie CER'!N34</f>
        <v>54.922774810138257</v>
      </c>
      <c r="N23" s="47">
        <f>(M23/$C$7)</f>
        <v>2.4727624840795035</v>
      </c>
      <c r="O23" s="14">
        <f>100*N23</f>
        <v>247.27624840795036</v>
      </c>
      <c r="P23" s="12"/>
    </row>
    <row r="24" spans="2:16" x14ac:dyDescent="0.25">
      <c r="D24" s="12"/>
      <c r="E24" s="12"/>
      <c r="F24" s="12"/>
      <c r="G24" s="12"/>
      <c r="H24" s="12"/>
      <c r="I24" s="12"/>
      <c r="J24" s="12"/>
      <c r="K24" s="15">
        <f>K11</f>
        <v>45152</v>
      </c>
      <c r="L24" s="15">
        <v>45138</v>
      </c>
      <c r="M24" s="46">
        <f>+'Serie CER'!N216</f>
        <v>64.790899809244166</v>
      </c>
      <c r="N24" s="47">
        <f>(M24/$C$7)</f>
        <v>2.9170504751788147</v>
      </c>
      <c r="O24" s="14">
        <f>100*N24</f>
        <v>291.70504751788144</v>
      </c>
      <c r="P24" s="12"/>
    </row>
    <row r="25" spans="2:16" x14ac:dyDescent="0.25">
      <c r="D25" s="12"/>
      <c r="E25" s="12"/>
      <c r="F25" s="12"/>
      <c r="G25" s="12"/>
      <c r="H25" s="12"/>
      <c r="I25" s="12"/>
      <c r="J25" s="12"/>
      <c r="P25" s="12"/>
    </row>
    <row r="26" spans="2:16" x14ac:dyDescent="0.25">
      <c r="C26" s="12"/>
      <c r="D26" s="12"/>
      <c r="E26" s="12"/>
      <c r="F26" s="12"/>
      <c r="G26" s="12"/>
      <c r="H26" s="12"/>
      <c r="I26" s="12"/>
      <c r="J26" s="12"/>
      <c r="K26" s="15"/>
      <c r="L26" s="12"/>
      <c r="M26" s="12"/>
      <c r="N26" s="12"/>
      <c r="O26" s="12"/>
      <c r="P26" s="12"/>
    </row>
    <row r="27" spans="2:16" x14ac:dyDescent="0.25">
      <c r="C27" s="12"/>
      <c r="D27" s="12"/>
      <c r="E27" s="12"/>
      <c r="F27" s="12"/>
      <c r="G27" s="12"/>
      <c r="H27" s="12"/>
      <c r="I27" s="12"/>
      <c r="J27" s="110"/>
      <c r="K27" s="412"/>
      <c r="L27" s="412"/>
      <c r="M27" s="412"/>
      <c r="N27" s="412"/>
      <c r="O27" s="412"/>
      <c r="P27" s="412"/>
    </row>
    <row r="28" spans="2:16" x14ac:dyDescent="0.25">
      <c r="C28" s="12"/>
      <c r="D28" s="12"/>
      <c r="E28" s="405" t="s">
        <v>18</v>
      </c>
      <c r="F28" s="405"/>
      <c r="G28" s="61">
        <v>0.35</v>
      </c>
      <c r="H28" s="62">
        <f>XNPV(G28,U6:U11,Q6:Q11)</f>
        <v>160.5735136360706</v>
      </c>
      <c r="I28" s="61">
        <f>(H28/-$I$6)-1</f>
        <v>0.17206944259905543</v>
      </c>
      <c r="J28" s="110"/>
      <c r="K28" s="110"/>
      <c r="L28" s="110"/>
      <c r="M28" s="110"/>
      <c r="N28" s="110"/>
      <c r="O28" s="110"/>
      <c r="P28" s="110"/>
    </row>
    <row r="29" spans="2:16" x14ac:dyDescent="0.25">
      <c r="C29" s="12"/>
      <c r="D29" s="12"/>
      <c r="E29" s="406"/>
      <c r="F29" s="406"/>
      <c r="G29" s="18">
        <v>0.4</v>
      </c>
      <c r="H29" s="49">
        <f>XNPV(G29,U6:U11,Q6:Q11)</f>
        <v>148.92940179285563</v>
      </c>
      <c r="I29" s="18">
        <f>(H29/-$I$6)-1</f>
        <v>8.7075925495296636E-2</v>
      </c>
      <c r="J29" s="110"/>
      <c r="K29" s="266"/>
      <c r="L29" s="266"/>
      <c r="M29" s="110"/>
      <c r="N29" s="266"/>
      <c r="O29" s="266"/>
      <c r="P29" s="266"/>
    </row>
    <row r="30" spans="2:16" x14ac:dyDescent="0.25">
      <c r="C30" s="12"/>
      <c r="D30" s="12"/>
      <c r="E30" s="407"/>
      <c r="F30" s="407"/>
      <c r="G30" s="63">
        <v>0.45</v>
      </c>
      <c r="H30" s="64">
        <f>XNPV(G30,U6:U11,Q6:Q11)</f>
        <v>138.5040029016327</v>
      </c>
      <c r="I30" s="63">
        <f>(H30/-I6)-1</f>
        <v>1.0978123369581816E-2</v>
      </c>
      <c r="J30" s="110"/>
      <c r="K30" s="112"/>
      <c r="L30" s="112"/>
      <c r="M30" s="110"/>
      <c r="N30" s="113"/>
      <c r="O30" s="110"/>
      <c r="P30" s="114"/>
    </row>
    <row r="31" spans="2:16" x14ac:dyDescent="0.25">
      <c r="C31" s="12"/>
      <c r="D31" s="12"/>
      <c r="E31" s="12"/>
      <c r="F31" s="12"/>
      <c r="G31" s="12"/>
      <c r="H31" s="12"/>
      <c r="I31" s="12"/>
      <c r="J31" s="110"/>
      <c r="K31" s="113"/>
      <c r="L31" s="115"/>
      <c r="M31" s="110"/>
      <c r="N31" s="113"/>
      <c r="O31" s="110"/>
      <c r="P31" s="114"/>
    </row>
    <row r="32" spans="2:16" x14ac:dyDescent="0.25">
      <c r="C32" s="12"/>
      <c r="D32" s="12"/>
      <c r="E32" s="12"/>
      <c r="F32" s="12"/>
      <c r="G32" s="12"/>
      <c r="H32" s="12"/>
      <c r="I32" s="12"/>
      <c r="J32" s="110"/>
      <c r="K32" s="114"/>
      <c r="L32" s="110">
        <f>O8/100</f>
        <v>1.2833989463778782E-2</v>
      </c>
      <c r="M32" s="110"/>
      <c r="N32" s="113"/>
      <c r="O32" s="110"/>
      <c r="P32" s="114"/>
    </row>
    <row r="33" spans="3:16" x14ac:dyDescent="0.25">
      <c r="C33" s="12"/>
      <c r="D33" s="12"/>
      <c r="E33" s="12"/>
      <c r="F33" s="12"/>
      <c r="G33" s="12"/>
      <c r="H33" s="12"/>
      <c r="I33" s="12"/>
      <c r="J33" s="110"/>
      <c r="K33" s="110"/>
      <c r="L33" s="110"/>
      <c r="M33" s="110"/>
      <c r="N33" s="113"/>
      <c r="O33" s="110"/>
      <c r="P33" s="114"/>
    </row>
    <row r="34" spans="3:16" x14ac:dyDescent="0.25">
      <c r="C34" s="12"/>
      <c r="D34" s="12"/>
      <c r="E34" s="12"/>
      <c r="F34" s="12"/>
      <c r="G34" s="12"/>
      <c r="H34" s="12"/>
      <c r="I34" s="12"/>
      <c r="J34" s="110"/>
      <c r="K34" s="110"/>
      <c r="L34" s="110"/>
      <c r="M34" s="110"/>
      <c r="N34" s="113"/>
      <c r="O34" s="110"/>
      <c r="P34" s="114"/>
    </row>
    <row r="35" spans="3:16" x14ac:dyDescent="0.25">
      <c r="C35" s="12"/>
      <c r="D35" s="12"/>
      <c r="E35" s="12"/>
      <c r="F35" s="12"/>
      <c r="G35" s="12"/>
      <c r="H35" s="12"/>
      <c r="I35" s="12"/>
      <c r="J35" s="110"/>
      <c r="K35" s="110"/>
      <c r="L35" s="110"/>
      <c r="M35" s="110"/>
      <c r="N35" s="113"/>
      <c r="O35" s="110"/>
      <c r="P35" s="114"/>
    </row>
    <row r="36" spans="3:16" x14ac:dyDescent="0.25">
      <c r="D36" s="12"/>
      <c r="E36" s="12"/>
      <c r="F36" s="12"/>
      <c r="G36" s="12"/>
      <c r="H36" s="12"/>
      <c r="I36" s="12"/>
      <c r="J36" s="110"/>
      <c r="K36" s="110"/>
      <c r="L36" s="110"/>
      <c r="M36" s="110"/>
      <c r="N36" s="110"/>
      <c r="O36" s="110"/>
      <c r="P36" s="110"/>
    </row>
    <row r="37" spans="3:16" x14ac:dyDescent="0.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0"/>
      <c r="O37" s="110"/>
      <c r="P37" s="110"/>
    </row>
    <row r="38" spans="3:16" x14ac:dyDescent="0.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0"/>
      <c r="O38" s="110"/>
      <c r="P38" s="110"/>
    </row>
    <row r="39" spans="3:16" x14ac:dyDescent="0.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0"/>
      <c r="O39" s="110"/>
      <c r="P39" s="110"/>
    </row>
    <row r="40" spans="3:16" x14ac:dyDescent="0.25">
      <c r="J40" s="51"/>
      <c r="K40" s="51"/>
      <c r="L40" s="51"/>
      <c r="M40" s="51"/>
      <c r="N40" s="51"/>
      <c r="O40" s="51"/>
      <c r="P40" s="51"/>
    </row>
    <row r="41" spans="3:16" x14ac:dyDescent="0.25">
      <c r="J41" s="51"/>
      <c r="K41" s="51"/>
      <c r="L41" s="51"/>
      <c r="M41" s="51"/>
      <c r="N41" s="51"/>
      <c r="O41" s="51"/>
      <c r="P41" s="51"/>
    </row>
  </sheetData>
  <mergeCells count="7">
    <mergeCell ref="Q4:U4"/>
    <mergeCell ref="K27:P27"/>
    <mergeCell ref="E28:F30"/>
    <mergeCell ref="B2:I2"/>
    <mergeCell ref="B4:C4"/>
    <mergeCell ref="E4:I4"/>
    <mergeCell ref="K4:O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G44"/>
  <sheetViews>
    <sheetView showGridLines="0" zoomScale="90" zoomScaleNormal="90" workbookViewId="0">
      <selection activeCell="H12" sqref="H12"/>
    </sheetView>
  </sheetViews>
  <sheetFormatPr baseColWidth="10" defaultRowHeight="15" x14ac:dyDescent="0.2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33" ht="15.75" x14ac:dyDescent="0.25">
      <c r="B2" s="413" t="s">
        <v>100</v>
      </c>
      <c r="C2" s="413"/>
      <c r="D2" s="413"/>
      <c r="E2" s="413"/>
      <c r="F2" s="413"/>
      <c r="G2" s="413"/>
      <c r="H2" s="413"/>
      <c r="I2" s="413"/>
      <c r="K2" s="6" t="s">
        <v>60</v>
      </c>
    </row>
    <row r="3" spans="2:33" x14ac:dyDescent="0.25">
      <c r="B3" s="12"/>
      <c r="C3" s="12"/>
      <c r="D3" s="12"/>
      <c r="E3" s="12"/>
      <c r="F3" s="12"/>
      <c r="G3" s="12"/>
      <c r="H3" s="12"/>
      <c r="I3" s="12"/>
    </row>
    <row r="4" spans="2:33" x14ac:dyDescent="0.25">
      <c r="B4" s="373" t="s">
        <v>34</v>
      </c>
      <c r="C4" s="374"/>
      <c r="D4" s="12"/>
      <c r="E4" s="375" t="s">
        <v>109</v>
      </c>
      <c r="F4" s="375"/>
      <c r="G4" s="375"/>
      <c r="H4" s="375"/>
      <c r="I4" s="375"/>
      <c r="K4" s="375" t="s">
        <v>110</v>
      </c>
      <c r="L4" s="375"/>
      <c r="M4" s="375"/>
      <c r="N4" s="375"/>
      <c r="O4" s="375"/>
      <c r="Q4" s="375" t="s">
        <v>110</v>
      </c>
      <c r="R4" s="375"/>
      <c r="S4" s="375"/>
      <c r="T4" s="375"/>
      <c r="U4" s="375"/>
      <c r="W4" s="375" t="s">
        <v>109</v>
      </c>
      <c r="X4" s="375"/>
      <c r="Y4" s="375"/>
      <c r="Z4" s="375"/>
      <c r="AA4" s="375"/>
      <c r="AC4" s="375" t="s">
        <v>109</v>
      </c>
      <c r="AD4" s="375"/>
      <c r="AE4" s="375"/>
      <c r="AF4" s="375"/>
      <c r="AG4" s="375"/>
    </row>
    <row r="5" spans="2:33" x14ac:dyDescent="0.25">
      <c r="B5" s="24" t="s">
        <v>0</v>
      </c>
      <c r="C5" s="33">
        <v>43915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2:33" x14ac:dyDescent="0.25">
      <c r="B6" s="24" t="s">
        <v>1</v>
      </c>
      <c r="C6" s="33">
        <v>45376</v>
      </c>
      <c r="D6" s="12"/>
      <c r="E6" s="15">
        <f>'Planilla de datos'!D3</f>
        <v>44384</v>
      </c>
      <c r="F6" s="12">
        <v>100</v>
      </c>
      <c r="G6" s="30"/>
      <c r="H6" s="12"/>
      <c r="I6" s="14">
        <f>-'Planilla de datos'!C22</f>
        <v>-143.6</v>
      </c>
      <c r="K6" s="15">
        <f>E6</f>
        <v>44384</v>
      </c>
      <c r="L6" s="12">
        <v>100</v>
      </c>
      <c r="M6" s="30"/>
      <c r="N6" s="12"/>
      <c r="O6" s="14">
        <f>I6</f>
        <v>-143.6</v>
      </c>
      <c r="Q6" s="15">
        <f>+K6</f>
        <v>44384</v>
      </c>
      <c r="R6" s="12">
        <v>100</v>
      </c>
      <c r="S6" s="30"/>
      <c r="T6" s="12"/>
      <c r="U6" s="14">
        <v>0</v>
      </c>
      <c r="W6" s="15">
        <f>+E6</f>
        <v>44384</v>
      </c>
      <c r="X6" s="12">
        <f>+F6</f>
        <v>100</v>
      </c>
      <c r="Y6" s="30"/>
      <c r="Z6" s="12"/>
      <c r="AA6" s="14">
        <v>0</v>
      </c>
      <c r="AC6" s="15">
        <f>+W6</f>
        <v>44384</v>
      </c>
      <c r="AD6" s="12">
        <f>+X6</f>
        <v>100</v>
      </c>
      <c r="AE6" s="30"/>
      <c r="AF6" s="12"/>
      <c r="AG6" s="14">
        <f>-X39</f>
        <v>-148.66363254930923</v>
      </c>
    </row>
    <row r="7" spans="2:33" x14ac:dyDescent="0.25">
      <c r="B7" s="24" t="s">
        <v>2</v>
      </c>
      <c r="C7" s="34">
        <v>20.152100000000001</v>
      </c>
      <c r="D7" s="12"/>
      <c r="E7" s="15">
        <v>44464</v>
      </c>
      <c r="F7" s="12">
        <v>100</v>
      </c>
      <c r="G7" s="14">
        <f t="shared" ref="G7:G12" si="0">$C$11*$C$10*(180/360)</f>
        <v>1.1087643471400004</v>
      </c>
      <c r="H7" s="14"/>
      <c r="I7" s="14">
        <f t="shared" ref="I7:I12" si="1">SUM(G7:H7)</f>
        <v>1.1087643471400004</v>
      </c>
      <c r="K7" s="15">
        <f t="shared" ref="K7:K12" si="2">E7</f>
        <v>44464</v>
      </c>
      <c r="L7" s="12">
        <v>100</v>
      </c>
      <c r="M7" s="30">
        <f t="shared" ref="M7:M12" si="3">O23*($C$10/360*180)</f>
        <v>1.1989757338477436</v>
      </c>
      <c r="N7" s="14"/>
      <c r="O7" s="14">
        <f t="shared" ref="O7:O12" si="4">SUM(M7:N7)</f>
        <v>1.1989757338477436</v>
      </c>
      <c r="Q7" s="15">
        <f t="shared" ref="Q7:Q12" si="5">K7</f>
        <v>44464</v>
      </c>
      <c r="R7" s="12">
        <v>100</v>
      </c>
      <c r="S7" s="30">
        <f t="shared" ref="S7:S12" si="6">M7</f>
        <v>1.1989757338477436</v>
      </c>
      <c r="T7" s="14"/>
      <c r="U7" s="14">
        <f t="shared" ref="U7:U12" si="7">SUM(S7:T7)</f>
        <v>1.1989757338477436</v>
      </c>
      <c r="W7" s="15">
        <f t="shared" ref="W7:Y12" si="8">+E7</f>
        <v>44464</v>
      </c>
      <c r="X7" s="12">
        <f t="shared" si="8"/>
        <v>100</v>
      </c>
      <c r="Y7" s="14">
        <f t="shared" si="8"/>
        <v>1.1087643471400004</v>
      </c>
      <c r="Z7" s="14"/>
      <c r="AA7" s="14">
        <f t="shared" ref="AA7:AA12" si="9">+I7</f>
        <v>1.1087643471400004</v>
      </c>
      <c r="AC7" s="15">
        <f t="shared" ref="AC7:AE12" si="10">+W7</f>
        <v>44464</v>
      </c>
      <c r="AD7" s="12">
        <f t="shared" si="10"/>
        <v>100</v>
      </c>
      <c r="AE7" s="14">
        <f t="shared" si="10"/>
        <v>1.1087643471400004</v>
      </c>
      <c r="AF7" s="14"/>
      <c r="AG7" s="14">
        <f t="shared" ref="AG7:AG12" si="11">+AA7</f>
        <v>1.1087643471400004</v>
      </c>
    </row>
    <row r="8" spans="2:33" x14ac:dyDescent="0.25">
      <c r="B8" s="24" t="s">
        <v>3</v>
      </c>
      <c r="C8" s="34">
        <f>'Planilla de datos'!D64</f>
        <v>31.919899999999998</v>
      </c>
      <c r="D8" s="12"/>
      <c r="E8" s="15">
        <v>44645</v>
      </c>
      <c r="F8" s="12">
        <v>100</v>
      </c>
      <c r="G8" s="14">
        <f t="shared" si="0"/>
        <v>1.1087643471400004</v>
      </c>
      <c r="H8" s="12"/>
      <c r="I8" s="14">
        <f t="shared" si="1"/>
        <v>1.1087643471400004</v>
      </c>
      <c r="K8" s="15">
        <f t="shared" si="2"/>
        <v>44645</v>
      </c>
      <c r="L8" s="12">
        <v>100</v>
      </c>
      <c r="M8" s="30">
        <f t="shared" si="3"/>
        <v>1.4150411888214796</v>
      </c>
      <c r="N8" s="14"/>
      <c r="O8" s="14">
        <f t="shared" si="4"/>
        <v>1.4150411888214796</v>
      </c>
      <c r="Q8" s="15">
        <f t="shared" si="5"/>
        <v>44645</v>
      </c>
      <c r="R8" s="12">
        <v>100</v>
      </c>
      <c r="S8" s="30">
        <f t="shared" si="6"/>
        <v>1.4150411888214796</v>
      </c>
      <c r="T8" s="14"/>
      <c r="U8" s="14">
        <f t="shared" si="7"/>
        <v>1.4150411888214796</v>
      </c>
      <c r="W8" s="15">
        <f t="shared" si="8"/>
        <v>44645</v>
      </c>
      <c r="X8" s="12">
        <f t="shared" si="8"/>
        <v>100</v>
      </c>
      <c r="Y8" s="14">
        <f t="shared" si="8"/>
        <v>1.1087643471400004</v>
      </c>
      <c r="Z8" s="12"/>
      <c r="AA8" s="14">
        <f t="shared" si="9"/>
        <v>1.1087643471400004</v>
      </c>
      <c r="AC8" s="15">
        <f t="shared" si="10"/>
        <v>44645</v>
      </c>
      <c r="AD8" s="12">
        <f t="shared" si="10"/>
        <v>100</v>
      </c>
      <c r="AE8" s="14">
        <f t="shared" si="10"/>
        <v>1.1087643471400004</v>
      </c>
      <c r="AF8" s="12"/>
      <c r="AG8" s="14">
        <f t="shared" si="11"/>
        <v>1.1087643471400004</v>
      </c>
    </row>
    <row r="9" spans="2:33" x14ac:dyDescent="0.25">
      <c r="B9" s="24" t="s">
        <v>4</v>
      </c>
      <c r="C9" s="34">
        <f>((C8-C7)/C7)+1</f>
        <v>1.5839490673428576</v>
      </c>
      <c r="D9" s="12"/>
      <c r="E9" s="15">
        <v>44829</v>
      </c>
      <c r="F9" s="12">
        <v>100</v>
      </c>
      <c r="G9" s="14">
        <f t="shared" si="0"/>
        <v>1.1087643471400004</v>
      </c>
      <c r="H9" s="12"/>
      <c r="I9" s="14">
        <f t="shared" si="1"/>
        <v>1.1087643471400004</v>
      </c>
      <c r="K9" s="15">
        <f t="shared" si="2"/>
        <v>44829</v>
      </c>
      <c r="L9" s="12">
        <v>100</v>
      </c>
      <c r="M9" s="30">
        <f t="shared" si="3"/>
        <v>1.6762039175614551</v>
      </c>
      <c r="N9" s="12"/>
      <c r="O9" s="14">
        <f t="shared" si="4"/>
        <v>1.6762039175614551</v>
      </c>
      <c r="Q9" s="15">
        <f t="shared" si="5"/>
        <v>44829</v>
      </c>
      <c r="R9" s="12">
        <v>100</v>
      </c>
      <c r="S9" s="30">
        <f t="shared" si="6"/>
        <v>1.6762039175614551</v>
      </c>
      <c r="T9" s="14"/>
      <c r="U9" s="14">
        <f t="shared" si="7"/>
        <v>1.6762039175614551</v>
      </c>
      <c r="W9" s="15">
        <f t="shared" si="8"/>
        <v>44829</v>
      </c>
      <c r="X9" s="12">
        <f t="shared" si="8"/>
        <v>100</v>
      </c>
      <c r="Y9" s="14">
        <f t="shared" si="8"/>
        <v>1.1087643471400004</v>
      </c>
      <c r="Z9" s="12"/>
      <c r="AA9" s="14">
        <f t="shared" si="9"/>
        <v>1.1087643471400004</v>
      </c>
      <c r="AC9" s="15">
        <f t="shared" si="10"/>
        <v>44829</v>
      </c>
      <c r="AD9" s="12">
        <f t="shared" si="10"/>
        <v>100</v>
      </c>
      <c r="AE9" s="14">
        <f t="shared" si="10"/>
        <v>1.1087643471400004</v>
      </c>
      <c r="AF9" s="12"/>
      <c r="AG9" s="14">
        <f t="shared" si="11"/>
        <v>1.1087643471400004</v>
      </c>
    </row>
    <row r="10" spans="2:33" x14ac:dyDescent="0.25">
      <c r="B10" s="24" t="s">
        <v>5</v>
      </c>
      <c r="C10" s="35">
        <v>1.4E-2</v>
      </c>
      <c r="D10" s="12"/>
      <c r="E10" s="15">
        <v>45010</v>
      </c>
      <c r="F10" s="12">
        <v>100</v>
      </c>
      <c r="G10" s="14">
        <f t="shared" si="0"/>
        <v>1.1087643471400004</v>
      </c>
      <c r="H10" s="14"/>
      <c r="I10" s="14">
        <f t="shared" si="1"/>
        <v>1.1087643471400004</v>
      </c>
      <c r="K10" s="15">
        <f t="shared" si="2"/>
        <v>45010</v>
      </c>
      <c r="L10" s="12">
        <v>100</v>
      </c>
      <c r="M10" s="30">
        <f t="shared" si="3"/>
        <v>1.9783447199572954</v>
      </c>
      <c r="N10" s="4"/>
      <c r="O10" s="14">
        <f t="shared" si="4"/>
        <v>1.9783447199572954</v>
      </c>
      <c r="Q10" s="15">
        <f t="shared" si="5"/>
        <v>45010</v>
      </c>
      <c r="R10" s="12">
        <v>100</v>
      </c>
      <c r="S10" s="30">
        <f t="shared" si="6"/>
        <v>1.9783447199572954</v>
      </c>
      <c r="T10" s="14"/>
      <c r="U10" s="14">
        <f t="shared" si="7"/>
        <v>1.9783447199572954</v>
      </c>
      <c r="W10" s="15">
        <f t="shared" si="8"/>
        <v>45010</v>
      </c>
      <c r="X10" s="12">
        <f t="shared" si="8"/>
        <v>100</v>
      </c>
      <c r="Y10" s="14">
        <f t="shared" si="8"/>
        <v>1.1087643471400004</v>
      </c>
      <c r="Z10" s="14"/>
      <c r="AA10" s="14">
        <f t="shared" si="9"/>
        <v>1.1087643471400004</v>
      </c>
      <c r="AC10" s="15">
        <f t="shared" si="10"/>
        <v>45010</v>
      </c>
      <c r="AD10" s="12">
        <f t="shared" si="10"/>
        <v>100</v>
      </c>
      <c r="AE10" s="14">
        <f t="shared" si="10"/>
        <v>1.1087643471400004</v>
      </c>
      <c r="AF10" s="14"/>
      <c r="AG10" s="14">
        <f t="shared" si="11"/>
        <v>1.1087643471400004</v>
      </c>
    </row>
    <row r="11" spans="2:33" x14ac:dyDescent="0.25">
      <c r="B11" s="36" t="s">
        <v>16</v>
      </c>
      <c r="C11" s="37">
        <f>C9*F6</f>
        <v>158.39490673428577</v>
      </c>
      <c r="D11" s="12"/>
      <c r="E11" s="15">
        <v>45194</v>
      </c>
      <c r="F11" s="12">
        <v>100</v>
      </c>
      <c r="G11" s="14">
        <f t="shared" si="0"/>
        <v>1.1087643471400004</v>
      </c>
      <c r="H11" s="14"/>
      <c r="I11" s="14">
        <f t="shared" si="1"/>
        <v>1.1087643471400004</v>
      </c>
      <c r="K11" s="15">
        <f t="shared" si="2"/>
        <v>45194</v>
      </c>
      <c r="L11" s="12">
        <v>100</v>
      </c>
      <c r="M11" s="30">
        <f t="shared" si="3"/>
        <v>2.3380408640230743</v>
      </c>
      <c r="N11" s="4"/>
      <c r="O11" s="14">
        <f t="shared" si="4"/>
        <v>2.3380408640230743</v>
      </c>
      <c r="Q11" s="15">
        <f t="shared" si="5"/>
        <v>45194</v>
      </c>
      <c r="R11" s="12">
        <v>100</v>
      </c>
      <c r="S11" s="30">
        <f t="shared" si="6"/>
        <v>2.3380408640230743</v>
      </c>
      <c r="T11" s="14"/>
      <c r="U11" s="14">
        <f t="shared" si="7"/>
        <v>2.3380408640230743</v>
      </c>
      <c r="W11" s="15">
        <f t="shared" si="8"/>
        <v>45194</v>
      </c>
      <c r="X11" s="12">
        <f t="shared" si="8"/>
        <v>100</v>
      </c>
      <c r="Y11" s="14">
        <f t="shared" si="8"/>
        <v>1.1087643471400004</v>
      </c>
      <c r="Z11" s="14"/>
      <c r="AA11" s="14">
        <f t="shared" si="9"/>
        <v>1.1087643471400004</v>
      </c>
      <c r="AC11" s="15">
        <f t="shared" si="10"/>
        <v>45194</v>
      </c>
      <c r="AD11" s="12">
        <f t="shared" si="10"/>
        <v>100</v>
      </c>
      <c r="AE11" s="14">
        <f t="shared" si="10"/>
        <v>1.1087643471400004</v>
      </c>
      <c r="AF11" s="14"/>
      <c r="AG11" s="14">
        <f t="shared" si="11"/>
        <v>1.1087643471400004</v>
      </c>
    </row>
    <row r="12" spans="2:33" x14ac:dyDescent="0.25">
      <c r="B12" s="12"/>
      <c r="C12" s="12"/>
      <c r="D12" s="12"/>
      <c r="E12" s="15">
        <v>45376</v>
      </c>
      <c r="F12" s="12">
        <v>100</v>
      </c>
      <c r="G12" s="14">
        <f t="shared" si="0"/>
        <v>1.1087643471400004</v>
      </c>
      <c r="H12" s="14">
        <f>+C11</f>
        <v>158.39490673428577</v>
      </c>
      <c r="I12" s="14">
        <f t="shared" si="1"/>
        <v>159.50367108142578</v>
      </c>
      <c r="K12" s="15">
        <f t="shared" si="2"/>
        <v>45376</v>
      </c>
      <c r="L12" s="12">
        <v>100</v>
      </c>
      <c r="M12" s="30">
        <f t="shared" si="3"/>
        <v>2.7581230535875099</v>
      </c>
      <c r="N12" s="30">
        <f>+O28</f>
        <v>394.01757908393</v>
      </c>
      <c r="O12" s="14">
        <f t="shared" si="4"/>
        <v>396.7757021375175</v>
      </c>
      <c r="Q12" s="15">
        <f t="shared" si="5"/>
        <v>45376</v>
      </c>
      <c r="R12" s="12">
        <v>100</v>
      </c>
      <c r="S12" s="30">
        <f t="shared" si="6"/>
        <v>2.7581230535875099</v>
      </c>
      <c r="T12" s="14">
        <f>N12</f>
        <v>394.01757908393</v>
      </c>
      <c r="U12" s="14">
        <f t="shared" si="7"/>
        <v>396.7757021375175</v>
      </c>
      <c r="W12" s="15">
        <f t="shared" si="8"/>
        <v>45376</v>
      </c>
      <c r="X12" s="12">
        <f t="shared" si="8"/>
        <v>100</v>
      </c>
      <c r="Y12" s="14">
        <f t="shared" si="8"/>
        <v>1.1087643471400004</v>
      </c>
      <c r="Z12" s="14">
        <f>+H12</f>
        <v>158.39490673428577</v>
      </c>
      <c r="AA12" s="14">
        <f t="shared" si="9"/>
        <v>159.50367108142578</v>
      </c>
      <c r="AC12" s="15">
        <f t="shared" si="10"/>
        <v>45376</v>
      </c>
      <c r="AD12" s="12">
        <f t="shared" si="10"/>
        <v>100</v>
      </c>
      <c r="AE12" s="14">
        <f t="shared" si="10"/>
        <v>1.1087643471400004</v>
      </c>
      <c r="AF12" s="14">
        <f>+Z12</f>
        <v>158.39490673428577</v>
      </c>
      <c r="AG12" s="14">
        <f t="shared" si="11"/>
        <v>159.50367108142578</v>
      </c>
    </row>
    <row r="13" spans="2:33" x14ac:dyDescent="0.25">
      <c r="B13" s="12"/>
      <c r="C13" s="12"/>
      <c r="D13" s="12"/>
      <c r="E13" s="12"/>
      <c r="F13" s="12"/>
      <c r="G13" s="12"/>
      <c r="H13" s="12"/>
      <c r="I13" s="12"/>
      <c r="K13" s="12"/>
      <c r="L13" s="12"/>
      <c r="M13" s="12"/>
    </row>
    <row r="14" spans="2:33" x14ac:dyDescent="0.25">
      <c r="B14" s="12"/>
      <c r="C14" s="12"/>
      <c r="D14" s="12"/>
      <c r="E14" s="12"/>
      <c r="F14" s="12"/>
      <c r="H14" s="92" t="s">
        <v>13</v>
      </c>
      <c r="I14" s="86">
        <f>XIRR(I6:I12,E6:E12,0)</f>
        <v>5.3621752929687502E-2</v>
      </c>
      <c r="K14" s="12"/>
      <c r="L14" s="12"/>
      <c r="M14" s="12"/>
      <c r="N14" s="38" t="s">
        <v>10</v>
      </c>
      <c r="O14" s="39">
        <f>XIRR(O6:O12,K6:K12,0)</f>
        <v>0.4734328662109375</v>
      </c>
      <c r="AF14" t="s">
        <v>10</v>
      </c>
      <c r="AG14" s="22">
        <f>XIRR(AG6:AG12,AC6:AC12)</f>
        <v>4.0000000596046484E-2</v>
      </c>
    </row>
    <row r="15" spans="2:33" x14ac:dyDescent="0.25">
      <c r="B15" s="12"/>
      <c r="C15" s="12"/>
      <c r="D15" s="12"/>
      <c r="E15" s="12"/>
      <c r="F15" s="12"/>
      <c r="H15" s="92" t="s">
        <v>29</v>
      </c>
      <c r="I15" s="71">
        <f>MDURATION(E6,E12,C10,I14,2)</f>
        <v>2.5917870041663953</v>
      </c>
      <c r="K15" s="12"/>
      <c r="L15" s="12"/>
      <c r="M15" s="12"/>
      <c r="N15" s="40" t="s">
        <v>64</v>
      </c>
      <c r="O15" s="43">
        <f>MDURATION(K6,K12,C10,O14,2)</f>
        <v>2.1078160559770431</v>
      </c>
      <c r="T15" s="87"/>
      <c r="U15" s="42"/>
      <c r="AF15" t="s">
        <v>64</v>
      </c>
      <c r="AG15" s="4">
        <f>MDURATION(AC6,AC12,C10,AG14,2)</f>
        <v>2.6103763180329902</v>
      </c>
    </row>
    <row r="16" spans="2:33" x14ac:dyDescent="0.25">
      <c r="B16" s="12"/>
      <c r="C16" s="12"/>
      <c r="D16" s="12"/>
      <c r="T16" s="27"/>
      <c r="U16" s="49"/>
    </row>
    <row r="17" spans="2:25" x14ac:dyDescent="0.25">
      <c r="B17" s="12"/>
      <c r="C17" s="12"/>
      <c r="D17" s="12"/>
    </row>
    <row r="18" spans="2:25" x14ac:dyDescent="0.25">
      <c r="B18" s="12"/>
      <c r="C18" s="12"/>
      <c r="D18" s="12"/>
      <c r="E18" s="12"/>
      <c r="F18" s="12"/>
      <c r="G18" s="41"/>
      <c r="H18" s="41"/>
      <c r="I18" s="42"/>
      <c r="K18" s="12"/>
      <c r="L18" s="12"/>
      <c r="M18" s="12"/>
      <c r="N18" s="12"/>
      <c r="O18" s="12"/>
      <c r="U18">
        <f>U8/100</f>
        <v>1.4150411888214795E-2</v>
      </c>
    </row>
    <row r="19" spans="2:25" x14ac:dyDescent="0.25">
      <c r="B19" s="12"/>
      <c r="C19" s="12"/>
      <c r="D19" s="12"/>
      <c r="E19" s="12"/>
      <c r="F19" s="12"/>
      <c r="G19" s="12"/>
      <c r="H19" s="12"/>
      <c r="I19" s="12"/>
      <c r="K19" s="415"/>
      <c r="L19" s="415"/>
      <c r="M19" s="415"/>
      <c r="N19" s="415"/>
      <c r="O19" s="415"/>
      <c r="P19" s="21"/>
    </row>
    <row r="21" spans="2:25" ht="28.5" x14ac:dyDescent="0.25">
      <c r="D21" s="12"/>
      <c r="E21" s="12"/>
      <c r="F21" s="12"/>
      <c r="G21" s="12"/>
      <c r="H21" s="12"/>
      <c r="I21" s="12"/>
      <c r="J21" s="12"/>
      <c r="K21" s="45" t="s">
        <v>6</v>
      </c>
      <c r="L21" s="45" t="s">
        <v>58</v>
      </c>
      <c r="M21" s="45" t="s">
        <v>24</v>
      </c>
      <c r="N21" s="45" t="s">
        <v>4</v>
      </c>
      <c r="O21" s="45" t="s">
        <v>59</v>
      </c>
      <c r="P21" s="12"/>
      <c r="Q21" s="12"/>
      <c r="R21" s="12"/>
    </row>
    <row r="22" spans="2:25" ht="15" customHeight="1" x14ac:dyDescent="0.25">
      <c r="D22" s="12"/>
      <c r="J22" s="12"/>
      <c r="K22" s="15" t="e">
        <f>#REF!</f>
        <v>#REF!</v>
      </c>
      <c r="L22" s="31">
        <v>44266</v>
      </c>
      <c r="M22" s="46">
        <f>+'Serie CER'!H74</f>
        <v>27.841699999999999</v>
      </c>
      <c r="N22" s="47">
        <f t="shared" ref="N22:N28" si="12">(M22/$C$7)</f>
        <v>1.3815780985604478</v>
      </c>
      <c r="O22" s="14">
        <f t="shared" ref="O22:O28" si="13">100*N22</f>
        <v>138.15780985604476</v>
      </c>
      <c r="P22" s="12"/>
      <c r="Q22" s="12"/>
      <c r="R22" s="12"/>
    </row>
    <row r="23" spans="2:25" x14ac:dyDescent="0.25">
      <c r="D23" s="12"/>
      <c r="J23" s="12"/>
      <c r="K23" s="15">
        <f t="shared" ref="K23:K28" si="14">K7</f>
        <v>44464</v>
      </c>
      <c r="L23" s="31">
        <v>44450</v>
      </c>
      <c r="M23" s="46">
        <f>+'Serie CER'!H258</f>
        <v>34.516969837247309</v>
      </c>
      <c r="N23" s="47">
        <f t="shared" si="12"/>
        <v>1.7128224769253482</v>
      </c>
      <c r="O23" s="14">
        <f t="shared" si="13"/>
        <v>171.28224769253481</v>
      </c>
      <c r="P23" s="12"/>
      <c r="Q23" s="12"/>
      <c r="R23" s="12"/>
      <c r="W23" s="404" t="s">
        <v>81</v>
      </c>
      <c r="X23" s="404"/>
      <c r="Y23" s="404"/>
    </row>
    <row r="24" spans="2:25" x14ac:dyDescent="0.25">
      <c r="D24" s="12"/>
      <c r="E24" s="12"/>
      <c r="F24" s="12"/>
      <c r="G24" s="12"/>
      <c r="H24" s="12"/>
      <c r="I24" s="12"/>
      <c r="J24" s="12"/>
      <c r="K24" s="15">
        <f t="shared" si="14"/>
        <v>44645</v>
      </c>
      <c r="L24" s="31">
        <v>44631</v>
      </c>
      <c r="M24" s="46">
        <f>+'Serie CER'!K74</f>
        <v>40.737216487499055</v>
      </c>
      <c r="N24" s="47">
        <f t="shared" si="12"/>
        <v>2.0214874126021134</v>
      </c>
      <c r="O24" s="14">
        <f t="shared" si="13"/>
        <v>202.14874126021135</v>
      </c>
      <c r="P24" s="12"/>
      <c r="Q24" s="12"/>
      <c r="R24" s="12"/>
      <c r="W24" s="404" t="s">
        <v>82</v>
      </c>
      <c r="X24" s="404"/>
      <c r="Y24" s="404"/>
    </row>
    <row r="25" spans="2:25" x14ac:dyDescent="0.25">
      <c r="D25" s="12"/>
      <c r="E25" s="12"/>
      <c r="F25" s="12"/>
      <c r="G25" s="12"/>
      <c r="H25" s="12"/>
      <c r="I25" s="12"/>
      <c r="J25" s="12"/>
      <c r="K25" s="15">
        <f t="shared" si="14"/>
        <v>44829</v>
      </c>
      <c r="L25" s="31">
        <v>44815</v>
      </c>
      <c r="M25" s="46">
        <f>+'Serie CER'!K258</f>
        <v>48.255755667271721</v>
      </c>
      <c r="N25" s="47">
        <f t="shared" si="12"/>
        <v>2.3945770250877931</v>
      </c>
      <c r="O25" s="14">
        <f t="shared" si="13"/>
        <v>239.45770250877931</v>
      </c>
      <c r="P25" s="12"/>
      <c r="Q25" s="12"/>
      <c r="R25" s="12"/>
      <c r="W25" s="108" t="s">
        <v>10</v>
      </c>
      <c r="X25" s="108" t="s">
        <v>83</v>
      </c>
      <c r="Y25" s="108" t="s">
        <v>84</v>
      </c>
    </row>
    <row r="26" spans="2:25" x14ac:dyDescent="0.25">
      <c r="D26" s="12"/>
      <c r="E26" s="12"/>
      <c r="F26" s="12"/>
      <c r="G26" s="12"/>
      <c r="H26" s="12"/>
      <c r="I26" s="12"/>
      <c r="J26" s="12"/>
      <c r="K26" s="15">
        <f t="shared" si="14"/>
        <v>45010</v>
      </c>
      <c r="L26" s="31">
        <v>44996</v>
      </c>
      <c r="M26" s="46">
        <f>+'Serie CER'!N74</f>
        <v>56.954000901502013</v>
      </c>
      <c r="N26" s="47">
        <f t="shared" si="12"/>
        <v>2.8262067427961362</v>
      </c>
      <c r="O26" s="14">
        <f t="shared" si="13"/>
        <v>282.62067427961364</v>
      </c>
      <c r="P26" s="12"/>
      <c r="Q26" s="12"/>
      <c r="R26" s="12"/>
      <c r="W26" s="16">
        <v>0.15</v>
      </c>
      <c r="X26" s="49">
        <f>XNPV(W26,AA6:AA12,W6:W12)</f>
        <v>113.79440903012686</v>
      </c>
      <c r="Y26" s="18">
        <f t="shared" ref="Y26:Y41" si="15">(X26+$I$6)/(-$I$6)</f>
        <v>-0.20755982569549539</v>
      </c>
    </row>
    <row r="27" spans="2:25" x14ac:dyDescent="0.25">
      <c r="D27" s="12"/>
      <c r="E27" s="12"/>
      <c r="F27" s="12"/>
      <c r="G27" s="12"/>
      <c r="H27" s="12"/>
      <c r="I27" s="12"/>
      <c r="J27" s="12"/>
      <c r="K27" s="15">
        <f t="shared" si="14"/>
        <v>45194</v>
      </c>
      <c r="L27" s="31">
        <v>45180</v>
      </c>
      <c r="M27" s="46">
        <f>+'Serie CER'!N258</f>
        <v>67.30919042268485</v>
      </c>
      <c r="N27" s="47">
        <f t="shared" si="12"/>
        <v>3.3400583771758203</v>
      </c>
      <c r="O27" s="14">
        <f t="shared" si="13"/>
        <v>334.00583771758204</v>
      </c>
      <c r="P27" s="12"/>
      <c r="Q27" s="12"/>
      <c r="R27" s="12"/>
      <c r="W27" s="16">
        <v>0.14000000000000001</v>
      </c>
      <c r="X27" s="49">
        <f>XNPV(W27,AA6:AA12,W6:W12)</f>
        <v>116.46235596242872</v>
      </c>
      <c r="Y27" s="18">
        <f t="shared" si="15"/>
        <v>-0.18898080806108133</v>
      </c>
    </row>
    <row r="28" spans="2:25" x14ac:dyDescent="0.25">
      <c r="D28" s="12"/>
      <c r="E28" s="12"/>
      <c r="F28" s="12"/>
      <c r="G28" s="12"/>
      <c r="H28" s="12"/>
      <c r="I28" s="12"/>
      <c r="J28" s="12"/>
      <c r="K28" s="15">
        <f t="shared" si="14"/>
        <v>45376</v>
      </c>
      <c r="L28" s="31">
        <v>45362</v>
      </c>
      <c r="M28" s="46">
        <f>+'Serie CER'!Q75</f>
        <v>79.402816554572652</v>
      </c>
      <c r="N28" s="47">
        <f t="shared" si="12"/>
        <v>3.9401757908392998</v>
      </c>
      <c r="O28" s="14">
        <f t="shared" si="13"/>
        <v>394.01757908393</v>
      </c>
      <c r="P28" s="12"/>
      <c r="Q28" s="12"/>
      <c r="R28" s="12"/>
      <c r="W28" s="16">
        <v>0.13</v>
      </c>
      <c r="X28" s="49">
        <f>XNPV(W28,AA6:AA12,W6:W12)</f>
        <v>119.21826333846832</v>
      </c>
      <c r="Y28" s="18">
        <f t="shared" si="15"/>
        <v>-0.16978925251763005</v>
      </c>
    </row>
    <row r="29" spans="2:25" x14ac:dyDescent="0.25">
      <c r="D29" s="12"/>
      <c r="E29" s="12"/>
      <c r="F29" s="12"/>
      <c r="G29" s="12"/>
      <c r="H29" s="12"/>
      <c r="I29" s="12"/>
      <c r="J29" s="12"/>
      <c r="P29" s="12"/>
      <c r="Q29" s="12"/>
      <c r="R29" s="12"/>
      <c r="W29" s="16">
        <v>0.12</v>
      </c>
      <c r="X29" s="49">
        <f>XNPV(W29,AA6:AA12,W6:W12)</f>
        <v>122.06585480850168</v>
      </c>
      <c r="Y29" s="18">
        <f t="shared" si="15"/>
        <v>-0.14995922835305231</v>
      </c>
    </row>
    <row r="30" spans="2:25" x14ac:dyDescent="0.25">
      <c r="D30" s="12"/>
      <c r="E30" s="12"/>
      <c r="F30" s="12"/>
      <c r="G30" s="12"/>
      <c r="H30" s="12"/>
      <c r="I30" s="12"/>
      <c r="J30" s="12"/>
      <c r="K30" s="15"/>
      <c r="L30" s="12"/>
      <c r="M30" s="12"/>
      <c r="N30" s="12"/>
      <c r="O30" s="12"/>
      <c r="P30" s="12"/>
      <c r="Q30" s="12"/>
      <c r="R30" s="12"/>
      <c r="W30" s="16">
        <v>0.11</v>
      </c>
      <c r="X30" s="49">
        <f>XNPV(W30,AA6:AA12,W6:W12)</f>
        <v>125.00904700620917</v>
      </c>
      <c r="Y30" s="18">
        <f t="shared" si="15"/>
        <v>-0.12946346095954611</v>
      </c>
    </row>
    <row r="31" spans="2:25" x14ac:dyDescent="0.25">
      <c r="D31" s="12"/>
      <c r="E31" s="129"/>
      <c r="F31" s="129"/>
      <c r="G31" s="61">
        <v>0.35</v>
      </c>
      <c r="H31" s="62">
        <f>XNPV(G31,U6:U12,Q6:Q12)</f>
        <v>181.32910913899161</v>
      </c>
      <c r="I31" s="61">
        <f>(H31/-$I$6)-1</f>
        <v>0.26273752882306134</v>
      </c>
      <c r="J31" s="110"/>
      <c r="K31" s="412"/>
      <c r="L31" s="412"/>
      <c r="M31" s="412"/>
      <c r="N31" s="412"/>
      <c r="O31" s="412"/>
      <c r="P31" s="412"/>
      <c r="Q31" s="12"/>
      <c r="R31" s="12"/>
      <c r="W31" s="16">
        <v>0.1</v>
      </c>
      <c r="X31" s="49">
        <f>XNPV(W31,AA6:AA12,W6:W12)</f>
        <v>128.05196141322321</v>
      </c>
      <c r="Y31" s="18">
        <f t="shared" si="15"/>
        <v>-0.1082732492115375</v>
      </c>
    </row>
    <row r="32" spans="2:25" x14ac:dyDescent="0.25">
      <c r="D32" s="12"/>
      <c r="E32" s="406" t="s">
        <v>18</v>
      </c>
      <c r="F32" s="406"/>
      <c r="G32" s="18">
        <v>0.4</v>
      </c>
      <c r="H32" s="49">
        <f>XNPV(G32,U6:U12,Q6:Q12)</f>
        <v>164.55732672647812</v>
      </c>
      <c r="I32" s="18">
        <f>(H32/-$I$6)-1</f>
        <v>0.14594238667463877</v>
      </c>
      <c r="J32" s="110"/>
      <c r="K32" s="110"/>
      <c r="L32" s="110"/>
      <c r="M32" s="110"/>
      <c r="N32" s="110"/>
      <c r="O32" s="110"/>
      <c r="P32" s="110"/>
      <c r="Q32" s="12"/>
      <c r="R32" s="12"/>
      <c r="W32" s="16">
        <v>0.09</v>
      </c>
      <c r="X32" s="49">
        <f>XNPV(W32,AA6:AA12,W6:W12)</f>
        <v>131.19893706965181</v>
      </c>
      <c r="Y32" s="18">
        <f t="shared" si="15"/>
        <v>-8.6358376952285446E-2</v>
      </c>
    </row>
    <row r="33" spans="4:25" x14ac:dyDescent="0.25">
      <c r="D33" s="12"/>
      <c r="E33" s="407"/>
      <c r="F33" s="407"/>
      <c r="G33" s="63">
        <v>0.45</v>
      </c>
      <c r="H33" s="64">
        <f>XNPV(G33,U6:U12,Q6:Q12)</f>
        <v>149.86334136714441</v>
      </c>
      <c r="I33" s="63">
        <f>(H33/-I6)-1</f>
        <v>4.3616583336660408E-2</v>
      </c>
      <c r="J33" s="110"/>
      <c r="K33" s="111"/>
      <c r="L33" s="111"/>
      <c r="M33" s="110"/>
      <c r="N33" s="111"/>
      <c r="O33" s="111"/>
      <c r="P33" s="111"/>
      <c r="Q33" s="12"/>
      <c r="R33" s="12"/>
      <c r="W33" s="16">
        <v>0.08</v>
      </c>
      <c r="X33" s="49">
        <f>XNPV(W33,AA6:AA12,W6:W12)</f>
        <v>134.45454419938397</v>
      </c>
      <c r="Y33" s="18">
        <f t="shared" si="15"/>
        <v>-6.3687018110139409E-2</v>
      </c>
    </row>
    <row r="34" spans="4:25" x14ac:dyDescent="0.25">
      <c r="D34" s="12"/>
      <c r="E34" s="12"/>
      <c r="F34" s="12"/>
      <c r="G34" s="12"/>
      <c r="H34" s="12"/>
      <c r="I34" s="12"/>
      <c r="J34" s="110"/>
      <c r="K34" s="112"/>
      <c r="L34" s="112"/>
      <c r="M34" s="110"/>
      <c r="N34" s="113"/>
      <c r="O34" s="110"/>
      <c r="P34" s="114"/>
      <c r="Q34" s="12"/>
      <c r="R34" s="12"/>
      <c r="W34" s="16">
        <v>7.0000000000000007E-2</v>
      </c>
      <c r="X34" s="49">
        <f>XNPV(W34,AA6:AA12,W6:W12)</f>
        <v>137.82359882525819</v>
      </c>
      <c r="Y34" s="18">
        <f t="shared" si="15"/>
        <v>-4.0225634921600327E-2</v>
      </c>
    </row>
    <row r="35" spans="4:25" x14ac:dyDescent="0.25">
      <c r="D35" s="12"/>
      <c r="E35" s="12"/>
      <c r="F35" s="12"/>
      <c r="G35" s="12"/>
      <c r="H35" s="12"/>
      <c r="I35" s="12"/>
      <c r="J35" s="110"/>
      <c r="K35" s="121"/>
      <c r="L35" s="115"/>
      <c r="M35" s="110"/>
      <c r="N35" s="113"/>
      <c r="O35" s="110"/>
      <c r="P35" s="114"/>
      <c r="Q35" s="12"/>
      <c r="R35" s="12"/>
      <c r="W35" s="16">
        <v>0.06</v>
      </c>
      <c r="X35" s="49">
        <f>XNPV(W35,AA6:AA12,W6:W12)</f>
        <v>141.31117845611129</v>
      </c>
      <c r="Y35" s="18">
        <f t="shared" si="15"/>
        <v>-1.5938868690032741E-2</v>
      </c>
    </row>
    <row r="36" spans="4:25" x14ac:dyDescent="0.25">
      <c r="D36" s="12"/>
      <c r="E36" s="12"/>
      <c r="F36" s="12"/>
      <c r="G36" s="12"/>
      <c r="H36" s="12"/>
      <c r="I36" s="12"/>
      <c r="J36" s="110"/>
      <c r="K36" s="114"/>
      <c r="L36" s="110"/>
      <c r="M36" s="110"/>
      <c r="N36" s="113"/>
      <c r="O36" s="110"/>
      <c r="P36" s="114"/>
      <c r="Q36" s="12"/>
      <c r="R36" s="12"/>
      <c r="W36" s="16">
        <v>5.5E-2</v>
      </c>
      <c r="X36" s="49">
        <f>XNPV(W36,AA6:AA12,W6:W12)</f>
        <v>143.10107749095357</v>
      </c>
      <c r="Y36" s="18">
        <f t="shared" si="15"/>
        <v>-3.4743907315210524E-3</v>
      </c>
    </row>
    <row r="37" spans="4:25" x14ac:dyDescent="0.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3"/>
      <c r="O37" s="110"/>
      <c r="P37" s="114"/>
      <c r="Q37" s="12"/>
      <c r="R37" s="12"/>
      <c r="W37" s="16">
        <v>0.05</v>
      </c>
      <c r="X37" s="49">
        <f>XNPV(W37,AA6:AA12,W6:W12)</f>
        <v>144.92263893537222</v>
      </c>
      <c r="Y37" s="18">
        <f t="shared" si="15"/>
        <v>9.2105775443748292E-3</v>
      </c>
    </row>
    <row r="38" spans="4:25" x14ac:dyDescent="0.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3"/>
      <c r="O38" s="110"/>
      <c r="P38" s="114"/>
      <c r="Q38" s="12"/>
      <c r="R38" s="12"/>
      <c r="W38" s="16">
        <v>4.4999999999999998E-2</v>
      </c>
      <c r="X38" s="49">
        <f>XNPV(W38,AA6:AA12,W6:W12)</f>
        <v>146.77657873013504</v>
      </c>
      <c r="Y38" s="18">
        <f t="shared" si="15"/>
        <v>2.2121021797597833E-2</v>
      </c>
    </row>
    <row r="39" spans="4:25" x14ac:dyDescent="0.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3"/>
      <c r="O39" s="110"/>
      <c r="P39" s="114"/>
      <c r="Q39" s="12"/>
      <c r="R39" s="12"/>
      <c r="W39" s="16">
        <v>0.04</v>
      </c>
      <c r="X39" s="49">
        <f>XNPV(W39,AA6:AA12,W6:W12)</f>
        <v>148.66363254930923</v>
      </c>
      <c r="Y39" s="18">
        <f t="shared" si="15"/>
        <v>3.5262065106610258E-2</v>
      </c>
    </row>
    <row r="40" spans="4:25" x14ac:dyDescent="0.25">
      <c r="D40" s="12"/>
      <c r="E40" s="12"/>
      <c r="F40" s="12"/>
      <c r="G40" s="12"/>
      <c r="H40" s="12"/>
      <c r="I40" s="12"/>
      <c r="J40" s="110"/>
      <c r="K40" s="110"/>
      <c r="L40" s="110"/>
      <c r="M40" s="110"/>
      <c r="N40" s="113"/>
      <c r="O40" s="110"/>
      <c r="P40" s="114"/>
      <c r="Q40" s="12"/>
      <c r="R40" s="12"/>
      <c r="W40" s="16">
        <v>0.03</v>
      </c>
      <c r="X40" s="49">
        <f>XNPV(W40,AA6:AA12,W6:W12)</f>
        <v>152.54012750236743</v>
      </c>
      <c r="Y40" s="18">
        <f t="shared" si="15"/>
        <v>6.2257155308965403E-2</v>
      </c>
    </row>
    <row r="41" spans="4:25" x14ac:dyDescent="0.25">
      <c r="D41" s="12"/>
      <c r="E41" s="12"/>
      <c r="F41" s="12"/>
      <c r="G41" s="12"/>
      <c r="H41" s="12"/>
      <c r="I41" s="12"/>
      <c r="J41" s="110"/>
      <c r="K41" s="110"/>
      <c r="L41" s="110"/>
      <c r="M41" s="110"/>
      <c r="N41" s="113"/>
      <c r="O41" s="110"/>
      <c r="P41" s="114"/>
      <c r="Q41" s="12"/>
      <c r="R41" s="12"/>
      <c r="W41" s="16">
        <v>0.02</v>
      </c>
      <c r="X41" s="49">
        <f>XNPV(W41,AA6:AA12,W6:W12)</f>
        <v>156.5584288773502</v>
      </c>
      <c r="Y41" s="18">
        <f t="shared" si="15"/>
        <v>9.0239755413302244E-2</v>
      </c>
    </row>
    <row r="42" spans="4:25" x14ac:dyDescent="0.25">
      <c r="D42" s="12"/>
      <c r="E42" s="12"/>
      <c r="F42" s="12"/>
      <c r="G42" s="12"/>
      <c r="H42" s="12"/>
      <c r="I42" s="12"/>
      <c r="J42" s="110"/>
      <c r="K42" s="110"/>
      <c r="L42" s="110"/>
      <c r="M42" s="110"/>
      <c r="N42" s="110"/>
      <c r="O42" s="110"/>
      <c r="P42" s="110"/>
      <c r="Q42" s="12"/>
      <c r="R42" s="12"/>
    </row>
    <row r="43" spans="4:25" x14ac:dyDescent="0.25">
      <c r="D43" s="12"/>
      <c r="E43" s="12"/>
      <c r="F43" s="12"/>
      <c r="G43" s="12"/>
      <c r="H43" s="12"/>
      <c r="I43" s="12"/>
      <c r="J43" s="110"/>
      <c r="K43" s="110"/>
      <c r="L43" s="110"/>
      <c r="M43" s="110"/>
      <c r="N43" s="110"/>
      <c r="O43" s="110"/>
      <c r="P43" s="110"/>
      <c r="Q43" s="12"/>
      <c r="R43" s="12"/>
    </row>
    <row r="44" spans="4:25" x14ac:dyDescent="0.25">
      <c r="J44" s="51"/>
      <c r="K44" s="51"/>
      <c r="L44" s="51"/>
      <c r="M44" s="51"/>
      <c r="N44" s="51"/>
      <c r="O44" s="51"/>
      <c r="P44" s="51"/>
    </row>
  </sheetData>
  <mergeCells count="12">
    <mergeCell ref="B2:I2"/>
    <mergeCell ref="B4:C4"/>
    <mergeCell ref="E4:I4"/>
    <mergeCell ref="K4:O4"/>
    <mergeCell ref="W4:AA4"/>
    <mergeCell ref="Q4:U4"/>
    <mergeCell ref="E32:F33"/>
    <mergeCell ref="AC4:AG4"/>
    <mergeCell ref="K31:P31"/>
    <mergeCell ref="W23:Y23"/>
    <mergeCell ref="W24:Y24"/>
    <mergeCell ref="K19:O1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89B-127C-4017-A414-7E9A69238273}">
  <dimension ref="B2:AG44"/>
  <sheetViews>
    <sheetView showGridLines="0" zoomScale="90" zoomScaleNormal="90" workbookViewId="0">
      <selection activeCell="G7" sqref="G7"/>
    </sheetView>
  </sheetViews>
  <sheetFormatPr baseColWidth="10" defaultRowHeight="15" x14ac:dyDescent="0.25"/>
  <cols>
    <col min="2" max="2" width="12" customWidth="1"/>
    <col min="3" max="3" width="12.140625" bestFit="1" customWidth="1"/>
    <col min="4" max="4" width="3.42578125" customWidth="1"/>
    <col min="5" max="5" width="12.140625" bestFit="1" customWidth="1"/>
    <col min="6" max="6" width="9.42578125" customWidth="1"/>
    <col min="7" max="7" width="9" bestFit="1" customWidth="1"/>
    <col min="8" max="9" width="10.42578125" customWidth="1"/>
    <col min="11" max="11" width="11.28515625" customWidth="1"/>
    <col min="12" max="13" width="11" customWidth="1"/>
    <col min="14" max="14" width="11.140625" customWidth="1"/>
    <col min="15" max="15" width="11.85546875" customWidth="1"/>
  </cols>
  <sheetData>
    <row r="2" spans="2:33" ht="15.75" x14ac:dyDescent="0.25">
      <c r="B2" s="413" t="s">
        <v>187</v>
      </c>
      <c r="C2" s="413"/>
      <c r="D2" s="413"/>
      <c r="E2" s="413"/>
      <c r="F2" s="413"/>
      <c r="G2" s="413"/>
      <c r="H2" s="413"/>
      <c r="I2" s="413"/>
      <c r="K2" s="6" t="s">
        <v>60</v>
      </c>
    </row>
    <row r="3" spans="2:33" x14ac:dyDescent="0.25">
      <c r="B3" s="12"/>
      <c r="C3" s="12"/>
      <c r="D3" s="12"/>
      <c r="E3" s="12"/>
      <c r="F3" s="12"/>
      <c r="G3" s="12"/>
      <c r="H3" s="12"/>
      <c r="I3" s="12"/>
    </row>
    <row r="4" spans="2:33" x14ac:dyDescent="0.25">
      <c r="B4" s="373" t="s">
        <v>34</v>
      </c>
      <c r="C4" s="374"/>
      <c r="D4" s="12"/>
      <c r="E4" s="375" t="s">
        <v>109</v>
      </c>
      <c r="F4" s="375"/>
      <c r="G4" s="375"/>
      <c r="H4" s="375"/>
      <c r="I4" s="375"/>
      <c r="K4" s="375" t="s">
        <v>110</v>
      </c>
      <c r="L4" s="375"/>
      <c r="M4" s="375"/>
      <c r="N4" s="375"/>
      <c r="O4" s="375"/>
      <c r="Q4" s="375" t="s">
        <v>110</v>
      </c>
      <c r="R4" s="375"/>
      <c r="S4" s="375"/>
      <c r="T4" s="375"/>
      <c r="U4" s="375"/>
      <c r="W4" s="375" t="s">
        <v>109</v>
      </c>
      <c r="X4" s="375"/>
      <c r="Y4" s="375"/>
      <c r="Z4" s="375"/>
      <c r="AA4" s="375"/>
      <c r="AC4" s="375" t="s">
        <v>109</v>
      </c>
      <c r="AD4" s="375"/>
      <c r="AE4" s="375"/>
      <c r="AF4" s="375"/>
      <c r="AG4" s="375"/>
    </row>
    <row r="5" spans="2:33" x14ac:dyDescent="0.25">
      <c r="B5" s="24" t="s">
        <v>0</v>
      </c>
      <c r="C5" s="33">
        <v>44253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K5" s="29" t="s">
        <v>14</v>
      </c>
      <c r="L5" s="29" t="s">
        <v>7</v>
      </c>
      <c r="M5" s="29" t="s">
        <v>8</v>
      </c>
      <c r="N5" s="29" t="s">
        <v>33</v>
      </c>
      <c r="O5" s="29" t="s">
        <v>9</v>
      </c>
      <c r="Q5" s="29" t="s">
        <v>14</v>
      </c>
      <c r="R5" s="29" t="s">
        <v>7</v>
      </c>
      <c r="S5" s="29" t="s">
        <v>8</v>
      </c>
      <c r="T5" s="29" t="s">
        <v>33</v>
      </c>
      <c r="U5" s="29" t="s">
        <v>9</v>
      </c>
      <c r="W5" s="29" t="s">
        <v>14</v>
      </c>
      <c r="X5" s="29" t="s">
        <v>7</v>
      </c>
      <c r="Y5" s="29" t="s">
        <v>8</v>
      </c>
      <c r="Z5" s="29" t="s">
        <v>33</v>
      </c>
      <c r="AA5" s="29" t="s">
        <v>9</v>
      </c>
      <c r="AC5" s="29" t="s">
        <v>14</v>
      </c>
      <c r="AD5" s="29" t="s">
        <v>7</v>
      </c>
      <c r="AE5" s="29" t="s">
        <v>8</v>
      </c>
      <c r="AF5" s="29" t="s">
        <v>33</v>
      </c>
      <c r="AG5" s="29" t="s">
        <v>9</v>
      </c>
    </row>
    <row r="6" spans="2:33" x14ac:dyDescent="0.25">
      <c r="B6" s="24" t="s">
        <v>1</v>
      </c>
      <c r="C6" s="33">
        <v>45499</v>
      </c>
      <c r="D6" s="12"/>
      <c r="E6" s="15">
        <f>'Planilla de datos'!D3</f>
        <v>44384</v>
      </c>
      <c r="F6" s="12">
        <v>100</v>
      </c>
      <c r="G6" s="30"/>
      <c r="H6" s="12"/>
      <c r="I6" s="14">
        <v>-96.113</v>
      </c>
      <c r="K6" s="15">
        <f t="shared" ref="K6:K13" si="0">E6</f>
        <v>44384</v>
      </c>
      <c r="L6" s="12">
        <v>100</v>
      </c>
      <c r="M6" s="30"/>
      <c r="N6" s="12"/>
      <c r="O6" s="14">
        <f>I6</f>
        <v>-96.113</v>
      </c>
      <c r="Q6" s="15">
        <f>+K6</f>
        <v>44384</v>
      </c>
      <c r="R6" s="12">
        <v>100</v>
      </c>
      <c r="S6" s="30"/>
      <c r="T6" s="12"/>
      <c r="U6" s="14">
        <v>0</v>
      </c>
      <c r="W6" s="15">
        <f t="shared" ref="W6:Y13" si="1">+E6</f>
        <v>44384</v>
      </c>
      <c r="X6" s="12">
        <f t="shared" si="1"/>
        <v>100</v>
      </c>
      <c r="Y6" s="30"/>
      <c r="Z6" s="12"/>
      <c r="AA6" s="14">
        <v>0</v>
      </c>
      <c r="AC6" s="15">
        <f t="shared" ref="AC6:AE13" si="2">+W6</f>
        <v>44384</v>
      </c>
      <c r="AD6" s="12">
        <f t="shared" si="2"/>
        <v>100</v>
      </c>
      <c r="AE6" s="30"/>
      <c r="AF6" s="12"/>
      <c r="AG6" s="14">
        <f>-X39</f>
        <v>-111.94236658110729</v>
      </c>
    </row>
    <row r="7" spans="2:33" x14ac:dyDescent="0.25">
      <c r="B7" s="24" t="s">
        <v>2</v>
      </c>
      <c r="C7" s="34">
        <v>26.7515</v>
      </c>
      <c r="D7" s="12"/>
      <c r="E7" s="15">
        <v>44403</v>
      </c>
      <c r="F7" s="12">
        <v>100</v>
      </c>
      <c r="G7" s="14">
        <f t="shared" ref="G7:G13" si="3">$C$11*$C$10*(180/360)</f>
        <v>0.92473029549744867</v>
      </c>
      <c r="H7" s="12"/>
      <c r="I7" s="14">
        <f>SUM(G7:G7)</f>
        <v>0.92473029549744867</v>
      </c>
      <c r="K7" s="15">
        <f t="shared" si="0"/>
        <v>44403</v>
      </c>
      <c r="L7" s="12">
        <v>100</v>
      </c>
      <c r="M7" s="30">
        <f t="shared" ref="M7:M13" si="4">O22*($C$10/360*180)</f>
        <v>0</v>
      </c>
      <c r="N7" s="12"/>
      <c r="O7" s="14">
        <f>SUM(M7:M7)</f>
        <v>0</v>
      </c>
      <c r="Q7" s="15">
        <f t="shared" ref="Q7:Q13" si="5">K7</f>
        <v>44403</v>
      </c>
      <c r="R7" s="12">
        <v>100</v>
      </c>
      <c r="S7" s="30">
        <f t="shared" ref="S7:S13" si="6">M7</f>
        <v>0</v>
      </c>
      <c r="T7" s="12"/>
      <c r="U7" s="14">
        <f>SUM(S7:S7)</f>
        <v>0</v>
      </c>
      <c r="W7" s="15">
        <f t="shared" si="1"/>
        <v>44403</v>
      </c>
      <c r="X7" s="12">
        <f t="shared" si="1"/>
        <v>100</v>
      </c>
      <c r="Y7" s="14">
        <f t="shared" si="1"/>
        <v>0.92473029549744867</v>
      </c>
      <c r="Z7" s="12"/>
      <c r="AA7" s="14">
        <f t="shared" ref="AA7:AA13" si="7">+I7</f>
        <v>0.92473029549744867</v>
      </c>
      <c r="AC7" s="15">
        <f t="shared" si="2"/>
        <v>44403</v>
      </c>
      <c r="AD7" s="12">
        <f t="shared" si="2"/>
        <v>100</v>
      </c>
      <c r="AE7" s="14">
        <f t="shared" si="2"/>
        <v>0.92473029549744867</v>
      </c>
      <c r="AF7" s="12"/>
      <c r="AG7" s="14">
        <f t="shared" ref="AG7:AG13" si="8">+AA7</f>
        <v>0.92473029549744867</v>
      </c>
    </row>
    <row r="8" spans="2:33" x14ac:dyDescent="0.25">
      <c r="B8" s="24" t="s">
        <v>3</v>
      </c>
      <c r="C8" s="34">
        <f>'Planilla de datos'!D64</f>
        <v>31.919899999999998</v>
      </c>
      <c r="D8" s="12"/>
      <c r="E8" s="15">
        <v>44587</v>
      </c>
      <c r="F8" s="12">
        <v>100</v>
      </c>
      <c r="G8" s="14">
        <f t="shared" si="3"/>
        <v>0.92473029549744867</v>
      </c>
      <c r="H8" s="14"/>
      <c r="I8" s="14">
        <f t="shared" ref="I8:I13" si="9">SUM(G8:H8)</f>
        <v>0.92473029549744867</v>
      </c>
      <c r="K8" s="15">
        <f t="shared" si="0"/>
        <v>44587</v>
      </c>
      <c r="L8" s="12">
        <v>100</v>
      </c>
      <c r="M8" s="30">
        <f t="shared" si="4"/>
        <v>0</v>
      </c>
      <c r="N8" s="14"/>
      <c r="O8" s="14">
        <f t="shared" ref="O8:O13" si="10">SUM(M8:N8)</f>
        <v>0</v>
      </c>
      <c r="Q8" s="15">
        <f t="shared" si="5"/>
        <v>44587</v>
      </c>
      <c r="R8" s="12">
        <v>100</v>
      </c>
      <c r="S8" s="30">
        <f t="shared" si="6"/>
        <v>0</v>
      </c>
      <c r="T8" s="14"/>
      <c r="U8" s="14">
        <f t="shared" ref="U8:U13" si="11">SUM(S8:T8)</f>
        <v>0</v>
      </c>
      <c r="W8" s="15">
        <f t="shared" si="1"/>
        <v>44587</v>
      </c>
      <c r="X8" s="12">
        <f t="shared" si="1"/>
        <v>100</v>
      </c>
      <c r="Y8" s="14">
        <f t="shared" si="1"/>
        <v>0.92473029549744867</v>
      </c>
      <c r="Z8" s="14"/>
      <c r="AA8" s="14">
        <f t="shared" si="7"/>
        <v>0.92473029549744867</v>
      </c>
      <c r="AC8" s="15">
        <f t="shared" si="2"/>
        <v>44587</v>
      </c>
      <c r="AD8" s="12">
        <f t="shared" si="2"/>
        <v>100</v>
      </c>
      <c r="AE8" s="14">
        <f t="shared" si="2"/>
        <v>0.92473029549744867</v>
      </c>
      <c r="AF8" s="14"/>
      <c r="AG8" s="14">
        <f t="shared" si="8"/>
        <v>0.92473029549744867</v>
      </c>
    </row>
    <row r="9" spans="2:33" x14ac:dyDescent="0.25">
      <c r="B9" s="24" t="s">
        <v>4</v>
      </c>
      <c r="C9" s="34">
        <f>((C8-C7)/C7)+1</f>
        <v>1.1932003812870307</v>
      </c>
      <c r="D9" s="12"/>
      <c r="E9" s="15">
        <v>44768</v>
      </c>
      <c r="F9" s="12">
        <v>100</v>
      </c>
      <c r="G9" s="14">
        <f t="shared" si="3"/>
        <v>0.92473029549744867</v>
      </c>
      <c r="H9" s="12"/>
      <c r="I9" s="14">
        <f t="shared" si="9"/>
        <v>0.92473029549744867</v>
      </c>
      <c r="K9" s="15">
        <f t="shared" si="0"/>
        <v>44768</v>
      </c>
      <c r="L9" s="12">
        <v>100</v>
      </c>
      <c r="M9" s="30">
        <f t="shared" si="4"/>
        <v>0</v>
      </c>
      <c r="N9" s="14"/>
      <c r="O9" s="14">
        <f t="shared" si="10"/>
        <v>0</v>
      </c>
      <c r="Q9" s="15">
        <f t="shared" si="5"/>
        <v>44768</v>
      </c>
      <c r="R9" s="12">
        <v>100</v>
      </c>
      <c r="S9" s="30">
        <f t="shared" si="6"/>
        <v>0</v>
      </c>
      <c r="T9" s="14"/>
      <c r="U9" s="14">
        <f t="shared" si="11"/>
        <v>0</v>
      </c>
      <c r="W9" s="15">
        <f t="shared" si="1"/>
        <v>44768</v>
      </c>
      <c r="X9" s="12">
        <f t="shared" si="1"/>
        <v>100</v>
      </c>
      <c r="Y9" s="14">
        <f t="shared" si="1"/>
        <v>0.92473029549744867</v>
      </c>
      <c r="Z9" s="12"/>
      <c r="AA9" s="14">
        <f t="shared" si="7"/>
        <v>0.92473029549744867</v>
      </c>
      <c r="AC9" s="15">
        <f t="shared" si="2"/>
        <v>44768</v>
      </c>
      <c r="AD9" s="12">
        <f t="shared" si="2"/>
        <v>100</v>
      </c>
      <c r="AE9" s="14">
        <f t="shared" si="2"/>
        <v>0.92473029549744867</v>
      </c>
      <c r="AF9" s="12"/>
      <c r="AG9" s="14">
        <f t="shared" si="8"/>
        <v>0.92473029549744867</v>
      </c>
    </row>
    <row r="10" spans="2:33" x14ac:dyDescent="0.25">
      <c r="B10" s="24" t="s">
        <v>5</v>
      </c>
      <c r="C10" s="35">
        <v>1.55E-2</v>
      </c>
      <c r="D10" s="12"/>
      <c r="E10" s="15">
        <v>44952</v>
      </c>
      <c r="F10" s="12">
        <v>100</v>
      </c>
      <c r="G10" s="14">
        <f t="shared" si="3"/>
        <v>0.92473029549744867</v>
      </c>
      <c r="H10" s="12"/>
      <c r="I10" s="14">
        <f t="shared" si="9"/>
        <v>0.92473029549744867</v>
      </c>
      <c r="K10" s="15">
        <f t="shared" si="0"/>
        <v>44952</v>
      </c>
      <c r="L10" s="12">
        <v>100</v>
      </c>
      <c r="M10" s="30">
        <f t="shared" si="4"/>
        <v>0</v>
      </c>
      <c r="N10" s="12"/>
      <c r="O10" s="14">
        <f t="shared" si="10"/>
        <v>0</v>
      </c>
      <c r="Q10" s="15">
        <f t="shared" si="5"/>
        <v>44952</v>
      </c>
      <c r="R10" s="12">
        <v>100</v>
      </c>
      <c r="S10" s="30">
        <f t="shared" si="6"/>
        <v>0</v>
      </c>
      <c r="T10" s="14"/>
      <c r="U10" s="14">
        <f t="shared" si="11"/>
        <v>0</v>
      </c>
      <c r="W10" s="15">
        <f t="shared" si="1"/>
        <v>44952</v>
      </c>
      <c r="X10" s="12">
        <f t="shared" si="1"/>
        <v>100</v>
      </c>
      <c r="Y10" s="14">
        <f t="shared" si="1"/>
        <v>0.92473029549744867</v>
      </c>
      <c r="Z10" s="12"/>
      <c r="AA10" s="14">
        <f t="shared" si="7"/>
        <v>0.92473029549744867</v>
      </c>
      <c r="AC10" s="15">
        <f t="shared" si="2"/>
        <v>44952</v>
      </c>
      <c r="AD10" s="12">
        <f t="shared" si="2"/>
        <v>100</v>
      </c>
      <c r="AE10" s="14">
        <f t="shared" si="2"/>
        <v>0.92473029549744867</v>
      </c>
      <c r="AF10" s="12"/>
      <c r="AG10" s="14">
        <f t="shared" si="8"/>
        <v>0.92473029549744867</v>
      </c>
    </row>
    <row r="11" spans="2:33" x14ac:dyDescent="0.25">
      <c r="B11" s="36" t="s">
        <v>16</v>
      </c>
      <c r="C11" s="37">
        <f>C9*F6</f>
        <v>119.32003812870306</v>
      </c>
      <c r="D11" s="12"/>
      <c r="E11" s="15">
        <v>45133</v>
      </c>
      <c r="F11" s="12">
        <v>100</v>
      </c>
      <c r="G11" s="14">
        <f t="shared" si="3"/>
        <v>0.92473029549744867</v>
      </c>
      <c r="H11" s="14"/>
      <c r="I11" s="14">
        <f t="shared" si="9"/>
        <v>0.92473029549744867</v>
      </c>
      <c r="K11" s="15">
        <f t="shared" si="0"/>
        <v>45133</v>
      </c>
      <c r="L11" s="12">
        <v>100</v>
      </c>
      <c r="M11" s="30">
        <f t="shared" si="4"/>
        <v>0</v>
      </c>
      <c r="N11" s="4"/>
      <c r="O11" s="14">
        <f t="shared" si="10"/>
        <v>0</v>
      </c>
      <c r="Q11" s="15">
        <f t="shared" si="5"/>
        <v>45133</v>
      </c>
      <c r="R11" s="12">
        <v>100</v>
      </c>
      <c r="S11" s="30">
        <f t="shared" si="6"/>
        <v>0</v>
      </c>
      <c r="T11" s="14"/>
      <c r="U11" s="14">
        <f t="shared" si="11"/>
        <v>0</v>
      </c>
      <c r="W11" s="15">
        <f t="shared" si="1"/>
        <v>45133</v>
      </c>
      <c r="X11" s="12">
        <f t="shared" si="1"/>
        <v>100</v>
      </c>
      <c r="Y11" s="14">
        <f t="shared" si="1"/>
        <v>0.92473029549744867</v>
      </c>
      <c r="Z11" s="14"/>
      <c r="AA11" s="14">
        <f t="shared" si="7"/>
        <v>0.92473029549744867</v>
      </c>
      <c r="AC11" s="15">
        <f t="shared" si="2"/>
        <v>45133</v>
      </c>
      <c r="AD11" s="12">
        <f t="shared" si="2"/>
        <v>100</v>
      </c>
      <c r="AE11" s="14">
        <f t="shared" si="2"/>
        <v>0.92473029549744867</v>
      </c>
      <c r="AF11" s="14"/>
      <c r="AG11" s="14">
        <f t="shared" si="8"/>
        <v>0.92473029549744867</v>
      </c>
    </row>
    <row r="12" spans="2:33" x14ac:dyDescent="0.25">
      <c r="B12" s="12"/>
      <c r="C12" s="12"/>
      <c r="D12" s="12"/>
      <c r="E12" s="15">
        <v>45317</v>
      </c>
      <c r="F12" s="12">
        <v>100</v>
      </c>
      <c r="G12" s="14">
        <f t="shared" si="3"/>
        <v>0.92473029549744867</v>
      </c>
      <c r="H12" s="14"/>
      <c r="I12" s="14">
        <f t="shared" si="9"/>
        <v>0.92473029549744867</v>
      </c>
      <c r="K12" s="15">
        <f t="shared" si="0"/>
        <v>45317</v>
      </c>
      <c r="L12" s="12">
        <v>100</v>
      </c>
      <c r="M12" s="30">
        <f t="shared" si="4"/>
        <v>0</v>
      </c>
      <c r="N12" s="4"/>
      <c r="O12" s="14">
        <f t="shared" si="10"/>
        <v>0</v>
      </c>
      <c r="Q12" s="15">
        <f t="shared" si="5"/>
        <v>45317</v>
      </c>
      <c r="R12" s="12">
        <v>100</v>
      </c>
      <c r="S12" s="30">
        <f t="shared" si="6"/>
        <v>0</v>
      </c>
      <c r="T12" s="14"/>
      <c r="U12" s="14">
        <f t="shared" si="11"/>
        <v>0</v>
      </c>
      <c r="W12" s="15">
        <f t="shared" si="1"/>
        <v>45317</v>
      </c>
      <c r="X12" s="12">
        <f t="shared" si="1"/>
        <v>100</v>
      </c>
      <c r="Y12" s="14">
        <f t="shared" si="1"/>
        <v>0.92473029549744867</v>
      </c>
      <c r="Z12" s="14"/>
      <c r="AA12" s="14">
        <f t="shared" si="7"/>
        <v>0.92473029549744867</v>
      </c>
      <c r="AC12" s="15">
        <f t="shared" si="2"/>
        <v>45317</v>
      </c>
      <c r="AD12" s="12">
        <f t="shared" si="2"/>
        <v>100</v>
      </c>
      <c r="AE12" s="14">
        <f t="shared" si="2"/>
        <v>0.92473029549744867</v>
      </c>
      <c r="AF12" s="14"/>
      <c r="AG12" s="14">
        <f t="shared" si="8"/>
        <v>0.92473029549744867</v>
      </c>
    </row>
    <row r="13" spans="2:33" x14ac:dyDescent="0.25">
      <c r="B13" s="12"/>
      <c r="C13" s="12"/>
      <c r="D13" s="12"/>
      <c r="E13" s="15">
        <v>45499</v>
      </c>
      <c r="F13" s="12">
        <v>100</v>
      </c>
      <c r="G13" s="14">
        <f t="shared" si="3"/>
        <v>0.92473029549744867</v>
      </c>
      <c r="H13" s="14">
        <f>+C11</f>
        <v>119.32003812870306</v>
      </c>
      <c r="I13" s="14">
        <f t="shared" si="9"/>
        <v>120.24476842420052</v>
      </c>
      <c r="K13" s="15">
        <f t="shared" si="0"/>
        <v>45499</v>
      </c>
      <c r="L13" s="12">
        <v>100</v>
      </c>
      <c r="M13" s="30">
        <f t="shared" si="4"/>
        <v>0</v>
      </c>
      <c r="N13" s="30">
        <f>+O28</f>
        <v>0</v>
      </c>
      <c r="O13" s="14">
        <f t="shared" si="10"/>
        <v>0</v>
      </c>
      <c r="Q13" s="15">
        <f t="shared" si="5"/>
        <v>45499</v>
      </c>
      <c r="R13" s="12">
        <v>100</v>
      </c>
      <c r="S13" s="30">
        <f t="shared" si="6"/>
        <v>0</v>
      </c>
      <c r="T13" s="14">
        <f>N13</f>
        <v>0</v>
      </c>
      <c r="U13" s="14">
        <f t="shared" si="11"/>
        <v>0</v>
      </c>
      <c r="W13" s="15">
        <f t="shared" si="1"/>
        <v>45499</v>
      </c>
      <c r="X13" s="12">
        <f t="shared" si="1"/>
        <v>100</v>
      </c>
      <c r="Y13" s="14">
        <f t="shared" si="1"/>
        <v>0.92473029549744867</v>
      </c>
      <c r="Z13" s="14">
        <f>+H13</f>
        <v>119.32003812870306</v>
      </c>
      <c r="AA13" s="14">
        <f t="shared" si="7"/>
        <v>120.24476842420052</v>
      </c>
      <c r="AC13" s="15">
        <f t="shared" si="2"/>
        <v>45499</v>
      </c>
      <c r="AD13" s="12">
        <f t="shared" si="2"/>
        <v>100</v>
      </c>
      <c r="AE13" s="14">
        <f t="shared" si="2"/>
        <v>0.92473029549744867</v>
      </c>
      <c r="AF13" s="14">
        <f>+Z13</f>
        <v>119.32003812870306</v>
      </c>
      <c r="AG13" s="14">
        <f t="shared" si="8"/>
        <v>120.24476842420052</v>
      </c>
    </row>
    <row r="14" spans="2:33" x14ac:dyDescent="0.25">
      <c r="B14" s="12"/>
      <c r="C14" s="12"/>
      <c r="D14" s="12"/>
      <c r="E14" s="12"/>
      <c r="F14" s="12"/>
      <c r="G14" s="12"/>
      <c r="H14" s="12"/>
      <c r="I14" s="12"/>
      <c r="K14" s="12"/>
      <c r="L14" s="12"/>
      <c r="M14" s="12"/>
    </row>
    <row r="15" spans="2:33" x14ac:dyDescent="0.25">
      <c r="B15" s="12"/>
      <c r="C15" s="12"/>
      <c r="D15" s="12"/>
      <c r="E15" s="12"/>
      <c r="F15" s="12"/>
      <c r="H15" s="92" t="s">
        <v>13</v>
      </c>
      <c r="I15" s="86">
        <f>XIRR(I6:I13,E6:E13,0)</f>
        <v>9.4851870117187528E-2</v>
      </c>
      <c r="K15" s="12"/>
      <c r="L15" s="12"/>
      <c r="M15" s="12"/>
      <c r="N15" s="38" t="s">
        <v>10</v>
      </c>
      <c r="O15" s="39" t="e">
        <f>XIRR(O6:O13,K6:K13,0)</f>
        <v>#NUM!</v>
      </c>
      <c r="T15" s="87"/>
      <c r="U15" s="42"/>
      <c r="AF15" t="s">
        <v>10</v>
      </c>
      <c r="AG15" s="22">
        <f>XIRR(AG6:AG13,AC6:AC13)</f>
        <v>4.0000000596046484E-2</v>
      </c>
    </row>
    <row r="16" spans="2:33" x14ac:dyDescent="0.25">
      <c r="B16" s="12"/>
      <c r="C16" s="12"/>
      <c r="D16" s="12"/>
      <c r="E16" s="12"/>
      <c r="F16" s="12"/>
      <c r="H16" s="92" t="s">
        <v>29</v>
      </c>
      <c r="I16" s="71">
        <f>MDURATION(E6,E13,C10,I15,2)</f>
        <v>2.8249711013899694</v>
      </c>
      <c r="K16" s="12"/>
      <c r="L16" s="12"/>
      <c r="M16" s="12"/>
      <c r="N16" s="40" t="s">
        <v>64</v>
      </c>
      <c r="O16" s="43" t="e">
        <f>MDURATION(K6,K13,C10,O15,2)</f>
        <v>#NUM!</v>
      </c>
      <c r="T16" s="27"/>
      <c r="U16" s="49"/>
      <c r="AF16" t="s">
        <v>64</v>
      </c>
      <c r="AG16" s="4">
        <f>MDURATION(AC6,AC13,C10,AG15,2)</f>
        <v>2.910691623226922</v>
      </c>
    </row>
    <row r="17" spans="2:25" x14ac:dyDescent="0.25">
      <c r="B17" s="12"/>
      <c r="C17" s="12"/>
      <c r="D17" s="12"/>
      <c r="U17">
        <f>U8/100</f>
        <v>0</v>
      </c>
    </row>
    <row r="18" spans="2:25" x14ac:dyDescent="0.25">
      <c r="B18" s="12"/>
      <c r="C18" s="12"/>
      <c r="D18" s="12"/>
      <c r="E18" s="12"/>
      <c r="F18" s="12"/>
      <c r="G18" s="41"/>
      <c r="H18" s="41"/>
      <c r="I18" s="42"/>
      <c r="K18" s="12"/>
      <c r="L18" s="12"/>
      <c r="M18" s="12"/>
      <c r="N18" s="12"/>
      <c r="O18" s="12"/>
    </row>
    <row r="19" spans="2:25" x14ac:dyDescent="0.25">
      <c r="B19" s="12"/>
      <c r="C19" s="12"/>
      <c r="D19" s="12"/>
      <c r="E19" s="12"/>
      <c r="F19" s="12"/>
      <c r="G19" s="12"/>
      <c r="H19" s="12"/>
      <c r="I19" s="12"/>
      <c r="K19" s="415"/>
      <c r="L19" s="415"/>
      <c r="M19" s="415"/>
      <c r="N19" s="415"/>
      <c r="O19" s="415"/>
      <c r="P19" s="21"/>
    </row>
    <row r="21" spans="2:25" ht="28.5" x14ac:dyDescent="0.25">
      <c r="D21" s="12"/>
      <c r="E21" s="12"/>
      <c r="F21" s="12"/>
      <c r="G21" s="12"/>
      <c r="H21" s="12"/>
      <c r="I21" s="12"/>
      <c r="J21" s="12"/>
      <c r="K21" s="45" t="s">
        <v>6</v>
      </c>
      <c r="L21" s="45" t="s">
        <v>58</v>
      </c>
      <c r="M21" s="45" t="s">
        <v>24</v>
      </c>
      <c r="N21" s="45" t="s">
        <v>4</v>
      </c>
      <c r="O21" s="45" t="s">
        <v>59</v>
      </c>
      <c r="P21" s="12"/>
      <c r="Q21" s="12"/>
      <c r="R21" s="12"/>
    </row>
    <row r="22" spans="2:25" ht="15" customHeight="1" x14ac:dyDescent="0.25">
      <c r="D22" s="12"/>
      <c r="J22" s="12"/>
      <c r="K22" s="15">
        <f t="shared" ref="K22:K28" si="12">K7</f>
        <v>44403</v>
      </c>
      <c r="L22" s="330"/>
      <c r="M22" s="331"/>
      <c r="N22" s="47">
        <f t="shared" ref="N22:N28" si="13">(M22/$C$7)</f>
        <v>0</v>
      </c>
      <c r="O22" s="14">
        <f t="shared" ref="O22:O28" si="14">100*N22</f>
        <v>0</v>
      </c>
      <c r="P22" s="12"/>
      <c r="Q22" s="12"/>
      <c r="R22" s="12"/>
    </row>
    <row r="23" spans="2:25" x14ac:dyDescent="0.25">
      <c r="D23" s="12"/>
      <c r="J23" s="12"/>
      <c r="K23" s="15">
        <f t="shared" si="12"/>
        <v>44587</v>
      </c>
      <c r="L23" s="330"/>
      <c r="M23" s="331"/>
      <c r="N23" s="47">
        <f t="shared" si="13"/>
        <v>0</v>
      </c>
      <c r="O23" s="14">
        <f t="shared" si="14"/>
        <v>0</v>
      </c>
      <c r="P23" s="12"/>
      <c r="Q23" s="12"/>
      <c r="R23" s="12"/>
      <c r="W23" s="404" t="s">
        <v>81</v>
      </c>
      <c r="X23" s="404"/>
      <c r="Y23" s="404"/>
    </row>
    <row r="24" spans="2:25" x14ac:dyDescent="0.25">
      <c r="D24" s="12"/>
      <c r="E24" s="12"/>
      <c r="F24" s="12"/>
      <c r="G24" s="12"/>
      <c r="H24" s="12"/>
      <c r="I24" s="12"/>
      <c r="J24" s="12"/>
      <c r="K24" s="15">
        <f t="shared" si="12"/>
        <v>44768</v>
      </c>
      <c r="L24" s="330"/>
      <c r="M24" s="331"/>
      <c r="N24" s="47">
        <f t="shared" si="13"/>
        <v>0</v>
      </c>
      <c r="O24" s="14">
        <f t="shared" si="14"/>
        <v>0</v>
      </c>
      <c r="P24" s="12"/>
      <c r="Q24" s="12"/>
      <c r="R24" s="12"/>
      <c r="W24" s="404" t="s">
        <v>82</v>
      </c>
      <c r="X24" s="404"/>
      <c r="Y24" s="404"/>
    </row>
    <row r="25" spans="2:25" x14ac:dyDescent="0.25">
      <c r="D25" s="12"/>
      <c r="E25" s="12"/>
      <c r="F25" s="12"/>
      <c r="G25" s="12"/>
      <c r="H25" s="12"/>
      <c r="I25" s="12"/>
      <c r="J25" s="12"/>
      <c r="K25" s="15">
        <f t="shared" si="12"/>
        <v>44952</v>
      </c>
      <c r="L25" s="330"/>
      <c r="M25" s="331"/>
      <c r="N25" s="47">
        <f t="shared" si="13"/>
        <v>0</v>
      </c>
      <c r="O25" s="14">
        <f t="shared" si="14"/>
        <v>0</v>
      </c>
      <c r="P25" s="12"/>
      <c r="Q25" s="12"/>
      <c r="R25" s="12"/>
      <c r="W25" s="108" t="s">
        <v>10</v>
      </c>
      <c r="X25" s="108" t="s">
        <v>83</v>
      </c>
      <c r="Y25" s="108" t="s">
        <v>84</v>
      </c>
    </row>
    <row r="26" spans="2:25" x14ac:dyDescent="0.25">
      <c r="D26" s="12"/>
      <c r="E26" s="12"/>
      <c r="F26" s="12"/>
      <c r="G26" s="12"/>
      <c r="H26" s="12"/>
      <c r="I26" s="12"/>
      <c r="J26" s="12"/>
      <c r="K26" s="15">
        <f t="shared" si="12"/>
        <v>45133</v>
      </c>
      <c r="L26" s="330"/>
      <c r="M26" s="331"/>
      <c r="N26" s="47">
        <f t="shared" si="13"/>
        <v>0</v>
      </c>
      <c r="O26" s="14">
        <f t="shared" si="14"/>
        <v>0</v>
      </c>
      <c r="P26" s="12"/>
      <c r="Q26" s="12"/>
      <c r="R26" s="12"/>
      <c r="W26" s="16">
        <v>0.15</v>
      </c>
      <c r="X26" s="49">
        <f>XNPV(W26,AA6:AA13,W6:W13)</f>
        <v>83.1166787043543</v>
      </c>
      <c r="Y26" s="18">
        <f t="shared" ref="Y26:Y41" si="15">(X26+$I$6)/(-$I$6)</f>
        <v>-0.13521918258347673</v>
      </c>
    </row>
    <row r="27" spans="2:25" x14ac:dyDescent="0.25">
      <c r="D27" s="12"/>
      <c r="E27" s="12"/>
      <c r="F27" s="12"/>
      <c r="G27" s="12"/>
      <c r="H27" s="12"/>
      <c r="I27" s="12"/>
      <c r="J27" s="12"/>
      <c r="K27" s="15">
        <f t="shared" si="12"/>
        <v>45317</v>
      </c>
      <c r="L27" s="330"/>
      <c r="M27" s="331"/>
      <c r="N27" s="47">
        <f t="shared" si="13"/>
        <v>0</v>
      </c>
      <c r="O27" s="14">
        <f t="shared" si="14"/>
        <v>0</v>
      </c>
      <c r="P27" s="12"/>
      <c r="Q27" s="12"/>
      <c r="R27" s="12"/>
      <c r="W27" s="16">
        <v>0.14000000000000001</v>
      </c>
      <c r="X27" s="49">
        <f>XNPV(W27,AA6:AA13,W6:W13)</f>
        <v>85.287416846689993</v>
      </c>
      <c r="Y27" s="18">
        <f t="shared" si="15"/>
        <v>-0.11263391168010578</v>
      </c>
    </row>
    <row r="28" spans="2:25" x14ac:dyDescent="0.25">
      <c r="D28" s="12"/>
      <c r="E28" s="12"/>
      <c r="F28" s="12"/>
      <c r="G28" s="12"/>
      <c r="H28" s="12"/>
      <c r="I28" s="12"/>
      <c r="J28" s="12"/>
      <c r="K28" s="15">
        <f t="shared" si="12"/>
        <v>45499</v>
      </c>
      <c r="L28" s="330"/>
      <c r="M28" s="331"/>
      <c r="N28" s="47">
        <f t="shared" si="13"/>
        <v>0</v>
      </c>
      <c r="O28" s="14">
        <f t="shared" si="14"/>
        <v>0</v>
      </c>
      <c r="P28" s="12"/>
      <c r="Q28" s="12"/>
      <c r="R28" s="12"/>
      <c r="W28" s="16">
        <v>0.13</v>
      </c>
      <c r="X28" s="49">
        <f>XNPV(W28,AA6:AA13,W6:W13)</f>
        <v>87.536201695498519</v>
      </c>
      <c r="Y28" s="18">
        <f t="shared" si="15"/>
        <v>-8.9236610078776854E-2</v>
      </c>
    </row>
    <row r="29" spans="2:25" x14ac:dyDescent="0.25">
      <c r="D29" s="12"/>
      <c r="E29" s="12"/>
      <c r="F29" s="12"/>
      <c r="G29" s="12"/>
      <c r="H29" s="12"/>
      <c r="I29" s="12"/>
      <c r="J29" s="12"/>
      <c r="P29" s="12"/>
      <c r="Q29" s="12"/>
      <c r="R29" s="12"/>
      <c r="W29" s="16">
        <v>0.12</v>
      </c>
      <c r="X29" s="49">
        <f>XNPV(W29,AA6:AA13,W6:W13)</f>
        <v>89.866575702265564</v>
      </c>
      <c r="Y29" s="18">
        <f t="shared" si="15"/>
        <v>-6.4990420627120529E-2</v>
      </c>
    </row>
    <row r="30" spans="2:25" x14ac:dyDescent="0.25">
      <c r="D30" s="12"/>
      <c r="E30" s="12"/>
      <c r="F30" s="12"/>
      <c r="G30" s="12"/>
      <c r="H30" s="12"/>
      <c r="I30" s="12"/>
      <c r="J30" s="12"/>
      <c r="K30" s="15"/>
      <c r="L30" s="12"/>
      <c r="M30" s="12"/>
      <c r="N30" s="12"/>
      <c r="O30" s="12"/>
      <c r="P30" s="12"/>
      <c r="Q30" s="12"/>
      <c r="R30" s="12"/>
      <c r="W30" s="16">
        <v>0.11</v>
      </c>
      <c r="X30" s="49">
        <f>XNPV(W30,AA6:AA13,W6:W13)</f>
        <v>92.282275931967348</v>
      </c>
      <c r="Y30" s="18">
        <f t="shared" si="15"/>
        <v>-3.9856461332313541E-2</v>
      </c>
    </row>
    <row r="31" spans="2:25" x14ac:dyDescent="0.25">
      <c r="D31" s="12"/>
      <c r="E31" s="129"/>
      <c r="F31" s="129"/>
      <c r="G31" s="61">
        <v>0.35</v>
      </c>
      <c r="H31" s="62">
        <f>XNPV(G31,U6:U13,Q6:Q13)</f>
        <v>0</v>
      </c>
      <c r="I31" s="61">
        <f>(H31/-$I$6)-1</f>
        <v>-1</v>
      </c>
      <c r="J31" s="110"/>
      <c r="K31" s="412"/>
      <c r="L31" s="412"/>
      <c r="M31" s="412"/>
      <c r="N31" s="412"/>
      <c r="O31" s="412"/>
      <c r="P31" s="412"/>
      <c r="Q31" s="12"/>
      <c r="R31" s="12"/>
      <c r="W31" s="16">
        <v>0.1</v>
      </c>
      <c r="X31" s="49">
        <f>XNPV(W31,AA6:AA13,W6:W13)</f>
        <v>94.787246643118522</v>
      </c>
      <c r="Y31" s="18">
        <f t="shared" si="15"/>
        <v>-1.3793694472979491E-2</v>
      </c>
    </row>
    <row r="32" spans="2:25" x14ac:dyDescent="0.25">
      <c r="D32" s="12"/>
      <c r="E32" s="406" t="s">
        <v>18</v>
      </c>
      <c r="F32" s="406"/>
      <c r="G32" s="18">
        <v>0.4</v>
      </c>
      <c r="H32" s="49">
        <f>XNPV(G32,U6:U13,Q6:Q13)</f>
        <v>0</v>
      </c>
      <c r="I32" s="18">
        <f>(H32/-$I$6)-1</f>
        <v>-1</v>
      </c>
      <c r="J32" s="110"/>
      <c r="K32" s="110"/>
      <c r="L32" s="110"/>
      <c r="M32" s="110"/>
      <c r="N32" s="110"/>
      <c r="O32" s="110"/>
      <c r="P32" s="110"/>
      <c r="Q32" s="12"/>
      <c r="R32" s="12"/>
      <c r="W32" s="16">
        <v>0.09</v>
      </c>
      <c r="X32" s="49">
        <f>XNPV(W32,AA6:AA13,W6:W13)</f>
        <v>97.385652805224524</v>
      </c>
      <c r="Y32" s="18">
        <f t="shared" si="15"/>
        <v>1.324121404206012E-2</v>
      </c>
    </row>
    <row r="33" spans="4:25" x14ac:dyDescent="0.25">
      <c r="D33" s="12"/>
      <c r="E33" s="407"/>
      <c r="F33" s="407"/>
      <c r="G33" s="63">
        <v>0.45</v>
      </c>
      <c r="H33" s="64">
        <f>XNPV(G33,U6:U13,Q6:Q13)</f>
        <v>0</v>
      </c>
      <c r="I33" s="63">
        <f>(H33/-I6)-1</f>
        <v>-1</v>
      </c>
      <c r="J33" s="110"/>
      <c r="K33" s="274"/>
      <c r="L33" s="274"/>
      <c r="M33" s="110"/>
      <c r="N33" s="274"/>
      <c r="O33" s="274"/>
      <c r="P33" s="274"/>
      <c r="Q33" s="12"/>
      <c r="R33" s="12"/>
      <c r="W33" s="16">
        <v>0.08</v>
      </c>
      <c r="X33" s="49">
        <f>XNPV(W33,AA6:AA13,W6:W13)</f>
        <v>100.08189463291201</v>
      </c>
      <c r="Y33" s="18">
        <f t="shared" si="15"/>
        <v>4.1294045892980254E-2</v>
      </c>
    </row>
    <row r="34" spans="4:25" x14ac:dyDescent="0.25">
      <c r="D34" s="12"/>
      <c r="E34" s="12"/>
      <c r="F34" s="12"/>
      <c r="G34" s="12"/>
      <c r="H34" s="12"/>
      <c r="I34" s="12"/>
      <c r="J34" s="110"/>
      <c r="K34" s="112"/>
      <c r="L34" s="112"/>
      <c r="M34" s="110"/>
      <c r="N34" s="113"/>
      <c r="O34" s="110"/>
      <c r="P34" s="114"/>
      <c r="Q34" s="12"/>
      <c r="R34" s="12"/>
      <c r="W34" s="16">
        <v>7.0000000000000007E-2</v>
      </c>
      <c r="X34" s="49">
        <f>XNPV(W34,AA6:AA13,W6:W13)</f>
        <v>102.88062322352758</v>
      </c>
      <c r="Y34" s="18">
        <f t="shared" si="15"/>
        <v>7.0413193049094075E-2</v>
      </c>
    </row>
    <row r="35" spans="4:25" x14ac:dyDescent="0.25">
      <c r="D35" s="12"/>
      <c r="E35" s="12"/>
      <c r="F35" s="12"/>
      <c r="G35" s="12"/>
      <c r="H35" s="12"/>
      <c r="I35" s="12"/>
      <c r="J35" s="110"/>
      <c r="K35" s="121"/>
      <c r="L35" s="115"/>
      <c r="M35" s="110"/>
      <c r="N35" s="113"/>
      <c r="O35" s="110"/>
      <c r="P35" s="114"/>
      <c r="Q35" s="12"/>
      <c r="R35" s="12"/>
      <c r="W35" s="16">
        <v>0.06</v>
      </c>
      <c r="X35" s="49">
        <f>XNPV(W35,AA6:AA13,W6:W13)</f>
        <v>105.78675739330303</v>
      </c>
      <c r="Y35" s="18">
        <f t="shared" si="15"/>
        <v>0.10064983293938422</v>
      </c>
    </row>
    <row r="36" spans="4:25" x14ac:dyDescent="0.25">
      <c r="D36" s="12"/>
      <c r="E36" s="12"/>
      <c r="F36" s="12"/>
      <c r="G36" s="12"/>
      <c r="H36" s="12"/>
      <c r="I36" s="12"/>
      <c r="J36" s="110"/>
      <c r="K36" s="114"/>
      <c r="L36" s="110"/>
      <c r="M36" s="110"/>
      <c r="N36" s="113"/>
      <c r="O36" s="110"/>
      <c r="P36" s="114"/>
      <c r="Q36" s="12"/>
      <c r="R36" s="12"/>
      <c r="W36" s="16">
        <v>5.5E-2</v>
      </c>
      <c r="X36" s="49">
        <f>XNPV(W36,AA6:AA13,W6:W13)</f>
        <v>107.28171634019978</v>
      </c>
      <c r="Y36" s="18">
        <f t="shared" si="15"/>
        <v>0.11620401340297129</v>
      </c>
    </row>
    <row r="37" spans="4:25" x14ac:dyDescent="0.25">
      <c r="D37" s="12"/>
      <c r="E37" s="12"/>
      <c r="F37" s="12"/>
      <c r="G37" s="12"/>
      <c r="H37" s="12"/>
      <c r="I37" s="12"/>
      <c r="J37" s="110"/>
      <c r="K37" s="110"/>
      <c r="L37" s="110"/>
      <c r="M37" s="110"/>
      <c r="N37" s="113"/>
      <c r="O37" s="110"/>
      <c r="P37" s="114"/>
      <c r="Q37" s="12"/>
      <c r="R37" s="12"/>
      <c r="W37" s="16">
        <v>0.05</v>
      </c>
      <c r="X37" s="49">
        <f>XNPV(W37,AA6:AA13,W6:W13)</f>
        <v>108.80550181637295</v>
      </c>
      <c r="Y37" s="18">
        <f t="shared" si="15"/>
        <v>0.13205811717845611</v>
      </c>
    </row>
    <row r="38" spans="4:25" x14ac:dyDescent="0.25">
      <c r="D38" s="12"/>
      <c r="E38" s="12"/>
      <c r="F38" s="12"/>
      <c r="G38" s="12"/>
      <c r="H38" s="12"/>
      <c r="I38" s="12"/>
      <c r="J38" s="110"/>
      <c r="K38" s="110"/>
      <c r="L38" s="110"/>
      <c r="M38" s="110"/>
      <c r="N38" s="113"/>
      <c r="O38" s="110"/>
      <c r="P38" s="114"/>
      <c r="Q38" s="12"/>
      <c r="R38" s="12"/>
      <c r="W38" s="16">
        <v>4.4999999999999998E-2</v>
      </c>
      <c r="X38" s="49">
        <f>XNPV(W38,AA6:AA13,W6:W13)</f>
        <v>110.35881227946652</v>
      </c>
      <c r="Y38" s="18">
        <f t="shared" si="15"/>
        <v>0.14821941131237731</v>
      </c>
    </row>
    <row r="39" spans="4:25" x14ac:dyDescent="0.25">
      <c r="D39" s="12"/>
      <c r="E39" s="12"/>
      <c r="F39" s="12"/>
      <c r="G39" s="12"/>
      <c r="H39" s="12"/>
      <c r="I39" s="12"/>
      <c r="J39" s="110"/>
      <c r="K39" s="110"/>
      <c r="L39" s="110"/>
      <c r="M39" s="110"/>
      <c r="N39" s="113"/>
      <c r="O39" s="110"/>
      <c r="P39" s="114"/>
      <c r="Q39" s="12"/>
      <c r="R39" s="12"/>
      <c r="W39" s="16">
        <v>0.04</v>
      </c>
      <c r="X39" s="49">
        <f>XNPV(W39,AA6:AA13,W6:W13)</f>
        <v>111.94236658110729</v>
      </c>
      <c r="Y39" s="18">
        <f t="shared" si="15"/>
        <v>0.16469537503883236</v>
      </c>
    </row>
    <row r="40" spans="4:25" x14ac:dyDescent="0.25">
      <c r="D40" s="12"/>
      <c r="E40" s="12"/>
      <c r="F40" s="12"/>
      <c r="G40" s="12"/>
      <c r="H40" s="12"/>
      <c r="I40" s="12"/>
      <c r="J40" s="110"/>
      <c r="K40" s="110"/>
      <c r="L40" s="110"/>
      <c r="M40" s="110"/>
      <c r="N40" s="113"/>
      <c r="O40" s="110"/>
      <c r="P40" s="114"/>
      <c r="Q40" s="12"/>
      <c r="R40" s="12"/>
      <c r="W40" s="16">
        <v>0.03</v>
      </c>
      <c r="X40" s="49">
        <f>XNPV(W40,AA6:AA13,W6:W13)</f>
        <v>115.20318828949857</v>
      </c>
      <c r="Y40" s="18">
        <f t="shared" si="15"/>
        <v>0.1986223329778341</v>
      </c>
    </row>
    <row r="41" spans="4:25" x14ac:dyDescent="0.25">
      <c r="D41" s="12"/>
      <c r="E41" s="12"/>
      <c r="F41" s="12"/>
      <c r="G41" s="12"/>
      <c r="H41" s="12"/>
      <c r="I41" s="12"/>
      <c r="J41" s="110"/>
      <c r="K41" s="110"/>
      <c r="L41" s="110"/>
      <c r="M41" s="110"/>
      <c r="N41" s="113"/>
      <c r="O41" s="110"/>
      <c r="P41" s="114"/>
      <c r="Q41" s="12"/>
      <c r="R41" s="12"/>
      <c r="W41" s="16">
        <v>0.02</v>
      </c>
      <c r="X41" s="49">
        <f>XNPV(W41,AA6:AA13,W6:W13)</f>
        <v>118.59415283785502</v>
      </c>
      <c r="Y41" s="18">
        <f t="shared" si="15"/>
        <v>0.2339033516574763</v>
      </c>
    </row>
    <row r="42" spans="4:25" x14ac:dyDescent="0.25">
      <c r="D42" s="12"/>
      <c r="E42" s="12"/>
      <c r="F42" s="12"/>
      <c r="G42" s="12"/>
      <c r="H42" s="12"/>
      <c r="I42" s="12"/>
      <c r="J42" s="110"/>
      <c r="K42" s="110"/>
      <c r="L42" s="110"/>
      <c r="M42" s="110"/>
      <c r="N42" s="110"/>
      <c r="O42" s="110"/>
      <c r="P42" s="110"/>
      <c r="Q42" s="12"/>
      <c r="R42" s="12"/>
    </row>
    <row r="43" spans="4:25" x14ac:dyDescent="0.25">
      <c r="D43" s="12"/>
      <c r="E43" s="12"/>
      <c r="F43" s="12"/>
      <c r="G43" s="12"/>
      <c r="H43" s="12"/>
      <c r="I43" s="12"/>
      <c r="J43" s="110"/>
      <c r="K43" s="110"/>
      <c r="L43" s="110"/>
      <c r="M43" s="110"/>
      <c r="N43" s="110"/>
      <c r="O43" s="110"/>
      <c r="P43" s="110"/>
      <c r="Q43" s="12"/>
      <c r="R43" s="12"/>
    </row>
    <row r="44" spans="4:25" x14ac:dyDescent="0.25">
      <c r="J44" s="51"/>
      <c r="K44" s="51"/>
      <c r="L44" s="51"/>
      <c r="M44" s="51"/>
      <c r="N44" s="51"/>
      <c r="O44" s="51"/>
      <c r="P44" s="51"/>
    </row>
  </sheetData>
  <mergeCells count="12">
    <mergeCell ref="E32:F33"/>
    <mergeCell ref="B2:I2"/>
    <mergeCell ref="B4:C4"/>
    <mergeCell ref="E4:I4"/>
    <mergeCell ref="K4:O4"/>
    <mergeCell ref="AC4:AG4"/>
    <mergeCell ref="K19:O19"/>
    <mergeCell ref="W23:Y23"/>
    <mergeCell ref="W24:Y24"/>
    <mergeCell ref="K31:P31"/>
    <mergeCell ref="Q4:U4"/>
    <mergeCell ref="W4:AA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5"/>
  <sheetViews>
    <sheetView showGridLines="0" zoomScale="90" zoomScaleNormal="90" workbookViewId="0">
      <selection activeCell="K27" sqref="K27"/>
    </sheetView>
  </sheetViews>
  <sheetFormatPr baseColWidth="10" defaultRowHeight="15" x14ac:dyDescent="0.25"/>
  <cols>
    <col min="1" max="1" width="4.42578125" customWidth="1"/>
    <col min="2" max="2" width="12.28515625" customWidth="1"/>
    <col min="3" max="3" width="11.28515625" customWidth="1"/>
    <col min="4" max="4" width="3.140625" customWidth="1"/>
    <col min="5" max="5" width="12.140625" bestFit="1" customWidth="1"/>
    <col min="6" max="6" width="9.42578125" customWidth="1"/>
    <col min="7" max="7" width="10.85546875" customWidth="1"/>
    <col min="8" max="8" width="10" customWidth="1"/>
    <col min="9" max="9" width="10.140625" customWidth="1"/>
    <col min="10" max="10" width="4" customWidth="1"/>
    <col min="11" max="11" width="3" customWidth="1"/>
  </cols>
  <sheetData>
    <row r="1" spans="2:1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2:11" ht="15.75" x14ac:dyDescent="0.25">
      <c r="B2" s="413" t="s">
        <v>115</v>
      </c>
      <c r="C2" s="413"/>
      <c r="D2" s="413"/>
      <c r="E2" s="413"/>
      <c r="F2" s="413"/>
      <c r="G2" s="413"/>
      <c r="H2" s="413"/>
      <c r="I2" s="413"/>
      <c r="J2" s="12"/>
      <c r="K2" s="12"/>
    </row>
    <row r="3" spans="2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1" x14ac:dyDescent="0.25">
      <c r="B4" s="373" t="s">
        <v>37</v>
      </c>
      <c r="C4" s="374"/>
      <c r="D4" s="12"/>
      <c r="E4" s="398" t="s">
        <v>77</v>
      </c>
      <c r="F4" s="398"/>
      <c r="G4" s="398"/>
      <c r="H4" s="398"/>
      <c r="I4" s="398"/>
      <c r="J4" s="12"/>
      <c r="K4" s="12"/>
    </row>
    <row r="5" spans="2:11" x14ac:dyDescent="0.25">
      <c r="B5" s="24" t="s">
        <v>0</v>
      </c>
      <c r="C5" s="32">
        <v>43217</v>
      </c>
      <c r="D5" s="12"/>
      <c r="E5" s="68" t="s">
        <v>14</v>
      </c>
      <c r="F5" s="68" t="s">
        <v>7</v>
      </c>
      <c r="G5" s="68" t="s">
        <v>8</v>
      </c>
      <c r="H5" s="68" t="s">
        <v>33</v>
      </c>
      <c r="I5" s="68" t="s">
        <v>9</v>
      </c>
      <c r="J5" s="12"/>
      <c r="K5" s="12"/>
    </row>
    <row r="6" spans="2:11" x14ac:dyDescent="0.25">
      <c r="B6" s="24" t="s">
        <v>1</v>
      </c>
      <c r="C6" s="33">
        <v>45774</v>
      </c>
      <c r="D6" s="12"/>
      <c r="E6" s="69">
        <f>'Planilla de datos'!D3</f>
        <v>44384</v>
      </c>
      <c r="F6" s="70">
        <v>100</v>
      </c>
      <c r="G6" s="26"/>
      <c r="H6" s="26"/>
      <c r="I6" s="71">
        <f>-'Planilla de datos'!C77</f>
        <v>-342</v>
      </c>
      <c r="J6" s="12"/>
      <c r="K6" s="12"/>
    </row>
    <row r="7" spans="2:11" x14ac:dyDescent="0.25">
      <c r="B7" s="24" t="s">
        <v>2</v>
      </c>
      <c r="C7" s="25">
        <v>9.0620999999999992</v>
      </c>
      <c r="D7" s="12"/>
      <c r="E7" s="69">
        <v>44496</v>
      </c>
      <c r="F7" s="70">
        <v>100</v>
      </c>
      <c r="G7" s="72">
        <f>C10*C11/2</f>
        <v>7.0447026627382172</v>
      </c>
      <c r="H7" s="74"/>
      <c r="I7" s="71">
        <f t="shared" ref="I7:I14" si="0">SUM(G7:H7)</f>
        <v>7.0447026627382172</v>
      </c>
      <c r="J7" s="12"/>
      <c r="K7" s="12"/>
    </row>
    <row r="8" spans="2:11" x14ac:dyDescent="0.25">
      <c r="B8" s="24" t="s">
        <v>3</v>
      </c>
      <c r="C8" s="25">
        <f>'Planilla de datos'!D64</f>
        <v>31.919899999999998</v>
      </c>
      <c r="D8" s="12"/>
      <c r="E8" s="69">
        <v>44678</v>
      </c>
      <c r="F8" s="70">
        <v>100</v>
      </c>
      <c r="G8" s="72">
        <f t="shared" ref="G8:G14" si="1">G7</f>
        <v>7.0447026627382172</v>
      </c>
      <c r="H8" s="12"/>
      <c r="I8" s="71">
        <f t="shared" si="0"/>
        <v>7.0447026627382172</v>
      </c>
      <c r="J8" s="12"/>
      <c r="K8" s="12"/>
    </row>
    <row r="9" spans="2:11" x14ac:dyDescent="0.25">
      <c r="B9" s="24" t="s">
        <v>4</v>
      </c>
      <c r="C9" s="34">
        <f>((C8-C7)/C7)+1</f>
        <v>3.5223513313691086</v>
      </c>
      <c r="D9" s="12"/>
      <c r="E9" s="69">
        <v>44861</v>
      </c>
      <c r="F9" s="70">
        <v>100</v>
      </c>
      <c r="G9" s="72">
        <f t="shared" si="1"/>
        <v>7.0447026627382172</v>
      </c>
      <c r="H9" s="12"/>
      <c r="I9" s="71">
        <f t="shared" si="0"/>
        <v>7.0447026627382172</v>
      </c>
      <c r="J9" s="12"/>
      <c r="K9" s="12"/>
    </row>
    <row r="10" spans="2:11" x14ac:dyDescent="0.25">
      <c r="B10" s="24" t="s">
        <v>5</v>
      </c>
      <c r="C10" s="35">
        <v>0.04</v>
      </c>
      <c r="D10" s="12"/>
      <c r="E10" s="69">
        <v>45043</v>
      </c>
      <c r="F10" s="70">
        <v>100</v>
      </c>
      <c r="G10" s="72">
        <f t="shared" si="1"/>
        <v>7.0447026627382172</v>
      </c>
      <c r="H10" s="14"/>
      <c r="I10" s="71">
        <f t="shared" si="0"/>
        <v>7.0447026627382172</v>
      </c>
      <c r="J10" s="12"/>
      <c r="K10" s="12"/>
    </row>
    <row r="11" spans="2:11" x14ac:dyDescent="0.25">
      <c r="B11" s="36" t="s">
        <v>16</v>
      </c>
      <c r="C11" s="37">
        <f>C9*F6</f>
        <v>352.23513313691086</v>
      </c>
      <c r="D11" s="12"/>
      <c r="E11" s="69">
        <v>45226</v>
      </c>
      <c r="F11" s="70">
        <v>100</v>
      </c>
      <c r="G11" s="72">
        <f t="shared" si="1"/>
        <v>7.0447026627382172</v>
      </c>
      <c r="H11" s="12"/>
      <c r="I11" s="71">
        <f t="shared" si="0"/>
        <v>7.0447026627382172</v>
      </c>
      <c r="J11" s="12"/>
      <c r="K11" s="12"/>
    </row>
    <row r="12" spans="2:11" x14ac:dyDescent="0.25">
      <c r="B12" s="12"/>
      <c r="C12" s="12"/>
      <c r="D12" s="12"/>
      <c r="E12" s="69">
        <v>45409</v>
      </c>
      <c r="F12" s="70">
        <v>100</v>
      </c>
      <c r="G12" s="72">
        <f t="shared" si="1"/>
        <v>7.0447026627382172</v>
      </c>
      <c r="I12" s="71">
        <f t="shared" si="0"/>
        <v>7.0447026627382172</v>
      </c>
      <c r="J12" s="12"/>
      <c r="K12" s="12"/>
    </row>
    <row r="13" spans="2:11" x14ac:dyDescent="0.25">
      <c r="B13" s="12"/>
      <c r="C13" s="12"/>
      <c r="D13" s="12"/>
      <c r="E13" s="69">
        <v>45592</v>
      </c>
      <c r="F13" s="70">
        <v>100</v>
      </c>
      <c r="G13" s="72">
        <f t="shared" si="1"/>
        <v>7.0447026627382172</v>
      </c>
      <c r="I13" s="71">
        <f t="shared" si="0"/>
        <v>7.0447026627382172</v>
      </c>
      <c r="J13" s="12"/>
      <c r="K13" s="12"/>
    </row>
    <row r="14" spans="2:11" x14ac:dyDescent="0.25">
      <c r="B14" s="12"/>
      <c r="C14" s="12"/>
      <c r="D14" s="12"/>
      <c r="E14" s="69">
        <v>45774</v>
      </c>
      <c r="F14" s="70">
        <v>100</v>
      </c>
      <c r="G14" s="72">
        <f t="shared" si="1"/>
        <v>7.0447026627382172</v>
      </c>
      <c r="H14" s="14">
        <f>+C11</f>
        <v>352.23513313691086</v>
      </c>
      <c r="I14" s="71">
        <f t="shared" si="0"/>
        <v>359.27983579964905</v>
      </c>
      <c r="J14" s="12"/>
      <c r="K14" s="12"/>
    </row>
    <row r="15" spans="2:11" x14ac:dyDescent="0.25">
      <c r="B15" s="12"/>
      <c r="C15" s="22"/>
      <c r="D15" s="12"/>
      <c r="J15" s="12"/>
      <c r="K15" s="12"/>
    </row>
    <row r="16" spans="2:11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x14ac:dyDescent="0.25">
      <c r="B21" s="12"/>
      <c r="D21" s="12"/>
      <c r="E21" s="12"/>
      <c r="F21" s="12"/>
      <c r="G21" s="12"/>
      <c r="H21" s="92" t="s">
        <v>10</v>
      </c>
      <c r="I21" s="86">
        <f>XIRR(I6:I14,E6:E14)</f>
        <v>5.1355245709419253E-2</v>
      </c>
      <c r="J21" s="12"/>
      <c r="K21" s="12"/>
    </row>
    <row r="22" spans="1:11" x14ac:dyDescent="0.25">
      <c r="B22" s="12"/>
      <c r="C22" s="12"/>
      <c r="D22" s="12"/>
      <c r="E22" s="12"/>
      <c r="F22" s="12"/>
      <c r="G22" s="12"/>
      <c r="H22" s="92" t="s">
        <v>29</v>
      </c>
      <c r="I22" s="71">
        <f>MDURATION(E6,E14,C10,I21,2)</f>
        <v>3.4463314448936377</v>
      </c>
      <c r="J22" s="12"/>
      <c r="K22" s="12"/>
    </row>
    <row r="23" spans="1:11" x14ac:dyDescent="0.25">
      <c r="B23" s="12"/>
      <c r="C23" s="12"/>
      <c r="D23" s="12"/>
      <c r="J23" s="12"/>
      <c r="K23" s="12"/>
    </row>
    <row r="24" spans="1:11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B26" s="12"/>
      <c r="C26" s="12"/>
      <c r="D26" s="12"/>
      <c r="E26" s="12"/>
      <c r="F26" s="12"/>
      <c r="G26" s="12"/>
      <c r="H26" s="85"/>
      <c r="I26" s="86"/>
      <c r="J26" s="12"/>
      <c r="K26" s="12"/>
    </row>
    <row r="27" spans="1:11" x14ac:dyDescent="0.25">
      <c r="B27" s="12"/>
      <c r="C27" s="12"/>
      <c r="D27" s="12"/>
      <c r="E27" s="12"/>
      <c r="F27" s="12"/>
      <c r="G27" s="12"/>
      <c r="H27" s="85"/>
      <c r="I27" s="86"/>
      <c r="J27" s="12"/>
      <c r="K27" s="12"/>
    </row>
    <row r="28" spans="1:11" x14ac:dyDescent="0.25">
      <c r="B28" s="12"/>
      <c r="C28" s="12"/>
      <c r="D28" s="12"/>
      <c r="E28" s="12"/>
      <c r="F28" s="12"/>
      <c r="G28" s="12"/>
      <c r="H28" s="85"/>
      <c r="I28" s="86"/>
      <c r="J28" s="12"/>
      <c r="K28" s="12"/>
    </row>
    <row r="29" spans="1:11" x14ac:dyDescent="0.25">
      <c r="B29" s="12"/>
      <c r="C29" s="12"/>
      <c r="D29" s="12"/>
      <c r="E29" s="12"/>
      <c r="F29" s="12"/>
      <c r="G29" s="12"/>
      <c r="H29" s="27"/>
      <c r="I29" s="49"/>
      <c r="J29" s="12"/>
      <c r="K29" s="12"/>
    </row>
    <row r="30" spans="1:11" x14ac:dyDescent="0.25">
      <c r="B30" s="12"/>
      <c r="C30" s="26"/>
      <c r="D30" s="26"/>
      <c r="E30" s="27"/>
      <c r="F30" s="27"/>
      <c r="G30" s="27"/>
      <c r="H30" s="27"/>
      <c r="I30" s="27"/>
      <c r="J30" s="26"/>
      <c r="K30" s="27"/>
    </row>
    <row r="31" spans="1:11" x14ac:dyDescent="0.25">
      <c r="B31" s="12"/>
      <c r="C31" s="26"/>
      <c r="D31" s="26"/>
      <c r="E31" s="27"/>
      <c r="F31" s="27"/>
      <c r="G31" s="27"/>
      <c r="H31" s="27"/>
      <c r="I31" s="27"/>
      <c r="J31" s="26"/>
      <c r="K31" s="27"/>
    </row>
    <row r="32" spans="1:11" x14ac:dyDescent="0.25">
      <c r="B32" s="12"/>
      <c r="C32" s="26"/>
      <c r="D32" s="26"/>
      <c r="E32" s="27"/>
      <c r="F32" s="27"/>
      <c r="G32" s="27"/>
      <c r="H32" s="27"/>
      <c r="I32" s="27"/>
      <c r="J32" s="26"/>
      <c r="K32" s="27"/>
    </row>
    <row r="33" spans="2:11" x14ac:dyDescent="0.25">
      <c r="B33" s="12"/>
      <c r="C33" s="26"/>
      <c r="D33" s="26"/>
      <c r="E33" s="406"/>
      <c r="F33" s="406"/>
      <c r="G33" s="42"/>
      <c r="H33" s="109"/>
      <c r="I33" s="42"/>
      <c r="J33" s="26"/>
      <c r="K33" s="27"/>
    </row>
    <row r="34" spans="2:11" x14ac:dyDescent="0.25">
      <c r="B34" s="12"/>
      <c r="C34" s="26"/>
      <c r="D34" s="26"/>
      <c r="E34" s="406"/>
      <c r="F34" s="406"/>
      <c r="G34" s="42"/>
      <c r="H34" s="109"/>
      <c r="I34" s="42"/>
      <c r="J34" s="26"/>
      <c r="K34" s="27"/>
    </row>
    <row r="35" spans="2:11" x14ac:dyDescent="0.25">
      <c r="B35" s="12"/>
      <c r="C35" s="26"/>
      <c r="D35" s="26"/>
      <c r="E35" s="27"/>
      <c r="F35" s="27"/>
      <c r="G35" s="27"/>
      <c r="H35" s="27"/>
      <c r="I35" s="27"/>
      <c r="J35" s="80"/>
      <c r="K35" s="27"/>
    </row>
    <row r="36" spans="2:11" x14ac:dyDescent="0.25">
      <c r="B36" s="12"/>
      <c r="C36" s="26"/>
      <c r="D36" s="26"/>
      <c r="E36" s="416"/>
      <c r="F36" s="416"/>
      <c r="G36" s="416"/>
      <c r="H36" s="416"/>
      <c r="I36" s="416"/>
      <c r="J36" s="151"/>
      <c r="K36" s="27"/>
    </row>
    <row r="37" spans="2:11" x14ac:dyDescent="0.25">
      <c r="B37" s="12"/>
      <c r="C37" s="26"/>
      <c r="D37" s="26"/>
      <c r="E37" s="26"/>
      <c r="F37" s="83"/>
      <c r="G37" s="26"/>
      <c r="H37" s="26"/>
      <c r="I37" s="82"/>
      <c r="J37" s="84"/>
      <c r="K37" s="27"/>
    </row>
    <row r="38" spans="2:11" x14ac:dyDescent="0.25">
      <c r="B38" s="12"/>
      <c r="C38" s="26"/>
      <c r="D38" s="26"/>
      <c r="E38" s="26"/>
      <c r="F38" s="83"/>
      <c r="G38" s="26"/>
      <c r="H38" s="26"/>
      <c r="I38" s="82"/>
      <c r="J38" s="84"/>
      <c r="K38" s="27"/>
    </row>
    <row r="39" spans="2:11" x14ac:dyDescent="0.25">
      <c r="B39" s="12"/>
      <c r="C39" s="26"/>
      <c r="D39" s="26"/>
      <c r="E39" s="26"/>
      <c r="F39" s="83"/>
      <c r="G39" s="26"/>
      <c r="H39" s="26"/>
      <c r="I39" s="82"/>
      <c r="J39" s="84"/>
      <c r="K39" s="12"/>
    </row>
    <row r="40" spans="2:11" x14ac:dyDescent="0.25">
      <c r="B40" s="12"/>
      <c r="C40" s="26"/>
      <c r="D40" s="26"/>
      <c r="E40" s="26"/>
      <c r="F40" s="83"/>
      <c r="G40" s="26"/>
      <c r="H40" s="26"/>
      <c r="I40" s="82"/>
      <c r="J40" s="84"/>
      <c r="K40" s="12"/>
    </row>
    <row r="41" spans="2:11" x14ac:dyDescent="0.25">
      <c r="C41" s="1"/>
      <c r="D41" s="1"/>
      <c r="E41" s="1"/>
      <c r="F41" s="8"/>
      <c r="G41" s="1"/>
      <c r="H41" s="1"/>
      <c r="I41" s="7"/>
      <c r="J41" s="9"/>
    </row>
    <row r="42" spans="2:11" x14ac:dyDescent="0.25">
      <c r="C42" s="1"/>
      <c r="D42" s="1"/>
      <c r="E42" s="1"/>
      <c r="F42" s="8"/>
      <c r="G42" s="1"/>
      <c r="H42" s="1"/>
      <c r="I42" s="7"/>
      <c r="J42" s="9"/>
    </row>
    <row r="43" spans="2:11" x14ac:dyDescent="0.25">
      <c r="C43" s="1"/>
      <c r="D43" s="1"/>
      <c r="E43" s="1"/>
      <c r="F43" s="414"/>
      <c r="G43" s="414"/>
      <c r="H43" s="414"/>
      <c r="I43" s="414"/>
      <c r="J43" s="414"/>
    </row>
    <row r="44" spans="2:11" x14ac:dyDescent="0.25">
      <c r="C44" s="1"/>
      <c r="D44" s="1"/>
      <c r="E44" s="1"/>
      <c r="F44" s="8"/>
      <c r="G44" s="1"/>
      <c r="H44" s="1"/>
      <c r="I44" s="7"/>
      <c r="J44" s="9"/>
    </row>
    <row r="45" spans="2:11" x14ac:dyDescent="0.25">
      <c r="C45" s="1"/>
      <c r="D45" s="1"/>
      <c r="E45" s="1"/>
      <c r="F45" s="8"/>
      <c r="G45" s="1"/>
      <c r="H45" s="1"/>
      <c r="I45" s="7"/>
      <c r="J45" s="9"/>
    </row>
    <row r="46" spans="2:11" x14ac:dyDescent="0.25">
      <c r="C46" s="1"/>
      <c r="D46" s="1"/>
      <c r="E46" s="1"/>
      <c r="F46" s="1"/>
      <c r="G46" s="1"/>
      <c r="H46" s="1"/>
      <c r="I46" s="1"/>
      <c r="J46" s="1"/>
    </row>
    <row r="47" spans="2:11" x14ac:dyDescent="0.25">
      <c r="C47" s="1"/>
      <c r="D47" s="1"/>
      <c r="E47" s="1"/>
      <c r="F47" s="1"/>
      <c r="G47" s="1"/>
      <c r="H47" s="1"/>
      <c r="I47" s="1"/>
      <c r="J47" s="1"/>
    </row>
    <row r="48" spans="2:11" x14ac:dyDescent="0.25">
      <c r="C48" s="1"/>
      <c r="D48" s="1"/>
      <c r="E48" s="1"/>
      <c r="F48" s="1"/>
      <c r="G48" s="1"/>
      <c r="H48" s="1"/>
      <c r="I48" s="1"/>
      <c r="J48" s="1"/>
    </row>
    <row r="49" spans="3:10" x14ac:dyDescent="0.25">
      <c r="C49" s="1"/>
      <c r="D49" s="1"/>
      <c r="E49" s="1"/>
      <c r="F49" s="1"/>
      <c r="G49" s="1"/>
      <c r="H49" s="1"/>
      <c r="I49" s="1"/>
      <c r="J49" s="1"/>
    </row>
    <row r="50" spans="3:10" x14ac:dyDescent="0.25">
      <c r="C50" s="1"/>
      <c r="D50" s="1"/>
      <c r="E50" s="1"/>
      <c r="F50" s="1"/>
      <c r="G50" s="1"/>
      <c r="H50" s="1"/>
      <c r="I50" s="1"/>
      <c r="J50" s="1"/>
    </row>
    <row r="51" spans="3:10" x14ac:dyDescent="0.25">
      <c r="C51" s="1"/>
      <c r="D51" s="1"/>
      <c r="E51" s="1"/>
      <c r="F51" s="1"/>
      <c r="G51" s="1"/>
      <c r="H51" s="1"/>
      <c r="I51" s="1"/>
      <c r="J51" s="1"/>
    </row>
    <row r="52" spans="3:10" x14ac:dyDescent="0.25">
      <c r="C52" s="1"/>
      <c r="D52" s="1"/>
      <c r="E52" s="1"/>
      <c r="F52" s="1"/>
      <c r="G52" s="1"/>
      <c r="H52" s="1"/>
      <c r="I52" s="1"/>
      <c r="J52" s="1"/>
    </row>
    <row r="53" spans="3:10" x14ac:dyDescent="0.25">
      <c r="C53" s="1"/>
      <c r="D53" s="1"/>
      <c r="E53" s="1"/>
      <c r="F53" s="1"/>
      <c r="G53" s="1"/>
      <c r="H53" s="1"/>
      <c r="I53" s="1"/>
      <c r="J53" s="1"/>
    </row>
    <row r="54" spans="3:10" x14ac:dyDescent="0.25">
      <c r="C54" s="1"/>
      <c r="D54" s="1"/>
      <c r="E54" s="1"/>
      <c r="F54" s="1"/>
      <c r="G54" s="1"/>
      <c r="H54" s="1"/>
      <c r="I54" s="1"/>
      <c r="J54" s="1"/>
    </row>
    <row r="55" spans="3:10" x14ac:dyDescent="0.25">
      <c r="C55" s="1"/>
      <c r="D55" s="1"/>
      <c r="E55" s="1"/>
      <c r="F55" s="1"/>
      <c r="G55" s="1"/>
      <c r="H55" s="1"/>
      <c r="I55" s="1"/>
      <c r="J55" s="1"/>
    </row>
  </sheetData>
  <mergeCells count="6">
    <mergeCell ref="E33:F34"/>
    <mergeCell ref="E36:I36"/>
    <mergeCell ref="F43:J43"/>
    <mergeCell ref="B2:I2"/>
    <mergeCell ref="B4:C4"/>
    <mergeCell ref="E4:I4"/>
  </mergeCells>
  <pageMargins left="0.7" right="0.7" top="0.75" bottom="0.75" header="0.3" footer="0.3"/>
  <pageSetup paperSize="9" orientation="portrait" r:id="rId1"/>
  <ignoredErrors>
    <ignoredError sqref="I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K48"/>
  <sheetViews>
    <sheetView showGridLines="0" zoomScale="90" zoomScaleNormal="90" workbookViewId="0">
      <selection activeCell="E52" sqref="E52"/>
    </sheetView>
  </sheetViews>
  <sheetFormatPr baseColWidth="10" defaultRowHeight="15" x14ac:dyDescent="0.25"/>
  <cols>
    <col min="2" max="2" width="8.28515625" customWidth="1"/>
    <col min="3" max="3" width="9" bestFit="1" customWidth="1"/>
    <col min="4" max="4" width="8.7109375" bestFit="1" customWidth="1"/>
    <col min="5" max="5" width="9" bestFit="1" customWidth="1"/>
    <col min="6" max="6" width="8" bestFit="1" customWidth="1"/>
    <col min="7" max="7" width="10" customWidth="1"/>
    <col min="8" max="8" width="10.28515625" bestFit="1" customWidth="1"/>
    <col min="11" max="11" width="8.28515625" customWidth="1"/>
    <col min="12" max="12" width="9" bestFit="1" customWidth="1"/>
    <col min="13" max="13" width="8.7109375" bestFit="1" customWidth="1"/>
    <col min="14" max="14" width="9" bestFit="1" customWidth="1"/>
    <col min="15" max="15" width="8" bestFit="1" customWidth="1"/>
    <col min="16" max="16" width="10" customWidth="1"/>
    <col min="17" max="17" width="10.28515625" bestFit="1" customWidth="1"/>
    <col min="19" max="19" width="8.28515625" customWidth="1"/>
    <col min="20" max="20" width="9" bestFit="1" customWidth="1"/>
    <col min="21" max="21" width="8.7109375" bestFit="1" customWidth="1"/>
    <col min="22" max="22" width="9" bestFit="1" customWidth="1"/>
    <col min="23" max="23" width="8" bestFit="1" customWidth="1"/>
    <col min="24" max="24" width="10" bestFit="1" customWidth="1"/>
    <col min="25" max="25" width="10.28515625" bestFit="1" customWidth="1"/>
    <col min="27" max="27" width="8.28515625" customWidth="1"/>
    <col min="28" max="28" width="9" bestFit="1" customWidth="1"/>
    <col min="29" max="29" width="8.140625" bestFit="1" customWidth="1"/>
    <col min="30" max="30" width="9" bestFit="1" customWidth="1"/>
    <col min="31" max="31" width="8" bestFit="1" customWidth="1"/>
    <col min="32" max="32" width="10" bestFit="1" customWidth="1"/>
    <col min="33" max="33" width="10.28515625" bestFit="1" customWidth="1"/>
    <col min="35" max="35" width="8.28515625" customWidth="1"/>
    <col min="36" max="36" width="9" bestFit="1" customWidth="1"/>
    <col min="37" max="37" width="8.140625" bestFit="1" customWidth="1"/>
    <col min="38" max="38" width="9" bestFit="1" customWidth="1"/>
    <col min="39" max="39" width="8" bestFit="1" customWidth="1"/>
    <col min="40" max="40" width="10" bestFit="1" customWidth="1"/>
    <col min="41" max="41" width="10.28515625" bestFit="1" customWidth="1"/>
    <col min="42" max="42" width="7.7109375" bestFit="1" customWidth="1"/>
    <col min="43" max="43" width="10.42578125" bestFit="1" customWidth="1"/>
    <col min="44" max="44" width="9" bestFit="1" customWidth="1"/>
    <col min="45" max="45" width="8.7109375" bestFit="1" customWidth="1"/>
    <col min="46" max="46" width="9" bestFit="1" customWidth="1"/>
    <col min="47" max="47" width="8.140625" bestFit="1" customWidth="1"/>
    <col min="48" max="48" width="11.42578125" customWidth="1"/>
    <col min="50" max="50" width="7.28515625" bestFit="1" customWidth="1"/>
    <col min="51" max="51" width="8.140625" bestFit="1" customWidth="1"/>
    <col min="53" max="53" width="8.140625" bestFit="1" customWidth="1"/>
    <col min="54" max="54" width="10.140625" bestFit="1" customWidth="1"/>
    <col min="57" max="57" width="8.7109375" customWidth="1"/>
    <col min="58" max="58" width="9.140625" customWidth="1"/>
  </cols>
  <sheetData>
    <row r="2" spans="2:61" x14ac:dyDescent="0.25">
      <c r="B2" s="319" t="s">
        <v>245</v>
      </c>
      <c r="K2" s="314" t="s">
        <v>245</v>
      </c>
      <c r="S2" s="319" t="s">
        <v>245</v>
      </c>
      <c r="AA2" s="319" t="s">
        <v>227</v>
      </c>
      <c r="AI2" s="301" t="s">
        <v>193</v>
      </c>
      <c r="AQ2" s="314" t="s">
        <v>186</v>
      </c>
    </row>
    <row r="3" spans="2:61" x14ac:dyDescent="0.25">
      <c r="B3" s="379" t="s">
        <v>184</v>
      </c>
      <c r="C3" s="379"/>
      <c r="D3" s="379"/>
      <c r="E3" s="379"/>
      <c r="F3" s="379"/>
      <c r="G3" s="379"/>
      <c r="H3" s="379"/>
      <c r="K3" s="379" t="s">
        <v>184</v>
      </c>
      <c r="L3" s="379"/>
      <c r="M3" s="379"/>
      <c r="N3" s="379"/>
      <c r="O3" s="379"/>
      <c r="P3" s="379"/>
      <c r="Q3" s="379"/>
      <c r="S3" s="379" t="s">
        <v>184</v>
      </c>
      <c r="T3" s="379"/>
      <c r="U3" s="379"/>
      <c r="V3" s="379"/>
      <c r="W3" s="379"/>
      <c r="X3" s="379"/>
      <c r="Y3" s="379"/>
      <c r="AA3" s="379" t="s">
        <v>184</v>
      </c>
      <c r="AB3" s="379"/>
      <c r="AC3" s="379"/>
      <c r="AD3" s="379"/>
      <c r="AE3" s="379"/>
      <c r="AF3" s="379"/>
      <c r="AG3" s="379"/>
      <c r="AI3" s="379" t="s">
        <v>184</v>
      </c>
      <c r="AJ3" s="379"/>
      <c r="AK3" s="379"/>
      <c r="AL3" s="379"/>
      <c r="AM3" s="379"/>
      <c r="AN3" s="379"/>
      <c r="AO3" s="379"/>
      <c r="AQ3" s="379" t="s">
        <v>184</v>
      </c>
      <c r="AR3" s="379"/>
      <c r="AS3" s="379"/>
      <c r="AT3" s="379"/>
      <c r="AU3" s="379"/>
      <c r="AV3" s="379"/>
      <c r="AW3" s="379"/>
    </row>
    <row r="4" spans="2:61" x14ac:dyDescent="0.25">
      <c r="B4" s="380" t="s">
        <v>249</v>
      </c>
      <c r="C4" s="380"/>
      <c r="D4" s="380"/>
      <c r="E4" s="380"/>
      <c r="F4" s="380"/>
      <c r="G4" s="380"/>
      <c r="H4" s="380"/>
      <c r="K4" s="380" t="s">
        <v>249</v>
      </c>
      <c r="L4" s="380"/>
      <c r="M4" s="380"/>
      <c r="N4" s="380"/>
      <c r="O4" s="380"/>
      <c r="P4" s="380"/>
      <c r="Q4" s="380"/>
      <c r="S4" s="380" t="s">
        <v>232</v>
      </c>
      <c r="T4" s="380"/>
      <c r="U4" s="380"/>
      <c r="V4" s="380"/>
      <c r="W4" s="380"/>
      <c r="X4" s="380"/>
      <c r="Y4" s="380"/>
      <c r="AA4" s="380" t="s">
        <v>225</v>
      </c>
      <c r="AB4" s="380"/>
      <c r="AC4" s="380"/>
      <c r="AD4" s="380"/>
      <c r="AE4" s="380"/>
      <c r="AF4" s="380"/>
      <c r="AG4" s="380"/>
      <c r="AI4" s="380" t="s">
        <v>211</v>
      </c>
      <c r="AJ4" s="380"/>
      <c r="AK4" s="380"/>
      <c r="AL4" s="380"/>
      <c r="AM4" s="380"/>
      <c r="AN4" s="380"/>
      <c r="AO4" s="380"/>
      <c r="AQ4" s="380" t="s">
        <v>215</v>
      </c>
      <c r="AR4" s="380"/>
      <c r="AS4" s="380"/>
      <c r="AT4" s="380"/>
      <c r="AU4" s="380"/>
      <c r="AV4" s="380"/>
      <c r="AW4" s="380"/>
    </row>
    <row r="5" spans="2:61" ht="15" customHeight="1" x14ac:dyDescent="0.25">
      <c r="B5" s="381" t="s">
        <v>46</v>
      </c>
      <c r="C5" s="384" t="s">
        <v>207</v>
      </c>
      <c r="D5" s="384"/>
      <c r="E5" s="382">
        <v>44377</v>
      </c>
      <c r="F5" s="383"/>
      <c r="G5" s="384" t="s">
        <v>208</v>
      </c>
      <c r="H5" s="384"/>
      <c r="K5" s="381" t="s">
        <v>46</v>
      </c>
      <c r="L5" s="382">
        <v>44377</v>
      </c>
      <c r="M5" s="383"/>
      <c r="N5" s="382">
        <v>44347</v>
      </c>
      <c r="O5" s="383"/>
      <c r="P5" s="384" t="s">
        <v>208</v>
      </c>
      <c r="Q5" s="384"/>
      <c r="S5" s="381" t="s">
        <v>46</v>
      </c>
      <c r="T5" s="382">
        <v>44347</v>
      </c>
      <c r="U5" s="383"/>
      <c r="V5" s="382">
        <v>44316</v>
      </c>
      <c r="W5" s="383"/>
      <c r="X5" s="384" t="s">
        <v>208</v>
      </c>
      <c r="Y5" s="384"/>
      <c r="AA5" s="381" t="s">
        <v>46</v>
      </c>
      <c r="AB5" s="382">
        <v>44316</v>
      </c>
      <c r="AC5" s="384"/>
      <c r="AD5" s="382">
        <v>44286</v>
      </c>
      <c r="AE5" s="383"/>
      <c r="AF5" s="384" t="s">
        <v>208</v>
      </c>
      <c r="AG5" s="384"/>
      <c r="AI5" s="381" t="s">
        <v>46</v>
      </c>
      <c r="AJ5" s="384" t="s">
        <v>207</v>
      </c>
      <c r="AK5" s="384"/>
      <c r="AL5" s="382">
        <v>44253</v>
      </c>
      <c r="AM5" s="383"/>
      <c r="AN5" s="384" t="s">
        <v>208</v>
      </c>
      <c r="AO5" s="384"/>
      <c r="AQ5" s="381" t="s">
        <v>46</v>
      </c>
      <c r="AR5" s="384" t="s">
        <v>207</v>
      </c>
      <c r="AS5" s="384"/>
      <c r="AT5" s="382">
        <v>44195</v>
      </c>
      <c r="AU5" s="383"/>
      <c r="AV5" s="384" t="s">
        <v>208</v>
      </c>
      <c r="AW5" s="384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2:61" ht="15" customHeight="1" x14ac:dyDescent="0.25">
      <c r="B6" s="381"/>
      <c r="C6" s="163" t="s">
        <v>83</v>
      </c>
      <c r="D6" s="291" t="s">
        <v>10</v>
      </c>
      <c r="E6" s="163" t="s">
        <v>83</v>
      </c>
      <c r="F6" s="291" t="s">
        <v>10</v>
      </c>
      <c r="G6" s="290" t="s">
        <v>209</v>
      </c>
      <c r="H6" s="291" t="s">
        <v>210</v>
      </c>
      <c r="K6" s="381"/>
      <c r="L6" s="163" t="s">
        <v>83</v>
      </c>
      <c r="M6" s="291" t="s">
        <v>10</v>
      </c>
      <c r="N6" s="163" t="s">
        <v>83</v>
      </c>
      <c r="O6" s="291" t="s">
        <v>10</v>
      </c>
      <c r="P6" s="290" t="s">
        <v>209</v>
      </c>
      <c r="Q6" s="291" t="s">
        <v>210</v>
      </c>
      <c r="S6" s="381"/>
      <c r="T6" s="163" t="s">
        <v>83</v>
      </c>
      <c r="U6" s="291" t="s">
        <v>10</v>
      </c>
      <c r="V6" s="163" t="s">
        <v>83</v>
      </c>
      <c r="W6" s="291" t="s">
        <v>10</v>
      </c>
      <c r="X6" s="290" t="s">
        <v>209</v>
      </c>
      <c r="Y6" s="291" t="s">
        <v>210</v>
      </c>
      <c r="AA6" s="381"/>
      <c r="AB6" s="163" t="s">
        <v>83</v>
      </c>
      <c r="AC6" s="291" t="s">
        <v>10</v>
      </c>
      <c r="AD6" s="163" t="s">
        <v>83</v>
      </c>
      <c r="AE6" s="291" t="s">
        <v>10</v>
      </c>
      <c r="AF6" s="290" t="s">
        <v>209</v>
      </c>
      <c r="AG6" s="291" t="s">
        <v>210</v>
      </c>
      <c r="AI6" s="381"/>
      <c r="AJ6" s="163" t="s">
        <v>83</v>
      </c>
      <c r="AK6" s="291" t="s">
        <v>10</v>
      </c>
      <c r="AL6" s="163" t="s">
        <v>83</v>
      </c>
      <c r="AM6" s="291" t="s">
        <v>10</v>
      </c>
      <c r="AN6" s="290" t="s">
        <v>209</v>
      </c>
      <c r="AO6" s="291" t="s">
        <v>210</v>
      </c>
      <c r="AQ6" s="381"/>
      <c r="AR6" s="163" t="s">
        <v>83</v>
      </c>
      <c r="AS6" s="291" t="s">
        <v>10</v>
      </c>
      <c r="AT6" s="163" t="s">
        <v>83</v>
      </c>
      <c r="AU6" s="291" t="s">
        <v>10</v>
      </c>
      <c r="AV6" s="290" t="s">
        <v>209</v>
      </c>
      <c r="AW6" s="291" t="s">
        <v>210</v>
      </c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</row>
    <row r="7" spans="2:61" x14ac:dyDescent="0.25">
      <c r="B7" s="292" t="s">
        <v>42</v>
      </c>
      <c r="C7" s="293">
        <f>+'Planilla de datos'!C70</f>
        <v>166.8</v>
      </c>
      <c r="D7" s="294">
        <f>+'Planilla de datos'!E70</f>
        <v>-6.9670180949196209E-3</v>
      </c>
      <c r="E7" s="293">
        <v>165.95</v>
      </c>
      <c r="F7" s="295">
        <v>-2.06E-2</v>
      </c>
      <c r="G7" s="318">
        <f t="shared" ref="G7:G21" si="0">(C7-E7)/E7</f>
        <v>5.1220247062369554E-3</v>
      </c>
      <c r="H7" s="297">
        <f>(D7*10000)-(F7*10000)</f>
        <v>136.32981905080379</v>
      </c>
      <c r="K7" s="292" t="s">
        <v>42</v>
      </c>
      <c r="L7" s="293">
        <v>165.95</v>
      </c>
      <c r="M7" s="294">
        <v>-2.06E-2</v>
      </c>
      <c r="N7" s="293">
        <v>161.25</v>
      </c>
      <c r="O7" s="295">
        <v>-7.1300000000000002E-2</v>
      </c>
      <c r="P7" s="318">
        <f t="shared" ref="P7:P21" si="1">(L7-N7)/N7</f>
        <v>2.9147286821705354E-2</v>
      </c>
      <c r="Q7" s="297">
        <f>(M7*10000)-(O7*10000)</f>
        <v>507</v>
      </c>
      <c r="S7" s="292" t="s">
        <v>42</v>
      </c>
      <c r="T7" s="293">
        <v>161.25</v>
      </c>
      <c r="U7" s="294">
        <v>-7.1300000000000002E-2</v>
      </c>
      <c r="V7" s="293">
        <v>155.5</v>
      </c>
      <c r="W7" s="295">
        <v>-6.9364738389812441E-2</v>
      </c>
      <c r="X7" s="318">
        <f t="shared" ref="X7:X21" si="2">(T7-V7)/V7</f>
        <v>3.6977491961414789E-2</v>
      </c>
      <c r="Y7" s="297">
        <f>(U7*10000)-(W7*10000)</f>
        <v>-19.352616101875583</v>
      </c>
      <c r="AA7" s="292" t="s">
        <v>42</v>
      </c>
      <c r="AB7" s="293">
        <v>155.5</v>
      </c>
      <c r="AC7" s="294">
        <v>-6.9364738389812441E-2</v>
      </c>
      <c r="AD7" s="293">
        <v>149</v>
      </c>
      <c r="AE7" s="295">
        <v>-4.58E-2</v>
      </c>
      <c r="AF7" s="318">
        <f t="shared" ref="AF7:AF21" si="3">(AB7-AD7)/AD7</f>
        <v>4.3624161073825503E-2</v>
      </c>
      <c r="AG7" s="297">
        <f>(AC7*10000)-(AE7*10000)</f>
        <v>-235.64738389812442</v>
      </c>
      <c r="AI7" s="292" t="s">
        <v>42</v>
      </c>
      <c r="AJ7" s="293">
        <v>149</v>
      </c>
      <c r="AK7" s="294">
        <v>-4.58E-2</v>
      </c>
      <c r="AL7" s="293">
        <v>144</v>
      </c>
      <c r="AM7" s="295">
        <v>-6.2700000000000006E-2</v>
      </c>
      <c r="AN7" s="296">
        <f t="shared" ref="AN7:AN21" si="4">(AJ7-AL7)/AL7</f>
        <v>3.4722222222222224E-2</v>
      </c>
      <c r="AO7" s="297">
        <f>(AK7*10000)-(AM7*10000)</f>
        <v>169.00000000000011</v>
      </c>
      <c r="AQ7" s="292" t="s">
        <v>42</v>
      </c>
      <c r="AR7" s="293">
        <f>+T7</f>
        <v>161.25</v>
      </c>
      <c r="AS7" s="294">
        <f>+U7</f>
        <v>-7.1300000000000002E-2</v>
      </c>
      <c r="AT7" s="293">
        <f>133-0.6786</f>
        <v>132.32140000000001</v>
      </c>
      <c r="AU7" s="295">
        <v>-1.5699999999999999E-2</v>
      </c>
      <c r="AV7" s="295">
        <f t="shared" ref="AV7:AV13" si="5">(AR7-AT7)/AT7</f>
        <v>0.21862374491200959</v>
      </c>
      <c r="AW7" s="297">
        <f>(AS7*10000)-(AU7*10000)</f>
        <v>-556</v>
      </c>
      <c r="AY7" s="12"/>
      <c r="AZ7" s="12" t="s">
        <v>139</v>
      </c>
      <c r="BA7" s="12">
        <v>365</v>
      </c>
      <c r="BB7" s="210">
        <v>0.33</v>
      </c>
      <c r="BC7" s="12"/>
      <c r="BD7" s="22"/>
      <c r="BE7" s="12"/>
      <c r="BF7" s="12"/>
      <c r="BG7" s="12"/>
      <c r="BH7" s="12"/>
      <c r="BI7" s="12"/>
    </row>
    <row r="8" spans="2:61" x14ac:dyDescent="0.25">
      <c r="B8" s="292" t="s">
        <v>41</v>
      </c>
      <c r="C8" s="293">
        <f>+'Planilla de datos'!C69</f>
        <v>525.1</v>
      </c>
      <c r="D8" s="294">
        <f>+'Planilla de datos'!E69</f>
        <v>-2.724795131947845E-2</v>
      </c>
      <c r="E8" s="293">
        <v>522.5</v>
      </c>
      <c r="F8" s="295">
        <v>-2.06E-2</v>
      </c>
      <c r="G8" s="318">
        <f t="shared" si="0"/>
        <v>4.9760765550239672E-3</v>
      </c>
      <c r="H8" s="297">
        <f t="shared" ref="H8:H21" si="6">(D8*10000)-(F8*10000)</f>
        <v>-66.479513194784488</v>
      </c>
      <c r="K8" s="292" t="s">
        <v>41</v>
      </c>
      <c r="L8" s="293">
        <v>522.5</v>
      </c>
      <c r="M8" s="294">
        <v>-2.06E-2</v>
      </c>
      <c r="N8" s="293">
        <v>507.3</v>
      </c>
      <c r="O8" s="295">
        <v>-8.0699999999999994E-2</v>
      </c>
      <c r="P8" s="318">
        <f t="shared" si="1"/>
        <v>2.9962546816479377E-2</v>
      </c>
      <c r="Q8" s="297">
        <f t="shared" ref="Q8:Q21" si="7">(M8*10000)-(O8*10000)</f>
        <v>600.99999999999989</v>
      </c>
      <c r="S8" s="292" t="s">
        <v>41</v>
      </c>
      <c r="T8" s="293">
        <v>507.3</v>
      </c>
      <c r="U8" s="294">
        <v>-8.0699999999999994E-2</v>
      </c>
      <c r="V8" s="293">
        <v>489.5</v>
      </c>
      <c r="W8" s="295">
        <v>-8.3373001130186059E-2</v>
      </c>
      <c r="X8" s="318">
        <f t="shared" si="2"/>
        <v>3.636363636363639E-2</v>
      </c>
      <c r="Y8" s="297">
        <f t="shared" ref="Y8:Y21" si="8">(U8*10000)-(W8*10000)</f>
        <v>26.730011301860714</v>
      </c>
      <c r="AA8" s="292" t="s">
        <v>41</v>
      </c>
      <c r="AB8" s="293">
        <v>489.5</v>
      </c>
      <c r="AC8" s="294">
        <v>-8.3373001130186059E-2</v>
      </c>
      <c r="AD8" s="293">
        <v>468</v>
      </c>
      <c r="AE8" s="295">
        <v>-4.1099999999999998E-2</v>
      </c>
      <c r="AF8" s="318">
        <f t="shared" si="3"/>
        <v>4.5940170940170943E-2</v>
      </c>
      <c r="AG8" s="297">
        <f t="shared" ref="AG8:AG21" si="9">(AC8*10000)-(AE8*10000)</f>
        <v>-422.7300113018606</v>
      </c>
      <c r="AI8" s="292" t="s">
        <v>41</v>
      </c>
      <c r="AJ8" s="293">
        <v>468</v>
      </c>
      <c r="AK8" s="294">
        <v>-4.1099999999999998E-2</v>
      </c>
      <c r="AL8" s="293">
        <v>453</v>
      </c>
      <c r="AM8" s="295">
        <v>-6.5100000000000005E-2</v>
      </c>
      <c r="AN8" s="296">
        <f t="shared" si="4"/>
        <v>3.3112582781456956E-2</v>
      </c>
      <c r="AO8" s="297">
        <f t="shared" ref="AO8:AO21" si="10">(AK8*10000)-(AM8*10000)</f>
        <v>240</v>
      </c>
      <c r="AQ8" s="292" t="s">
        <v>41</v>
      </c>
      <c r="AR8" s="293">
        <f t="shared" ref="AR8:AR21" si="11">+T8</f>
        <v>507.3</v>
      </c>
      <c r="AS8" s="294">
        <f t="shared" ref="AS8:AS21" si="12">+U8</f>
        <v>-8.0699999999999994E-2</v>
      </c>
      <c r="AT8" s="293">
        <f>421.45-5.22113</f>
        <v>416.22886999999997</v>
      </c>
      <c r="AU8" s="295">
        <v>-1.41E-2</v>
      </c>
      <c r="AV8" s="295">
        <f t="shared" si="5"/>
        <v>0.21880060842487942</v>
      </c>
      <c r="AW8" s="297">
        <f t="shared" ref="AW8:AW21" si="13">(AS8*10000)-(AU8*10000)</f>
        <v>-665.99999999999989</v>
      </c>
      <c r="AY8" s="12"/>
      <c r="AZ8" s="12" t="s">
        <v>140</v>
      </c>
      <c r="BA8" s="211">
        <v>1</v>
      </c>
      <c r="BB8" s="22">
        <f>BB7/BA7*BA8</f>
        <v>9.041095890410959E-4</v>
      </c>
      <c r="BC8" s="12"/>
      <c r="BD8" s="12"/>
      <c r="BE8" s="12"/>
      <c r="BF8" s="12"/>
      <c r="BG8" s="12"/>
      <c r="BH8" s="12"/>
      <c r="BI8" s="12"/>
    </row>
    <row r="9" spans="2:61" x14ac:dyDescent="0.25">
      <c r="B9" s="292" t="s">
        <v>45</v>
      </c>
      <c r="C9" s="293">
        <f>+'Planilla de datos'!C71</f>
        <v>158.19999999999999</v>
      </c>
      <c r="D9" s="294">
        <f>+'Planilla de datos'!E71</f>
        <v>2.4951860351562501E-2</v>
      </c>
      <c r="E9" s="293">
        <v>157</v>
      </c>
      <c r="F9" s="295">
        <v>2.6100000000000002E-2</v>
      </c>
      <c r="G9" s="318">
        <f t="shared" si="0"/>
        <v>7.6433121019107552E-3</v>
      </c>
      <c r="H9" s="297">
        <f t="shared" si="6"/>
        <v>-11.481396484374983</v>
      </c>
      <c r="K9" s="292" t="s">
        <v>45</v>
      </c>
      <c r="L9" s="293">
        <v>157</v>
      </c>
      <c r="M9" s="294">
        <v>2.6100000000000002E-2</v>
      </c>
      <c r="N9" s="293">
        <v>152.9</v>
      </c>
      <c r="O9" s="295">
        <v>6.1999999999999998E-3</v>
      </c>
      <c r="P9" s="318">
        <f t="shared" si="1"/>
        <v>2.6814911706997999E-2</v>
      </c>
      <c r="Q9" s="297">
        <f t="shared" si="7"/>
        <v>199</v>
      </c>
      <c r="S9" s="292" t="s">
        <v>45</v>
      </c>
      <c r="T9" s="293">
        <v>152.9</v>
      </c>
      <c r="U9" s="294">
        <v>6.1999999999999998E-3</v>
      </c>
      <c r="V9" s="293">
        <v>146.25</v>
      </c>
      <c r="W9" s="295">
        <v>8.9184326171875012E-3</v>
      </c>
      <c r="X9" s="318">
        <f t="shared" si="2"/>
        <v>4.5470085470085506E-2</v>
      </c>
      <c r="Y9" s="297">
        <f t="shared" si="8"/>
        <v>-27.184326171875014</v>
      </c>
      <c r="AA9" s="292" t="s">
        <v>45</v>
      </c>
      <c r="AB9" s="293">
        <v>146.25</v>
      </c>
      <c r="AC9" s="294">
        <v>8.9184326171875012E-3</v>
      </c>
      <c r="AD9" s="293">
        <v>141.5</v>
      </c>
      <c r="AE9" s="295">
        <v>1E-3</v>
      </c>
      <c r="AF9" s="318">
        <f t="shared" si="3"/>
        <v>3.3568904593639579E-2</v>
      </c>
      <c r="AG9" s="297">
        <f t="shared" si="9"/>
        <v>79.184326171875014</v>
      </c>
      <c r="AI9" s="292" t="s">
        <v>45</v>
      </c>
      <c r="AJ9" s="293">
        <v>141.5</v>
      </c>
      <c r="AK9" s="294">
        <v>1E-3</v>
      </c>
      <c r="AL9" s="293">
        <f>140.5-0.8241</f>
        <v>139.67590000000001</v>
      </c>
      <c r="AM9" s="295">
        <v>-3.09E-2</v>
      </c>
      <c r="AN9" s="296">
        <f t="shared" si="4"/>
        <v>1.3059518499612224E-2</v>
      </c>
      <c r="AO9" s="297">
        <f t="shared" si="10"/>
        <v>319</v>
      </c>
      <c r="AQ9" s="292" t="s">
        <v>45</v>
      </c>
      <c r="AR9" s="293">
        <f t="shared" si="11"/>
        <v>152.9</v>
      </c>
      <c r="AS9" s="294">
        <f t="shared" si="12"/>
        <v>6.1999999999999998E-3</v>
      </c>
      <c r="AT9" s="293">
        <f>127-0.8241</f>
        <v>126.1759</v>
      </c>
      <c r="AU9" s="295">
        <v>2.2000000000000001E-3</v>
      </c>
      <c r="AV9" s="295">
        <f t="shared" si="5"/>
        <v>0.21180035173119438</v>
      </c>
      <c r="AW9" s="297">
        <f t="shared" si="13"/>
        <v>40</v>
      </c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</row>
    <row r="10" spans="2:61" x14ac:dyDescent="0.25">
      <c r="B10" s="292" t="s">
        <v>91</v>
      </c>
      <c r="C10" s="293">
        <v>740</v>
      </c>
      <c r="D10" s="294">
        <v>1.9300000000000001E-2</v>
      </c>
      <c r="E10" s="293">
        <v>741</v>
      </c>
      <c r="F10" s="295">
        <v>1.41E-2</v>
      </c>
      <c r="G10" s="318">
        <f t="shared" si="0"/>
        <v>-1.3495276653171389E-3</v>
      </c>
      <c r="H10" s="297">
        <f t="shared" si="6"/>
        <v>52</v>
      </c>
      <c r="K10" s="292" t="s">
        <v>91</v>
      </c>
      <c r="L10" s="293">
        <v>741</v>
      </c>
      <c r="M10" s="294">
        <v>1.41E-2</v>
      </c>
      <c r="N10" s="293">
        <f>739-22.72504</f>
        <v>716.27495999999996</v>
      </c>
      <c r="O10" s="295">
        <v>8.8000000000000005E-3</v>
      </c>
      <c r="P10" s="318">
        <f t="shared" si="1"/>
        <v>3.451892273324763E-2</v>
      </c>
      <c r="Q10" s="297">
        <f t="shared" si="7"/>
        <v>53</v>
      </c>
      <c r="S10" s="292" t="s">
        <v>91</v>
      </c>
      <c r="T10" s="293">
        <v>716</v>
      </c>
      <c r="U10" s="294">
        <v>8.8000000000000005E-3</v>
      </c>
      <c r="V10" s="348">
        <f>719.9-21.85117</f>
        <v>698.04882999999995</v>
      </c>
      <c r="W10" s="295">
        <v>1.84E-2</v>
      </c>
      <c r="X10" s="318">
        <f t="shared" si="2"/>
        <v>2.5716209566600159E-2</v>
      </c>
      <c r="Y10" s="297">
        <f t="shared" si="8"/>
        <v>-96</v>
      </c>
      <c r="AA10" s="292" t="s">
        <v>91</v>
      </c>
      <c r="AB10" s="293">
        <v>719.9</v>
      </c>
      <c r="AC10" s="294">
        <v>1.84E-2</v>
      </c>
      <c r="AD10" s="293">
        <v>706</v>
      </c>
      <c r="AE10" s="295">
        <v>2.3699999999999999E-2</v>
      </c>
      <c r="AF10" s="318">
        <f t="shared" si="3"/>
        <v>1.968838526912178E-2</v>
      </c>
      <c r="AG10" s="297">
        <f t="shared" si="9"/>
        <v>-53</v>
      </c>
      <c r="AI10" s="292" t="s">
        <v>91</v>
      </c>
      <c r="AJ10" s="293">
        <v>706</v>
      </c>
      <c r="AK10" s="294">
        <v>2.3699999999999999E-2</v>
      </c>
      <c r="AL10" s="293">
        <f>732-20.171</f>
        <v>711.82899999999995</v>
      </c>
      <c r="AM10" s="295">
        <v>-1.29E-2</v>
      </c>
      <c r="AN10" s="296">
        <f t="shared" si="4"/>
        <v>-8.1887644364024952E-3</v>
      </c>
      <c r="AO10" s="297">
        <f t="shared" si="10"/>
        <v>366</v>
      </c>
      <c r="AQ10" s="292" t="s">
        <v>91</v>
      </c>
      <c r="AR10" s="293">
        <f t="shared" si="11"/>
        <v>716</v>
      </c>
      <c r="AS10" s="294">
        <f t="shared" si="12"/>
        <v>8.8000000000000005E-3</v>
      </c>
      <c r="AT10" s="293">
        <f>680-17.61244-18.29033-18.98586-19.69598-21.85117</f>
        <v>583.56421999999998</v>
      </c>
      <c r="AU10" s="295">
        <v>2.6200000000000001E-2</v>
      </c>
      <c r="AV10" s="295">
        <f t="shared" si="5"/>
        <v>0.22694294040165799</v>
      </c>
      <c r="AW10" s="297">
        <f t="shared" si="13"/>
        <v>-174</v>
      </c>
      <c r="AY10" s="12"/>
      <c r="AZ10" s="12" t="s">
        <v>141</v>
      </c>
      <c r="BA10" s="12" t="s">
        <v>142</v>
      </c>
      <c r="BB10" s="325" t="s">
        <v>21</v>
      </c>
      <c r="BC10" s="325" t="s">
        <v>183</v>
      </c>
      <c r="BD10" s="325" t="s">
        <v>141</v>
      </c>
      <c r="BH10" s="12"/>
      <c r="BI10" s="12"/>
    </row>
    <row r="11" spans="2:61" x14ac:dyDescent="0.25">
      <c r="B11" s="292" t="s">
        <v>102</v>
      </c>
      <c r="C11" s="293">
        <f>+'Planilla de datos'!C72</f>
        <v>149.4</v>
      </c>
      <c r="D11" s="294">
        <f>+'Planilla de datos'!E72</f>
        <v>2.5866645507812508E-2</v>
      </c>
      <c r="E11" s="293">
        <v>149</v>
      </c>
      <c r="F11" s="295">
        <v>2.23E-2</v>
      </c>
      <c r="G11" s="318">
        <f t="shared" si="0"/>
        <v>2.6845637583892998E-3</v>
      </c>
      <c r="H11" s="297">
        <f t="shared" si="6"/>
        <v>35.666455078125068</v>
      </c>
      <c r="K11" s="292" t="s">
        <v>102</v>
      </c>
      <c r="L11" s="293">
        <v>149</v>
      </c>
      <c r="M11" s="294">
        <v>2.23E-2</v>
      </c>
      <c r="N11" s="293">
        <v>144.5</v>
      </c>
      <c r="O11" s="295">
        <v>1.38E-2</v>
      </c>
      <c r="P11" s="318">
        <f t="shared" si="1"/>
        <v>3.1141868512110725E-2</v>
      </c>
      <c r="Q11" s="297">
        <f t="shared" si="7"/>
        <v>85</v>
      </c>
      <c r="S11" s="292" t="s">
        <v>102</v>
      </c>
      <c r="T11" s="293">
        <v>144.5</v>
      </c>
      <c r="U11" s="294">
        <v>1.38E-2</v>
      </c>
      <c r="V11" s="293">
        <v>137.5</v>
      </c>
      <c r="W11" s="295">
        <v>1.8868178710937503E-2</v>
      </c>
      <c r="X11" s="318">
        <f t="shared" si="2"/>
        <v>5.0909090909090911E-2</v>
      </c>
      <c r="Y11" s="297">
        <f t="shared" si="8"/>
        <v>-50.681787109375023</v>
      </c>
      <c r="AA11" s="292" t="s">
        <v>102</v>
      </c>
      <c r="AB11" s="293">
        <v>137.5</v>
      </c>
      <c r="AC11" s="294">
        <v>1.8868178710937503E-2</v>
      </c>
      <c r="AD11" s="293">
        <v>134</v>
      </c>
      <c r="AE11" s="295">
        <v>8.0999999999999996E-3</v>
      </c>
      <c r="AF11" s="318">
        <f t="shared" si="3"/>
        <v>2.6119402985074626E-2</v>
      </c>
      <c r="AG11" s="297">
        <f t="shared" si="9"/>
        <v>107.68178710937502</v>
      </c>
      <c r="AI11" s="292" t="s">
        <v>102</v>
      </c>
      <c r="AJ11" s="293">
        <v>134</v>
      </c>
      <c r="AK11" s="294">
        <v>8.0999999999999996E-3</v>
      </c>
      <c r="AL11" s="293">
        <f>133.75-0.853</f>
        <v>132.89699999999999</v>
      </c>
      <c r="AM11" s="295">
        <v>1.06E-2</v>
      </c>
      <c r="AN11" s="296">
        <f t="shared" si="4"/>
        <v>8.2996606394426416E-3</v>
      </c>
      <c r="AO11" s="297">
        <f t="shared" si="10"/>
        <v>-25</v>
      </c>
      <c r="AQ11" s="292" t="s">
        <v>102</v>
      </c>
      <c r="AR11" s="293">
        <f t="shared" si="11"/>
        <v>144.5</v>
      </c>
      <c r="AS11" s="294">
        <f t="shared" si="12"/>
        <v>1.38E-2</v>
      </c>
      <c r="AT11" s="293">
        <f>115-0.853</f>
        <v>114.14700000000001</v>
      </c>
      <c r="AU11" s="295">
        <v>3.5299999999999998E-2</v>
      </c>
      <c r="AV11" s="295">
        <f t="shared" si="5"/>
        <v>0.26591150008322595</v>
      </c>
      <c r="AW11" s="297">
        <f t="shared" si="13"/>
        <v>-215</v>
      </c>
      <c r="AY11" s="12"/>
      <c r="AZ11" s="12"/>
      <c r="BA11" s="12"/>
      <c r="BB11" s="12"/>
      <c r="BC11" s="12"/>
      <c r="BD11" s="12"/>
      <c r="BH11" s="12"/>
      <c r="BI11" s="12"/>
    </row>
    <row r="12" spans="2:61" x14ac:dyDescent="0.25">
      <c r="B12" s="292" t="s">
        <v>78</v>
      </c>
      <c r="C12" s="293">
        <f>+'Planilla de datos'!C73</f>
        <v>371</v>
      </c>
      <c r="D12" s="294">
        <f>+'Planilla de datos'!E73</f>
        <v>3.9441540837287917E-2</v>
      </c>
      <c r="E12" s="293">
        <v>365</v>
      </c>
      <c r="F12" s="295">
        <v>4.5400000000000003E-2</v>
      </c>
      <c r="G12" s="318">
        <f t="shared" si="0"/>
        <v>1.643835616438356E-2</v>
      </c>
      <c r="H12" s="297">
        <f t="shared" si="6"/>
        <v>-59.584591627120915</v>
      </c>
      <c r="K12" s="292" t="s">
        <v>78</v>
      </c>
      <c r="L12" s="293">
        <v>365</v>
      </c>
      <c r="M12" s="294">
        <v>4.5400000000000003E-2</v>
      </c>
      <c r="N12" s="293">
        <v>356</v>
      </c>
      <c r="O12" s="295">
        <v>3.4099999999999998E-2</v>
      </c>
      <c r="P12" s="318">
        <f t="shared" si="1"/>
        <v>2.5280898876404494E-2</v>
      </c>
      <c r="Q12" s="297">
        <f t="shared" si="7"/>
        <v>113.00000000000006</v>
      </c>
      <c r="S12" s="292" t="s">
        <v>78</v>
      </c>
      <c r="T12" s="293">
        <v>356</v>
      </c>
      <c r="U12" s="294">
        <v>3.4099999999999998E-2</v>
      </c>
      <c r="V12" s="293">
        <v>339</v>
      </c>
      <c r="W12" s="295">
        <v>3.6822703480720531E-2</v>
      </c>
      <c r="X12" s="318">
        <f t="shared" si="2"/>
        <v>5.0147492625368731E-2</v>
      </c>
      <c r="Y12" s="297">
        <f t="shared" si="8"/>
        <v>-27.227034807205314</v>
      </c>
      <c r="AA12" s="292" t="s">
        <v>78</v>
      </c>
      <c r="AB12" s="293">
        <v>339</v>
      </c>
      <c r="AC12" s="294">
        <v>3.6822703480720531E-2</v>
      </c>
      <c r="AD12" s="293">
        <v>333.5</v>
      </c>
      <c r="AE12" s="295">
        <v>2.23E-2</v>
      </c>
      <c r="AF12" s="318">
        <f t="shared" si="3"/>
        <v>1.6491754122938532E-2</v>
      </c>
      <c r="AG12" s="297">
        <f t="shared" si="9"/>
        <v>145.22703480720531</v>
      </c>
      <c r="AI12" s="292" t="s">
        <v>78</v>
      </c>
      <c r="AJ12" s="293">
        <v>333.5</v>
      </c>
      <c r="AK12" s="294">
        <v>2.23E-2</v>
      </c>
      <c r="AL12" s="293">
        <f>332-6.2268</f>
        <v>325.77319999999997</v>
      </c>
      <c r="AM12" s="295">
        <v>9.1000000000000004E-3</v>
      </c>
      <c r="AN12" s="296">
        <f t="shared" si="4"/>
        <v>2.3718341471919809E-2</v>
      </c>
      <c r="AO12" s="297">
        <f t="shared" si="10"/>
        <v>132</v>
      </c>
      <c r="AQ12" s="292" t="s">
        <v>78</v>
      </c>
      <c r="AR12" s="293">
        <f t="shared" si="11"/>
        <v>356</v>
      </c>
      <c r="AS12" s="294">
        <f t="shared" si="12"/>
        <v>3.4099999999999998E-2</v>
      </c>
      <c r="AT12" s="293">
        <f>288-6.2268</f>
        <v>281.77319999999997</v>
      </c>
      <c r="AU12" s="295">
        <v>4.6300000000000001E-2</v>
      </c>
      <c r="AV12" s="295">
        <f t="shared" si="5"/>
        <v>0.26342746577744097</v>
      </c>
      <c r="AW12" s="297">
        <f t="shared" si="13"/>
        <v>-122</v>
      </c>
      <c r="AY12" s="12"/>
      <c r="AZ12" s="212">
        <v>5000000</v>
      </c>
      <c r="BA12" s="12" t="s">
        <v>143</v>
      </c>
      <c r="BB12" s="19">
        <f>+'TO21'!E8</f>
        <v>89</v>
      </c>
      <c r="BC12" s="22">
        <f>(1+(BB7/365))^(BB12)-1</f>
        <v>8.3752331465410723E-2</v>
      </c>
      <c r="BD12" s="213">
        <f>-AZ12*BC12</f>
        <v>-418761.6573270536</v>
      </c>
      <c r="BH12" s="12"/>
      <c r="BI12" s="12"/>
    </row>
    <row r="13" spans="2:61" x14ac:dyDescent="0.25">
      <c r="B13" s="298" t="s">
        <v>65</v>
      </c>
      <c r="C13" s="293">
        <f>+'Planilla de datos'!C74</f>
        <v>152.35</v>
      </c>
      <c r="D13" s="294">
        <f>+'Planilla de datos'!E74</f>
        <v>4.0047280273437499E-2</v>
      </c>
      <c r="E13" s="293">
        <v>150.4</v>
      </c>
      <c r="F13" s="295">
        <v>4.36E-2</v>
      </c>
      <c r="G13" s="318">
        <f t="shared" si="0"/>
        <v>1.2965425531914817E-2</v>
      </c>
      <c r="H13" s="297">
        <f t="shared" si="6"/>
        <v>-35.527197265625034</v>
      </c>
      <c r="K13" s="298" t="s">
        <v>65</v>
      </c>
      <c r="L13" s="293">
        <v>150.4</v>
      </c>
      <c r="M13" s="294">
        <v>4.36E-2</v>
      </c>
      <c r="N13" s="293">
        <v>146.6</v>
      </c>
      <c r="O13" s="295">
        <v>3.3399999999999999E-2</v>
      </c>
      <c r="P13" s="318">
        <f t="shared" si="1"/>
        <v>2.5920873124147419E-2</v>
      </c>
      <c r="Q13" s="297">
        <f t="shared" si="7"/>
        <v>102</v>
      </c>
      <c r="S13" s="298" t="s">
        <v>65</v>
      </c>
      <c r="T13" s="293">
        <v>146.6</v>
      </c>
      <c r="U13" s="294">
        <v>3.3399999999999999E-2</v>
      </c>
      <c r="V13" s="293">
        <v>141.5</v>
      </c>
      <c r="W13" s="295">
        <v>2.8474916992187509E-2</v>
      </c>
      <c r="X13" s="318">
        <f t="shared" si="2"/>
        <v>3.6042402826855086E-2</v>
      </c>
      <c r="Y13" s="297">
        <f t="shared" si="8"/>
        <v>49.25083007812492</v>
      </c>
      <c r="AA13" s="298" t="s">
        <v>65</v>
      </c>
      <c r="AB13" s="293">
        <v>141.5</v>
      </c>
      <c r="AC13" s="294">
        <v>2.8474916992187509E-2</v>
      </c>
      <c r="AD13" s="293">
        <v>130.6</v>
      </c>
      <c r="AE13" s="295">
        <v>4.8899999999999999E-2</v>
      </c>
      <c r="AF13" s="318">
        <f t="shared" si="3"/>
        <v>8.3460949464012293E-2</v>
      </c>
      <c r="AG13" s="297">
        <f t="shared" si="9"/>
        <v>-204.25083007812492</v>
      </c>
      <c r="AI13" s="298" t="s">
        <v>65</v>
      </c>
      <c r="AJ13" s="293">
        <v>130.6</v>
      </c>
      <c r="AK13" s="294">
        <v>4.8899999999999999E-2</v>
      </c>
      <c r="AL13" s="293">
        <f>135.25-0.96572</f>
        <v>134.28428</v>
      </c>
      <c r="AM13" s="295">
        <v>8.9999999999999993E-3</v>
      </c>
      <c r="AN13" s="296">
        <f t="shared" si="4"/>
        <v>-2.7436420703897742E-2</v>
      </c>
      <c r="AO13" s="297">
        <f t="shared" si="10"/>
        <v>399</v>
      </c>
      <c r="AQ13" s="298" t="s">
        <v>65</v>
      </c>
      <c r="AR13" s="293">
        <f t="shared" si="11"/>
        <v>146.6</v>
      </c>
      <c r="AS13" s="294">
        <f t="shared" si="12"/>
        <v>3.3399999999999999E-2</v>
      </c>
      <c r="AT13" s="293">
        <f>118.7-0.96572</f>
        <v>117.73428</v>
      </c>
      <c r="AU13" s="295">
        <v>3.8699999999999998E-2</v>
      </c>
      <c r="AV13" s="295">
        <f t="shared" si="5"/>
        <v>0.24517685078636398</v>
      </c>
      <c r="AW13" s="297">
        <f t="shared" si="13"/>
        <v>-53</v>
      </c>
      <c r="AY13" s="12"/>
      <c r="AZ13" s="214">
        <f>+AZ12</f>
        <v>5000000</v>
      </c>
      <c r="BA13" s="40" t="s">
        <v>144</v>
      </c>
      <c r="BB13" s="326">
        <f>+BB12</f>
        <v>89</v>
      </c>
      <c r="BC13" s="215">
        <f>+'TO21'!U9</f>
        <v>8.5572139303482536E-2</v>
      </c>
      <c r="BD13" s="216">
        <f>AZ13*BC13</f>
        <v>427860.69651741267</v>
      </c>
      <c r="BH13" s="22"/>
      <c r="BI13" s="12"/>
    </row>
    <row r="14" spans="2:61" x14ac:dyDescent="0.25">
      <c r="B14" s="292" t="s">
        <v>179</v>
      </c>
      <c r="C14" s="293">
        <f>+'Planilla de datos'!C75</f>
        <v>137</v>
      </c>
      <c r="D14" s="294">
        <f>+'Planilla de datos'!E75</f>
        <v>4.11685205078125E-2</v>
      </c>
      <c r="E14" s="293">
        <v>135</v>
      </c>
      <c r="F14" s="295">
        <v>4.5100000000000001E-2</v>
      </c>
      <c r="G14" s="318">
        <f t="shared" si="0"/>
        <v>1.4814814814814815E-2</v>
      </c>
      <c r="H14" s="297">
        <f t="shared" si="6"/>
        <v>-39.314794921874977</v>
      </c>
      <c r="K14" s="292" t="s">
        <v>179</v>
      </c>
      <c r="L14" s="293">
        <v>135</v>
      </c>
      <c r="M14" s="294">
        <v>4.5100000000000001E-2</v>
      </c>
      <c r="N14" s="293">
        <v>130.1</v>
      </c>
      <c r="O14" s="295">
        <v>4.2000000000000003E-2</v>
      </c>
      <c r="P14" s="318">
        <f t="shared" si="1"/>
        <v>3.7663335895465069E-2</v>
      </c>
      <c r="Q14" s="297">
        <f t="shared" si="7"/>
        <v>31</v>
      </c>
      <c r="S14" s="292" t="s">
        <v>179</v>
      </c>
      <c r="T14" s="293">
        <v>122.75</v>
      </c>
      <c r="U14" s="294">
        <v>4.8085317382812506E-2</v>
      </c>
      <c r="V14" s="293">
        <v>122.75</v>
      </c>
      <c r="W14" s="295">
        <v>4.8085317382812506E-2</v>
      </c>
      <c r="X14" s="318">
        <f t="shared" si="2"/>
        <v>0</v>
      </c>
      <c r="Y14" s="297">
        <f t="shared" si="8"/>
        <v>0</v>
      </c>
      <c r="AA14" s="292" t="s">
        <v>179</v>
      </c>
      <c r="AB14" s="293">
        <v>122.75</v>
      </c>
      <c r="AC14" s="294">
        <v>4.8085317382812506E-2</v>
      </c>
      <c r="AD14" s="293">
        <v>122</v>
      </c>
      <c r="AE14" s="295">
        <v>3.1399999999999997E-2</v>
      </c>
      <c r="AF14" s="318">
        <f t="shared" si="3"/>
        <v>6.1475409836065573E-3</v>
      </c>
      <c r="AG14" s="297">
        <f t="shared" si="9"/>
        <v>166.85317382812508</v>
      </c>
      <c r="AI14" s="292" t="s">
        <v>179</v>
      </c>
      <c r="AJ14" s="293">
        <v>122</v>
      </c>
      <c r="AK14" s="294">
        <v>3.1399999999999997E-2</v>
      </c>
      <c r="AL14" s="293">
        <v>119</v>
      </c>
      <c r="AM14" s="295">
        <v>3.9199999999999999E-2</v>
      </c>
      <c r="AN14" s="296">
        <f t="shared" si="4"/>
        <v>2.5210084033613446E-2</v>
      </c>
      <c r="AO14" s="297">
        <f t="shared" si="10"/>
        <v>-78</v>
      </c>
      <c r="AQ14" s="292" t="s">
        <v>179</v>
      </c>
      <c r="AR14" s="293">
        <f t="shared" si="11"/>
        <v>122.75</v>
      </c>
      <c r="AS14" s="294">
        <f t="shared" si="12"/>
        <v>4.8085317382812506E-2</v>
      </c>
      <c r="AT14" s="12"/>
      <c r="AU14" s="295"/>
      <c r="AV14" s="145"/>
      <c r="AW14" s="297">
        <f t="shared" si="13"/>
        <v>480.85317382812508</v>
      </c>
      <c r="AY14" s="12"/>
      <c r="AZ14" s="12"/>
      <c r="BA14" s="12" t="s">
        <v>138</v>
      </c>
      <c r="BB14" s="12"/>
      <c r="BC14" s="12"/>
      <c r="BD14" s="213"/>
      <c r="BH14" s="12"/>
      <c r="BI14" s="12"/>
    </row>
    <row r="15" spans="2:61" x14ac:dyDescent="0.25">
      <c r="B15" s="292" t="s">
        <v>81</v>
      </c>
      <c r="C15" s="293">
        <f>+'Planilla de datos'!C76</f>
        <v>143.6</v>
      </c>
      <c r="D15" s="294">
        <f>+'Planilla de datos'!E76</f>
        <v>5.3621752929687502E-2</v>
      </c>
      <c r="E15" s="293">
        <v>141.5</v>
      </c>
      <c r="F15" s="295">
        <v>5.7799999999999997E-2</v>
      </c>
      <c r="G15" s="318">
        <f t="shared" si="0"/>
        <v>1.4840989399293247E-2</v>
      </c>
      <c r="H15" s="297">
        <f t="shared" si="6"/>
        <v>-41.782470703125</v>
      </c>
      <c r="K15" s="292" t="s">
        <v>81</v>
      </c>
      <c r="L15" s="293">
        <v>141.5</v>
      </c>
      <c r="M15" s="294">
        <v>5.7799999999999997E-2</v>
      </c>
      <c r="N15" s="293">
        <v>138.69999999999999</v>
      </c>
      <c r="O15" s="295">
        <v>4.8500000000000001E-2</v>
      </c>
      <c r="P15" s="318">
        <f t="shared" si="1"/>
        <v>2.0187454938716737E-2</v>
      </c>
      <c r="Q15" s="297">
        <f t="shared" si="7"/>
        <v>93</v>
      </c>
      <c r="S15" s="292" t="s">
        <v>81</v>
      </c>
      <c r="T15" s="293">
        <v>138.69999999999999</v>
      </c>
      <c r="U15" s="294">
        <v>4.8500000000000001E-2</v>
      </c>
      <c r="V15" s="293">
        <v>131.75</v>
      </c>
      <c r="W15" s="295">
        <v>4.9566499023437516E-2</v>
      </c>
      <c r="X15" s="318">
        <f t="shared" si="2"/>
        <v>5.2751423149905038E-2</v>
      </c>
      <c r="Y15" s="297">
        <f t="shared" si="8"/>
        <v>-10.664990234375182</v>
      </c>
      <c r="AA15" s="292" t="s">
        <v>81</v>
      </c>
      <c r="AB15" s="293">
        <v>131.75</v>
      </c>
      <c r="AC15" s="294">
        <v>4.9566499023437516E-2</v>
      </c>
      <c r="AD15" s="293">
        <v>120.25</v>
      </c>
      <c r="AE15" s="295">
        <v>6.8099999999999994E-2</v>
      </c>
      <c r="AF15" s="318">
        <f t="shared" si="3"/>
        <v>9.5634095634095639E-2</v>
      </c>
      <c r="AG15" s="297">
        <f t="shared" si="9"/>
        <v>-185.3350097656247</v>
      </c>
      <c r="AI15" s="292" t="s">
        <v>81</v>
      </c>
      <c r="AJ15" s="293">
        <v>120.25</v>
      </c>
      <c r="AK15" s="294">
        <v>6.8099999999999994E-2</v>
      </c>
      <c r="AL15" s="293">
        <f>126.35-1.0347</f>
        <v>125.31529999999999</v>
      </c>
      <c r="AM15" s="295">
        <v>3.5099999999999999E-2</v>
      </c>
      <c r="AN15" s="296">
        <f t="shared" si="4"/>
        <v>-4.0420443473382688E-2</v>
      </c>
      <c r="AO15" s="297">
        <f t="shared" si="10"/>
        <v>329.99999999999989</v>
      </c>
      <c r="AQ15" s="292" t="s">
        <v>81</v>
      </c>
      <c r="AR15" s="293">
        <f t="shared" si="11"/>
        <v>138.69999999999999</v>
      </c>
      <c r="AS15" s="294">
        <f t="shared" si="12"/>
        <v>4.8500000000000001E-2</v>
      </c>
      <c r="AT15" s="293">
        <f>108.9-1.0347</f>
        <v>107.8653</v>
      </c>
      <c r="AU15" s="295">
        <v>6.0999999999999999E-2</v>
      </c>
      <c r="AV15" s="295">
        <f t="shared" ref="AV15:AV21" si="14">(AR15-AT15)/AT15</f>
        <v>0.2858630161877822</v>
      </c>
      <c r="AW15" s="297">
        <f t="shared" si="13"/>
        <v>-125</v>
      </c>
      <c r="AY15" s="12"/>
      <c r="AZ15" s="12"/>
      <c r="BA15" s="12"/>
      <c r="BB15" s="22"/>
      <c r="BC15" s="12" t="s">
        <v>233</v>
      </c>
      <c r="BD15" s="213">
        <f>+BD13+BD12</f>
        <v>9099.0391903590644</v>
      </c>
      <c r="BH15" s="213"/>
      <c r="BI15" s="12"/>
    </row>
    <row r="16" spans="2:61" x14ac:dyDescent="0.25">
      <c r="B16" s="292" t="s">
        <v>124</v>
      </c>
      <c r="C16" s="293">
        <f>+'Planilla de datos'!C78</f>
        <v>116.1</v>
      </c>
      <c r="D16" s="294">
        <f>+'Planilla de datos'!E78</f>
        <v>7.0981059570312532E-2</v>
      </c>
      <c r="E16" s="293">
        <v>114.5</v>
      </c>
      <c r="F16" s="295">
        <v>7.2700000000000001E-2</v>
      </c>
      <c r="G16" s="318">
        <f t="shared" si="0"/>
        <v>1.3973799126637505E-2</v>
      </c>
      <c r="H16" s="297">
        <f t="shared" si="6"/>
        <v>-17.189404296874727</v>
      </c>
      <c r="K16" s="292" t="s">
        <v>124</v>
      </c>
      <c r="L16" s="293">
        <v>114.5</v>
      </c>
      <c r="M16" s="294">
        <v>7.2700000000000001E-2</v>
      </c>
      <c r="N16" s="293">
        <v>114</v>
      </c>
      <c r="O16" s="295">
        <v>6.2199999999999998E-2</v>
      </c>
      <c r="P16" s="318">
        <f t="shared" si="1"/>
        <v>4.3859649122807015E-3</v>
      </c>
      <c r="Q16" s="297">
        <f t="shared" si="7"/>
        <v>105</v>
      </c>
      <c r="S16" s="292" t="s">
        <v>124</v>
      </c>
      <c r="T16" s="293">
        <v>114</v>
      </c>
      <c r="U16" s="294">
        <v>6.2199999999999998E-2</v>
      </c>
      <c r="V16" s="293">
        <f>107.3-1.78169</f>
        <v>105.51831</v>
      </c>
      <c r="W16" s="295">
        <v>6.9883022460937513E-2</v>
      </c>
      <c r="X16" s="318">
        <f t="shared" si="2"/>
        <v>8.0381215354946453E-2</v>
      </c>
      <c r="Y16" s="297">
        <f t="shared" si="8"/>
        <v>-76.830224609375136</v>
      </c>
      <c r="AA16" s="292" t="s">
        <v>124</v>
      </c>
      <c r="AB16" s="293">
        <v>107.3</v>
      </c>
      <c r="AC16" s="294">
        <v>6.9883022460937513E-2</v>
      </c>
      <c r="AD16" s="293">
        <v>99.7</v>
      </c>
      <c r="AE16" s="295">
        <v>7.6999999999999999E-2</v>
      </c>
      <c r="AF16" s="318">
        <f t="shared" si="3"/>
        <v>7.6228686058174469E-2</v>
      </c>
      <c r="AG16" s="297">
        <f t="shared" si="9"/>
        <v>-71.169775390624864</v>
      </c>
      <c r="AI16" s="292" t="s">
        <v>124</v>
      </c>
      <c r="AJ16" s="293">
        <v>99.7</v>
      </c>
      <c r="AK16" s="294">
        <v>7.6999999999999999E-2</v>
      </c>
      <c r="AL16" s="293">
        <v>102.6</v>
      </c>
      <c r="AM16" s="295">
        <v>5.7000000000000002E-2</v>
      </c>
      <c r="AN16" s="296">
        <f t="shared" si="4"/>
        <v>-2.8265107212475552E-2</v>
      </c>
      <c r="AO16" s="297">
        <f t="shared" si="10"/>
        <v>200</v>
      </c>
      <c r="AQ16" s="292" t="s">
        <v>124</v>
      </c>
      <c r="AR16" s="293">
        <f t="shared" si="11"/>
        <v>114</v>
      </c>
      <c r="AS16" s="294">
        <f t="shared" si="12"/>
        <v>6.2199999999999998E-2</v>
      </c>
      <c r="AT16" s="293">
        <f>87.3-1.78169</f>
        <v>85.51831</v>
      </c>
      <c r="AU16" s="295">
        <v>7.7399999999999997E-2</v>
      </c>
      <c r="AV16" s="295">
        <f t="shared" si="14"/>
        <v>0.33304785840599516</v>
      </c>
      <c r="AW16" s="297">
        <f t="shared" si="13"/>
        <v>-152</v>
      </c>
      <c r="AY16" s="12"/>
      <c r="AZ16" s="12"/>
      <c r="BA16" s="12"/>
      <c r="BB16" s="12"/>
      <c r="BC16" s="12" t="s">
        <v>234</v>
      </c>
      <c r="BD16" s="157">
        <f>BD15/AZ12</f>
        <v>1.8198078380718128E-3</v>
      </c>
      <c r="BH16" s="213"/>
      <c r="BI16" s="12"/>
    </row>
    <row r="17" spans="2:61" x14ac:dyDescent="0.25">
      <c r="B17" s="292" t="s">
        <v>90</v>
      </c>
      <c r="C17" s="293">
        <f>+'Planilla de datos'!C77</f>
        <v>342</v>
      </c>
      <c r="D17" s="294">
        <f>+'Planilla de datos'!E77</f>
        <v>5.1355245709419253E-2</v>
      </c>
      <c r="E17" s="293">
        <v>338</v>
      </c>
      <c r="F17" s="295">
        <v>5.2699999999999997E-2</v>
      </c>
      <c r="G17" s="318">
        <f t="shared" si="0"/>
        <v>1.1834319526627219E-2</v>
      </c>
      <c r="H17" s="297">
        <f t="shared" si="6"/>
        <v>-13.447542905807495</v>
      </c>
      <c r="K17" s="292" t="s">
        <v>90</v>
      </c>
      <c r="L17" s="293">
        <v>338</v>
      </c>
      <c r="M17" s="294">
        <v>5.2699999999999997E-2</v>
      </c>
      <c r="N17" s="293">
        <v>320</v>
      </c>
      <c r="O17" s="295">
        <v>5.5800000000000002E-2</v>
      </c>
      <c r="P17" s="318">
        <f t="shared" si="1"/>
        <v>5.6250000000000001E-2</v>
      </c>
      <c r="Q17" s="297">
        <f t="shared" si="7"/>
        <v>-31</v>
      </c>
      <c r="S17" s="292" t="s">
        <v>90</v>
      </c>
      <c r="T17" s="293">
        <v>320</v>
      </c>
      <c r="U17" s="294">
        <v>5.5800000000000002E-2</v>
      </c>
      <c r="V17" s="293">
        <v>305</v>
      </c>
      <c r="W17" s="295">
        <v>5.6411436200141898E-2</v>
      </c>
      <c r="X17" s="318">
        <f t="shared" si="2"/>
        <v>4.9180327868852458E-2</v>
      </c>
      <c r="Y17" s="297">
        <f t="shared" si="8"/>
        <v>-6.1143620014189537</v>
      </c>
      <c r="AA17" s="292" t="s">
        <v>90</v>
      </c>
      <c r="AB17" s="293">
        <v>305</v>
      </c>
      <c r="AC17" s="294">
        <v>5.6411436200141898E-2</v>
      </c>
      <c r="AD17" s="293">
        <f>284-6.387</f>
        <v>277.613</v>
      </c>
      <c r="AE17" s="295">
        <v>7.0300000000000001E-2</v>
      </c>
      <c r="AF17" s="318">
        <f t="shared" si="3"/>
        <v>9.8651720200422899E-2</v>
      </c>
      <c r="AG17" s="297">
        <f t="shared" si="9"/>
        <v>-138.88563799858105</v>
      </c>
      <c r="AI17" s="292" t="s">
        <v>90</v>
      </c>
      <c r="AJ17" s="293">
        <v>284</v>
      </c>
      <c r="AK17" s="294">
        <v>7.0300000000000001E-2</v>
      </c>
      <c r="AL17" s="293">
        <v>290</v>
      </c>
      <c r="AM17" s="295">
        <v>4.9700000000000001E-2</v>
      </c>
      <c r="AN17" s="296">
        <f t="shared" si="4"/>
        <v>-2.0689655172413793E-2</v>
      </c>
      <c r="AO17" s="297">
        <f t="shared" si="10"/>
        <v>206</v>
      </c>
      <c r="AQ17" s="292" t="s">
        <v>90</v>
      </c>
      <c r="AR17" s="293">
        <f t="shared" si="11"/>
        <v>320</v>
      </c>
      <c r="AS17" s="294">
        <f t="shared" si="12"/>
        <v>5.5800000000000002E-2</v>
      </c>
      <c r="AT17" s="293">
        <f>240-6.387</f>
        <v>233.613</v>
      </c>
      <c r="AU17" s="295">
        <v>8.09E-2</v>
      </c>
      <c r="AV17" s="295">
        <f t="shared" si="14"/>
        <v>0.36978678412588339</v>
      </c>
      <c r="AW17" s="297">
        <f t="shared" si="13"/>
        <v>-251</v>
      </c>
      <c r="AY17" s="12"/>
      <c r="AZ17" s="12"/>
      <c r="BA17" s="12"/>
      <c r="BB17" s="12"/>
      <c r="BC17" s="12"/>
      <c r="BD17" s="12"/>
      <c r="BE17" s="12"/>
      <c r="BF17" s="12"/>
      <c r="BG17" s="213"/>
      <c r="BH17" s="213"/>
      <c r="BI17" s="12"/>
    </row>
    <row r="18" spans="2:61" x14ac:dyDescent="0.25">
      <c r="B18" s="292" t="s">
        <v>129</v>
      </c>
      <c r="C18" s="293">
        <f>+'Planilla de datos'!C79</f>
        <v>108.6</v>
      </c>
      <c r="D18" s="294">
        <f>+'Planilla de datos'!E79</f>
        <v>8.2448557019233717E-2</v>
      </c>
      <c r="E18" s="293">
        <v>107.9</v>
      </c>
      <c r="F18" s="295">
        <v>8.2199999999999995E-2</v>
      </c>
      <c r="G18" s="318">
        <f t="shared" si="0"/>
        <v>6.4874884151991533E-3</v>
      </c>
      <c r="H18" s="297">
        <f t="shared" si="6"/>
        <v>2.4855701923371498</v>
      </c>
      <c r="K18" s="292" t="s">
        <v>129</v>
      </c>
      <c r="L18" s="293">
        <v>107.9</v>
      </c>
      <c r="M18" s="294">
        <v>8.2199999999999995E-2</v>
      </c>
      <c r="N18" s="293">
        <v>108</v>
      </c>
      <c r="O18" s="295">
        <v>7.1499999999999994E-2</v>
      </c>
      <c r="P18" s="318">
        <f t="shared" si="1"/>
        <v>-9.2592592592587327E-4</v>
      </c>
      <c r="Q18" s="297">
        <f t="shared" si="7"/>
        <v>107.00000000000011</v>
      </c>
      <c r="S18" s="292" t="s">
        <v>129</v>
      </c>
      <c r="T18" s="293">
        <v>108</v>
      </c>
      <c r="U18" s="294">
        <v>7.1499999999999994E-2</v>
      </c>
      <c r="V18" s="293">
        <f>102.35-2.00441</f>
        <v>100.34558999999999</v>
      </c>
      <c r="W18" s="295">
        <v>7.7353796362876912E-2</v>
      </c>
      <c r="X18" s="318">
        <f t="shared" si="2"/>
        <v>7.6280482281284243E-2</v>
      </c>
      <c r="Y18" s="297">
        <f t="shared" si="8"/>
        <v>-58.537963628769262</v>
      </c>
      <c r="AA18" s="292" t="s">
        <v>129</v>
      </c>
      <c r="AB18" s="293">
        <v>102.35</v>
      </c>
      <c r="AC18" s="294">
        <v>7.7353796362876912E-2</v>
      </c>
      <c r="AD18" s="293">
        <v>96.27</v>
      </c>
      <c r="AE18" s="295">
        <v>8.09E-2</v>
      </c>
      <c r="AF18" s="318">
        <f t="shared" si="3"/>
        <v>6.3155707904850922E-2</v>
      </c>
      <c r="AG18" s="297">
        <f t="shared" si="9"/>
        <v>-35.462036371230852</v>
      </c>
      <c r="AI18" s="292" t="s">
        <v>129</v>
      </c>
      <c r="AJ18" s="293">
        <v>96.27</v>
      </c>
      <c r="AK18" s="294">
        <v>8.09E-2</v>
      </c>
      <c r="AL18" s="293">
        <v>101.5</v>
      </c>
      <c r="AM18" s="295">
        <v>5.7700000000000001E-2</v>
      </c>
      <c r="AN18" s="296">
        <f t="shared" si="4"/>
        <v>-5.1527093596059149E-2</v>
      </c>
      <c r="AO18" s="297">
        <f t="shared" si="10"/>
        <v>232</v>
      </c>
      <c r="AQ18" s="292" t="s">
        <v>129</v>
      </c>
      <c r="AR18" s="293">
        <f t="shared" si="11"/>
        <v>108</v>
      </c>
      <c r="AS18" s="294">
        <f t="shared" si="12"/>
        <v>7.1499999999999994E-2</v>
      </c>
      <c r="AT18" s="293">
        <f>84.7-2.00441</f>
        <v>82.69559000000001</v>
      </c>
      <c r="AU18" s="295">
        <v>8.0100000000000005E-2</v>
      </c>
      <c r="AV18" s="295">
        <f t="shared" si="14"/>
        <v>0.30599467275098935</v>
      </c>
      <c r="AW18" s="297">
        <f t="shared" si="13"/>
        <v>-86.000000000000114</v>
      </c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 spans="2:61" x14ac:dyDescent="0.25">
      <c r="B19" s="292" t="s">
        <v>73</v>
      </c>
      <c r="C19" s="293">
        <f>+'Planilla de datos'!C80</f>
        <v>2369</v>
      </c>
      <c r="D19" s="294">
        <f>+'Planilla de datos'!E80</f>
        <v>8.8107535243034357E-2</v>
      </c>
      <c r="E19" s="293">
        <v>2300</v>
      </c>
      <c r="F19" s="295">
        <v>9.2200000000000004E-2</v>
      </c>
      <c r="G19" s="318">
        <f t="shared" si="0"/>
        <v>0.03</v>
      </c>
      <c r="H19" s="297">
        <f t="shared" si="6"/>
        <v>-40.924647569656372</v>
      </c>
      <c r="K19" s="292" t="s">
        <v>73</v>
      </c>
      <c r="L19" s="293">
        <v>2300</v>
      </c>
      <c r="M19" s="294">
        <v>9.2200000000000004E-2</v>
      </c>
      <c r="N19" s="293">
        <f>2348-80.50588</f>
        <v>2267.4941199999998</v>
      </c>
      <c r="O19" s="295">
        <v>8.5900000000000004E-2</v>
      </c>
      <c r="P19" s="318">
        <f t="shared" si="1"/>
        <v>1.4335596160222971E-2</v>
      </c>
      <c r="Q19" s="297">
        <f t="shared" si="7"/>
        <v>63</v>
      </c>
      <c r="S19" s="292" t="s">
        <v>73</v>
      </c>
      <c r="T19" s="293">
        <v>2348</v>
      </c>
      <c r="U19" s="294">
        <v>8.5900000000000004E-2</v>
      </c>
      <c r="V19" s="293">
        <v>2146</v>
      </c>
      <c r="W19" s="295">
        <v>9.3700000000000006E-2</v>
      </c>
      <c r="X19" s="318">
        <f t="shared" si="2"/>
        <v>9.4128611369990678E-2</v>
      </c>
      <c r="Y19" s="297">
        <f t="shared" si="8"/>
        <v>-78</v>
      </c>
      <c r="AA19" s="292" t="s">
        <v>73</v>
      </c>
      <c r="AB19" s="293">
        <v>2146</v>
      </c>
      <c r="AC19" s="294">
        <v>9.3700000000000006E-2</v>
      </c>
      <c r="AD19" s="293">
        <v>2000</v>
      </c>
      <c r="AE19" s="295">
        <v>9.8100000000000007E-2</v>
      </c>
      <c r="AF19" s="318">
        <f t="shared" si="3"/>
        <v>7.2999999999999995E-2</v>
      </c>
      <c r="AG19" s="297">
        <f t="shared" si="9"/>
        <v>-44.000000000000114</v>
      </c>
      <c r="AI19" s="292" t="s">
        <v>73</v>
      </c>
      <c r="AJ19" s="293">
        <v>2000</v>
      </c>
      <c r="AK19" s="294">
        <v>9.8100000000000007E-2</v>
      </c>
      <c r="AL19" s="293">
        <v>2098</v>
      </c>
      <c r="AM19" s="295">
        <v>7.9500000000000001E-2</v>
      </c>
      <c r="AN19" s="296">
        <f t="shared" si="4"/>
        <v>-4.6711153479504289E-2</v>
      </c>
      <c r="AO19" s="297">
        <f t="shared" si="10"/>
        <v>186.00000000000011</v>
      </c>
      <c r="AP19" s="161"/>
      <c r="AQ19" s="292" t="s">
        <v>73</v>
      </c>
      <c r="AR19" s="293">
        <f t="shared" si="11"/>
        <v>2348</v>
      </c>
      <c r="AS19" s="294">
        <f t="shared" si="12"/>
        <v>8.5900000000000004E-2</v>
      </c>
      <c r="AT19" s="293">
        <v>1880</v>
      </c>
      <c r="AU19" s="295">
        <v>8.5099999999999995E-2</v>
      </c>
      <c r="AV19" s="295">
        <f t="shared" si="14"/>
        <v>0.24893617021276596</v>
      </c>
      <c r="AW19" s="297">
        <f t="shared" si="13"/>
        <v>8</v>
      </c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2:61" x14ac:dyDescent="0.25">
      <c r="B20" s="292" t="s">
        <v>75</v>
      </c>
      <c r="C20" s="293">
        <f>+'Planilla de datos'!C81</f>
        <v>887</v>
      </c>
      <c r="D20" s="294">
        <f>+'Planilla de datos'!E81</f>
        <v>0.1106548249721527</v>
      </c>
      <c r="E20" s="293">
        <v>881</v>
      </c>
      <c r="F20" s="295">
        <v>0.1105</v>
      </c>
      <c r="G20" s="318">
        <f t="shared" si="0"/>
        <v>6.8104426787741201E-3</v>
      </c>
      <c r="H20" s="297">
        <f t="shared" si="6"/>
        <v>1.5482497215270996</v>
      </c>
      <c r="K20" s="292" t="s">
        <v>75</v>
      </c>
      <c r="L20" s="293">
        <v>881</v>
      </c>
      <c r="M20" s="294">
        <v>0.1105</v>
      </c>
      <c r="N20" s="293">
        <v>840</v>
      </c>
      <c r="O20" s="295">
        <v>0.1104</v>
      </c>
      <c r="P20" s="318">
        <f t="shared" si="1"/>
        <v>4.880952380952381E-2</v>
      </c>
      <c r="Q20" s="297">
        <f t="shared" si="7"/>
        <v>1</v>
      </c>
      <c r="S20" s="292" t="s">
        <v>75</v>
      </c>
      <c r="T20" s="293">
        <v>840</v>
      </c>
      <c r="U20" s="294">
        <v>0.1104</v>
      </c>
      <c r="V20" s="293">
        <v>793</v>
      </c>
      <c r="W20" s="295">
        <v>0.1113</v>
      </c>
      <c r="X20" s="318">
        <f t="shared" si="2"/>
        <v>5.9268600252206809E-2</v>
      </c>
      <c r="Y20" s="297">
        <f t="shared" si="8"/>
        <v>-9</v>
      </c>
      <c r="AA20" s="292" t="s">
        <v>75</v>
      </c>
      <c r="AB20" s="293">
        <v>793</v>
      </c>
      <c r="AC20" s="294">
        <v>0.1113</v>
      </c>
      <c r="AD20" s="293">
        <v>785</v>
      </c>
      <c r="AE20" s="295">
        <v>0.1072</v>
      </c>
      <c r="AF20" s="318">
        <f t="shared" si="3"/>
        <v>1.019108280254777E-2</v>
      </c>
      <c r="AG20" s="297">
        <f t="shared" si="9"/>
        <v>41</v>
      </c>
      <c r="AI20" s="292" t="s">
        <v>75</v>
      </c>
      <c r="AJ20" s="293">
        <v>785</v>
      </c>
      <c r="AK20" s="294">
        <v>0.1072</v>
      </c>
      <c r="AL20" s="293">
        <v>823</v>
      </c>
      <c r="AM20" s="295">
        <v>9.8199999999999996E-2</v>
      </c>
      <c r="AN20" s="296">
        <f t="shared" si="4"/>
        <v>-4.6172539489671933E-2</v>
      </c>
      <c r="AO20" s="297">
        <f t="shared" si="10"/>
        <v>90</v>
      </c>
      <c r="AQ20" s="292" t="s">
        <v>75</v>
      </c>
      <c r="AR20" s="293">
        <f t="shared" si="11"/>
        <v>840</v>
      </c>
      <c r="AS20" s="294">
        <f t="shared" si="12"/>
        <v>0.1104</v>
      </c>
      <c r="AT20" s="293">
        <f>714-17.04802</f>
        <v>696.95198000000005</v>
      </c>
      <c r="AU20" s="295">
        <v>0.10489999999999999</v>
      </c>
      <c r="AV20" s="295">
        <f t="shared" si="14"/>
        <v>0.20524802870923753</v>
      </c>
      <c r="AW20" s="297">
        <f t="shared" si="13"/>
        <v>55</v>
      </c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spans="2:61" x14ac:dyDescent="0.25">
      <c r="B21" s="292" t="s">
        <v>74</v>
      </c>
      <c r="C21" s="293">
        <f>+'Planilla de datos'!C82</f>
        <v>1345</v>
      </c>
      <c r="D21" s="294">
        <f>+'Planilla de datos'!E82</f>
        <v>0.10052410960197447</v>
      </c>
      <c r="E21" s="293">
        <v>1320</v>
      </c>
      <c r="F21" s="295">
        <v>0.1016</v>
      </c>
      <c r="G21" s="318">
        <f t="shared" si="0"/>
        <v>1.893939393939394E-2</v>
      </c>
      <c r="H21" s="297">
        <f t="shared" si="6"/>
        <v>-10.758903980255241</v>
      </c>
      <c r="K21" s="292" t="s">
        <v>74</v>
      </c>
      <c r="L21" s="293">
        <v>1320</v>
      </c>
      <c r="M21" s="294">
        <v>0.1016</v>
      </c>
      <c r="N21" s="293">
        <v>1235</v>
      </c>
      <c r="O21" s="295">
        <v>0.10730000000000001</v>
      </c>
      <c r="P21" s="318">
        <f t="shared" si="1"/>
        <v>6.8825910931174086E-2</v>
      </c>
      <c r="Q21" s="297">
        <f t="shared" si="7"/>
        <v>-57</v>
      </c>
      <c r="S21" s="292" t="s">
        <v>74</v>
      </c>
      <c r="T21" s="293">
        <v>1235</v>
      </c>
      <c r="U21" s="294">
        <v>0.10730000000000001</v>
      </c>
      <c r="V21" s="293">
        <v>1200</v>
      </c>
      <c r="W21" s="295">
        <v>0.1052</v>
      </c>
      <c r="X21" s="318">
        <f t="shared" si="2"/>
        <v>2.9166666666666667E-2</v>
      </c>
      <c r="Y21" s="297">
        <f t="shared" si="8"/>
        <v>21</v>
      </c>
      <c r="AA21" s="292" t="s">
        <v>74</v>
      </c>
      <c r="AB21" s="293">
        <v>1200</v>
      </c>
      <c r="AC21" s="294">
        <v>0.1052</v>
      </c>
      <c r="AD21" s="293">
        <v>1140</v>
      </c>
      <c r="AE21" s="295">
        <v>0.1056</v>
      </c>
      <c r="AF21" s="318">
        <f t="shared" si="3"/>
        <v>5.2631578947368418E-2</v>
      </c>
      <c r="AG21" s="297">
        <f t="shared" si="9"/>
        <v>-4</v>
      </c>
      <c r="AI21" s="292" t="s">
        <v>74</v>
      </c>
      <c r="AJ21" s="293">
        <v>1140</v>
      </c>
      <c r="AK21" s="294">
        <v>0.1056</v>
      </c>
      <c r="AL21" s="293">
        <v>1200</v>
      </c>
      <c r="AM21" s="295">
        <v>9.5100000000000004E-2</v>
      </c>
      <c r="AN21" s="296">
        <f t="shared" si="4"/>
        <v>-0.05</v>
      </c>
      <c r="AO21" s="297">
        <f t="shared" si="10"/>
        <v>105</v>
      </c>
      <c r="AQ21" s="292" t="s">
        <v>74</v>
      </c>
      <c r="AR21" s="293">
        <f t="shared" si="11"/>
        <v>1235</v>
      </c>
      <c r="AS21" s="294">
        <f t="shared" si="12"/>
        <v>0.10730000000000001</v>
      </c>
      <c r="AT21" s="293">
        <v>1010</v>
      </c>
      <c r="AU21" s="295">
        <v>0.104</v>
      </c>
      <c r="AV21" s="295">
        <f t="shared" si="14"/>
        <v>0.22277227722772278</v>
      </c>
      <c r="AW21" s="297">
        <f t="shared" si="13"/>
        <v>33</v>
      </c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spans="2:61" x14ac:dyDescent="0.25">
      <c r="AQ22" s="292" t="s">
        <v>228</v>
      </c>
      <c r="AV22" s="5">
        <f>+BK47</f>
        <v>0.15505775288764442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spans="2:61" x14ac:dyDescent="0.25">
      <c r="B23" s="378" t="s">
        <v>145</v>
      </c>
      <c r="C23" s="378"/>
      <c r="D23" s="378"/>
      <c r="E23" s="378"/>
      <c r="F23" s="378"/>
      <c r="G23" s="378"/>
      <c r="H23" s="378"/>
      <c r="K23" s="378" t="s">
        <v>145</v>
      </c>
      <c r="L23" s="378"/>
      <c r="M23" s="378"/>
      <c r="N23" s="378"/>
      <c r="O23" s="378"/>
      <c r="P23" s="378"/>
      <c r="Q23" s="378"/>
      <c r="S23" s="378" t="s">
        <v>145</v>
      </c>
      <c r="T23" s="378"/>
      <c r="U23" s="378"/>
      <c r="V23" s="378"/>
      <c r="W23" s="378"/>
      <c r="X23" s="378"/>
      <c r="Y23" s="378"/>
      <c r="AA23" s="378" t="s">
        <v>145</v>
      </c>
      <c r="AB23" s="378"/>
      <c r="AC23" s="378"/>
      <c r="AD23" s="378"/>
      <c r="AE23" s="378"/>
      <c r="AF23" s="378"/>
      <c r="AG23" s="378"/>
      <c r="AI23" s="378" t="s">
        <v>145</v>
      </c>
      <c r="AJ23" s="378"/>
      <c r="AK23" s="378"/>
      <c r="AL23" s="378"/>
      <c r="AM23" s="378"/>
      <c r="AN23" s="378"/>
      <c r="AO23" s="378"/>
      <c r="AQ23" s="386" t="s">
        <v>145</v>
      </c>
      <c r="AR23" s="386"/>
      <c r="AS23" s="386"/>
      <c r="AT23" s="386"/>
      <c r="AU23" s="386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spans="2:61" x14ac:dyDescent="0.25">
      <c r="AW24" s="12"/>
      <c r="AX24" s="12"/>
      <c r="AY24" s="12"/>
      <c r="AZ24" s="12"/>
      <c r="BA24" s="12"/>
      <c r="BB24" s="12"/>
    </row>
    <row r="25" spans="2:61" x14ac:dyDescent="0.25">
      <c r="AW25" s="5">
        <f>(1+AV16)/(1+AV22)-1</f>
        <v>0.15409628226240257</v>
      </c>
    </row>
    <row r="26" spans="2:61" x14ac:dyDescent="0.25">
      <c r="B26" s="349" t="s">
        <v>250</v>
      </c>
      <c r="K26" s="301" t="s">
        <v>250</v>
      </c>
      <c r="S26" s="301" t="s">
        <v>60</v>
      </c>
      <c r="AA26" s="301" t="s">
        <v>60</v>
      </c>
      <c r="AI26" s="6" t="s">
        <v>60</v>
      </c>
      <c r="AQ26" s="301" t="s">
        <v>60</v>
      </c>
    </row>
    <row r="27" spans="2:61" x14ac:dyDescent="0.25">
      <c r="B27" s="379" t="s">
        <v>185</v>
      </c>
      <c r="C27" s="379"/>
      <c r="D27" s="379"/>
      <c r="E27" s="379"/>
      <c r="F27" s="379"/>
      <c r="G27" s="379"/>
      <c r="H27" s="379"/>
      <c r="K27" s="379" t="s">
        <v>185</v>
      </c>
      <c r="L27" s="379"/>
      <c r="M27" s="379"/>
      <c r="N27" s="379"/>
      <c r="O27" s="379"/>
      <c r="P27" s="379"/>
      <c r="Q27" s="379"/>
      <c r="S27" s="379" t="s">
        <v>185</v>
      </c>
      <c r="T27" s="379"/>
      <c r="U27" s="379"/>
      <c r="V27" s="379"/>
      <c r="W27" s="379"/>
      <c r="X27" s="379"/>
      <c r="Y27" s="379"/>
      <c r="AA27" s="379" t="s">
        <v>185</v>
      </c>
      <c r="AB27" s="379"/>
      <c r="AC27" s="379"/>
      <c r="AD27" s="379"/>
      <c r="AE27" s="379"/>
      <c r="AF27" s="379"/>
      <c r="AG27" s="379"/>
      <c r="AI27" s="379" t="s">
        <v>185</v>
      </c>
      <c r="AJ27" s="379"/>
      <c r="AK27" s="379"/>
      <c r="AL27" s="379"/>
      <c r="AM27" s="379"/>
      <c r="AN27" s="379"/>
      <c r="AO27" s="379"/>
      <c r="AQ27" s="379" t="s">
        <v>185</v>
      </c>
      <c r="AR27" s="379"/>
      <c r="AS27" s="379"/>
      <c r="AT27" s="379"/>
      <c r="AU27" s="379"/>
      <c r="AV27" s="379"/>
      <c r="AW27" s="379"/>
    </row>
    <row r="28" spans="2:61" x14ac:dyDescent="0.25">
      <c r="B28" s="380" t="s">
        <v>249</v>
      </c>
      <c r="C28" s="380"/>
      <c r="D28" s="380"/>
      <c r="E28" s="380"/>
      <c r="F28" s="380"/>
      <c r="G28" s="380"/>
      <c r="H28" s="380"/>
      <c r="K28" s="380" t="s">
        <v>249</v>
      </c>
      <c r="L28" s="380"/>
      <c r="M28" s="380"/>
      <c r="N28" s="380"/>
      <c r="O28" s="380"/>
      <c r="P28" s="380"/>
      <c r="Q28" s="380"/>
      <c r="S28" s="380" t="s">
        <v>232</v>
      </c>
      <c r="T28" s="380"/>
      <c r="U28" s="380"/>
      <c r="V28" s="380"/>
      <c r="W28" s="380"/>
      <c r="X28" s="380"/>
      <c r="Y28" s="380"/>
      <c r="AA28" s="380" t="s">
        <v>225</v>
      </c>
      <c r="AB28" s="380"/>
      <c r="AC28" s="380"/>
      <c r="AD28" s="380"/>
      <c r="AE28" s="380"/>
      <c r="AF28" s="380"/>
      <c r="AG28" s="380"/>
      <c r="AI28" s="380" t="s">
        <v>211</v>
      </c>
      <c r="AJ28" s="380"/>
      <c r="AK28" s="380"/>
      <c r="AL28" s="380"/>
      <c r="AM28" s="380"/>
      <c r="AN28" s="380"/>
      <c r="AO28" s="380"/>
      <c r="AQ28" s="380" t="s">
        <v>215</v>
      </c>
      <c r="AR28" s="380"/>
      <c r="AS28" s="380"/>
      <c r="AT28" s="380"/>
      <c r="AU28" s="380"/>
      <c r="AV28" s="380"/>
      <c r="AW28" s="380"/>
    </row>
    <row r="29" spans="2:61" x14ac:dyDescent="0.25">
      <c r="B29" s="381" t="s">
        <v>46</v>
      </c>
      <c r="C29" s="384" t="s">
        <v>207</v>
      </c>
      <c r="D29" s="384"/>
      <c r="E29" s="382">
        <v>44377</v>
      </c>
      <c r="F29" s="383"/>
      <c r="G29" s="384" t="s">
        <v>208</v>
      </c>
      <c r="H29" s="384"/>
      <c r="K29" s="381" t="s">
        <v>46</v>
      </c>
      <c r="L29" s="382">
        <v>44377</v>
      </c>
      <c r="M29" s="383"/>
      <c r="N29" s="382">
        <v>44347</v>
      </c>
      <c r="O29" s="383"/>
      <c r="P29" s="384" t="s">
        <v>208</v>
      </c>
      <c r="Q29" s="384"/>
      <c r="S29" s="381" t="s">
        <v>46</v>
      </c>
      <c r="T29" s="382">
        <v>44347</v>
      </c>
      <c r="U29" s="383"/>
      <c r="V29" s="382">
        <v>44316</v>
      </c>
      <c r="W29" s="383"/>
      <c r="X29" s="384" t="s">
        <v>208</v>
      </c>
      <c r="Y29" s="384"/>
      <c r="AA29" s="381" t="s">
        <v>46</v>
      </c>
      <c r="AB29" s="384" t="s">
        <v>207</v>
      </c>
      <c r="AC29" s="384"/>
      <c r="AD29" s="382">
        <v>44286</v>
      </c>
      <c r="AE29" s="383"/>
      <c r="AF29" s="384" t="s">
        <v>208</v>
      </c>
      <c r="AG29" s="384"/>
      <c r="AI29" s="381" t="s">
        <v>46</v>
      </c>
      <c r="AJ29" s="384" t="s">
        <v>207</v>
      </c>
      <c r="AK29" s="384"/>
      <c r="AL29" s="382">
        <v>44253</v>
      </c>
      <c r="AM29" s="383"/>
      <c r="AN29" s="384" t="s">
        <v>208</v>
      </c>
      <c r="AO29" s="384"/>
      <c r="AQ29" s="381" t="s">
        <v>46</v>
      </c>
      <c r="AR29" s="384" t="s">
        <v>207</v>
      </c>
      <c r="AS29" s="384"/>
      <c r="AT29" s="382">
        <v>44195</v>
      </c>
      <c r="AU29" s="383"/>
      <c r="AV29" s="384" t="s">
        <v>208</v>
      </c>
      <c r="AW29" s="384"/>
    </row>
    <row r="30" spans="2:61" ht="15" customHeight="1" x14ac:dyDescent="0.25">
      <c r="B30" s="381"/>
      <c r="C30" s="163" t="s">
        <v>83</v>
      </c>
      <c r="D30" s="291" t="s">
        <v>10</v>
      </c>
      <c r="E30" s="163" t="s">
        <v>83</v>
      </c>
      <c r="F30" s="291" t="s">
        <v>10</v>
      </c>
      <c r="G30" s="290" t="s">
        <v>209</v>
      </c>
      <c r="H30" s="291" t="s">
        <v>210</v>
      </c>
      <c r="K30" s="381"/>
      <c r="L30" s="163" t="s">
        <v>83</v>
      </c>
      <c r="M30" s="291" t="s">
        <v>10</v>
      </c>
      <c r="N30" s="163" t="s">
        <v>83</v>
      </c>
      <c r="O30" s="291" t="s">
        <v>10</v>
      </c>
      <c r="P30" s="290" t="s">
        <v>209</v>
      </c>
      <c r="Q30" s="291" t="s">
        <v>210</v>
      </c>
      <c r="S30" s="381"/>
      <c r="T30" s="163" t="s">
        <v>83</v>
      </c>
      <c r="U30" s="291" t="s">
        <v>10</v>
      </c>
      <c r="V30" s="163" t="s">
        <v>83</v>
      </c>
      <c r="W30" s="291" t="s">
        <v>10</v>
      </c>
      <c r="X30" s="290" t="s">
        <v>209</v>
      </c>
      <c r="Y30" s="291" t="s">
        <v>210</v>
      </c>
      <c r="AA30" s="381"/>
      <c r="AB30" s="163" t="s">
        <v>83</v>
      </c>
      <c r="AC30" s="291" t="s">
        <v>10</v>
      </c>
      <c r="AD30" s="163" t="s">
        <v>83</v>
      </c>
      <c r="AE30" s="291" t="s">
        <v>10</v>
      </c>
      <c r="AF30" s="290" t="s">
        <v>209</v>
      </c>
      <c r="AG30" s="291" t="s">
        <v>210</v>
      </c>
      <c r="AI30" s="381"/>
      <c r="AJ30" s="163" t="s">
        <v>83</v>
      </c>
      <c r="AK30" s="291" t="s">
        <v>10</v>
      </c>
      <c r="AL30" s="163" t="s">
        <v>83</v>
      </c>
      <c r="AM30" s="291" t="s">
        <v>10</v>
      </c>
      <c r="AN30" s="290" t="s">
        <v>209</v>
      </c>
      <c r="AO30" s="291" t="s">
        <v>210</v>
      </c>
      <c r="AQ30" s="381"/>
      <c r="AR30" s="163" t="s">
        <v>83</v>
      </c>
      <c r="AS30" s="291" t="s">
        <v>10</v>
      </c>
      <c r="AT30" s="163" t="s">
        <v>83</v>
      </c>
      <c r="AU30" s="291" t="s">
        <v>10</v>
      </c>
      <c r="AV30" s="290" t="s">
        <v>209</v>
      </c>
      <c r="AW30" s="291" t="s">
        <v>210</v>
      </c>
    </row>
    <row r="31" spans="2:61" x14ac:dyDescent="0.25">
      <c r="B31" s="292" t="s">
        <v>20</v>
      </c>
      <c r="C31" s="293">
        <f>+'Planilla de datos'!C9</f>
        <v>100.5</v>
      </c>
      <c r="D31" s="294">
        <f>+'Planilla de datos'!H9</f>
        <v>0.40036319824218758</v>
      </c>
      <c r="E31" s="293">
        <v>99.6</v>
      </c>
      <c r="F31" s="295">
        <v>0.4244</v>
      </c>
      <c r="G31" s="296">
        <f t="shared" ref="G31:G36" si="15">(C31-E31)/E31</f>
        <v>9.0361445783133099E-3</v>
      </c>
      <c r="H31" s="297">
        <f>(D31*10000)-(F31*10000)</f>
        <v>-240.36801757812418</v>
      </c>
      <c r="K31" s="292" t="s">
        <v>20</v>
      </c>
      <c r="L31" s="293">
        <v>99.6</v>
      </c>
      <c r="M31" s="294">
        <v>0.4244</v>
      </c>
      <c r="N31" s="293">
        <v>96.1</v>
      </c>
      <c r="O31" s="295">
        <v>0.45279999999999998</v>
      </c>
      <c r="P31" s="296">
        <f t="shared" ref="P31:P36" si="16">(L31-N31)/N31</f>
        <v>3.6420395421436005E-2</v>
      </c>
      <c r="Q31" s="297">
        <f>(M31*10000)-(O31*10000)</f>
        <v>-284</v>
      </c>
      <c r="S31" s="292" t="s">
        <v>20</v>
      </c>
      <c r="T31" s="293">
        <v>96.1</v>
      </c>
      <c r="U31" s="294">
        <v>0.45279999999999998</v>
      </c>
      <c r="V31" s="293">
        <v>94.24</v>
      </c>
      <c r="W31" s="295">
        <v>0.41807884277343754</v>
      </c>
      <c r="X31" s="296">
        <f t="shared" ref="X31:X36" si="17">(T31-V31)/V31</f>
        <v>1.9736842105263153E-2</v>
      </c>
      <c r="Y31" s="297">
        <f>(U31*10000)-(W31*10000)</f>
        <v>347.21157226562445</v>
      </c>
      <c r="AA31" s="292" t="s">
        <v>20</v>
      </c>
      <c r="AB31" s="293">
        <v>94.24</v>
      </c>
      <c r="AC31" s="294">
        <v>0.41807884277343754</v>
      </c>
      <c r="AD31" s="293">
        <v>90.25</v>
      </c>
      <c r="AE31" s="295">
        <v>0.46600000000000003</v>
      </c>
      <c r="AF31" s="296">
        <f t="shared" ref="AF31:AF42" si="18">(AB31-AD31)/AD31</f>
        <v>4.4210526315789415E-2</v>
      </c>
      <c r="AG31" s="297">
        <f>(AC31*10000)-(AE31*10000)</f>
        <v>-479.21157226562445</v>
      </c>
      <c r="AI31" s="292" t="s">
        <v>20</v>
      </c>
      <c r="AJ31" s="293">
        <v>90.25</v>
      </c>
      <c r="AK31" s="294">
        <v>0.46600000000000003</v>
      </c>
      <c r="AL31" s="293">
        <f>97.5-9.1</f>
        <v>88.4</v>
      </c>
      <c r="AM31" s="295">
        <v>0.41899999999999998</v>
      </c>
      <c r="AN31" s="296">
        <f t="shared" ref="AN31:AN42" si="19">(AJ31-AL31)/AL31</f>
        <v>2.0927601809954687E-2</v>
      </c>
      <c r="AO31" s="297">
        <f>(AK31*10000)-(AM31*10000)</f>
        <v>470</v>
      </c>
      <c r="AQ31" s="292" t="s">
        <v>20</v>
      </c>
      <c r="AR31" s="293">
        <f>+T31</f>
        <v>96.1</v>
      </c>
      <c r="AS31" s="294">
        <f>+U31</f>
        <v>0.45279999999999998</v>
      </c>
      <c r="AT31" s="293">
        <f>88.8-9.1</f>
        <v>79.7</v>
      </c>
      <c r="AU31" s="295">
        <v>0.502</v>
      </c>
      <c r="AV31" s="296">
        <f t="shared" ref="AV31:AV36" si="20">(AR31-AT31)/AT31</f>
        <v>0.2057716436637389</v>
      </c>
      <c r="AW31" s="297">
        <f>(AS31*10000)-(AU31*10000)</f>
        <v>-492</v>
      </c>
    </row>
    <row r="32" spans="2:61" x14ac:dyDescent="0.25">
      <c r="B32" s="292" t="s">
        <v>52</v>
      </c>
      <c r="C32" s="293">
        <f>+'Planilla de datos'!C10</f>
        <v>105.75</v>
      </c>
      <c r="D32" s="294">
        <f>+'Planilla de datos'!H10</f>
        <v>0.44034463378906252</v>
      </c>
      <c r="E32" s="293">
        <v>105.2</v>
      </c>
      <c r="F32" s="295">
        <v>0.4425</v>
      </c>
      <c r="G32" s="296">
        <f t="shared" si="15"/>
        <v>5.2281368821292503E-3</v>
      </c>
      <c r="H32" s="297">
        <f t="shared" ref="H32:H36" si="21">(D32*10000)-(F32*10000)</f>
        <v>-21.553662109375182</v>
      </c>
      <c r="K32" s="292" t="s">
        <v>52</v>
      </c>
      <c r="L32" s="293">
        <v>105.2</v>
      </c>
      <c r="M32" s="294">
        <v>0.4425</v>
      </c>
      <c r="N32" s="293">
        <v>102.25</v>
      </c>
      <c r="O32" s="295">
        <v>0.42880000000000001</v>
      </c>
      <c r="P32" s="296">
        <f t="shared" si="16"/>
        <v>2.8850855745721299E-2</v>
      </c>
      <c r="Q32" s="297">
        <f t="shared" ref="Q32:Q36" si="22">(M32*10000)-(O32*10000)</f>
        <v>137</v>
      </c>
      <c r="S32" s="292" t="s">
        <v>52</v>
      </c>
      <c r="T32" s="293">
        <v>102.25</v>
      </c>
      <c r="U32" s="294">
        <v>0.42880000000000001</v>
      </c>
      <c r="V32" s="293">
        <f>109-8.55336</f>
        <v>100.44664</v>
      </c>
      <c r="W32" s="295">
        <v>0.37182125488281259</v>
      </c>
      <c r="X32" s="296">
        <f t="shared" si="17"/>
        <v>1.7953412876727363E-2</v>
      </c>
      <c r="Y32" s="297">
        <f t="shared" ref="Y32:Y36" si="23">(U32*10000)-(W32*10000)</f>
        <v>569.78745117187418</v>
      </c>
      <c r="AA32" s="292" t="s">
        <v>52</v>
      </c>
      <c r="AB32" s="293">
        <v>109</v>
      </c>
      <c r="AC32" s="294">
        <v>0.37182125488281259</v>
      </c>
      <c r="AD32" s="293">
        <v>105</v>
      </c>
      <c r="AE32" s="295">
        <v>0.42530000000000001</v>
      </c>
      <c r="AF32" s="296">
        <f t="shared" si="18"/>
        <v>3.8095238095238099E-2</v>
      </c>
      <c r="AG32" s="297">
        <f t="shared" ref="AG32:AG42" si="24">(AC32*10000)-(AE32*10000)</f>
        <v>-534.78745117187418</v>
      </c>
      <c r="AI32" s="292" t="s">
        <v>52</v>
      </c>
      <c r="AJ32" s="293">
        <v>105</v>
      </c>
      <c r="AK32" s="294">
        <v>0.42530000000000001</v>
      </c>
      <c r="AL32" s="293">
        <v>101.35</v>
      </c>
      <c r="AM32" s="295">
        <v>0.43469999999999998</v>
      </c>
      <c r="AN32" s="296">
        <f t="shared" si="19"/>
        <v>3.6013813517513628E-2</v>
      </c>
      <c r="AO32" s="297">
        <f t="shared" ref="AO32:AO42" si="25">(AK32*10000)-(AM32*10000)</f>
        <v>-94</v>
      </c>
      <c r="AQ32" s="292" t="s">
        <v>52</v>
      </c>
      <c r="AR32" s="293">
        <f t="shared" ref="AR32:AR36" si="26">+T32</f>
        <v>102.25</v>
      </c>
      <c r="AS32" s="294">
        <f t="shared" ref="AS32:AS36" si="27">+U32</f>
        <v>0.42880000000000001</v>
      </c>
      <c r="AT32" s="293">
        <f>104.3-8.55336-8.55336</f>
        <v>87.193280000000001</v>
      </c>
      <c r="AU32" s="295">
        <v>0.43440000000000001</v>
      </c>
      <c r="AV32" s="296">
        <f t="shared" si="20"/>
        <v>0.17268211495197794</v>
      </c>
      <c r="AW32" s="297">
        <f t="shared" ref="AW32:AW36" si="28">(AS32*10000)-(AU32*10000)</f>
        <v>-56</v>
      </c>
    </row>
    <row r="33" spans="2:63" x14ac:dyDescent="0.25">
      <c r="B33" s="292" t="s">
        <v>55</v>
      </c>
      <c r="C33" s="293">
        <f>+'Planilla de datos'!C13</f>
        <v>69.400000000000006</v>
      </c>
      <c r="D33" s="294">
        <f>+'Planilla de datos'!H13</f>
        <v>0.46197354980468763</v>
      </c>
      <c r="E33" s="293">
        <f>87.5-19.436814</f>
        <v>68.063186000000002</v>
      </c>
      <c r="F33" s="295">
        <v>0.48859999999999998</v>
      </c>
      <c r="G33" s="296">
        <f t="shared" si="15"/>
        <v>1.9640779084305632E-2</v>
      </c>
      <c r="H33" s="297">
        <f t="shared" si="21"/>
        <v>-266.26450195312373</v>
      </c>
      <c r="K33" s="292" t="s">
        <v>55</v>
      </c>
      <c r="L33" s="293">
        <v>87.5</v>
      </c>
      <c r="M33" s="294">
        <v>0.48859999999999998</v>
      </c>
      <c r="N33" s="293">
        <f>86</f>
        <v>86</v>
      </c>
      <c r="O33" s="295">
        <v>0.4541</v>
      </c>
      <c r="P33" s="296">
        <f t="shared" si="16"/>
        <v>1.7441860465116279E-2</v>
      </c>
      <c r="Q33" s="297">
        <f t="shared" si="22"/>
        <v>345</v>
      </c>
      <c r="S33" s="292" t="s">
        <v>55</v>
      </c>
      <c r="T33" s="293">
        <v>86</v>
      </c>
      <c r="U33" s="294">
        <v>0.4541</v>
      </c>
      <c r="V33" s="293">
        <v>82.25</v>
      </c>
      <c r="W33" s="295">
        <v>0.48414288085937507</v>
      </c>
      <c r="X33" s="296">
        <f t="shared" si="17"/>
        <v>4.5592705167173252E-2</v>
      </c>
      <c r="Y33" s="297">
        <f t="shared" si="23"/>
        <v>-300.42880859375055</v>
      </c>
      <c r="AA33" s="292" t="s">
        <v>55</v>
      </c>
      <c r="AB33" s="293">
        <v>82.25</v>
      </c>
      <c r="AC33" s="294">
        <v>0.48414288085937507</v>
      </c>
      <c r="AD33" s="293">
        <v>79.5</v>
      </c>
      <c r="AE33" s="295">
        <v>0.4869</v>
      </c>
      <c r="AF33" s="296">
        <f t="shared" si="18"/>
        <v>3.4591194968553458E-2</v>
      </c>
      <c r="AG33" s="297">
        <f t="shared" si="24"/>
        <v>-27.571191406249454</v>
      </c>
      <c r="AI33" s="292" t="s">
        <v>55</v>
      </c>
      <c r="AJ33" s="293">
        <v>79.5</v>
      </c>
      <c r="AK33" s="294">
        <v>0.4869</v>
      </c>
      <c r="AL33" s="293">
        <f>97.5-20.49</f>
        <v>77.010000000000005</v>
      </c>
      <c r="AM33" s="295">
        <v>0.46589999999999998</v>
      </c>
      <c r="AN33" s="296">
        <f t="shared" si="19"/>
        <v>3.2333463186599076E-2</v>
      </c>
      <c r="AO33" s="297">
        <f t="shared" si="25"/>
        <v>210</v>
      </c>
      <c r="AQ33" s="292" t="s">
        <v>55</v>
      </c>
      <c r="AR33" s="293">
        <f t="shared" si="26"/>
        <v>86</v>
      </c>
      <c r="AS33" s="294">
        <f t="shared" si="27"/>
        <v>0.4541</v>
      </c>
      <c r="AT33" s="293">
        <f>89.85-20.489874</f>
        <v>69.360125999999994</v>
      </c>
      <c r="AU33" s="295">
        <v>0.50360000000000005</v>
      </c>
      <c r="AV33" s="296">
        <f t="shared" si="20"/>
        <v>0.23990547537355983</v>
      </c>
      <c r="AW33" s="297">
        <f t="shared" si="28"/>
        <v>-495.00000000000091</v>
      </c>
    </row>
    <row r="34" spans="2:63" x14ac:dyDescent="0.25">
      <c r="B34" s="292" t="s">
        <v>120</v>
      </c>
      <c r="C34" s="293">
        <f>+'Planilla de datos'!C14</f>
        <v>98.5</v>
      </c>
      <c r="D34" s="294">
        <f>+'Planilla de datos'!H14</f>
        <v>0.44950780761718756</v>
      </c>
      <c r="E34" s="293">
        <f>106.4-9.00131</f>
        <v>97.398690000000002</v>
      </c>
      <c r="F34" s="295">
        <v>0.46129999999999999</v>
      </c>
      <c r="G34" s="296">
        <f t="shared" si="15"/>
        <v>1.1307236267756763E-2</v>
      </c>
      <c r="H34" s="297">
        <f t="shared" si="21"/>
        <v>-117.92192382812482</v>
      </c>
      <c r="K34" s="292" t="s">
        <v>120</v>
      </c>
      <c r="L34" s="293">
        <v>106.4</v>
      </c>
      <c r="M34" s="294">
        <v>0.46129999999999999</v>
      </c>
      <c r="N34" s="293">
        <f>103.5</f>
        <v>103.5</v>
      </c>
      <c r="O34" s="295">
        <v>0.4541</v>
      </c>
      <c r="P34" s="296">
        <f t="shared" si="16"/>
        <v>2.8019323671497641E-2</v>
      </c>
      <c r="Q34" s="297">
        <f t="shared" si="22"/>
        <v>72</v>
      </c>
      <c r="S34" s="292" t="s">
        <v>120</v>
      </c>
      <c r="T34" s="293">
        <v>103.5</v>
      </c>
      <c r="U34" s="294">
        <v>0.4541</v>
      </c>
      <c r="V34" s="293">
        <v>100</v>
      </c>
      <c r="W34" s="295">
        <v>0.46326692871093766</v>
      </c>
      <c r="X34" s="296">
        <f t="shared" si="17"/>
        <v>3.5000000000000003E-2</v>
      </c>
      <c r="Y34" s="297">
        <f t="shared" si="23"/>
        <v>-91.669287109376455</v>
      </c>
      <c r="AA34" s="292" t="s">
        <v>120</v>
      </c>
      <c r="AB34" s="293">
        <v>100</v>
      </c>
      <c r="AC34" s="294">
        <v>0.46326692871093766</v>
      </c>
      <c r="AD34" s="293">
        <v>96</v>
      </c>
      <c r="AE34" s="295">
        <v>0.47720000000000001</v>
      </c>
      <c r="AF34" s="296">
        <f t="shared" si="18"/>
        <v>4.1666666666666664E-2</v>
      </c>
      <c r="AG34" s="297">
        <f t="shared" si="24"/>
        <v>-139.33071289062354</v>
      </c>
      <c r="AI34" s="292" t="s">
        <v>120</v>
      </c>
      <c r="AJ34" s="293">
        <v>96</v>
      </c>
      <c r="AK34" s="294">
        <v>0.47720000000000001</v>
      </c>
      <c r="AL34" s="293">
        <f>103.5-9</f>
        <v>94.5</v>
      </c>
      <c r="AM34" s="295">
        <v>0.44529999999999997</v>
      </c>
      <c r="AN34" s="296">
        <f t="shared" si="19"/>
        <v>1.5873015873015872E-2</v>
      </c>
      <c r="AO34" s="297">
        <f t="shared" si="25"/>
        <v>319</v>
      </c>
      <c r="AQ34" s="292" t="s">
        <v>120</v>
      </c>
      <c r="AR34" s="293">
        <f t="shared" si="26"/>
        <v>103.5</v>
      </c>
      <c r="AS34" s="294">
        <f t="shared" si="27"/>
        <v>0.4541</v>
      </c>
      <c r="AT34" s="293">
        <f>92.95-9.00497</f>
        <v>83.945030000000003</v>
      </c>
      <c r="AU34" s="295">
        <v>0.51649999999999996</v>
      </c>
      <c r="AV34" s="296">
        <f t="shared" si="20"/>
        <v>0.23294970530119527</v>
      </c>
      <c r="AW34" s="297">
        <f t="shared" si="28"/>
        <v>-624</v>
      </c>
    </row>
    <row r="35" spans="2:63" x14ac:dyDescent="0.25">
      <c r="B35" s="292" t="s">
        <v>79</v>
      </c>
      <c r="C35" s="293">
        <f>+'Planilla de datos'!C17</f>
        <v>65.7</v>
      </c>
      <c r="D35" s="294">
        <f>+'Planilla de datos'!H17</f>
        <v>0.4845732714843749</v>
      </c>
      <c r="E35" s="293">
        <v>64.599999999999994</v>
      </c>
      <c r="F35" s="295">
        <v>0.49390000000000001</v>
      </c>
      <c r="G35" s="296">
        <f t="shared" si="15"/>
        <v>1.7027863777089917E-2</v>
      </c>
      <c r="H35" s="297">
        <f t="shared" si="21"/>
        <v>-93.267285156251091</v>
      </c>
      <c r="K35" s="292" t="s">
        <v>79</v>
      </c>
      <c r="L35" s="293">
        <v>64.599999999999994</v>
      </c>
      <c r="M35" s="294">
        <v>0.49390000000000001</v>
      </c>
      <c r="N35" s="293">
        <v>62.5</v>
      </c>
      <c r="O35" s="295">
        <v>0.49390000000000001</v>
      </c>
      <c r="P35" s="296">
        <f t="shared" si="16"/>
        <v>3.3599999999999908E-2</v>
      </c>
      <c r="Q35" s="297">
        <f t="shared" si="22"/>
        <v>0</v>
      </c>
      <c r="S35" s="292" t="s">
        <v>79</v>
      </c>
      <c r="T35" s="293">
        <v>62.5</v>
      </c>
      <c r="U35" s="294">
        <v>0.49390000000000001</v>
      </c>
      <c r="V35" s="293">
        <v>59.7</v>
      </c>
      <c r="W35" s="295">
        <v>0.50440194335937494</v>
      </c>
      <c r="X35" s="296">
        <f t="shared" si="17"/>
        <v>4.6901172529313181E-2</v>
      </c>
      <c r="Y35" s="297">
        <f t="shared" si="23"/>
        <v>-105.01943359374945</v>
      </c>
      <c r="AA35" s="292" t="s">
        <v>79</v>
      </c>
      <c r="AB35" s="293">
        <v>59.7</v>
      </c>
      <c r="AC35" s="294">
        <v>0.50440194335937494</v>
      </c>
      <c r="AD35" s="293">
        <f>65-8</f>
        <v>57</v>
      </c>
      <c r="AE35" s="295">
        <v>0.51380000000000003</v>
      </c>
      <c r="AF35" s="296">
        <f t="shared" si="18"/>
        <v>4.7368421052631629E-2</v>
      </c>
      <c r="AG35" s="297">
        <f t="shared" si="24"/>
        <v>-93.980566406250546</v>
      </c>
      <c r="AI35" s="292" t="s">
        <v>79</v>
      </c>
      <c r="AJ35" s="293">
        <v>65</v>
      </c>
      <c r="AK35" s="294">
        <v>0.51380000000000003</v>
      </c>
      <c r="AL35" s="293">
        <v>68.599999999999994</v>
      </c>
      <c r="AM35" s="295">
        <v>0.44240000000000002</v>
      </c>
      <c r="AN35" s="296">
        <f t="shared" si="19"/>
        <v>-5.2478134110787091E-2</v>
      </c>
      <c r="AO35" s="297">
        <f t="shared" si="25"/>
        <v>714</v>
      </c>
      <c r="AQ35" s="292" t="s">
        <v>79</v>
      </c>
      <c r="AR35" s="293">
        <f t="shared" si="26"/>
        <v>62.5</v>
      </c>
      <c r="AS35" s="294">
        <f t="shared" si="27"/>
        <v>0.49390000000000001</v>
      </c>
      <c r="AT35" s="293">
        <f>49-8</f>
        <v>41</v>
      </c>
      <c r="AU35" s="295">
        <v>0.65359999999999996</v>
      </c>
      <c r="AV35" s="296">
        <f t="shared" si="20"/>
        <v>0.52439024390243905</v>
      </c>
      <c r="AW35" s="297">
        <f t="shared" si="28"/>
        <v>-1597</v>
      </c>
    </row>
    <row r="36" spans="2:63" x14ac:dyDescent="0.25">
      <c r="B36" s="292" t="s">
        <v>80</v>
      </c>
      <c r="C36" s="293">
        <f>+'Planilla de datos'!C19</f>
        <v>44.25</v>
      </c>
      <c r="D36" s="294">
        <f>+'Planilla de datos'!H19</f>
        <v>0.51385975585937493</v>
      </c>
      <c r="E36" s="293">
        <v>43.9</v>
      </c>
      <c r="F36" s="295">
        <v>0.5151</v>
      </c>
      <c r="G36" s="296">
        <f t="shared" si="15"/>
        <v>7.9726651480638133E-3</v>
      </c>
      <c r="H36" s="297">
        <f t="shared" si="21"/>
        <v>-12.402441406250546</v>
      </c>
      <c r="K36" s="292" t="s">
        <v>80</v>
      </c>
      <c r="L36" s="293">
        <v>43.9</v>
      </c>
      <c r="M36" s="294">
        <v>0.5151</v>
      </c>
      <c r="N36" s="293">
        <v>42.8</v>
      </c>
      <c r="O36" s="295">
        <v>0.51039999999999996</v>
      </c>
      <c r="P36" s="296">
        <f t="shared" si="16"/>
        <v>2.5700934579439286E-2</v>
      </c>
      <c r="Q36" s="297">
        <f t="shared" si="22"/>
        <v>47</v>
      </c>
      <c r="S36" s="292" t="s">
        <v>80</v>
      </c>
      <c r="T36" s="293">
        <v>42.8</v>
      </c>
      <c r="U36" s="294">
        <v>0.51039999999999996</v>
      </c>
      <c r="V36" s="293">
        <v>39.9</v>
      </c>
      <c r="W36" s="295">
        <v>0.53027102539062487</v>
      </c>
      <c r="X36" s="296">
        <f t="shared" si="17"/>
        <v>7.2681704260651597E-2</v>
      </c>
      <c r="Y36" s="297">
        <f t="shared" si="23"/>
        <v>-198.71025390624891</v>
      </c>
      <c r="AA36" s="292" t="s">
        <v>80</v>
      </c>
      <c r="AB36" s="293">
        <v>39.9</v>
      </c>
      <c r="AC36" s="294">
        <v>0.53027102539062487</v>
      </c>
      <c r="AD36" s="293">
        <f>47.99-7.75</f>
        <v>40.24</v>
      </c>
      <c r="AE36" s="295">
        <v>0.50760000000000005</v>
      </c>
      <c r="AF36" s="296">
        <f t="shared" si="18"/>
        <v>-8.4493041749503818E-3</v>
      </c>
      <c r="AG36" s="297">
        <f t="shared" si="24"/>
        <v>226.710253906248</v>
      </c>
      <c r="AI36" s="292" t="s">
        <v>80</v>
      </c>
      <c r="AJ36" s="293">
        <v>47.99</v>
      </c>
      <c r="AK36" s="294">
        <v>0.50760000000000005</v>
      </c>
      <c r="AL36" s="293">
        <v>48.71</v>
      </c>
      <c r="AM36" s="295">
        <v>0.47689999999999999</v>
      </c>
      <c r="AN36" s="296">
        <f t="shared" si="19"/>
        <v>-1.4781359063847236E-2</v>
      </c>
      <c r="AO36" s="297">
        <f t="shared" si="25"/>
        <v>307.00000000000091</v>
      </c>
      <c r="AQ36" s="292" t="s">
        <v>80</v>
      </c>
      <c r="AR36" s="293">
        <f t="shared" si="26"/>
        <v>42.8</v>
      </c>
      <c r="AS36" s="294">
        <f t="shared" si="27"/>
        <v>0.51039999999999996</v>
      </c>
      <c r="AT36" s="293">
        <f>37-7.75</f>
        <v>29.25</v>
      </c>
      <c r="AU36" s="295">
        <v>0.60099999999999998</v>
      </c>
      <c r="AV36" s="296">
        <f t="shared" si="20"/>
        <v>0.46324786324786316</v>
      </c>
      <c r="AW36" s="297">
        <f t="shared" si="28"/>
        <v>-906</v>
      </c>
    </row>
    <row r="37" spans="2:63" x14ac:dyDescent="0.25">
      <c r="B37" s="292" t="s">
        <v>171</v>
      </c>
      <c r="C37" s="293">
        <f>+'Planilla de datos'!C26</f>
        <v>108</v>
      </c>
      <c r="D37" s="294">
        <f>+'Planilla de datos'!H26</f>
        <v>0.46249353027343754</v>
      </c>
      <c r="E37" s="293">
        <v>107.7</v>
      </c>
      <c r="F37" s="295">
        <v>0.4446</v>
      </c>
      <c r="G37" s="296">
        <f>(C37-E37)/E37</f>
        <v>2.7855153203342354E-3</v>
      </c>
      <c r="H37" s="297">
        <f>(D37*10000)-(F37*10000)</f>
        <v>178.935302734375</v>
      </c>
      <c r="K37" s="292" t="s">
        <v>171</v>
      </c>
      <c r="L37" s="293">
        <v>107.7</v>
      </c>
      <c r="M37" s="294">
        <v>0.4446</v>
      </c>
      <c r="N37" s="293">
        <v>104</v>
      </c>
      <c r="O37" s="295">
        <v>0.45639999999999997</v>
      </c>
      <c r="P37" s="296">
        <f>(L37-N37)/N37</f>
        <v>3.5576923076923103E-2</v>
      </c>
      <c r="Q37" s="297">
        <f>(M37*10000)-(O37*10000)</f>
        <v>-118</v>
      </c>
      <c r="S37" s="292" t="s">
        <v>171</v>
      </c>
      <c r="T37" s="293">
        <v>104</v>
      </c>
      <c r="U37" s="294">
        <v>0.45639999999999997</v>
      </c>
      <c r="V37" s="293">
        <v>101.25</v>
      </c>
      <c r="W37" s="295">
        <v>0.45778947753906263</v>
      </c>
      <c r="X37" s="296">
        <f>(T37-V37)/V37</f>
        <v>2.7160493827160494E-2</v>
      </c>
      <c r="Y37" s="297">
        <f>(U37*10000)-(W37*10000)</f>
        <v>-13.894775390625909</v>
      </c>
      <c r="AA37" s="298" t="s">
        <v>117</v>
      </c>
      <c r="AB37" s="293">
        <v>106</v>
      </c>
      <c r="AC37" s="294">
        <v>0.40678817871093753</v>
      </c>
      <c r="AD37" s="293">
        <v>103.2</v>
      </c>
      <c r="AE37" s="295">
        <v>0.47349999999999998</v>
      </c>
      <c r="AF37" s="296">
        <f t="shared" si="18"/>
        <v>2.7131782945736406E-2</v>
      </c>
      <c r="AG37" s="297">
        <f t="shared" si="24"/>
        <v>-667.11821289062482</v>
      </c>
      <c r="AI37" s="298" t="s">
        <v>117</v>
      </c>
      <c r="AJ37" s="293">
        <v>103.2</v>
      </c>
      <c r="AK37" s="294">
        <v>0.47349999999999998</v>
      </c>
      <c r="AL37" s="293">
        <f>107.45-9.62</f>
        <v>97.83</v>
      </c>
      <c r="AM37" s="295">
        <v>0.51819999999999999</v>
      </c>
      <c r="AN37" s="296">
        <f t="shared" si="19"/>
        <v>5.4891137687825865E-2</v>
      </c>
      <c r="AO37" s="297">
        <f t="shared" si="25"/>
        <v>-447</v>
      </c>
      <c r="AQ37" s="292" t="s">
        <v>171</v>
      </c>
      <c r="AR37" s="293">
        <f t="shared" ref="AR37:AS41" si="29">+T37</f>
        <v>104</v>
      </c>
      <c r="AS37" s="294">
        <f t="shared" si="29"/>
        <v>0.45639999999999997</v>
      </c>
      <c r="AT37" s="293">
        <f>100-9.5894136-9.639023382</f>
        <v>80.771563017999995</v>
      </c>
      <c r="AU37" s="295">
        <v>0.58330000000000004</v>
      </c>
      <c r="AV37" s="296">
        <f>(AR37-AT37)/AT37</f>
        <v>0.28758186809909242</v>
      </c>
      <c r="AW37" s="297">
        <f>(AS37*10000)-(AU37*10000)</f>
        <v>-1269</v>
      </c>
    </row>
    <row r="38" spans="2:63" x14ac:dyDescent="0.25">
      <c r="B38" s="292" t="s">
        <v>172</v>
      </c>
      <c r="C38" s="293">
        <f>+'Planilla de datos'!C29</f>
        <v>89.75</v>
      </c>
      <c r="D38" s="294">
        <f>+'Planilla de datos'!H29</f>
        <v>0.53399448242187497</v>
      </c>
      <c r="E38" s="293">
        <v>88.85</v>
      </c>
      <c r="F38" s="295">
        <v>0.52929999999999999</v>
      </c>
      <c r="G38" s="296">
        <f>(C38-E38)/E38</f>
        <v>1.0129431626336586E-2</v>
      </c>
      <c r="H38" s="297">
        <f>(D38*10000)-(F38*10000)</f>
        <v>46.94482421875</v>
      </c>
      <c r="K38" s="292" t="s">
        <v>172</v>
      </c>
      <c r="L38" s="293">
        <v>88.85</v>
      </c>
      <c r="M38" s="294">
        <v>0.52929999999999999</v>
      </c>
      <c r="N38" s="293">
        <f>96.95-9.41477</f>
        <v>87.535229999999999</v>
      </c>
      <c r="O38" s="295">
        <v>0.51029999999999998</v>
      </c>
      <c r="P38" s="296">
        <f>(L38-N38)/N38</f>
        <v>1.5019895418107609E-2</v>
      </c>
      <c r="Q38" s="297">
        <f>(M38*10000)-(O38*10000)</f>
        <v>190</v>
      </c>
      <c r="S38" s="292" t="s">
        <v>172</v>
      </c>
      <c r="T38" s="293">
        <v>96.95</v>
      </c>
      <c r="U38" s="294">
        <v>0.51029999999999998</v>
      </c>
      <c r="V38" s="293">
        <v>95.49</v>
      </c>
      <c r="W38" s="295">
        <v>0.503801416015625</v>
      </c>
      <c r="X38" s="296">
        <f>(T38-V38)/V38</f>
        <v>1.5289559116137899E-2</v>
      </c>
      <c r="Y38" s="297">
        <f>(U38*10000)-(W38*10000)</f>
        <v>64.98583984375</v>
      </c>
      <c r="AA38" s="292" t="s">
        <v>171</v>
      </c>
      <c r="AB38" s="293">
        <v>101.25</v>
      </c>
      <c r="AC38" s="294">
        <v>0.45778947753906263</v>
      </c>
      <c r="AD38" s="293">
        <f>106.25-9.639</f>
        <v>96.611000000000004</v>
      </c>
      <c r="AE38" s="295">
        <v>0.50439999999999996</v>
      </c>
      <c r="AF38" s="296">
        <f t="shared" si="18"/>
        <v>4.8017306517891295E-2</v>
      </c>
      <c r="AG38" s="297">
        <f t="shared" si="24"/>
        <v>-466.10522460937409</v>
      </c>
      <c r="AI38" s="292" t="s">
        <v>171</v>
      </c>
      <c r="AJ38" s="293">
        <v>106.25</v>
      </c>
      <c r="AK38" s="294">
        <v>0.50439999999999996</v>
      </c>
      <c r="AL38" s="293">
        <v>104</v>
      </c>
      <c r="AM38" s="295">
        <v>0.44890000000000002</v>
      </c>
      <c r="AN38" s="296">
        <f t="shared" si="19"/>
        <v>2.1634615384615384E-2</v>
      </c>
      <c r="AO38" s="297">
        <f t="shared" si="25"/>
        <v>555</v>
      </c>
      <c r="AQ38" s="292" t="s">
        <v>172</v>
      </c>
      <c r="AR38" s="293">
        <f t="shared" si="29"/>
        <v>96.95</v>
      </c>
      <c r="AS38" s="294">
        <f t="shared" si="29"/>
        <v>0.51029999999999998</v>
      </c>
      <c r="AT38" s="293">
        <f>82-9.21444-9.41477</f>
        <v>63.37079</v>
      </c>
      <c r="AU38" s="295">
        <v>0.59060000000000001</v>
      </c>
      <c r="AV38" s="296">
        <f>(AR38-AT38)/AT38</f>
        <v>0.52988466768364417</v>
      </c>
      <c r="AW38" s="297">
        <f>(AS38*10000)-(AU38*10000)</f>
        <v>-803</v>
      </c>
    </row>
    <row r="39" spans="2:63" x14ac:dyDescent="0.25">
      <c r="B39" s="292" t="s">
        <v>155</v>
      </c>
      <c r="C39" s="293">
        <f>+'Planilla de datos'!C30</f>
        <v>90.5</v>
      </c>
      <c r="D39" s="294">
        <f>+'Planilla de datos'!H30</f>
        <v>0.52549883789062513</v>
      </c>
      <c r="E39" s="293">
        <v>90</v>
      </c>
      <c r="F39" s="295">
        <v>0.52549999999999997</v>
      </c>
      <c r="G39" s="296">
        <f>(C39-E39)/E39</f>
        <v>5.5555555555555558E-3</v>
      </c>
      <c r="H39" s="297">
        <f>(D39*10000)-(F39*10000)</f>
        <v>-1.1621093748544808E-2</v>
      </c>
      <c r="K39" s="292" t="s">
        <v>155</v>
      </c>
      <c r="L39" s="293">
        <v>90</v>
      </c>
      <c r="M39" s="294">
        <v>0.52549999999999997</v>
      </c>
      <c r="N39" s="293">
        <v>86.45</v>
      </c>
      <c r="O39" s="295">
        <v>0.52900000000000003</v>
      </c>
      <c r="P39" s="296">
        <f>(L39-N39)/N39</f>
        <v>4.1064198958935767E-2</v>
      </c>
      <c r="Q39" s="297">
        <f>(M39*10000)-(O39*10000)</f>
        <v>-35</v>
      </c>
      <c r="S39" s="292" t="s">
        <v>155</v>
      </c>
      <c r="T39" s="293">
        <v>86.45</v>
      </c>
      <c r="U39" s="294">
        <v>0.52900000000000003</v>
      </c>
      <c r="V39" s="293">
        <f>93.25-9.225528</f>
        <v>84.024472000000003</v>
      </c>
      <c r="W39" s="295">
        <v>0.52572100585937509</v>
      </c>
      <c r="X39" s="296">
        <f>(T39-V39)/V39</f>
        <v>2.8866923436305553E-2</v>
      </c>
      <c r="Y39" s="297">
        <f>(U39*10000)-(W39*10000)</f>
        <v>32.789941406249454</v>
      </c>
      <c r="AA39" s="292" t="s">
        <v>172</v>
      </c>
      <c r="AB39" s="293">
        <v>95.49</v>
      </c>
      <c r="AC39" s="294">
        <v>0.503801416015625</v>
      </c>
      <c r="AD39" s="293">
        <v>91.75</v>
      </c>
      <c r="AE39" s="295">
        <v>0.49730000000000002</v>
      </c>
      <c r="AF39" s="296">
        <f t="shared" si="18"/>
        <v>4.0762942779291496E-2</v>
      </c>
      <c r="AG39" s="297">
        <f t="shared" si="24"/>
        <v>65.01416015625</v>
      </c>
      <c r="AI39" s="292" t="s">
        <v>172</v>
      </c>
      <c r="AJ39" s="293">
        <v>91.75</v>
      </c>
      <c r="AK39" s="294">
        <v>0.49730000000000002</v>
      </c>
      <c r="AL39" s="293">
        <f>98.65-9.2144</f>
        <v>89.435600000000008</v>
      </c>
      <c r="AM39" s="295">
        <v>0.49099999999999999</v>
      </c>
      <c r="AN39" s="296">
        <f t="shared" si="19"/>
        <v>2.5877838355196272E-2</v>
      </c>
      <c r="AO39" s="297">
        <f t="shared" si="25"/>
        <v>63</v>
      </c>
      <c r="AQ39" s="292" t="s">
        <v>155</v>
      </c>
      <c r="AR39" s="293">
        <f t="shared" si="29"/>
        <v>86.45</v>
      </c>
      <c r="AS39" s="294">
        <f t="shared" si="29"/>
        <v>0.52900000000000003</v>
      </c>
      <c r="AT39" s="293">
        <f>83-9.5173189-9.225528</f>
        <v>64.257153100000011</v>
      </c>
      <c r="AU39" s="295">
        <v>0.58289999999999997</v>
      </c>
      <c r="AV39" s="296">
        <f>(AR39-AT39)/AT39</f>
        <v>0.34537550808487327</v>
      </c>
      <c r="AW39" s="297">
        <f>(AS39*10000)-(AU39*10000)</f>
        <v>-539</v>
      </c>
    </row>
    <row r="40" spans="2:63" x14ac:dyDescent="0.25">
      <c r="B40" s="292" t="s">
        <v>32</v>
      </c>
      <c r="C40" s="293">
        <f>+'Planilla de datos'!C27</f>
        <v>99.5</v>
      </c>
      <c r="D40" s="294">
        <f>+'Planilla de datos'!H27</f>
        <v>0.5163133691406252</v>
      </c>
      <c r="E40" s="293">
        <v>98.85</v>
      </c>
      <c r="F40" s="295">
        <v>0.51829999999999998</v>
      </c>
      <c r="G40" s="296">
        <f>(C40-E40)/E40</f>
        <v>6.5756196256955557E-3</v>
      </c>
      <c r="H40" s="297">
        <f>(D40*10000)-(F40*10000)</f>
        <v>-19.866308593747817</v>
      </c>
      <c r="K40" s="292" t="s">
        <v>32</v>
      </c>
      <c r="L40" s="293">
        <v>98.85</v>
      </c>
      <c r="M40" s="294">
        <v>0.51829999999999998</v>
      </c>
      <c r="N40" s="293">
        <v>96.4</v>
      </c>
      <c r="O40" s="295">
        <v>0.50229999999999997</v>
      </c>
      <c r="P40" s="296">
        <f>(L40-N40)/N40</f>
        <v>2.5414937759335982E-2</v>
      </c>
      <c r="Q40" s="297">
        <f>(M40*10000)-(O40*10000)</f>
        <v>160</v>
      </c>
      <c r="S40" s="292" t="s">
        <v>32</v>
      </c>
      <c r="T40" s="293">
        <v>96.4</v>
      </c>
      <c r="U40" s="294">
        <v>0.50229999999999997</v>
      </c>
      <c r="V40" s="293">
        <f>101.7-9.5561</f>
        <v>92.143900000000002</v>
      </c>
      <c r="W40" s="295">
        <v>0.51572918945312507</v>
      </c>
      <c r="X40" s="296">
        <f>(T40-V40)/V40</f>
        <v>4.6189709790881474E-2</v>
      </c>
      <c r="Y40" s="297">
        <f>(U40*10000)-(W40*10000)</f>
        <v>-134.29189453125036</v>
      </c>
      <c r="AA40" s="292" t="s">
        <v>155</v>
      </c>
      <c r="AB40" s="293">
        <v>93.25</v>
      </c>
      <c r="AC40" s="294">
        <v>0.52572100585937509</v>
      </c>
      <c r="AD40" s="293">
        <v>92</v>
      </c>
      <c r="AE40" s="295">
        <v>0.50609999999999999</v>
      </c>
      <c r="AF40" s="296">
        <f t="shared" si="18"/>
        <v>1.358695652173913E-2</v>
      </c>
      <c r="AG40" s="297">
        <f t="shared" si="24"/>
        <v>196.21005859375055</v>
      </c>
      <c r="AI40" s="292" t="s">
        <v>155</v>
      </c>
      <c r="AJ40" s="293">
        <v>92</v>
      </c>
      <c r="AK40" s="294">
        <v>0.50609999999999999</v>
      </c>
      <c r="AL40" s="293">
        <v>90</v>
      </c>
      <c r="AM40" s="295">
        <v>0.50190000000000001</v>
      </c>
      <c r="AN40" s="296">
        <f t="shared" si="19"/>
        <v>2.2222222222222223E-2</v>
      </c>
      <c r="AO40" s="297">
        <f t="shared" si="25"/>
        <v>42</v>
      </c>
      <c r="AQ40" s="292" t="s">
        <v>32</v>
      </c>
      <c r="AR40" s="293">
        <f t="shared" si="29"/>
        <v>96.4</v>
      </c>
      <c r="AS40" s="294">
        <f t="shared" si="29"/>
        <v>0.50229999999999997</v>
      </c>
      <c r="AT40" s="293">
        <f>91-9.3532-9.5561</f>
        <v>72.090699999999998</v>
      </c>
      <c r="AU40" s="295">
        <v>0.61750000000000005</v>
      </c>
      <c r="AV40" s="296">
        <f>(AR40-AT40)/AT40</f>
        <v>0.33720438281220749</v>
      </c>
      <c r="AW40" s="297">
        <f>(AS40*10000)-(AU40*10000)</f>
        <v>-1152.0000000000009</v>
      </c>
    </row>
    <row r="41" spans="2:63" x14ac:dyDescent="0.25">
      <c r="B41" s="292" t="s">
        <v>26</v>
      </c>
      <c r="C41" s="293">
        <f>+'Planilla de datos'!C28</f>
        <v>94.2</v>
      </c>
      <c r="D41" s="294">
        <f>+'Planilla de datos'!H28</f>
        <v>0.55006807617187503</v>
      </c>
      <c r="E41" s="293">
        <v>93.5</v>
      </c>
      <c r="F41" s="295">
        <v>0.55059999999999998</v>
      </c>
      <c r="G41" s="296">
        <f>(C41-E41)/E41</f>
        <v>7.4866310160428108E-3</v>
      </c>
      <c r="H41" s="297">
        <f>(D41*10000)-(F41*10000)</f>
        <v>-5.3192382812494543</v>
      </c>
      <c r="K41" s="292" t="s">
        <v>26</v>
      </c>
      <c r="L41" s="293">
        <v>93.5</v>
      </c>
      <c r="M41" s="294">
        <v>0.55059999999999998</v>
      </c>
      <c r="N41" s="293">
        <v>88.7</v>
      </c>
      <c r="O41" s="295">
        <v>0.56410000000000005</v>
      </c>
      <c r="P41" s="296">
        <f>(L41-N41)/N41</f>
        <v>5.4114994363021383E-2</v>
      </c>
      <c r="Q41" s="297">
        <f>(M41*10000)-(O41*10000)</f>
        <v>-135.00000000000091</v>
      </c>
      <c r="S41" s="292" t="s">
        <v>26</v>
      </c>
      <c r="T41" s="293">
        <v>88.7</v>
      </c>
      <c r="U41" s="294">
        <v>0.56410000000000005</v>
      </c>
      <c r="V41" s="293">
        <v>84.9</v>
      </c>
      <c r="W41" s="295">
        <v>0.57127696289062491</v>
      </c>
      <c r="X41" s="296">
        <f>(T41-V41)/V41</f>
        <v>4.4758539458186065E-2</v>
      </c>
      <c r="Y41" s="297">
        <f>(U41*10000)-(W41*10000)</f>
        <v>-71.769628906247817</v>
      </c>
      <c r="AA41" s="292" t="s">
        <v>32</v>
      </c>
      <c r="AB41" s="293">
        <v>101.7</v>
      </c>
      <c r="AC41" s="294">
        <v>0.51572918945312507</v>
      </c>
      <c r="AD41" s="293">
        <v>99</v>
      </c>
      <c r="AE41" s="295">
        <v>0.50439999999999996</v>
      </c>
      <c r="AF41" s="296">
        <f t="shared" si="18"/>
        <v>2.7272727272727303E-2</v>
      </c>
      <c r="AG41" s="297">
        <f t="shared" si="24"/>
        <v>113.29189453125036</v>
      </c>
      <c r="AI41" s="292" t="s">
        <v>32</v>
      </c>
      <c r="AJ41" s="293">
        <v>99</v>
      </c>
      <c r="AK41" s="294">
        <v>0.50439999999999996</v>
      </c>
      <c r="AL41" s="293">
        <v>96</v>
      </c>
      <c r="AM41" s="295">
        <v>0.49790000000000001</v>
      </c>
      <c r="AN41" s="296">
        <f t="shared" si="19"/>
        <v>3.125E-2</v>
      </c>
      <c r="AO41" s="297">
        <f t="shared" si="25"/>
        <v>65</v>
      </c>
      <c r="AQ41" s="292" t="s">
        <v>26</v>
      </c>
      <c r="AR41" s="293">
        <f t="shared" si="29"/>
        <v>88.7</v>
      </c>
      <c r="AS41" s="294">
        <f t="shared" si="29"/>
        <v>0.56410000000000005</v>
      </c>
      <c r="AT41" s="293">
        <f>83.3-9.0864667-9.3339041</f>
        <v>64.879629199999997</v>
      </c>
      <c r="AU41" s="295">
        <v>0.64359999999999995</v>
      </c>
      <c r="AV41" s="296">
        <f>(AR41-AT41)/AT41</f>
        <v>0.36714714762888945</v>
      </c>
      <c r="AW41" s="297">
        <f>(AS41*10000)-(AU41*10000)</f>
        <v>-794.99999999999818</v>
      </c>
    </row>
    <row r="42" spans="2:63" x14ac:dyDescent="0.25">
      <c r="B42" s="174"/>
      <c r="C42" s="172"/>
      <c r="D42" s="173"/>
      <c r="E42" s="173"/>
      <c r="F42" s="173"/>
      <c r="G42" s="164"/>
      <c r="H42" s="164"/>
      <c r="K42" s="174"/>
      <c r="L42" s="172"/>
      <c r="M42" s="173"/>
      <c r="N42" s="173"/>
      <c r="O42" s="173"/>
      <c r="P42" s="164"/>
      <c r="Q42" s="164"/>
      <c r="S42" s="174"/>
      <c r="T42" s="172"/>
      <c r="U42" s="173"/>
      <c r="V42" s="173"/>
      <c r="W42" s="173"/>
      <c r="X42" s="164"/>
      <c r="Y42" s="164"/>
      <c r="AA42" s="292" t="s">
        <v>26</v>
      </c>
      <c r="AB42" s="293">
        <v>84.9</v>
      </c>
      <c r="AC42" s="294">
        <v>0.57127696289062491</v>
      </c>
      <c r="AD42" s="293">
        <f>94.84-9.333904</f>
        <v>85.506095999999999</v>
      </c>
      <c r="AE42" s="295">
        <v>0.5333</v>
      </c>
      <c r="AF42" s="296">
        <f t="shared" si="18"/>
        <v>-7.088336719290678E-3</v>
      </c>
      <c r="AG42" s="297">
        <f t="shared" si="24"/>
        <v>379.76962890624873</v>
      </c>
      <c r="AI42" s="292" t="s">
        <v>26</v>
      </c>
      <c r="AJ42" s="293">
        <v>94.84</v>
      </c>
      <c r="AK42" s="294">
        <v>0.5333</v>
      </c>
      <c r="AL42" s="293">
        <v>89.8</v>
      </c>
      <c r="AM42" s="295">
        <v>0.55020000000000002</v>
      </c>
      <c r="AN42" s="296">
        <f t="shared" si="19"/>
        <v>5.6124721603563549E-2</v>
      </c>
      <c r="AO42" s="297">
        <f t="shared" si="25"/>
        <v>-169</v>
      </c>
      <c r="AQ42" s="292" t="s">
        <v>228</v>
      </c>
      <c r="AR42" s="172"/>
      <c r="AS42" s="173"/>
      <c r="AT42" s="173"/>
      <c r="AU42" s="173"/>
      <c r="AV42" s="164">
        <f>+BK47</f>
        <v>0.15505775288764442</v>
      </c>
      <c r="AW42" s="164"/>
    </row>
    <row r="43" spans="2:63" x14ac:dyDescent="0.25">
      <c r="B43" s="378" t="s">
        <v>145</v>
      </c>
      <c r="C43" s="378"/>
      <c r="D43" s="378"/>
      <c r="E43" s="378"/>
      <c r="F43" s="378"/>
      <c r="G43" s="378"/>
      <c r="H43" s="378"/>
      <c r="K43" s="378" t="s">
        <v>145</v>
      </c>
      <c r="L43" s="378"/>
      <c r="M43" s="378"/>
      <c r="N43" s="378"/>
      <c r="O43" s="378"/>
      <c r="P43" s="378"/>
      <c r="Q43" s="378"/>
      <c r="S43" s="378" t="s">
        <v>145</v>
      </c>
      <c r="T43" s="378"/>
      <c r="U43" s="378"/>
      <c r="V43" s="378"/>
      <c r="W43" s="378"/>
      <c r="X43" s="378"/>
      <c r="Y43" s="378"/>
      <c r="AA43" s="174"/>
      <c r="AB43" s="172"/>
      <c r="AC43" s="173"/>
      <c r="AD43" s="173"/>
      <c r="AE43" s="173"/>
      <c r="AF43" s="164"/>
      <c r="AG43" s="164"/>
      <c r="AI43" s="174"/>
      <c r="AJ43" s="172"/>
      <c r="AK43" s="173"/>
      <c r="AL43" s="173"/>
      <c r="AM43" s="173"/>
      <c r="AN43" s="164"/>
      <c r="AO43" s="164"/>
    </row>
    <row r="44" spans="2:63" x14ac:dyDescent="0.25">
      <c r="AA44" s="378" t="s">
        <v>145</v>
      </c>
      <c r="AB44" s="378"/>
      <c r="AC44" s="378"/>
      <c r="AD44" s="378"/>
      <c r="AE44" s="378"/>
      <c r="AF44" s="378"/>
      <c r="AG44" s="378"/>
      <c r="AI44" s="378" t="s">
        <v>145</v>
      </c>
      <c r="AJ44" s="378"/>
      <c r="AK44" s="378"/>
      <c r="AL44" s="378"/>
      <c r="AM44" s="378"/>
      <c r="AN44" s="378"/>
      <c r="AO44" s="378"/>
      <c r="AQ44" s="385" t="s">
        <v>145</v>
      </c>
      <c r="AR44" s="385"/>
      <c r="AS44" s="385"/>
      <c r="AT44" s="385"/>
      <c r="AU44" s="385"/>
      <c r="AV44" s="385"/>
      <c r="AW44" s="385"/>
    </row>
    <row r="45" spans="2:63" x14ac:dyDescent="0.25">
      <c r="BJ45" s="323">
        <v>44330</v>
      </c>
      <c r="BK45" s="4">
        <v>165</v>
      </c>
    </row>
    <row r="46" spans="2:63" x14ac:dyDescent="0.25">
      <c r="BJ46" s="323">
        <v>44560</v>
      </c>
      <c r="BK46">
        <v>142.85</v>
      </c>
    </row>
    <row r="47" spans="2:63" x14ac:dyDescent="0.25">
      <c r="BK47" s="2">
        <f>(BK45-BK46)/BK46</f>
        <v>0.15505775288764442</v>
      </c>
    </row>
    <row r="48" spans="2:63" x14ac:dyDescent="0.25">
      <c r="B48" s="277" t="s">
        <v>193</v>
      </c>
      <c r="K48" s="277" t="s">
        <v>193</v>
      </c>
      <c r="S48" s="277" t="s">
        <v>193</v>
      </c>
      <c r="AA48" s="277" t="s">
        <v>193</v>
      </c>
      <c r="AI48" s="277" t="s">
        <v>193</v>
      </c>
    </row>
  </sheetData>
  <mergeCells count="84">
    <mergeCell ref="B43:H43"/>
    <mergeCell ref="B23:H23"/>
    <mergeCell ref="B27:H27"/>
    <mergeCell ref="B28:H28"/>
    <mergeCell ref="B29:B30"/>
    <mergeCell ref="C29:D29"/>
    <mergeCell ref="E29:F29"/>
    <mergeCell ref="G29:H29"/>
    <mergeCell ref="B3:H3"/>
    <mergeCell ref="B4:H4"/>
    <mergeCell ref="B5:B6"/>
    <mergeCell ref="C5:D5"/>
    <mergeCell ref="E5:F5"/>
    <mergeCell ref="G5:H5"/>
    <mergeCell ref="S43:Y43"/>
    <mergeCell ref="S23:Y23"/>
    <mergeCell ref="S27:Y27"/>
    <mergeCell ref="S28:Y28"/>
    <mergeCell ref="S29:S30"/>
    <mergeCell ref="T29:U29"/>
    <mergeCell ref="V29:W29"/>
    <mergeCell ref="X29:Y29"/>
    <mergeCell ref="S3:Y3"/>
    <mergeCell ref="S4:Y4"/>
    <mergeCell ref="S5:S6"/>
    <mergeCell ref="T5:U5"/>
    <mergeCell ref="V5:W5"/>
    <mergeCell ref="X5:Y5"/>
    <mergeCell ref="AI44:AO44"/>
    <mergeCell ref="AI28:AO28"/>
    <mergeCell ref="AI29:AI30"/>
    <mergeCell ref="AJ29:AK29"/>
    <mergeCell ref="AL29:AM29"/>
    <mergeCell ref="AN29:AO29"/>
    <mergeCell ref="AI3:AO3"/>
    <mergeCell ref="AQ23:AU23"/>
    <mergeCell ref="AI23:AO23"/>
    <mergeCell ref="AI27:AO27"/>
    <mergeCell ref="AJ5:AK5"/>
    <mergeCell ref="AL5:AM5"/>
    <mergeCell ref="AN5:AO5"/>
    <mergeCell ref="AI4:AO4"/>
    <mergeCell ref="AI5:AI6"/>
    <mergeCell ref="AQ3:AW3"/>
    <mergeCell ref="AQ4:AW4"/>
    <mergeCell ref="AB29:AC29"/>
    <mergeCell ref="AD29:AE29"/>
    <mergeCell ref="AF29:AG29"/>
    <mergeCell ref="AA3:AG3"/>
    <mergeCell ref="AA4:AG4"/>
    <mergeCell ref="AA5:AA6"/>
    <mergeCell ref="AB5:AC5"/>
    <mergeCell ref="AD5:AE5"/>
    <mergeCell ref="AF5:AG5"/>
    <mergeCell ref="AA44:AG44"/>
    <mergeCell ref="AQ5:AQ6"/>
    <mergeCell ref="AR5:AS5"/>
    <mergeCell ref="AT5:AU5"/>
    <mergeCell ref="AV5:AW5"/>
    <mergeCell ref="AQ27:AW27"/>
    <mergeCell ref="AQ28:AW28"/>
    <mergeCell ref="AQ29:AQ30"/>
    <mergeCell ref="AR29:AS29"/>
    <mergeCell ref="AT29:AU29"/>
    <mergeCell ref="AV29:AW29"/>
    <mergeCell ref="AQ44:AW44"/>
    <mergeCell ref="AA23:AG23"/>
    <mergeCell ref="AA27:AG27"/>
    <mergeCell ref="AA28:AG28"/>
    <mergeCell ref="AA29:AA30"/>
    <mergeCell ref="K3:Q3"/>
    <mergeCell ref="K4:Q4"/>
    <mergeCell ref="K5:K6"/>
    <mergeCell ref="L5:M5"/>
    <mergeCell ref="N5:O5"/>
    <mergeCell ref="P5:Q5"/>
    <mergeCell ref="K43:Q43"/>
    <mergeCell ref="K23:Q23"/>
    <mergeCell ref="K27:Q27"/>
    <mergeCell ref="K28:Q28"/>
    <mergeCell ref="K29:K30"/>
    <mergeCell ref="L29:M29"/>
    <mergeCell ref="N29:O29"/>
    <mergeCell ref="P29:Q29"/>
  </mergeCells>
  <conditionalFormatting sqref="AN43:AO43">
    <cfRule type="cellIs" dxfId="11" priority="48" operator="lessThan">
      <formula>0</formula>
    </cfRule>
    <cfRule type="cellIs" dxfId="10" priority="49" operator="greaterThan">
      <formula>0</formula>
    </cfRule>
  </conditionalFormatting>
  <conditionalFormatting sqref="AN7:AN2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{CE33DF43-BF9A-4F2C-B667-2CD3A104CD29}</x14:id>
        </ext>
      </extLst>
    </cfRule>
  </conditionalFormatting>
  <conditionalFormatting sqref="AV7:AV13 AV15:AV21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{36061289-A852-4901-9506-F9BD12AD71A8}</x14:id>
        </ext>
      </extLst>
    </cfRule>
  </conditionalFormatting>
  <conditionalFormatting sqref="AN31:AN42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{7439EA34-4469-477F-9FB4-97A72E1A3C90}</x14:id>
        </ext>
      </extLst>
    </cfRule>
  </conditionalFormatting>
  <conditionalFormatting sqref="AF43:AG43">
    <cfRule type="cellIs" dxfId="9" priority="20" operator="lessThan">
      <formula>0</formula>
    </cfRule>
    <cfRule type="cellIs" dxfId="8" priority="21" operator="greaterThan">
      <formula>0</formula>
    </cfRule>
  </conditionalFormatting>
  <conditionalFormatting sqref="AF7:AF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{6D3FA408-F8B1-4A85-99AA-09D7A63C30E0}</x14:id>
        </ext>
      </extLst>
    </cfRule>
  </conditionalFormatting>
  <conditionalFormatting sqref="AF31:AF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{A5F3D374-79D6-4040-891D-D6656CDD6E77}</x14:id>
        </ext>
      </extLst>
    </cfRule>
  </conditionalFormatting>
  <conditionalFormatting sqref="AV42:AW42">
    <cfRule type="cellIs" dxfId="7" priority="17" operator="lessThan">
      <formula>0</formula>
    </cfRule>
    <cfRule type="cellIs" dxfId="6" priority="18" operator="greaterThan">
      <formula>0</formula>
    </cfRule>
  </conditionalFormatting>
  <conditionalFormatting sqref="X42:Y42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X7:X2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{29817AA0-5ED1-487F-B862-574B9CFD0F60}</x14:id>
        </ext>
      </extLst>
    </cfRule>
  </conditionalFormatting>
  <conditionalFormatting sqref="P42:Q42">
    <cfRule type="cellIs" dxfId="3" priority="9" operator="lessThan">
      <formula>0</formula>
    </cfRule>
    <cfRule type="cellIs" dxfId="2" priority="10" operator="greaterThan">
      <formula>0</formula>
    </cfRule>
  </conditionalFormatting>
  <conditionalFormatting sqref="X31:X41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{32C995AB-A89C-431A-A3DB-0256DB134975}</x14:id>
        </ext>
      </extLst>
    </cfRule>
  </conditionalFormatting>
  <conditionalFormatting sqref="P31:P4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{049485C5-6CDF-4BB3-BB8D-36A1AA87497E}</x14:id>
        </ext>
      </extLst>
    </cfRule>
  </conditionalFormatting>
  <conditionalFormatting sqref="AV31:AV4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{94EDC7D7-B25D-4319-BA48-8ECFC36D4313}</x14:id>
        </ext>
      </extLst>
    </cfRule>
  </conditionalFormatting>
  <conditionalFormatting sqref="P7:P2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{17BE9819-5A84-4381-95EF-0049ED1EA108}</x14:id>
        </ext>
      </extLst>
    </cfRule>
  </conditionalFormatting>
  <conditionalFormatting sqref="G42:H42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G31:G4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{F79C4B7C-EC30-4B7A-9EBD-207850BD9649}</x14:id>
        </ext>
      </extLst>
    </cfRule>
  </conditionalFormatting>
  <conditionalFormatting sqref="G7:G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{FB0CEB7E-4B67-4E29-BDD3-6BD6A602559D}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33DF43-BF9A-4F2C-B667-2CD3A104C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AN7:AN21</xm:sqref>
        </x14:conditionalFormatting>
        <x14:conditionalFormatting xmlns:xm="http://schemas.microsoft.com/office/excel/2006/main">
          <x14:cfRule type="dataBar" id="{36061289-A852-4901-9506-F9BD12AD7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AV7:AV13 AV15:AV21</xm:sqref>
        </x14:conditionalFormatting>
        <x14:conditionalFormatting xmlns:xm="http://schemas.microsoft.com/office/excel/2006/main">
          <x14:cfRule type="dataBar" id="{7439EA34-4469-477F-9FB4-97A72E1A3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AN31:AN42</xm:sqref>
        </x14:conditionalFormatting>
        <x14:conditionalFormatting xmlns:xm="http://schemas.microsoft.com/office/excel/2006/main">
          <x14:cfRule type="dataBar" id="{6D3FA408-F8B1-4A85-99AA-09D7A63C3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AF7:AF21</xm:sqref>
        </x14:conditionalFormatting>
        <x14:conditionalFormatting xmlns:xm="http://schemas.microsoft.com/office/excel/2006/main">
          <x14:cfRule type="dataBar" id="{A5F3D374-79D6-4040-891D-D6656CDD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AF31:AF42</xm:sqref>
        </x14:conditionalFormatting>
        <x14:conditionalFormatting xmlns:xm="http://schemas.microsoft.com/office/excel/2006/main">
          <x14:cfRule type="dataBar" id="{29817AA0-5ED1-487F-B862-574B9CFD0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X7:X21</xm:sqref>
        </x14:conditionalFormatting>
        <x14:conditionalFormatting xmlns:xm="http://schemas.microsoft.com/office/excel/2006/main">
          <x14:cfRule type="dataBar" id="{32C995AB-A89C-431A-A3DB-0256DB134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X31:X41</xm:sqref>
        </x14:conditionalFormatting>
        <x14:conditionalFormatting xmlns:xm="http://schemas.microsoft.com/office/excel/2006/main">
          <x14:cfRule type="dataBar" id="{049485C5-6CDF-4BB3-BB8D-36A1AA874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P31:P41</xm:sqref>
        </x14:conditionalFormatting>
        <x14:conditionalFormatting xmlns:xm="http://schemas.microsoft.com/office/excel/2006/main">
          <x14:cfRule type="dataBar" id="{94EDC7D7-B25D-4319-BA48-8ECFC36D4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AV31:AV41</xm:sqref>
        </x14:conditionalFormatting>
        <x14:conditionalFormatting xmlns:xm="http://schemas.microsoft.com/office/excel/2006/main">
          <x14:cfRule type="dataBar" id="{17BE9819-5A84-4381-95EF-0049ED1EA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P7:P21</xm:sqref>
        </x14:conditionalFormatting>
        <x14:conditionalFormatting xmlns:xm="http://schemas.microsoft.com/office/excel/2006/main">
          <x14:cfRule type="dataBar" id="{F79C4B7C-EC30-4B7A-9EBD-207850BD96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G31:G41</xm:sqref>
        </x14:conditionalFormatting>
        <x14:conditionalFormatting xmlns:xm="http://schemas.microsoft.com/office/excel/2006/main">
          <x14:cfRule type="dataBar" id="{FB0CEB7E-4B67-4E29-BDD3-6BD6A6025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G7:G21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29"/>
  <sheetViews>
    <sheetView showGridLines="0" zoomScale="90" zoomScaleNormal="90" workbookViewId="0">
      <selection activeCell="J20" sqref="J20"/>
    </sheetView>
  </sheetViews>
  <sheetFormatPr baseColWidth="10" defaultRowHeight="15" x14ac:dyDescent="0.25"/>
  <cols>
    <col min="1" max="1" width="4.140625" customWidth="1"/>
    <col min="2" max="2" width="12.5703125" bestFit="1" customWidth="1"/>
    <col min="4" max="4" width="2" customWidth="1"/>
    <col min="5" max="5" width="11.28515625" customWidth="1"/>
    <col min="6" max="6" width="5.42578125" hidden="1" customWidth="1"/>
    <col min="7" max="7" width="8.5703125" customWidth="1"/>
    <col min="15" max="15" width="10.42578125" customWidth="1"/>
  </cols>
  <sheetData>
    <row r="2" spans="2:14" ht="15.75" x14ac:dyDescent="0.25">
      <c r="B2" s="413" t="s">
        <v>125</v>
      </c>
      <c r="C2" s="413"/>
      <c r="D2" s="413"/>
      <c r="E2" s="413"/>
      <c r="F2" s="413"/>
      <c r="G2" s="413"/>
      <c r="H2" s="413"/>
      <c r="I2" s="413"/>
      <c r="J2" s="413"/>
      <c r="K2" s="153"/>
      <c r="L2" s="153"/>
      <c r="M2" s="153"/>
      <c r="N2" s="153"/>
    </row>
    <row r="3" spans="2:14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 x14ac:dyDescent="0.25">
      <c r="B4" s="373" t="s">
        <v>34</v>
      </c>
      <c r="C4" s="374"/>
      <c r="D4" s="12"/>
      <c r="E4" s="375" t="s">
        <v>123</v>
      </c>
      <c r="F4" s="375"/>
      <c r="G4" s="375"/>
      <c r="H4" s="375"/>
      <c r="I4" s="375"/>
      <c r="J4" s="375"/>
      <c r="K4" s="154"/>
      <c r="L4" s="154"/>
      <c r="M4" s="154"/>
      <c r="N4" s="154"/>
    </row>
    <row r="5" spans="2:14" x14ac:dyDescent="0.25">
      <c r="B5" s="24" t="s">
        <v>0</v>
      </c>
      <c r="C5" s="33">
        <v>44078</v>
      </c>
      <c r="D5" s="12"/>
      <c r="E5" s="29" t="s">
        <v>14</v>
      </c>
      <c r="F5" s="29" t="s">
        <v>21</v>
      </c>
      <c r="G5" s="29" t="s">
        <v>7</v>
      </c>
      <c r="H5" s="29" t="s">
        <v>8</v>
      </c>
      <c r="I5" s="29" t="s">
        <v>33</v>
      </c>
      <c r="J5" s="29" t="s">
        <v>9</v>
      </c>
      <c r="K5" s="29"/>
      <c r="L5" s="29" t="s">
        <v>21</v>
      </c>
      <c r="M5" s="29" t="s">
        <v>126</v>
      </c>
      <c r="N5" s="29" t="s">
        <v>127</v>
      </c>
    </row>
    <row r="6" spans="2:14" x14ac:dyDescent="0.25">
      <c r="B6" s="24" t="s">
        <v>1</v>
      </c>
      <c r="C6" s="33">
        <v>46335</v>
      </c>
      <c r="D6" s="12"/>
      <c r="E6" s="15">
        <f>'Planilla de datos'!D3</f>
        <v>44384</v>
      </c>
      <c r="F6" s="15"/>
      <c r="G6" s="14">
        <f>C11</f>
        <v>141.58933640880056</v>
      </c>
      <c r="H6" s="30"/>
      <c r="I6" s="12"/>
      <c r="J6" s="14">
        <f>-'Planilla de datos'!C78</f>
        <v>-116.1</v>
      </c>
      <c r="K6" s="14"/>
      <c r="L6" s="14"/>
      <c r="M6" s="14"/>
      <c r="N6" s="14"/>
    </row>
    <row r="7" spans="2:14" x14ac:dyDescent="0.25">
      <c r="B7" s="24" t="s">
        <v>2</v>
      </c>
      <c r="C7" s="34">
        <v>22.544</v>
      </c>
      <c r="D7" s="12"/>
      <c r="E7" s="15">
        <v>44509</v>
      </c>
      <c r="F7" s="12" t="e">
        <f>E7-#REF!</f>
        <v>#REF!</v>
      </c>
      <c r="G7" s="14">
        <f t="shared" ref="G7:G13" si="0">+G6</f>
        <v>141.58933640880056</v>
      </c>
      <c r="H7" s="14">
        <f t="shared" ref="H7:H13" si="1">$C$11*$C$10*(180/360)</f>
        <v>1.4158933640880056</v>
      </c>
      <c r="I7" s="14"/>
      <c r="J7" s="14">
        <f>SUM(H7:I7)</f>
        <v>1.4158933640880056</v>
      </c>
      <c r="K7" s="14"/>
      <c r="L7" s="67">
        <f t="shared" ref="L7:L17" si="2">DAYS360($E$6,E7)</f>
        <v>122</v>
      </c>
      <c r="M7" s="14">
        <f t="shared" ref="M7:M17" si="3">J7/(1+$J$19)^(L7/360)</f>
        <v>1.3833683284659664</v>
      </c>
      <c r="N7" s="14">
        <f t="shared" ref="N7:N17" si="4">M7*(L7/360)</f>
        <v>0.46880815575791085</v>
      </c>
    </row>
    <row r="8" spans="2:14" x14ac:dyDescent="0.25">
      <c r="B8" s="24" t="s">
        <v>3</v>
      </c>
      <c r="C8" s="34">
        <f>+'Planilla de datos'!D64</f>
        <v>31.919899999999998</v>
      </c>
      <c r="D8" s="12"/>
      <c r="E8" s="15">
        <v>44690</v>
      </c>
      <c r="F8" s="12">
        <f t="shared" ref="F8:F17" si="5">E8-E7</f>
        <v>181</v>
      </c>
      <c r="G8" s="14">
        <f t="shared" si="0"/>
        <v>141.58933640880056</v>
      </c>
      <c r="H8" s="14">
        <f t="shared" si="1"/>
        <v>1.4158933640880056</v>
      </c>
      <c r="I8" s="12"/>
      <c r="J8" s="14">
        <f>SUM(H8:I8)</f>
        <v>1.4158933640880056</v>
      </c>
      <c r="K8" s="14"/>
      <c r="L8" s="67">
        <f t="shared" si="2"/>
        <v>302</v>
      </c>
      <c r="M8" s="14">
        <f t="shared" si="3"/>
        <v>1.3367399675198104</v>
      </c>
      <c r="N8" s="14">
        <f t="shared" si="4"/>
        <v>1.1213763060860631</v>
      </c>
    </row>
    <row r="9" spans="2:14" x14ac:dyDescent="0.25">
      <c r="B9" s="24" t="s">
        <v>4</v>
      </c>
      <c r="C9" s="34">
        <f>((C8-C7)/C7)+1</f>
        <v>1.4158933640880056</v>
      </c>
      <c r="D9" s="12"/>
      <c r="E9" s="15">
        <v>44874</v>
      </c>
      <c r="F9" s="12">
        <f t="shared" si="5"/>
        <v>184</v>
      </c>
      <c r="G9" s="14">
        <f t="shared" si="0"/>
        <v>141.58933640880056</v>
      </c>
      <c r="H9" s="14">
        <f t="shared" si="1"/>
        <v>1.4158933640880056</v>
      </c>
      <c r="I9" s="12"/>
      <c r="J9" s="14">
        <f>SUM(H9:I9)</f>
        <v>1.4158933640880056</v>
      </c>
      <c r="K9" s="14"/>
      <c r="L9" s="67">
        <f t="shared" si="2"/>
        <v>482</v>
      </c>
      <c r="M9" s="14">
        <f t="shared" si="3"/>
        <v>1.2916832805810652</v>
      </c>
      <c r="N9" s="14">
        <f t="shared" si="4"/>
        <v>1.7294203923335372</v>
      </c>
    </row>
    <row r="10" spans="2:14" x14ac:dyDescent="0.25">
      <c r="B10" s="24" t="s">
        <v>5</v>
      </c>
      <c r="C10" s="35">
        <v>0.02</v>
      </c>
      <c r="D10" s="12"/>
      <c r="E10" s="15">
        <v>45055</v>
      </c>
      <c r="F10" s="12">
        <f t="shared" si="5"/>
        <v>181</v>
      </c>
      <c r="G10" s="14">
        <f t="shared" si="0"/>
        <v>141.58933640880056</v>
      </c>
      <c r="H10" s="14">
        <f t="shared" si="1"/>
        <v>1.4158933640880056</v>
      </c>
      <c r="I10" s="14"/>
      <c r="J10" s="14">
        <f>SUM(H10:I10)</f>
        <v>1.4158933640880056</v>
      </c>
      <c r="K10" s="14"/>
      <c r="L10" s="67">
        <f t="shared" si="2"/>
        <v>662</v>
      </c>
      <c r="M10" s="14">
        <f t="shared" si="3"/>
        <v>1.2481452921829661</v>
      </c>
      <c r="N10" s="14">
        <f t="shared" si="4"/>
        <v>2.295200509514232</v>
      </c>
    </row>
    <row r="11" spans="2:14" x14ac:dyDescent="0.25">
      <c r="B11" s="36" t="s">
        <v>16</v>
      </c>
      <c r="C11" s="37">
        <f>C9*100</f>
        <v>141.58933640880056</v>
      </c>
      <c r="D11" s="12"/>
      <c r="E11" s="15">
        <v>45239</v>
      </c>
      <c r="F11" s="12">
        <f t="shared" si="5"/>
        <v>184</v>
      </c>
      <c r="G11" s="14">
        <f t="shared" si="0"/>
        <v>141.58933640880056</v>
      </c>
      <c r="H11" s="14">
        <f t="shared" si="1"/>
        <v>1.4158933640880056</v>
      </c>
      <c r="I11" s="14"/>
      <c r="J11" s="14">
        <f t="shared" ref="J11:J16" si="6">SUM(H11:I11)</f>
        <v>1.4158933640880056</v>
      </c>
      <c r="K11" s="14"/>
      <c r="L11" s="67">
        <f t="shared" si="2"/>
        <v>842</v>
      </c>
      <c r="M11" s="14">
        <f t="shared" si="3"/>
        <v>1.2060748124708205</v>
      </c>
      <c r="N11" s="14">
        <f t="shared" si="4"/>
        <v>2.8208749780567524</v>
      </c>
    </row>
    <row r="12" spans="2:14" x14ac:dyDescent="0.25">
      <c r="B12" s="12"/>
      <c r="C12" s="12"/>
      <c r="D12" s="12"/>
      <c r="E12" s="15">
        <v>45421</v>
      </c>
      <c r="F12" s="12">
        <f t="shared" si="5"/>
        <v>182</v>
      </c>
      <c r="G12" s="14">
        <f t="shared" si="0"/>
        <v>141.58933640880056</v>
      </c>
      <c r="H12" s="14">
        <f t="shared" si="1"/>
        <v>1.4158933640880056</v>
      </c>
      <c r="I12" s="14"/>
      <c r="J12" s="14">
        <f t="shared" si="6"/>
        <v>1.4158933640880056</v>
      </c>
      <c r="K12" s="14"/>
      <c r="L12" s="67">
        <f t="shared" si="2"/>
        <v>1022</v>
      </c>
      <c r="M12" s="14">
        <f t="shared" si="3"/>
        <v>1.165422377015457</v>
      </c>
      <c r="N12" s="14">
        <f t="shared" si="4"/>
        <v>3.3085046369716586</v>
      </c>
    </row>
    <row r="13" spans="2:14" x14ac:dyDescent="0.25">
      <c r="B13" s="12"/>
      <c r="C13" s="12"/>
      <c r="D13" s="12"/>
      <c r="E13" s="15">
        <v>45605</v>
      </c>
      <c r="F13" s="12">
        <f t="shared" si="5"/>
        <v>184</v>
      </c>
      <c r="G13" s="14">
        <f t="shared" si="0"/>
        <v>141.58933640880056</v>
      </c>
      <c r="H13" s="14">
        <f t="shared" si="1"/>
        <v>1.4158933640880056</v>
      </c>
      <c r="I13" s="14">
        <f>$G$6/5</f>
        <v>28.317867281760112</v>
      </c>
      <c r="J13" s="14">
        <f t="shared" si="6"/>
        <v>29.733760645848118</v>
      </c>
      <c r="K13" s="14"/>
      <c r="L13" s="67">
        <f t="shared" si="2"/>
        <v>1202</v>
      </c>
      <c r="M13" s="14">
        <f t="shared" si="3"/>
        <v>23.648943961762392</v>
      </c>
      <c r="N13" s="14">
        <f t="shared" si="4"/>
        <v>78.961196227884429</v>
      </c>
    </row>
    <row r="14" spans="2:14" x14ac:dyDescent="0.25">
      <c r="B14" s="12"/>
      <c r="C14" s="12"/>
      <c r="D14" s="12"/>
      <c r="E14" s="15">
        <v>45786</v>
      </c>
      <c r="F14" s="12">
        <f t="shared" si="5"/>
        <v>181</v>
      </c>
      <c r="G14" s="14">
        <f>G13-I13</f>
        <v>113.27146912704045</v>
      </c>
      <c r="H14" s="14">
        <f>G14*$C$10*(180/360)</f>
        <v>1.1327146912704045</v>
      </c>
      <c r="I14" s="14">
        <f>$G$6/5</f>
        <v>28.317867281760112</v>
      </c>
      <c r="J14" s="14">
        <f t="shared" si="6"/>
        <v>29.450581973030516</v>
      </c>
      <c r="K14" s="14"/>
      <c r="L14" s="67">
        <f t="shared" si="2"/>
        <v>1382</v>
      </c>
      <c r="M14" s="14">
        <f t="shared" si="3"/>
        <v>22.63418687502012</v>
      </c>
      <c r="N14" s="14">
        <f t="shared" si="4"/>
        <v>86.890128503549462</v>
      </c>
    </row>
    <row r="15" spans="2:14" x14ac:dyDescent="0.25">
      <c r="B15" s="12"/>
      <c r="C15" s="12"/>
      <c r="D15" s="12"/>
      <c r="E15" s="15">
        <v>45970</v>
      </c>
      <c r="F15" s="12">
        <f t="shared" si="5"/>
        <v>184</v>
      </c>
      <c r="G15" s="14">
        <f>G14-I14</f>
        <v>84.953601845280332</v>
      </c>
      <c r="H15" s="14">
        <f>G15*$C$10*(180/360)</f>
        <v>0.84953601845280335</v>
      </c>
      <c r="I15" s="14">
        <f>$G$6/5</f>
        <v>28.317867281760112</v>
      </c>
      <c r="J15" s="14">
        <f t="shared" si="6"/>
        <v>29.167403300212914</v>
      </c>
      <c r="K15" s="14"/>
      <c r="L15" s="67">
        <f t="shared" si="2"/>
        <v>1562</v>
      </c>
      <c r="M15" s="14">
        <f t="shared" si="3"/>
        <v>21.660969331808445</v>
      </c>
      <c r="N15" s="14">
        <f t="shared" si="4"/>
        <v>93.984539156346642</v>
      </c>
    </row>
    <row r="16" spans="2:14" x14ac:dyDescent="0.25">
      <c r="B16" s="12"/>
      <c r="C16" s="12"/>
      <c r="D16" s="12"/>
      <c r="E16" s="15">
        <v>46151</v>
      </c>
      <c r="F16" s="12">
        <f t="shared" si="5"/>
        <v>181</v>
      </c>
      <c r="G16" s="14">
        <f>G15-I15</f>
        <v>56.635734563520217</v>
      </c>
      <c r="H16" s="14">
        <f>G16*$C$10*(180/360)</f>
        <v>0.56635734563520213</v>
      </c>
      <c r="I16" s="14">
        <f>$G$6/5</f>
        <v>28.317867281760112</v>
      </c>
      <c r="J16" s="14">
        <f t="shared" si="6"/>
        <v>28.884224627395312</v>
      </c>
      <c r="K16" s="14"/>
      <c r="L16" s="67">
        <f t="shared" si="2"/>
        <v>1742</v>
      </c>
      <c r="M16" s="14">
        <f t="shared" si="3"/>
        <v>20.727643922486276</v>
      </c>
      <c r="N16" s="14">
        <f t="shared" si="4"/>
        <v>100.29876586936415</v>
      </c>
    </row>
    <row r="17" spans="1:14" x14ac:dyDescent="0.25">
      <c r="B17" s="12"/>
      <c r="C17" s="12"/>
      <c r="D17" s="12"/>
      <c r="E17" s="15">
        <v>46335</v>
      </c>
      <c r="F17" s="12">
        <f t="shared" si="5"/>
        <v>184</v>
      </c>
      <c r="G17" s="14">
        <f>G16-I16</f>
        <v>28.317867281760105</v>
      </c>
      <c r="H17" s="14">
        <f>G17*$C$10*(180/360)</f>
        <v>0.28317867281760106</v>
      </c>
      <c r="I17" s="14">
        <f>$G$6/5</f>
        <v>28.317867281760112</v>
      </c>
      <c r="J17" s="14">
        <f>SUM(H17:I17)</f>
        <v>28.601045954577714</v>
      </c>
      <c r="K17" s="14"/>
      <c r="L17" s="67">
        <f t="shared" si="2"/>
        <v>1922</v>
      </c>
      <c r="M17" s="14">
        <f t="shared" si="3"/>
        <v>19.832627099942901</v>
      </c>
      <c r="N17" s="14">
        <f t="shared" si="4"/>
        <v>105.88419246136181</v>
      </c>
    </row>
    <row r="18" spans="1:14" x14ac:dyDescent="0.25">
      <c r="B18" s="12"/>
      <c r="C18" s="12"/>
      <c r="D18" s="12"/>
      <c r="K18" s="14"/>
      <c r="M18" s="14">
        <f>SUM(M7:M17)</f>
        <v>116.13580524925622</v>
      </c>
      <c r="N18" s="14">
        <f>SUM(N7:N17)</f>
        <v>477.76300719722661</v>
      </c>
    </row>
    <row r="19" spans="1:14" x14ac:dyDescent="0.25">
      <c r="B19" s="12"/>
      <c r="C19" s="12"/>
      <c r="D19" s="12"/>
      <c r="I19" s="92" t="s">
        <v>13</v>
      </c>
      <c r="J19" s="86">
        <f>XIRR(J6:J17,E6:E17,0)</f>
        <v>7.0981059570312532E-2</v>
      </c>
      <c r="L19" s="86"/>
      <c r="M19" s="86"/>
      <c r="N19" s="86"/>
    </row>
    <row r="20" spans="1:14" x14ac:dyDescent="0.25">
      <c r="I20" s="92" t="s">
        <v>29</v>
      </c>
      <c r="J20" s="71">
        <f>N20/(1+(J19/2))</f>
        <v>3.9728324794626375</v>
      </c>
      <c r="K20" s="86"/>
      <c r="L20" s="71"/>
      <c r="M20" s="71" t="s">
        <v>22</v>
      </c>
      <c r="N20" s="71">
        <f>N18/M18</f>
        <v>4.1138304089064421</v>
      </c>
    </row>
    <row r="21" spans="1:14" x14ac:dyDescent="0.25">
      <c r="A21" s="12"/>
      <c r="K21" s="71"/>
    </row>
    <row r="22" spans="1:14" x14ac:dyDescent="0.25">
      <c r="A22" s="110"/>
    </row>
    <row r="23" spans="1:14" x14ac:dyDescent="0.25">
      <c r="A23" s="110"/>
    </row>
    <row r="24" spans="1:14" x14ac:dyDescent="0.25">
      <c r="A24" s="110"/>
    </row>
    <row r="25" spans="1:14" x14ac:dyDescent="0.25">
      <c r="A25" s="110"/>
    </row>
    <row r="26" spans="1:14" x14ac:dyDescent="0.25">
      <c r="A26" s="110"/>
    </row>
    <row r="27" spans="1:14" x14ac:dyDescent="0.25">
      <c r="A27" s="110"/>
    </row>
    <row r="28" spans="1:14" x14ac:dyDescent="0.25">
      <c r="A28" s="110"/>
    </row>
    <row r="29" spans="1:14" x14ac:dyDescent="0.25">
      <c r="A29" s="51"/>
    </row>
  </sheetData>
  <mergeCells count="3">
    <mergeCell ref="B2:J2"/>
    <mergeCell ref="B4:C4"/>
    <mergeCell ref="E4:J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U41"/>
  <sheetViews>
    <sheetView showGridLines="0" zoomScale="90" zoomScaleNormal="90" workbookViewId="0">
      <selection activeCell="U23" sqref="U23"/>
    </sheetView>
  </sheetViews>
  <sheetFormatPr baseColWidth="10" defaultRowHeight="15" x14ac:dyDescent="0.25"/>
  <cols>
    <col min="1" max="1" width="4.140625" customWidth="1"/>
    <col min="2" max="2" width="12.5703125" bestFit="1" customWidth="1"/>
    <col min="4" max="4" width="2" customWidth="1"/>
    <col min="5" max="5" width="11.28515625" customWidth="1"/>
    <col min="6" max="6" width="5.42578125" hidden="1" customWidth="1"/>
    <col min="7" max="7" width="8.5703125" customWidth="1"/>
    <col min="15" max="15" width="10.42578125" customWidth="1"/>
  </cols>
  <sheetData>
    <row r="2" spans="2:14" ht="15.75" x14ac:dyDescent="0.25">
      <c r="B2" s="413" t="s">
        <v>128</v>
      </c>
      <c r="C2" s="413"/>
      <c r="D2" s="413"/>
      <c r="E2" s="413"/>
      <c r="F2" s="413"/>
      <c r="G2" s="413"/>
      <c r="H2" s="413"/>
      <c r="I2" s="413"/>
      <c r="J2" s="413"/>
      <c r="K2" s="153"/>
      <c r="L2" s="153"/>
      <c r="M2" s="153"/>
      <c r="N2" s="153"/>
    </row>
    <row r="3" spans="2:14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 x14ac:dyDescent="0.25">
      <c r="B4" s="373" t="s">
        <v>34</v>
      </c>
      <c r="C4" s="374"/>
      <c r="D4" s="12"/>
      <c r="E4" s="375" t="s">
        <v>123</v>
      </c>
      <c r="F4" s="375"/>
      <c r="G4" s="375"/>
      <c r="H4" s="375"/>
      <c r="I4" s="375"/>
      <c r="J4" s="375"/>
      <c r="K4" s="154"/>
      <c r="L4" s="154"/>
      <c r="M4" s="154"/>
      <c r="N4" s="154"/>
    </row>
    <row r="5" spans="2:14" x14ac:dyDescent="0.25">
      <c r="B5" s="24" t="s">
        <v>0</v>
      </c>
      <c r="C5" s="33">
        <v>44078</v>
      </c>
      <c r="D5" s="12"/>
      <c r="E5" s="29" t="s">
        <v>14</v>
      </c>
      <c r="F5" s="29" t="s">
        <v>21</v>
      </c>
      <c r="G5" s="29" t="s">
        <v>7</v>
      </c>
      <c r="H5" s="29" t="s">
        <v>8</v>
      </c>
      <c r="I5" s="29" t="s">
        <v>33</v>
      </c>
      <c r="J5" s="29" t="s">
        <v>9</v>
      </c>
      <c r="K5" s="29"/>
      <c r="L5" s="29" t="s">
        <v>21</v>
      </c>
      <c r="M5" s="29" t="s">
        <v>126</v>
      </c>
      <c r="N5" s="29" t="s">
        <v>127</v>
      </c>
    </row>
    <row r="6" spans="2:14" x14ac:dyDescent="0.25">
      <c r="B6" s="24" t="s">
        <v>1</v>
      </c>
      <c r="C6" s="33">
        <v>43413</v>
      </c>
      <c r="D6" s="12"/>
      <c r="E6" s="15">
        <f>'Planilla de datos'!D3</f>
        <v>44384</v>
      </c>
      <c r="F6" s="15"/>
      <c r="G6" s="49">
        <f>+C11</f>
        <v>141.58933640880056</v>
      </c>
      <c r="H6" s="30"/>
      <c r="I6" s="12"/>
      <c r="J6" s="14">
        <f>-'Planilla de datos'!C79</f>
        <v>-108.6</v>
      </c>
      <c r="K6" s="14"/>
      <c r="L6" s="14"/>
      <c r="M6" s="14"/>
      <c r="N6" s="14"/>
    </row>
    <row r="7" spans="2:14" x14ac:dyDescent="0.25">
      <c r="B7" s="24" t="s">
        <v>2</v>
      </c>
      <c r="C7" s="34">
        <v>22.544</v>
      </c>
      <c r="D7" s="12"/>
      <c r="E7" s="15">
        <v>44509</v>
      </c>
      <c r="F7" s="12" t="e">
        <f>E7-#REF!</f>
        <v>#REF!</v>
      </c>
      <c r="G7" s="49">
        <f t="shared" ref="G7:G12" si="0">+G6</f>
        <v>141.58933640880056</v>
      </c>
      <c r="H7" s="14">
        <f t="shared" ref="H7:H12" si="1">$C$11*$C$10*(180/360)</f>
        <v>1.5928800345990062</v>
      </c>
      <c r="I7" s="14"/>
      <c r="J7" s="14">
        <f>SUM(H7:I7)</f>
        <v>1.5928800345990062</v>
      </c>
      <c r="K7" s="14"/>
      <c r="L7" s="67">
        <f t="shared" ref="L7:L21" si="2">DAYS360($E$6,E7)</f>
        <v>122</v>
      </c>
      <c r="M7" s="14">
        <f t="shared" ref="M7:M21" si="3">J7/(1+$J$23)^(L7/360)</f>
        <v>1.5506822963101303</v>
      </c>
      <c r="N7" s="14">
        <f t="shared" ref="N7:N21" si="4">M7*(L7/360)</f>
        <v>0.52550900041621085</v>
      </c>
    </row>
    <row r="8" spans="2:14" x14ac:dyDescent="0.25">
      <c r="B8" s="24" t="s">
        <v>3</v>
      </c>
      <c r="C8" s="34">
        <f>+'Planilla de datos'!D64</f>
        <v>31.919899999999998</v>
      </c>
      <c r="D8" s="12"/>
      <c r="E8" s="15">
        <v>44690</v>
      </c>
      <c r="F8" s="12">
        <f t="shared" ref="F8:F21" si="5">E8-E7</f>
        <v>181</v>
      </c>
      <c r="G8" s="49">
        <f t="shared" si="0"/>
        <v>141.58933640880056</v>
      </c>
      <c r="H8" s="14">
        <f t="shared" si="1"/>
        <v>1.5928800345990062</v>
      </c>
      <c r="I8" s="12"/>
      <c r="J8" s="14">
        <f>SUM(H8:I8)</f>
        <v>1.5928800345990062</v>
      </c>
      <c r="K8" s="14"/>
      <c r="L8" s="67">
        <f t="shared" si="2"/>
        <v>302</v>
      </c>
      <c r="M8" s="14">
        <f t="shared" si="3"/>
        <v>1.4904561239278682</v>
      </c>
      <c r="N8" s="14">
        <f t="shared" si="4"/>
        <v>1.2503270817394894</v>
      </c>
    </row>
    <row r="9" spans="2:14" x14ac:dyDescent="0.25">
      <c r="B9" s="24" t="s">
        <v>4</v>
      </c>
      <c r="C9" s="34">
        <f>((C8-C7)/C7)+1</f>
        <v>1.4158933640880056</v>
      </c>
      <c r="D9" s="12"/>
      <c r="E9" s="15">
        <v>44874</v>
      </c>
      <c r="F9" s="12">
        <f t="shared" si="5"/>
        <v>184</v>
      </c>
      <c r="G9" s="49">
        <f t="shared" si="0"/>
        <v>141.58933640880056</v>
      </c>
      <c r="H9" s="14">
        <f t="shared" si="1"/>
        <v>1.5928800345990062</v>
      </c>
      <c r="I9" s="12"/>
      <c r="J9" s="14">
        <f>SUM(H9:I9)</f>
        <v>1.5928800345990062</v>
      </c>
      <c r="K9" s="14"/>
      <c r="L9" s="67">
        <f t="shared" si="2"/>
        <v>482</v>
      </c>
      <c r="M9" s="14">
        <f t="shared" si="3"/>
        <v>1.4325690456646587</v>
      </c>
      <c r="N9" s="14">
        <f t="shared" si="4"/>
        <v>1.9180507778065707</v>
      </c>
    </row>
    <row r="10" spans="2:14" x14ac:dyDescent="0.25">
      <c r="B10" s="24" t="s">
        <v>5</v>
      </c>
      <c r="C10" s="35">
        <v>2.2499999999999999E-2</v>
      </c>
      <c r="D10" s="12"/>
      <c r="E10" s="15">
        <v>45055</v>
      </c>
      <c r="F10" s="12">
        <f t="shared" si="5"/>
        <v>181</v>
      </c>
      <c r="G10" s="49">
        <f t="shared" si="0"/>
        <v>141.58933640880056</v>
      </c>
      <c r="H10" s="14">
        <f t="shared" si="1"/>
        <v>1.5928800345990062</v>
      </c>
      <c r="I10" s="14"/>
      <c r="J10" s="14">
        <f>SUM(H10:I10)</f>
        <v>1.5928800345990062</v>
      </c>
      <c r="K10" s="14"/>
      <c r="L10" s="67">
        <f t="shared" si="2"/>
        <v>662</v>
      </c>
      <c r="M10" s="14">
        <f t="shared" si="3"/>
        <v>1.3769302146165499</v>
      </c>
      <c r="N10" s="14">
        <f t="shared" si="4"/>
        <v>2.5320216724337667</v>
      </c>
    </row>
    <row r="11" spans="2:14" x14ac:dyDescent="0.25">
      <c r="B11" s="36" t="s">
        <v>16</v>
      </c>
      <c r="C11" s="37">
        <f>C9*100</f>
        <v>141.58933640880056</v>
      </c>
      <c r="D11" s="12"/>
      <c r="E11" s="15">
        <v>45239</v>
      </c>
      <c r="F11" s="12">
        <f t="shared" si="5"/>
        <v>184</v>
      </c>
      <c r="G11" s="49">
        <f t="shared" si="0"/>
        <v>141.58933640880056</v>
      </c>
      <c r="H11" s="14">
        <f t="shared" si="1"/>
        <v>1.5928800345990062</v>
      </c>
      <c r="I11" s="14"/>
      <c r="J11" s="14">
        <f t="shared" ref="J11:J17" si="6">SUM(H11:I11)</f>
        <v>1.5928800345990062</v>
      </c>
      <c r="K11" s="14"/>
      <c r="L11" s="67">
        <f t="shared" si="2"/>
        <v>842</v>
      </c>
      <c r="M11" s="14">
        <f t="shared" si="3"/>
        <v>1.3234523122369533</v>
      </c>
      <c r="N11" s="14">
        <f t="shared" si="4"/>
        <v>3.0954079080653187</v>
      </c>
    </row>
    <row r="12" spans="2:14" x14ac:dyDescent="0.25">
      <c r="B12" s="12"/>
      <c r="C12" s="12"/>
      <c r="D12" s="12"/>
      <c r="E12" s="15">
        <v>45421</v>
      </c>
      <c r="F12" s="12">
        <f t="shared" si="5"/>
        <v>182</v>
      </c>
      <c r="G12" s="49">
        <f t="shared" si="0"/>
        <v>141.58933640880056</v>
      </c>
      <c r="H12" s="14">
        <f t="shared" si="1"/>
        <v>1.5928800345990062</v>
      </c>
      <c r="I12" s="14">
        <f>$G$6/10</f>
        <v>14.158933640880056</v>
      </c>
      <c r="J12" s="14">
        <f t="shared" si="6"/>
        <v>15.751813675479061</v>
      </c>
      <c r="K12" s="14"/>
      <c r="L12" s="67">
        <f t="shared" si="2"/>
        <v>1022</v>
      </c>
      <c r="M12" s="14">
        <f t="shared" si="3"/>
        <v>12.579175067305345</v>
      </c>
      <c r="N12" s="14">
        <f t="shared" si="4"/>
        <v>35.710880329961284</v>
      </c>
    </row>
    <row r="13" spans="2:14" x14ac:dyDescent="0.25">
      <c r="B13" s="12"/>
      <c r="C13" s="12"/>
      <c r="D13" s="12"/>
      <c r="E13" s="15">
        <v>45605</v>
      </c>
      <c r="F13" s="12">
        <f t="shared" si="5"/>
        <v>184</v>
      </c>
      <c r="G13" s="49">
        <f>G12-I12</f>
        <v>127.43040276792051</v>
      </c>
      <c r="H13" s="14">
        <f>G13*$C$10*(180/360)</f>
        <v>1.4335920311391057</v>
      </c>
      <c r="I13" s="14">
        <f t="shared" ref="I13:I21" si="7">$G$6/10</f>
        <v>14.158933640880056</v>
      </c>
      <c r="J13" s="14">
        <f t="shared" si="6"/>
        <v>15.592525672019162</v>
      </c>
      <c r="K13" s="14"/>
      <c r="L13" s="67">
        <f t="shared" si="2"/>
        <v>1202</v>
      </c>
      <c r="M13" s="14">
        <f t="shared" si="3"/>
        <v>11.96835410812084</v>
      </c>
      <c r="N13" s="14">
        <f t="shared" si="4"/>
        <v>39.961004549892358</v>
      </c>
    </row>
    <row r="14" spans="2:14" x14ac:dyDescent="0.25">
      <c r="B14" s="12"/>
      <c r="C14" s="12"/>
      <c r="D14" s="12"/>
      <c r="E14" s="15">
        <v>45786</v>
      </c>
      <c r="F14" s="12">
        <f t="shared" si="5"/>
        <v>181</v>
      </c>
      <c r="G14" s="49">
        <f t="shared" ref="G14:G21" si="8">G13-I13</f>
        <v>113.27146912704046</v>
      </c>
      <c r="H14" s="14">
        <f t="shared" ref="H14:H21" si="9">G14*$C$10*(180/360)</f>
        <v>1.2743040276792053</v>
      </c>
      <c r="I14" s="14">
        <f t="shared" si="7"/>
        <v>14.158933640880056</v>
      </c>
      <c r="J14" s="14">
        <f t="shared" si="6"/>
        <v>15.433237668559261</v>
      </c>
      <c r="K14" s="14"/>
      <c r="L14" s="67">
        <f t="shared" si="2"/>
        <v>1382</v>
      </c>
      <c r="M14" s="14">
        <f t="shared" si="3"/>
        <v>11.386005094767976</v>
      </c>
      <c r="N14" s="14">
        <f t="shared" si="4"/>
        <v>43.709608447137065</v>
      </c>
    </row>
    <row r="15" spans="2:14" x14ac:dyDescent="0.25">
      <c r="B15" s="12"/>
      <c r="C15" s="12"/>
      <c r="D15" s="12"/>
      <c r="E15" s="15">
        <v>45970</v>
      </c>
      <c r="F15" s="12">
        <f t="shared" si="5"/>
        <v>184</v>
      </c>
      <c r="G15" s="49">
        <f t="shared" si="8"/>
        <v>99.112535486160411</v>
      </c>
      <c r="H15" s="14">
        <f t="shared" si="9"/>
        <v>1.1150160242193046</v>
      </c>
      <c r="I15" s="14">
        <f t="shared" si="7"/>
        <v>14.158933640880056</v>
      </c>
      <c r="J15" s="14">
        <f t="shared" si="6"/>
        <v>15.27394966509936</v>
      </c>
      <c r="K15" s="14"/>
      <c r="L15" s="67">
        <f t="shared" si="2"/>
        <v>1562</v>
      </c>
      <c r="M15" s="14">
        <f t="shared" si="3"/>
        <v>10.830837792021409</v>
      </c>
      <c r="N15" s="14">
        <f t="shared" si="4"/>
        <v>46.993801753159552</v>
      </c>
    </row>
    <row r="16" spans="2:14" x14ac:dyDescent="0.25">
      <c r="B16" s="12"/>
      <c r="C16" s="12"/>
      <c r="D16" s="12"/>
      <c r="E16" s="15">
        <v>46151</v>
      </c>
      <c r="F16" s="12">
        <f t="shared" si="5"/>
        <v>181</v>
      </c>
      <c r="G16" s="49">
        <f t="shared" si="8"/>
        <v>84.95360184528036</v>
      </c>
      <c r="H16" s="14">
        <f t="shared" si="9"/>
        <v>0.955728020759404</v>
      </c>
      <c r="I16" s="14">
        <f t="shared" si="7"/>
        <v>14.158933640880056</v>
      </c>
      <c r="J16" s="14">
        <f t="shared" si="6"/>
        <v>15.11466166163946</v>
      </c>
      <c r="K16" s="14"/>
      <c r="L16" s="67">
        <f t="shared" si="2"/>
        <v>1742</v>
      </c>
      <c r="M16" s="14">
        <f t="shared" si="3"/>
        <v>10.301619238345813</v>
      </c>
      <c r="N16" s="14">
        <f t="shared" si="4"/>
        <v>49.848390869995569</v>
      </c>
    </row>
    <row r="17" spans="1:21" x14ac:dyDescent="0.25">
      <c r="B17" s="12"/>
      <c r="C17" s="12"/>
      <c r="D17" s="12"/>
      <c r="E17" s="15">
        <v>46335</v>
      </c>
      <c r="F17" s="12">
        <f t="shared" si="5"/>
        <v>184</v>
      </c>
      <c r="G17" s="49">
        <f t="shared" si="8"/>
        <v>70.79466820440031</v>
      </c>
      <c r="H17" s="14">
        <f t="shared" si="9"/>
        <v>0.79644001729950342</v>
      </c>
      <c r="I17" s="14">
        <f t="shared" si="7"/>
        <v>14.158933640880056</v>
      </c>
      <c r="J17" s="14">
        <f t="shared" si="6"/>
        <v>14.955373658179559</v>
      </c>
      <c r="K17" s="14"/>
      <c r="L17" s="67">
        <f t="shared" si="2"/>
        <v>1922</v>
      </c>
      <c r="M17" s="14">
        <f t="shared" si="3"/>
        <v>9.7971712432757982</v>
      </c>
      <c r="N17" s="14">
        <f t="shared" si="4"/>
        <v>52.306008693266897</v>
      </c>
    </row>
    <row r="18" spans="1:21" x14ac:dyDescent="0.25">
      <c r="B18" s="12"/>
      <c r="C18" s="12"/>
      <c r="D18" s="12"/>
      <c r="E18" s="15">
        <v>46516</v>
      </c>
      <c r="F18" s="12">
        <f t="shared" si="5"/>
        <v>181</v>
      </c>
      <c r="G18" s="49">
        <f t="shared" si="8"/>
        <v>56.635734563520252</v>
      </c>
      <c r="H18" s="14">
        <f t="shared" si="9"/>
        <v>0.63715201383960285</v>
      </c>
      <c r="I18" s="14">
        <f t="shared" si="7"/>
        <v>14.158933640880056</v>
      </c>
      <c r="J18" s="14">
        <f>SUM(H18:I18)</f>
        <v>14.79608565471966</v>
      </c>
      <c r="L18" s="67">
        <f t="shared" si="2"/>
        <v>2102</v>
      </c>
      <c r="M18" s="14">
        <f t="shared" si="3"/>
        <v>9.3163679927985719</v>
      </c>
      <c r="N18" s="14">
        <f t="shared" si="4"/>
        <v>54.397237557951655</v>
      </c>
    </row>
    <row r="19" spans="1:21" x14ac:dyDescent="0.25">
      <c r="B19" s="12"/>
      <c r="C19" s="12"/>
      <c r="D19" s="12"/>
      <c r="E19" s="15">
        <v>46700</v>
      </c>
      <c r="F19" s="12">
        <f t="shared" si="5"/>
        <v>184</v>
      </c>
      <c r="G19" s="49">
        <f t="shared" si="8"/>
        <v>42.476800922640194</v>
      </c>
      <c r="H19" s="14">
        <f t="shared" si="9"/>
        <v>0.47786401037970216</v>
      </c>
      <c r="I19" s="14">
        <f t="shared" si="7"/>
        <v>14.158933640880056</v>
      </c>
      <c r="J19" s="14">
        <f>SUM(H19:I19)</f>
        <v>14.636797651259759</v>
      </c>
      <c r="L19" s="67">
        <f t="shared" si="2"/>
        <v>2282</v>
      </c>
      <c r="M19" s="14">
        <f t="shared" si="3"/>
        <v>8.8581337581250121</v>
      </c>
      <c r="N19" s="14">
        <f t="shared" si="4"/>
        <v>56.150725655670215</v>
      </c>
    </row>
    <row r="20" spans="1:21" x14ac:dyDescent="0.25">
      <c r="E20" s="15">
        <v>46882</v>
      </c>
      <c r="F20" s="12">
        <f t="shared" si="5"/>
        <v>182</v>
      </c>
      <c r="G20" s="49">
        <f t="shared" si="8"/>
        <v>28.317867281760137</v>
      </c>
      <c r="H20" s="14">
        <f t="shared" si="9"/>
        <v>0.31857600691980154</v>
      </c>
      <c r="I20" s="14">
        <f t="shared" si="7"/>
        <v>14.158933640880056</v>
      </c>
      <c r="J20" s="14">
        <f>SUM(H20:I20)</f>
        <v>14.477509647799858</v>
      </c>
      <c r="L20" s="67">
        <f t="shared" si="2"/>
        <v>2462</v>
      </c>
      <c r="M20" s="14">
        <f t="shared" si="3"/>
        <v>8.4214407034303598</v>
      </c>
      <c r="N20" s="14">
        <f t="shared" si="4"/>
        <v>57.593297255126515</v>
      </c>
    </row>
    <row r="21" spans="1:21" x14ac:dyDescent="0.25">
      <c r="A21" s="12"/>
      <c r="E21" s="15">
        <v>47066</v>
      </c>
      <c r="F21" s="12">
        <f t="shared" si="5"/>
        <v>184</v>
      </c>
      <c r="G21" s="49">
        <f t="shared" si="8"/>
        <v>14.158933640880081</v>
      </c>
      <c r="H21" s="14">
        <f t="shared" si="9"/>
        <v>0.15928800345990091</v>
      </c>
      <c r="I21" s="14">
        <f t="shared" si="7"/>
        <v>14.158933640880056</v>
      </c>
      <c r="J21" s="14">
        <f>SUM(H21:I21)</f>
        <v>14.318221644339957</v>
      </c>
      <c r="L21" s="67">
        <f t="shared" si="2"/>
        <v>2642</v>
      </c>
      <c r="M21" s="14">
        <f t="shared" si="3"/>
        <v>8.0053067883330353</v>
      </c>
      <c r="N21" s="14">
        <f t="shared" si="4"/>
        <v>58.750057041044109</v>
      </c>
    </row>
    <row r="22" spans="1:21" x14ac:dyDescent="0.25">
      <c r="A22" s="110"/>
      <c r="F22" s="12"/>
      <c r="G22" s="247"/>
      <c r="K22" s="86"/>
      <c r="L22" s="86"/>
      <c r="M22" s="14">
        <f>SUM(M7:M21)</f>
        <v>108.6385017792803</v>
      </c>
      <c r="N22" s="14">
        <f>SUM(N7:N21)</f>
        <v>504.74232859366657</v>
      </c>
    </row>
    <row r="23" spans="1:21" x14ac:dyDescent="0.25">
      <c r="A23" s="110"/>
      <c r="G23" s="247"/>
      <c r="I23" s="92" t="s">
        <v>13</v>
      </c>
      <c r="J23" s="86">
        <f>XIRR(J6:J21,E6:E21)</f>
        <v>8.2448557019233717E-2</v>
      </c>
      <c r="K23" s="71"/>
      <c r="L23" s="71"/>
      <c r="M23" s="71" t="s">
        <v>22</v>
      </c>
      <c r="N23" s="71">
        <f>N22/M22</f>
        <v>4.6460722517984117</v>
      </c>
    </row>
    <row r="24" spans="1:21" x14ac:dyDescent="0.25">
      <c r="A24" s="110"/>
      <c r="G24" s="247"/>
      <c r="I24" s="92" t="s">
        <v>29</v>
      </c>
      <c r="J24" s="71">
        <f>N23/(1+(J23/2))</f>
        <v>4.4621243930737826</v>
      </c>
    </row>
    <row r="25" spans="1:21" x14ac:dyDescent="0.25">
      <c r="A25" s="110"/>
    </row>
    <row r="26" spans="1:21" x14ac:dyDescent="0.25">
      <c r="A26" s="110"/>
    </row>
    <row r="27" spans="1:21" x14ac:dyDescent="0.25">
      <c r="A27" s="110"/>
    </row>
    <row r="28" spans="1:21" x14ac:dyDescent="0.25">
      <c r="A28" s="110"/>
    </row>
    <row r="29" spans="1:21" x14ac:dyDescent="0.25">
      <c r="A29" s="51"/>
    </row>
    <row r="30" spans="1:21" x14ac:dyDescent="0.25">
      <c r="O30" s="12"/>
      <c r="P30" s="12"/>
      <c r="Q30" s="12"/>
      <c r="R30" s="12"/>
      <c r="S30" s="12"/>
      <c r="T30" s="12"/>
      <c r="U30" s="12"/>
    </row>
    <row r="31" spans="1:21" x14ac:dyDescent="0.25">
      <c r="J31" s="4"/>
      <c r="K31" s="165"/>
      <c r="O31" s="12"/>
      <c r="P31" s="12"/>
      <c r="Q31" s="12"/>
      <c r="R31" s="12"/>
      <c r="S31" s="12"/>
      <c r="T31" s="12"/>
      <c r="U31" s="12"/>
    </row>
    <row r="32" spans="1:21" x14ac:dyDescent="0.25">
      <c r="J32" s="4"/>
      <c r="K32" s="165"/>
      <c r="O32" s="12"/>
      <c r="P32" s="12"/>
      <c r="Q32" s="12"/>
      <c r="R32" s="12"/>
      <c r="S32" s="12"/>
      <c r="T32" s="12"/>
      <c r="U32" s="12"/>
    </row>
    <row r="33" spans="10:21" x14ac:dyDescent="0.25">
      <c r="J33" s="4"/>
      <c r="K33" s="165"/>
      <c r="L33" s="2"/>
      <c r="O33" s="12"/>
      <c r="P33" s="12"/>
      <c r="Q33" s="12"/>
      <c r="R33" s="12"/>
      <c r="S33" s="12"/>
      <c r="T33" s="12"/>
      <c r="U33" s="12"/>
    </row>
    <row r="34" spans="10:21" x14ac:dyDescent="0.25">
      <c r="J34" s="162"/>
      <c r="O34" s="12"/>
      <c r="P34" s="12"/>
      <c r="Q34" s="148"/>
      <c r="R34" s="12"/>
      <c r="S34" s="12"/>
      <c r="T34" s="148"/>
      <c r="U34" s="12"/>
    </row>
    <row r="35" spans="10:21" x14ac:dyDescent="0.25">
      <c r="O35" s="12"/>
      <c r="P35" s="12"/>
      <c r="Q35" s="47"/>
      <c r="R35" s="12"/>
      <c r="S35" s="12"/>
      <c r="T35" s="12"/>
      <c r="U35" s="12"/>
    </row>
    <row r="36" spans="10:21" x14ac:dyDescent="0.25">
      <c r="O36" s="12"/>
      <c r="P36" s="12"/>
      <c r="Q36" s="12"/>
      <c r="R36" s="12"/>
      <c r="S36" s="12"/>
      <c r="T36" s="12"/>
      <c r="U36" s="12"/>
    </row>
    <row r="37" spans="10:21" x14ac:dyDescent="0.25">
      <c r="O37" s="12"/>
      <c r="P37" s="12"/>
      <c r="Q37" s="12"/>
      <c r="R37" s="12"/>
      <c r="S37" s="12"/>
      <c r="T37" s="12"/>
      <c r="U37" s="12"/>
    </row>
    <row r="38" spans="10:21" x14ac:dyDescent="0.25">
      <c r="O38" s="12"/>
      <c r="P38" s="12"/>
      <c r="Q38" s="12"/>
      <c r="R38" s="12"/>
      <c r="S38" s="12"/>
      <c r="T38" s="12"/>
      <c r="U38" s="12"/>
    </row>
    <row r="39" spans="10:21" x14ac:dyDescent="0.25">
      <c r="O39" s="12"/>
      <c r="P39" s="12"/>
      <c r="Q39" s="12"/>
      <c r="R39" s="12"/>
      <c r="S39" s="12"/>
      <c r="T39" s="12"/>
      <c r="U39" s="12"/>
    </row>
    <row r="40" spans="10:21" x14ac:dyDescent="0.25">
      <c r="O40" s="12"/>
      <c r="P40" s="12"/>
      <c r="Q40" s="12"/>
      <c r="R40" s="12"/>
      <c r="S40" s="12"/>
      <c r="T40" s="12"/>
      <c r="U40" s="12"/>
    </row>
    <row r="41" spans="10:21" x14ac:dyDescent="0.25">
      <c r="O41" s="12"/>
      <c r="P41" s="12"/>
      <c r="Q41" s="12"/>
      <c r="R41" s="12"/>
      <c r="S41" s="12"/>
      <c r="T41" s="12"/>
      <c r="U41" s="12"/>
    </row>
  </sheetData>
  <mergeCells count="3">
    <mergeCell ref="B2:J2"/>
    <mergeCell ref="B4:C4"/>
    <mergeCell ref="E4:J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1CE8-7E43-44BE-9C97-42587D7B5214}">
  <dimension ref="A2:T41"/>
  <sheetViews>
    <sheetView showGridLines="0" zoomScale="90" zoomScaleNormal="90" workbookViewId="0">
      <selection activeCell="C7" sqref="C7"/>
    </sheetView>
  </sheetViews>
  <sheetFormatPr baseColWidth="10" defaultRowHeight="15" x14ac:dyDescent="0.25"/>
  <cols>
    <col min="1" max="1" width="4.140625" customWidth="1"/>
    <col min="2" max="2" width="15.85546875" bestFit="1" customWidth="1"/>
    <col min="4" max="4" width="2" customWidth="1"/>
    <col min="5" max="5" width="11.28515625" customWidth="1"/>
    <col min="6" max="6" width="9" bestFit="1" customWidth="1"/>
    <col min="14" max="14" width="10.42578125" customWidth="1"/>
  </cols>
  <sheetData>
    <row r="2" spans="2:13" ht="15.75" x14ac:dyDescent="0.25">
      <c r="B2" s="413" t="s">
        <v>265</v>
      </c>
      <c r="C2" s="413"/>
      <c r="D2" s="413"/>
      <c r="E2" s="413"/>
      <c r="F2" s="413"/>
      <c r="G2" s="413"/>
      <c r="H2" s="413"/>
      <c r="I2" s="413"/>
      <c r="J2" s="368"/>
      <c r="K2" s="368"/>
      <c r="L2" s="368"/>
      <c r="M2" s="368"/>
    </row>
    <row r="3" spans="2:1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373" t="s">
        <v>34</v>
      </c>
      <c r="C4" s="374"/>
      <c r="D4" s="12"/>
      <c r="E4" s="375" t="s">
        <v>266</v>
      </c>
      <c r="F4" s="375"/>
      <c r="G4" s="375"/>
      <c r="H4" s="375"/>
      <c r="I4" s="375"/>
      <c r="J4" s="367"/>
      <c r="K4" s="367"/>
      <c r="L4" s="367"/>
      <c r="M4" s="367"/>
    </row>
    <row r="5" spans="2:13" x14ac:dyDescent="0.25">
      <c r="B5" s="24" t="s">
        <v>0</v>
      </c>
      <c r="C5" s="33">
        <v>37986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29"/>
      <c r="K5" s="29" t="s">
        <v>21</v>
      </c>
      <c r="L5" s="29" t="s">
        <v>126</v>
      </c>
      <c r="M5" s="29" t="s">
        <v>127</v>
      </c>
    </row>
    <row r="6" spans="2:13" x14ac:dyDescent="0.25">
      <c r="B6" s="24" t="s">
        <v>1</v>
      </c>
      <c r="C6" s="33">
        <v>48944</v>
      </c>
      <c r="D6" s="12"/>
      <c r="E6" s="15">
        <f>'Planilla de datos'!D3</f>
        <v>44384</v>
      </c>
      <c r="F6" s="369">
        <f>+C12</f>
        <v>2785.8030754195584</v>
      </c>
      <c r="G6" s="30"/>
      <c r="H6" s="12"/>
      <c r="I6" s="369">
        <f>-'Planilla de datos'!C80</f>
        <v>-2369</v>
      </c>
      <c r="J6" s="14"/>
      <c r="K6" s="14"/>
      <c r="L6" s="14"/>
      <c r="M6" s="14"/>
    </row>
    <row r="7" spans="2:13" x14ac:dyDescent="0.25">
      <c r="B7" s="24" t="s">
        <v>2</v>
      </c>
      <c r="C7" s="34">
        <v>1.4551000000000001</v>
      </c>
      <c r="D7" s="12"/>
      <c r="E7" s="15">
        <v>44561</v>
      </c>
      <c r="F7" s="369">
        <f t="shared" ref="F7:F12" si="0">+F6</f>
        <v>2785.8030754195584</v>
      </c>
      <c r="G7" s="14">
        <f t="shared" ref="G7:G12" si="1">$C$12*$C$10*(180/360)</f>
        <v>81.206159648480124</v>
      </c>
      <c r="H7" s="14"/>
      <c r="I7" s="369">
        <f>SUM(G7:H7)</f>
        <v>81.206159648480124</v>
      </c>
      <c r="J7" s="14"/>
      <c r="K7" s="67">
        <f t="shared" ref="K7:K31" si="2">DAYS360($E$6,E7)</f>
        <v>174</v>
      </c>
      <c r="L7" s="369">
        <f>I7/(1+$I$34)^(K7/360)</f>
        <v>77.958641158492668</v>
      </c>
      <c r="M7" s="369">
        <f t="shared" ref="M7:M31" si="3">L7*(K7/360)</f>
        <v>37.680009893271453</v>
      </c>
    </row>
    <row r="8" spans="2:13" x14ac:dyDescent="0.25">
      <c r="B8" s="24" t="s">
        <v>3</v>
      </c>
      <c r="C8" s="34">
        <f>+'Planilla de datos'!D64</f>
        <v>31.919899999999998</v>
      </c>
      <c r="D8" s="12"/>
      <c r="E8" s="15">
        <v>44742</v>
      </c>
      <c r="F8" s="369">
        <f t="shared" si="0"/>
        <v>2785.8030754195584</v>
      </c>
      <c r="G8" s="14">
        <f t="shared" si="1"/>
        <v>81.206159648480124</v>
      </c>
      <c r="H8" s="12"/>
      <c r="I8" s="369">
        <f t="shared" ref="I8:I31" si="4">SUM(G8:H8)</f>
        <v>81.206159648480124</v>
      </c>
      <c r="J8" s="14"/>
      <c r="K8" s="67">
        <f t="shared" si="2"/>
        <v>353</v>
      </c>
      <c r="L8" s="369">
        <f t="shared" ref="L8:L31" si="5">I8/(1+$I$34)^(K8/360)</f>
        <v>74.753273911770791</v>
      </c>
      <c r="M8" s="369">
        <f t="shared" si="3"/>
        <v>73.299738030153023</v>
      </c>
    </row>
    <row r="9" spans="2:13" x14ac:dyDescent="0.25">
      <c r="B9" s="24" t="s">
        <v>4</v>
      </c>
      <c r="C9" s="34">
        <f>((C8-C7)/C7)+1</f>
        <v>21.936567933475359</v>
      </c>
      <c r="D9" s="12"/>
      <c r="E9" s="15">
        <v>44926</v>
      </c>
      <c r="F9" s="369">
        <f t="shared" si="0"/>
        <v>2785.8030754195584</v>
      </c>
      <c r="G9" s="14">
        <f t="shared" si="1"/>
        <v>81.206159648480124</v>
      </c>
      <c r="H9" s="12"/>
      <c r="I9" s="369">
        <f t="shared" si="4"/>
        <v>81.206159648480124</v>
      </c>
      <c r="J9" s="14"/>
      <c r="K9" s="67">
        <f t="shared" si="2"/>
        <v>534</v>
      </c>
      <c r="L9" s="369">
        <f t="shared" si="5"/>
        <v>71.64608150708213</v>
      </c>
      <c r="M9" s="369">
        <f t="shared" si="3"/>
        <v>106.27502090217183</v>
      </c>
    </row>
    <row r="10" spans="2:13" x14ac:dyDescent="0.25">
      <c r="B10" s="24" t="s">
        <v>5</v>
      </c>
      <c r="C10" s="35">
        <v>5.8299999999999998E-2</v>
      </c>
      <c r="D10" s="12"/>
      <c r="E10" s="15">
        <v>45107</v>
      </c>
      <c r="F10" s="369">
        <f t="shared" si="0"/>
        <v>2785.8030754195584</v>
      </c>
      <c r="G10" s="14">
        <f t="shared" si="1"/>
        <v>81.206159648480124</v>
      </c>
      <c r="H10" s="14"/>
      <c r="I10" s="369">
        <f t="shared" si="4"/>
        <v>81.206159648480124</v>
      </c>
      <c r="J10" s="14"/>
      <c r="K10" s="67">
        <f t="shared" si="2"/>
        <v>713</v>
      </c>
      <c r="L10" s="369">
        <f t="shared" si="5"/>
        <v>68.700263062762701</v>
      </c>
      <c r="M10" s="369">
        <f t="shared" si="3"/>
        <v>136.06468767708279</v>
      </c>
    </row>
    <row r="11" spans="2:13" x14ac:dyDescent="0.25">
      <c r="B11" s="24" t="s">
        <v>264</v>
      </c>
      <c r="C11" s="34">
        <v>126.99357000000001</v>
      </c>
      <c r="D11" s="12"/>
      <c r="E11" s="15">
        <v>45291</v>
      </c>
      <c r="F11" s="369">
        <f t="shared" si="0"/>
        <v>2785.8030754195584</v>
      </c>
      <c r="G11" s="14">
        <f t="shared" si="1"/>
        <v>81.206159648480124</v>
      </c>
      <c r="H11" s="14"/>
      <c r="I11" s="369">
        <f t="shared" si="4"/>
        <v>81.206159648480124</v>
      </c>
      <c r="J11" s="14"/>
      <c r="K11" s="67">
        <f t="shared" si="2"/>
        <v>894</v>
      </c>
      <c r="L11" s="369">
        <f t="shared" si="5"/>
        <v>65.844669930605363</v>
      </c>
      <c r="M11" s="369">
        <f t="shared" si="3"/>
        <v>163.51426366100333</v>
      </c>
    </row>
    <row r="12" spans="2:13" x14ac:dyDescent="0.25">
      <c r="B12" s="36" t="s">
        <v>16</v>
      </c>
      <c r="C12" s="370">
        <f>C9*C11</f>
        <v>2785.8030754195584</v>
      </c>
      <c r="D12" s="12"/>
      <c r="E12" s="15">
        <v>45473</v>
      </c>
      <c r="F12" s="369">
        <f t="shared" si="0"/>
        <v>2785.8030754195584</v>
      </c>
      <c r="G12" s="14">
        <f t="shared" si="1"/>
        <v>81.206159648480124</v>
      </c>
      <c r="H12" s="14">
        <f>$F$6/20</f>
        <v>139.29015377097792</v>
      </c>
      <c r="I12" s="369">
        <f t="shared" si="4"/>
        <v>220.49631341945803</v>
      </c>
      <c r="J12" s="14"/>
      <c r="K12" s="67">
        <f t="shared" si="2"/>
        <v>1073</v>
      </c>
      <c r="L12" s="369">
        <f t="shared" si="5"/>
        <v>171.43478310004718</v>
      </c>
      <c r="M12" s="369">
        <f t="shared" si="3"/>
        <v>510.97089518430732</v>
      </c>
    </row>
    <row r="13" spans="2:13" x14ac:dyDescent="0.25">
      <c r="B13" s="12"/>
      <c r="C13" s="12"/>
      <c r="D13" s="12"/>
      <c r="E13" s="15">
        <v>45657</v>
      </c>
      <c r="F13" s="369">
        <f>F12-H12</f>
        <v>2646.5129216485802</v>
      </c>
      <c r="G13" s="14">
        <f>F13*$C$10*(180/360)</f>
        <v>77.145851666056117</v>
      </c>
      <c r="H13" s="14">
        <f t="shared" ref="H13:H31" si="6">$F$6/20</f>
        <v>139.29015377097792</v>
      </c>
      <c r="I13" s="369">
        <f t="shared" si="4"/>
        <v>216.43600543703405</v>
      </c>
      <c r="J13" s="14"/>
      <c r="K13" s="67">
        <f t="shared" si="2"/>
        <v>1254</v>
      </c>
      <c r="L13" s="369">
        <f t="shared" si="5"/>
        <v>161.28327904526506</v>
      </c>
      <c r="M13" s="369">
        <f t="shared" si="3"/>
        <v>561.80342200767336</v>
      </c>
    </row>
    <row r="14" spans="2:13" x14ac:dyDescent="0.25">
      <c r="B14" s="12"/>
      <c r="C14" s="12"/>
      <c r="D14" s="12"/>
      <c r="E14" s="15">
        <v>45838</v>
      </c>
      <c r="F14" s="369">
        <f t="shared" ref="F14:F31" si="7">F13-H13</f>
        <v>2507.2227678776021</v>
      </c>
      <c r="G14" s="14">
        <f t="shared" ref="G14:G31" si="8">F14*$C$10*(180/360)</f>
        <v>73.085543683632096</v>
      </c>
      <c r="H14" s="14">
        <f t="shared" si="6"/>
        <v>139.29015377097792</v>
      </c>
      <c r="I14" s="369">
        <f t="shared" si="4"/>
        <v>212.37569745461002</v>
      </c>
      <c r="J14" s="14"/>
      <c r="K14" s="67">
        <f t="shared" si="2"/>
        <v>1433</v>
      </c>
      <c r="L14" s="369">
        <f t="shared" si="5"/>
        <v>151.7506674408578</v>
      </c>
      <c r="M14" s="369">
        <f t="shared" si="3"/>
        <v>604.05196234097002</v>
      </c>
    </row>
    <row r="15" spans="2:13" x14ac:dyDescent="0.25">
      <c r="B15" s="12"/>
      <c r="C15" s="12"/>
      <c r="D15" s="12"/>
      <c r="E15" s="15">
        <v>46022</v>
      </c>
      <c r="F15" s="369">
        <f t="shared" si="7"/>
        <v>2367.932614106624</v>
      </c>
      <c r="G15" s="14">
        <f t="shared" si="8"/>
        <v>69.025235701208089</v>
      </c>
      <c r="H15" s="14">
        <f t="shared" si="6"/>
        <v>139.29015377097792</v>
      </c>
      <c r="I15" s="369">
        <f t="shared" si="4"/>
        <v>208.31538947218601</v>
      </c>
      <c r="J15" s="14"/>
      <c r="K15" s="67">
        <f t="shared" si="2"/>
        <v>1614</v>
      </c>
      <c r="L15" s="369">
        <f t="shared" si="5"/>
        <v>142.66234935737987</v>
      </c>
      <c r="M15" s="369">
        <f t="shared" si="3"/>
        <v>639.6028662855864</v>
      </c>
    </row>
    <row r="16" spans="2:13" x14ac:dyDescent="0.25">
      <c r="B16" s="12"/>
      <c r="C16" s="12"/>
      <c r="D16" s="12"/>
      <c r="E16" s="15">
        <v>46203</v>
      </c>
      <c r="F16" s="369">
        <f t="shared" si="7"/>
        <v>2228.6424603356459</v>
      </c>
      <c r="G16" s="14">
        <f t="shared" si="8"/>
        <v>64.964927718784068</v>
      </c>
      <c r="H16" s="14">
        <f t="shared" si="6"/>
        <v>139.29015377097792</v>
      </c>
      <c r="I16" s="369">
        <f t="shared" si="4"/>
        <v>204.25508148976201</v>
      </c>
      <c r="J16" s="14"/>
      <c r="K16" s="67">
        <f t="shared" si="2"/>
        <v>1793</v>
      </c>
      <c r="L16" s="369">
        <f t="shared" si="5"/>
        <v>134.13028386856345</v>
      </c>
      <c r="M16" s="369">
        <f t="shared" si="3"/>
        <v>668.04333048981732</v>
      </c>
    </row>
    <row r="17" spans="1:20" x14ac:dyDescent="0.25">
      <c r="B17" s="12"/>
      <c r="C17" s="12"/>
      <c r="D17" s="12"/>
      <c r="E17" s="15">
        <v>46387</v>
      </c>
      <c r="F17" s="369">
        <f t="shared" si="7"/>
        <v>2089.3523065646677</v>
      </c>
      <c r="G17" s="14">
        <f t="shared" si="8"/>
        <v>60.904619736360061</v>
      </c>
      <c r="H17" s="14">
        <f t="shared" si="6"/>
        <v>139.29015377097792</v>
      </c>
      <c r="I17" s="369">
        <f t="shared" si="4"/>
        <v>200.19477350733797</v>
      </c>
      <c r="J17" s="14"/>
      <c r="K17" s="67">
        <f t="shared" si="2"/>
        <v>1974</v>
      </c>
      <c r="L17" s="369">
        <f t="shared" si="5"/>
        <v>125.99953257356198</v>
      </c>
      <c r="M17" s="369">
        <f t="shared" si="3"/>
        <v>690.89743694503147</v>
      </c>
    </row>
    <row r="18" spans="1:20" x14ac:dyDescent="0.25">
      <c r="B18" s="12"/>
      <c r="C18" s="12"/>
      <c r="D18" s="12"/>
      <c r="E18" s="15">
        <v>46568</v>
      </c>
      <c r="F18" s="369">
        <f t="shared" si="7"/>
        <v>1950.0621527936898</v>
      </c>
      <c r="G18" s="14">
        <f t="shared" si="8"/>
        <v>56.844311753936054</v>
      </c>
      <c r="H18" s="14">
        <f t="shared" si="6"/>
        <v>139.29015377097792</v>
      </c>
      <c r="I18" s="369">
        <f t="shared" si="4"/>
        <v>196.13446552491399</v>
      </c>
      <c r="K18" s="67">
        <f t="shared" si="2"/>
        <v>2153</v>
      </c>
      <c r="L18" s="369">
        <f t="shared" si="5"/>
        <v>118.36848044949163</v>
      </c>
      <c r="M18" s="369">
        <f t="shared" si="3"/>
        <v>707.90927335487629</v>
      </c>
    </row>
    <row r="19" spans="1:20" x14ac:dyDescent="0.25">
      <c r="B19" s="12"/>
      <c r="C19" s="12"/>
      <c r="D19" s="12"/>
      <c r="E19" s="15">
        <v>46752</v>
      </c>
      <c r="F19" s="369">
        <f t="shared" si="7"/>
        <v>1810.771999022712</v>
      </c>
      <c r="G19" s="14">
        <f t="shared" si="8"/>
        <v>52.784003771512054</v>
      </c>
      <c r="H19" s="14">
        <f t="shared" si="6"/>
        <v>139.29015377097792</v>
      </c>
      <c r="I19" s="369">
        <f t="shared" si="4"/>
        <v>192.07415754248998</v>
      </c>
      <c r="K19" s="67">
        <f t="shared" si="2"/>
        <v>2334</v>
      </c>
      <c r="L19" s="369">
        <f t="shared" si="5"/>
        <v>111.09981045807936</v>
      </c>
      <c r="M19" s="369">
        <f t="shared" si="3"/>
        <v>720.29710446988122</v>
      </c>
    </row>
    <row r="20" spans="1:20" x14ac:dyDescent="0.25">
      <c r="E20" s="15">
        <v>46934</v>
      </c>
      <c r="F20" s="369">
        <f t="shared" si="7"/>
        <v>1671.4818452517341</v>
      </c>
      <c r="G20" s="14">
        <f t="shared" si="8"/>
        <v>48.723695789088048</v>
      </c>
      <c r="H20" s="14">
        <f t="shared" si="6"/>
        <v>139.29015377097792</v>
      </c>
      <c r="I20" s="369">
        <f t="shared" si="4"/>
        <v>188.01384956006598</v>
      </c>
      <c r="K20" s="67">
        <f t="shared" si="2"/>
        <v>2513</v>
      </c>
      <c r="L20" s="369">
        <f t="shared" si="5"/>
        <v>104.27979767830902</v>
      </c>
      <c r="M20" s="369">
        <f t="shared" si="3"/>
        <v>727.93092101552929</v>
      </c>
    </row>
    <row r="21" spans="1:20" x14ac:dyDescent="0.25">
      <c r="A21" s="12"/>
      <c r="E21" s="15">
        <v>47118</v>
      </c>
      <c r="F21" s="369">
        <f t="shared" si="7"/>
        <v>1532.1916914807562</v>
      </c>
      <c r="G21" s="14">
        <f t="shared" si="8"/>
        <v>44.663387806664041</v>
      </c>
      <c r="H21" s="14">
        <f t="shared" si="6"/>
        <v>139.29015377097792</v>
      </c>
      <c r="I21" s="369">
        <f t="shared" si="4"/>
        <v>183.95354157764197</v>
      </c>
      <c r="K21" s="67">
        <f t="shared" si="2"/>
        <v>2694</v>
      </c>
      <c r="L21" s="369">
        <f t="shared" si="5"/>
        <v>97.786908596657042</v>
      </c>
      <c r="M21" s="369">
        <f t="shared" si="3"/>
        <v>731.7720326649835</v>
      </c>
    </row>
    <row r="22" spans="1:20" x14ac:dyDescent="0.25">
      <c r="A22" s="110"/>
      <c r="E22" s="15">
        <v>47299</v>
      </c>
      <c r="F22" s="369">
        <f t="shared" si="7"/>
        <v>1392.9015377097783</v>
      </c>
      <c r="G22" s="14">
        <f t="shared" si="8"/>
        <v>40.603079824240034</v>
      </c>
      <c r="H22" s="14">
        <f t="shared" si="6"/>
        <v>139.29015377097792</v>
      </c>
      <c r="I22" s="369">
        <f t="shared" si="4"/>
        <v>179.89323359521796</v>
      </c>
      <c r="J22" s="86"/>
      <c r="K22" s="67">
        <f t="shared" si="2"/>
        <v>2873</v>
      </c>
      <c r="L22" s="369">
        <f t="shared" si="5"/>
        <v>91.696624471519357</v>
      </c>
      <c r="M22" s="369">
        <f t="shared" si="3"/>
        <v>731.79000585187532</v>
      </c>
    </row>
    <row r="23" spans="1:20" x14ac:dyDescent="0.25">
      <c r="A23" s="110"/>
      <c r="E23" s="15">
        <v>47483</v>
      </c>
      <c r="F23" s="369">
        <f t="shared" si="7"/>
        <v>1253.6113839388004</v>
      </c>
      <c r="G23" s="14">
        <f t="shared" si="8"/>
        <v>36.542771841816027</v>
      </c>
      <c r="H23" s="14">
        <f t="shared" si="6"/>
        <v>139.29015377097792</v>
      </c>
      <c r="I23" s="369">
        <f t="shared" si="4"/>
        <v>175.83292561279396</v>
      </c>
      <c r="J23" s="71"/>
      <c r="K23" s="67">
        <f t="shared" si="2"/>
        <v>3054</v>
      </c>
      <c r="L23" s="369">
        <f t="shared" si="5"/>
        <v>85.901539570238853</v>
      </c>
      <c r="M23" s="369">
        <f t="shared" si="3"/>
        <v>728.73139402085951</v>
      </c>
    </row>
    <row r="24" spans="1:20" x14ac:dyDescent="0.25">
      <c r="A24" s="110"/>
      <c r="E24" s="15">
        <v>47664</v>
      </c>
      <c r="F24" s="369">
        <f t="shared" si="7"/>
        <v>1114.3212301678225</v>
      </c>
      <c r="G24" s="14">
        <f t="shared" si="8"/>
        <v>32.482463859392027</v>
      </c>
      <c r="H24" s="14">
        <f t="shared" si="6"/>
        <v>139.29015377097792</v>
      </c>
      <c r="I24" s="369">
        <f t="shared" si="4"/>
        <v>171.77261763036995</v>
      </c>
      <c r="K24" s="67">
        <f t="shared" si="2"/>
        <v>3233</v>
      </c>
      <c r="L24" s="369">
        <f t="shared" si="5"/>
        <v>80.46752367462993</v>
      </c>
      <c r="M24" s="369">
        <f t="shared" si="3"/>
        <v>722.64306677799607</v>
      </c>
    </row>
    <row r="25" spans="1:20" x14ac:dyDescent="0.25">
      <c r="A25" s="110"/>
      <c r="E25" s="15">
        <v>47848</v>
      </c>
      <c r="F25" s="369">
        <f t="shared" si="7"/>
        <v>975.03107639684458</v>
      </c>
      <c r="G25" s="14">
        <f t="shared" si="8"/>
        <v>28.42215587696802</v>
      </c>
      <c r="H25" s="14">
        <f t="shared" si="6"/>
        <v>139.29015377097792</v>
      </c>
      <c r="I25" s="369">
        <f t="shared" si="4"/>
        <v>167.71230964794594</v>
      </c>
      <c r="K25" s="67">
        <f t="shared" si="2"/>
        <v>3414</v>
      </c>
      <c r="L25" s="369">
        <f t="shared" si="5"/>
        <v>75.299807743579336</v>
      </c>
      <c r="M25" s="369">
        <f t="shared" si="3"/>
        <v>714.09317676827732</v>
      </c>
    </row>
    <row r="26" spans="1:20" x14ac:dyDescent="0.25">
      <c r="A26" s="110"/>
      <c r="E26" s="15">
        <v>48029</v>
      </c>
      <c r="F26" s="369">
        <f t="shared" si="7"/>
        <v>835.74092262586669</v>
      </c>
      <c r="G26" s="14">
        <f t="shared" si="8"/>
        <v>24.361847894544013</v>
      </c>
      <c r="H26" s="14">
        <f t="shared" si="6"/>
        <v>139.29015377097792</v>
      </c>
      <c r="I26" s="369">
        <f t="shared" si="4"/>
        <v>163.65200166552194</v>
      </c>
      <c r="K26" s="67">
        <f t="shared" si="2"/>
        <v>3593</v>
      </c>
      <c r="L26" s="369">
        <f t="shared" si="5"/>
        <v>70.455711721380794</v>
      </c>
      <c r="M26" s="369">
        <f t="shared" si="3"/>
        <v>703.18714504144782</v>
      </c>
    </row>
    <row r="27" spans="1:20" x14ac:dyDescent="0.25">
      <c r="A27" s="110"/>
      <c r="E27" s="15">
        <v>48213</v>
      </c>
      <c r="F27" s="369">
        <f t="shared" si="7"/>
        <v>696.45076885488879</v>
      </c>
      <c r="G27" s="14">
        <f t="shared" si="8"/>
        <v>20.301539912120006</v>
      </c>
      <c r="H27" s="14">
        <f t="shared" si="6"/>
        <v>139.29015377097792</v>
      </c>
      <c r="I27" s="369">
        <f t="shared" si="4"/>
        <v>159.59169368309793</v>
      </c>
      <c r="K27" s="67">
        <f t="shared" si="2"/>
        <v>3774</v>
      </c>
      <c r="L27" s="369">
        <f t="shared" si="5"/>
        <v>65.851761014638043</v>
      </c>
      <c r="M27" s="369">
        <f t="shared" si="3"/>
        <v>690.3459613034554</v>
      </c>
    </row>
    <row r="28" spans="1:20" x14ac:dyDescent="0.25">
      <c r="A28" s="110"/>
      <c r="E28" s="15">
        <v>48395</v>
      </c>
      <c r="F28" s="369">
        <f t="shared" si="7"/>
        <v>557.1606150839109</v>
      </c>
      <c r="G28" s="14">
        <f t="shared" si="8"/>
        <v>16.241231929696003</v>
      </c>
      <c r="H28" s="14">
        <f t="shared" si="6"/>
        <v>139.29015377097792</v>
      </c>
      <c r="I28" s="369">
        <f t="shared" si="4"/>
        <v>155.53138570067392</v>
      </c>
      <c r="K28" s="67">
        <f t="shared" si="2"/>
        <v>3953</v>
      </c>
      <c r="L28" s="369">
        <f t="shared" si="5"/>
        <v>61.537678459743937</v>
      </c>
      <c r="M28" s="369">
        <f t="shared" si="3"/>
        <v>675.71789708713277</v>
      </c>
    </row>
    <row r="29" spans="1:20" x14ac:dyDescent="0.25">
      <c r="A29" s="51"/>
      <c r="E29" s="15">
        <v>48579</v>
      </c>
      <c r="F29" s="369">
        <f t="shared" si="7"/>
        <v>417.870461312933</v>
      </c>
      <c r="G29" s="14">
        <f t="shared" si="8"/>
        <v>12.180923947271996</v>
      </c>
      <c r="H29" s="14">
        <f t="shared" si="6"/>
        <v>139.29015377097792</v>
      </c>
      <c r="I29" s="369">
        <f t="shared" si="4"/>
        <v>151.47107771824992</v>
      </c>
      <c r="K29" s="67">
        <f t="shared" si="2"/>
        <v>4134</v>
      </c>
      <c r="L29" s="369">
        <f t="shared" si="5"/>
        <v>57.440076184260931</v>
      </c>
      <c r="M29" s="369">
        <f t="shared" si="3"/>
        <v>659.60354151592969</v>
      </c>
    </row>
    <row r="30" spans="1:20" x14ac:dyDescent="0.25">
      <c r="E30" s="15">
        <v>48760</v>
      </c>
      <c r="F30" s="369">
        <f t="shared" si="7"/>
        <v>278.58030754195511</v>
      </c>
      <c r="G30" s="14">
        <f t="shared" si="8"/>
        <v>8.1206159648479908</v>
      </c>
      <c r="H30" s="14">
        <f t="shared" si="6"/>
        <v>139.29015377097792</v>
      </c>
      <c r="I30" s="369">
        <f t="shared" si="4"/>
        <v>147.41076973582591</v>
      </c>
      <c r="K30" s="67">
        <f t="shared" si="2"/>
        <v>4313</v>
      </c>
      <c r="L30" s="369">
        <f t="shared" si="5"/>
        <v>53.601934413545472</v>
      </c>
      <c r="M30" s="369">
        <f t="shared" si="3"/>
        <v>642.18095312672676</v>
      </c>
      <c r="N30" s="12"/>
      <c r="O30" s="12"/>
      <c r="P30" s="12"/>
      <c r="Q30" s="12"/>
      <c r="R30" s="12"/>
      <c r="S30" s="12"/>
      <c r="T30" s="12"/>
    </row>
    <row r="31" spans="1:20" x14ac:dyDescent="0.25">
      <c r="E31" s="15">
        <v>48944</v>
      </c>
      <c r="F31" s="369">
        <f t="shared" si="7"/>
        <v>139.29015377097718</v>
      </c>
      <c r="G31" s="14">
        <f t="shared" si="8"/>
        <v>4.0603079824239847</v>
      </c>
      <c r="H31" s="14">
        <f t="shared" si="6"/>
        <v>139.29015377097792</v>
      </c>
      <c r="I31" s="369">
        <f t="shared" si="4"/>
        <v>143.3504617534019</v>
      </c>
      <c r="J31" s="165"/>
      <c r="K31" s="67">
        <f t="shared" si="2"/>
        <v>4494</v>
      </c>
      <c r="L31" s="369">
        <f t="shared" si="5"/>
        <v>49.958865802510196</v>
      </c>
      <c r="M31" s="369">
        <f t="shared" si="3"/>
        <v>623.65317476800226</v>
      </c>
      <c r="N31" s="12"/>
      <c r="O31" s="12"/>
      <c r="P31" s="12"/>
      <c r="Q31" s="12"/>
      <c r="R31" s="12"/>
      <c r="S31" s="12"/>
      <c r="T31" s="12"/>
    </row>
    <row r="32" spans="1:20" x14ac:dyDescent="0.25">
      <c r="J32" s="165"/>
      <c r="L32" s="369">
        <f>SUM(L7:L31)</f>
        <v>2369.9103451949727</v>
      </c>
      <c r="M32" s="369">
        <f>SUM(M7:M31)</f>
        <v>13972.05928118404</v>
      </c>
      <c r="N32" s="12"/>
      <c r="O32" s="12"/>
      <c r="P32" s="12"/>
      <c r="Q32" s="12"/>
      <c r="R32" s="12"/>
      <c r="S32" s="12"/>
      <c r="T32" s="12"/>
    </row>
    <row r="33" spans="6:20" x14ac:dyDescent="0.25">
      <c r="J33" s="165"/>
      <c r="K33" s="2"/>
      <c r="N33" s="12"/>
      <c r="O33" s="12"/>
      <c r="P33" s="12"/>
      <c r="Q33" s="12"/>
      <c r="R33" s="12"/>
      <c r="S33" s="12"/>
      <c r="T33" s="12"/>
    </row>
    <row r="34" spans="6:20" x14ac:dyDescent="0.25">
      <c r="F34" s="247"/>
      <c r="H34" s="92" t="s">
        <v>13</v>
      </c>
      <c r="I34" s="86">
        <f>XIRR(I6:I31,E6:E31)</f>
        <v>8.8107535243034357E-2</v>
      </c>
      <c r="L34" s="12" t="s">
        <v>22</v>
      </c>
      <c r="M34" s="14">
        <f>M32/L32</f>
        <v>5.8956066880388915</v>
      </c>
      <c r="N34" s="12"/>
      <c r="O34" s="12"/>
      <c r="P34" s="148"/>
      <c r="Q34" s="12"/>
      <c r="R34" s="12"/>
      <c r="S34" s="148"/>
      <c r="T34" s="12"/>
    </row>
    <row r="35" spans="6:20" x14ac:dyDescent="0.25">
      <c r="F35" s="247"/>
      <c r="H35" s="92" t="s">
        <v>29</v>
      </c>
      <c r="I35" s="71">
        <f>M34/(1+I34/2)</f>
        <v>5.646842021814459</v>
      </c>
      <c r="N35" s="12"/>
      <c r="O35" s="12"/>
      <c r="P35" s="47"/>
      <c r="Q35" s="12"/>
      <c r="R35" s="12"/>
      <c r="S35" s="12"/>
      <c r="T35" s="12"/>
    </row>
    <row r="36" spans="6:20" x14ac:dyDescent="0.25">
      <c r="N36" s="12"/>
      <c r="O36" s="12"/>
      <c r="P36" s="12"/>
      <c r="Q36" s="12"/>
      <c r="R36" s="12"/>
      <c r="S36" s="12"/>
      <c r="T36" s="12"/>
    </row>
    <row r="37" spans="6:20" x14ac:dyDescent="0.25">
      <c r="N37" s="12"/>
      <c r="O37" s="12"/>
      <c r="P37" s="12"/>
      <c r="Q37" s="12"/>
      <c r="R37" s="12"/>
      <c r="S37" s="12"/>
      <c r="T37" s="12"/>
    </row>
    <row r="38" spans="6:20" x14ac:dyDescent="0.25">
      <c r="N38" s="12"/>
      <c r="O38" s="12"/>
      <c r="P38" s="12"/>
      <c r="Q38" s="12"/>
      <c r="R38" s="12"/>
      <c r="S38" s="12"/>
      <c r="T38" s="12"/>
    </row>
    <row r="39" spans="6:20" x14ac:dyDescent="0.25">
      <c r="N39" s="12"/>
      <c r="O39" s="12"/>
      <c r="P39" s="12"/>
      <c r="Q39" s="12"/>
      <c r="R39" s="12"/>
      <c r="S39" s="12"/>
      <c r="T39" s="12"/>
    </row>
    <row r="40" spans="6:20" x14ac:dyDescent="0.25">
      <c r="N40" s="12"/>
      <c r="O40" s="12"/>
      <c r="P40" s="12"/>
      <c r="Q40" s="12"/>
      <c r="R40" s="12"/>
      <c r="S40" s="12"/>
      <c r="T40" s="12"/>
    </row>
    <row r="41" spans="6:20" x14ac:dyDescent="0.25">
      <c r="N41" s="12"/>
      <c r="O41" s="12"/>
      <c r="P41" s="12"/>
      <c r="Q41" s="12"/>
      <c r="R41" s="12"/>
      <c r="S41" s="12"/>
      <c r="T41" s="12"/>
    </row>
  </sheetData>
  <mergeCells count="3">
    <mergeCell ref="B2:I2"/>
    <mergeCell ref="B4:C4"/>
    <mergeCell ref="E4:I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0AB2-9A14-4EED-9BA7-051E1D8AFB97}">
  <dimension ref="A2:T51"/>
  <sheetViews>
    <sheetView showGridLines="0" topLeftCell="A5" zoomScale="90" zoomScaleNormal="90" workbookViewId="0">
      <selection activeCell="Q41" sqref="Q41"/>
    </sheetView>
  </sheetViews>
  <sheetFormatPr baseColWidth="10" defaultRowHeight="15" x14ac:dyDescent="0.25"/>
  <cols>
    <col min="1" max="1" width="4.140625" customWidth="1"/>
    <col min="2" max="2" width="15.85546875" bestFit="1" customWidth="1"/>
    <col min="4" max="4" width="2" customWidth="1"/>
    <col min="5" max="5" width="11.28515625" customWidth="1"/>
    <col min="6" max="6" width="9" bestFit="1" customWidth="1"/>
    <col min="14" max="14" width="10.42578125" customWidth="1"/>
  </cols>
  <sheetData>
    <row r="2" spans="2:13" ht="15.75" x14ac:dyDescent="0.25">
      <c r="B2" s="413" t="s">
        <v>267</v>
      </c>
      <c r="C2" s="413"/>
      <c r="D2" s="413"/>
      <c r="E2" s="413"/>
      <c r="F2" s="413"/>
      <c r="G2" s="413"/>
      <c r="H2" s="413"/>
      <c r="I2" s="413"/>
      <c r="J2" s="368"/>
      <c r="K2" s="368"/>
      <c r="L2" s="368"/>
      <c r="M2" s="368"/>
    </row>
    <row r="3" spans="2:1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373" t="s">
        <v>34</v>
      </c>
      <c r="C4" s="374"/>
      <c r="D4" s="12"/>
      <c r="E4" s="375" t="s">
        <v>266</v>
      </c>
      <c r="F4" s="375"/>
      <c r="G4" s="375"/>
      <c r="H4" s="375"/>
      <c r="I4" s="375"/>
      <c r="J4" s="367"/>
      <c r="K4" s="367"/>
      <c r="L4" s="367"/>
      <c r="M4" s="367"/>
    </row>
    <row r="5" spans="2:13" x14ac:dyDescent="0.25">
      <c r="B5" s="24" t="s">
        <v>0</v>
      </c>
      <c r="C5" s="33">
        <v>37986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29"/>
      <c r="K5" s="29" t="s">
        <v>21</v>
      </c>
      <c r="L5" s="29" t="s">
        <v>126</v>
      </c>
      <c r="M5" s="29" t="s">
        <v>127</v>
      </c>
    </row>
    <row r="6" spans="2:13" x14ac:dyDescent="0.25">
      <c r="B6" s="24" t="s">
        <v>1</v>
      </c>
      <c r="C6" s="33">
        <v>50770</v>
      </c>
      <c r="D6" s="12"/>
      <c r="E6" s="15">
        <f>'Planilla de datos'!D3</f>
        <v>44384</v>
      </c>
      <c r="F6" s="369">
        <f>+C13</f>
        <v>2193.6567933475358</v>
      </c>
      <c r="G6" s="30"/>
      <c r="H6" s="12"/>
      <c r="I6" s="369">
        <f>-'Planilla de datos'!C81</f>
        <v>-887</v>
      </c>
      <c r="J6" s="14"/>
      <c r="K6" s="14"/>
      <c r="L6" s="14"/>
      <c r="M6" s="14"/>
    </row>
    <row r="7" spans="2:13" x14ac:dyDescent="0.25">
      <c r="B7" s="24" t="s">
        <v>2</v>
      </c>
      <c r="C7" s="34">
        <v>1.4551000000000001</v>
      </c>
      <c r="D7" s="12"/>
      <c r="E7" s="15">
        <v>44469</v>
      </c>
      <c r="F7" s="369">
        <f t="shared" ref="F7:F12" si="0">+F6</f>
        <v>2193.6567933475358</v>
      </c>
      <c r="G7" s="14">
        <f t="shared" ref="G7:G12" si="1">$C$13*$C$10*(180/360)</f>
        <v>19.413862621125691</v>
      </c>
      <c r="H7" s="14"/>
      <c r="I7" s="369">
        <f>SUM(G7:H7)</f>
        <v>19.413862621125691</v>
      </c>
      <c r="J7" s="14"/>
      <c r="K7" s="67">
        <f t="shared" ref="K7:K31" si="2">DAYS360($E$6,E7)</f>
        <v>83</v>
      </c>
      <c r="L7" s="369">
        <f t="shared" ref="L7:L42" si="3">I7/(1+$I$44)^(K7/360)</f>
        <v>18.94974785404494</v>
      </c>
      <c r="M7" s="369">
        <f t="shared" ref="M7:M42" si="4">L7*(K7/360)</f>
        <v>4.368969644127028</v>
      </c>
    </row>
    <row r="8" spans="2:13" x14ac:dyDescent="0.25">
      <c r="B8" s="24" t="s">
        <v>3</v>
      </c>
      <c r="C8" s="34">
        <f>+'Planilla de datos'!D64</f>
        <v>31.919899999999998</v>
      </c>
      <c r="D8" s="12"/>
      <c r="E8" s="15">
        <v>44651</v>
      </c>
      <c r="F8" s="369">
        <f t="shared" si="0"/>
        <v>2193.6567933475358</v>
      </c>
      <c r="G8" s="14">
        <f t="shared" si="1"/>
        <v>19.413862621125691</v>
      </c>
      <c r="H8" s="12"/>
      <c r="I8" s="369">
        <f t="shared" ref="I8:I42" si="5">SUM(G8:H8)</f>
        <v>19.413862621125691</v>
      </c>
      <c r="J8" s="14"/>
      <c r="K8" s="67">
        <f t="shared" si="2"/>
        <v>264</v>
      </c>
      <c r="L8" s="369">
        <f t="shared" si="3"/>
        <v>17.975760501188592</v>
      </c>
      <c r="M8" s="369">
        <f t="shared" si="4"/>
        <v>13.1822243675383</v>
      </c>
    </row>
    <row r="9" spans="2:13" x14ac:dyDescent="0.25">
      <c r="B9" s="24" t="s">
        <v>4</v>
      </c>
      <c r="C9" s="34">
        <f>((C8-C7)/C7)+1</f>
        <v>21.936567933475359</v>
      </c>
      <c r="D9" s="12"/>
      <c r="E9" s="15">
        <v>44834</v>
      </c>
      <c r="F9" s="369">
        <f t="shared" si="0"/>
        <v>2193.6567933475358</v>
      </c>
      <c r="G9" s="14">
        <f t="shared" si="1"/>
        <v>19.413862621125691</v>
      </c>
      <c r="H9" s="12"/>
      <c r="I9" s="369">
        <f t="shared" si="5"/>
        <v>19.413862621125691</v>
      </c>
      <c r="J9" s="14"/>
      <c r="K9" s="67">
        <f t="shared" si="2"/>
        <v>443</v>
      </c>
      <c r="L9" s="369">
        <f t="shared" si="3"/>
        <v>17.061779616831053</v>
      </c>
      <c r="M9" s="369">
        <f t="shared" si="4"/>
        <v>20.995467695155991</v>
      </c>
    </row>
    <row r="10" spans="2:13" x14ac:dyDescent="0.25">
      <c r="B10" s="24" t="s">
        <v>163</v>
      </c>
      <c r="C10" s="35">
        <v>1.77E-2</v>
      </c>
      <c r="D10" s="12"/>
      <c r="E10" s="15">
        <v>45016</v>
      </c>
      <c r="F10" s="369">
        <f t="shared" si="0"/>
        <v>2193.6567933475358</v>
      </c>
      <c r="G10" s="14">
        <f t="shared" si="1"/>
        <v>19.413862621125691</v>
      </c>
      <c r="H10" s="14"/>
      <c r="I10" s="369">
        <f t="shared" si="5"/>
        <v>19.413862621125691</v>
      </c>
      <c r="J10" s="14"/>
      <c r="K10" s="67">
        <f t="shared" si="2"/>
        <v>624</v>
      </c>
      <c r="L10" s="369">
        <f t="shared" si="3"/>
        <v>16.184830873659866</v>
      </c>
      <c r="M10" s="369">
        <f t="shared" si="4"/>
        <v>28.053706847677102</v>
      </c>
    </row>
    <row r="11" spans="2:13" x14ac:dyDescent="0.25">
      <c r="B11" s="24" t="s">
        <v>268</v>
      </c>
      <c r="C11" s="35">
        <v>2.4799999999999999E-2</v>
      </c>
      <c r="D11" s="12"/>
      <c r="E11" s="15">
        <v>45199</v>
      </c>
      <c r="F11" s="369">
        <f t="shared" si="0"/>
        <v>2193.6567933475358</v>
      </c>
      <c r="G11" s="14">
        <f t="shared" si="1"/>
        <v>19.413862621125691</v>
      </c>
      <c r="H11" s="14"/>
      <c r="I11" s="369">
        <f t="shared" si="5"/>
        <v>19.413862621125691</v>
      </c>
      <c r="J11" s="14"/>
      <c r="K11" s="67">
        <f t="shared" si="2"/>
        <v>803</v>
      </c>
      <c r="L11" s="369">
        <f t="shared" si="3"/>
        <v>15.361910139145927</v>
      </c>
      <c r="M11" s="369">
        <f t="shared" si="4"/>
        <v>34.265594004817167</v>
      </c>
    </row>
    <row r="12" spans="2:13" x14ac:dyDescent="0.25">
      <c r="B12" s="24" t="s">
        <v>264</v>
      </c>
      <c r="C12" s="34">
        <v>100</v>
      </c>
      <c r="D12" s="12"/>
      <c r="E12" s="15">
        <v>45382</v>
      </c>
      <c r="F12" s="369">
        <f t="shared" si="0"/>
        <v>2193.6567933475358</v>
      </c>
      <c r="G12" s="14">
        <f t="shared" si="1"/>
        <v>19.413862621125691</v>
      </c>
      <c r="H12" s="14"/>
      <c r="I12" s="369">
        <f t="shared" si="5"/>
        <v>19.413862621125691</v>
      </c>
      <c r="J12" s="14"/>
      <c r="K12" s="67">
        <f t="shared" si="2"/>
        <v>984</v>
      </c>
      <c r="L12" s="369">
        <f t="shared" si="3"/>
        <v>14.572332024097287</v>
      </c>
      <c r="M12" s="369">
        <f t="shared" si="4"/>
        <v>39.831040865865916</v>
      </c>
    </row>
    <row r="13" spans="2:13" x14ac:dyDescent="0.25">
      <c r="B13" s="36" t="s">
        <v>16</v>
      </c>
      <c r="C13" s="370">
        <f>C9*C12</f>
        <v>2193.6567933475358</v>
      </c>
      <c r="D13" s="12"/>
      <c r="E13" s="15">
        <v>45565</v>
      </c>
      <c r="F13" s="369">
        <f>F12-H12</f>
        <v>2193.6567933475358</v>
      </c>
      <c r="G13" s="14">
        <f>F13*$C$10*(180/360)</f>
        <v>19.413862621125691</v>
      </c>
      <c r="H13" s="14"/>
      <c r="I13" s="369">
        <f t="shared" si="5"/>
        <v>19.413862621125691</v>
      </c>
      <c r="J13" s="14"/>
      <c r="K13" s="67">
        <f t="shared" si="2"/>
        <v>1163</v>
      </c>
      <c r="L13" s="369">
        <f t="shared" si="3"/>
        <v>13.831399093351163</v>
      </c>
      <c r="M13" s="369">
        <f t="shared" si="4"/>
        <v>44.683103182131674</v>
      </c>
    </row>
    <row r="14" spans="2:13" x14ac:dyDescent="0.25">
      <c r="B14" s="12"/>
      <c r="C14" s="12"/>
      <c r="D14" s="12"/>
      <c r="E14" s="15">
        <v>45747</v>
      </c>
      <c r="F14" s="369">
        <f t="shared" ref="F14:F42" si="6">F13-H13</f>
        <v>2193.6567933475358</v>
      </c>
      <c r="G14" s="14">
        <f t="shared" ref="G14:G21" si="7">F14*$C$10*(180/360)</f>
        <v>19.413862621125691</v>
      </c>
      <c r="H14" s="14"/>
      <c r="I14" s="369">
        <f t="shared" si="5"/>
        <v>19.413862621125691</v>
      </c>
      <c r="J14" s="14"/>
      <c r="K14" s="67">
        <f t="shared" si="2"/>
        <v>1344</v>
      </c>
      <c r="L14" s="369">
        <f t="shared" si="3"/>
        <v>13.120486848344317</v>
      </c>
      <c r="M14" s="369">
        <f t="shared" si="4"/>
        <v>48.983150900485448</v>
      </c>
    </row>
    <row r="15" spans="2:13" x14ac:dyDescent="0.25">
      <c r="B15" s="12"/>
      <c r="C15" s="12"/>
      <c r="D15" s="12"/>
      <c r="E15" s="15">
        <v>45930</v>
      </c>
      <c r="F15" s="369">
        <f t="shared" si="6"/>
        <v>2193.6567933475358</v>
      </c>
      <c r="G15" s="14">
        <f t="shared" si="7"/>
        <v>19.413862621125691</v>
      </c>
      <c r="H15" s="14"/>
      <c r="I15" s="369">
        <f t="shared" si="5"/>
        <v>19.413862621125691</v>
      </c>
      <c r="J15" s="14"/>
      <c r="K15" s="67">
        <f t="shared" si="2"/>
        <v>1523</v>
      </c>
      <c r="L15" s="369">
        <f t="shared" si="3"/>
        <v>12.453373255455814</v>
      </c>
      <c r="M15" s="369">
        <f t="shared" si="4"/>
        <v>52.684687411275561</v>
      </c>
    </row>
    <row r="16" spans="2:13" x14ac:dyDescent="0.25">
      <c r="B16" s="12"/>
      <c r="C16" s="12"/>
      <c r="D16" s="12"/>
      <c r="E16" s="15">
        <v>46112</v>
      </c>
      <c r="F16" s="369">
        <f t="shared" si="6"/>
        <v>2193.6567933475358</v>
      </c>
      <c r="G16" s="14">
        <f t="shared" si="7"/>
        <v>19.413862621125691</v>
      </c>
      <c r="H16" s="14"/>
      <c r="I16" s="369">
        <f t="shared" si="5"/>
        <v>19.413862621125691</v>
      </c>
      <c r="J16" s="14"/>
      <c r="K16" s="67">
        <f t="shared" si="2"/>
        <v>1704</v>
      </c>
      <c r="L16" s="369">
        <f t="shared" si="3"/>
        <v>11.813289379689397</v>
      </c>
      <c r="M16" s="369">
        <f t="shared" si="4"/>
        <v>55.916236397196485</v>
      </c>
    </row>
    <row r="17" spans="1:20" x14ac:dyDescent="0.25">
      <c r="B17" s="12"/>
      <c r="C17" s="12"/>
      <c r="D17" s="12"/>
      <c r="E17" s="15">
        <v>46295</v>
      </c>
      <c r="F17" s="369">
        <f t="shared" si="6"/>
        <v>2193.6567933475358</v>
      </c>
      <c r="G17" s="14">
        <f t="shared" si="7"/>
        <v>19.413862621125691</v>
      </c>
      <c r="H17" s="14"/>
      <c r="I17" s="369">
        <f t="shared" si="5"/>
        <v>19.413862621125691</v>
      </c>
      <c r="J17" s="14"/>
      <c r="K17" s="67">
        <f t="shared" si="2"/>
        <v>1883</v>
      </c>
      <c r="L17" s="369">
        <f t="shared" si="3"/>
        <v>11.212640485101261</v>
      </c>
      <c r="M17" s="369">
        <f t="shared" si="4"/>
        <v>58.648338981793536</v>
      </c>
    </row>
    <row r="18" spans="1:20" x14ac:dyDescent="0.25">
      <c r="B18" s="12"/>
      <c r="C18" s="12"/>
      <c r="D18" s="12"/>
      <c r="E18" s="15">
        <v>46477</v>
      </c>
      <c r="F18" s="369">
        <f t="shared" si="6"/>
        <v>2193.6567933475358</v>
      </c>
      <c r="G18" s="14">
        <f t="shared" si="7"/>
        <v>19.413862621125691</v>
      </c>
      <c r="H18" s="14"/>
      <c r="I18" s="369">
        <f t="shared" si="5"/>
        <v>19.413862621125691</v>
      </c>
      <c r="K18" s="67">
        <f t="shared" si="2"/>
        <v>2064</v>
      </c>
      <c r="L18" s="369">
        <f t="shared" si="3"/>
        <v>10.636328329988205</v>
      </c>
      <c r="M18" s="369">
        <f t="shared" si="4"/>
        <v>60.981615758599041</v>
      </c>
    </row>
    <row r="19" spans="1:20" x14ac:dyDescent="0.25">
      <c r="B19" s="12"/>
      <c r="C19" s="12"/>
      <c r="D19" s="12"/>
      <c r="E19" s="15">
        <v>46660</v>
      </c>
      <c r="F19" s="369">
        <f t="shared" si="6"/>
        <v>2193.6567933475358</v>
      </c>
      <c r="G19" s="14">
        <f t="shared" si="7"/>
        <v>19.413862621125691</v>
      </c>
      <c r="H19" s="14"/>
      <c r="I19" s="369">
        <f t="shared" si="5"/>
        <v>19.413862621125691</v>
      </c>
      <c r="K19" s="67">
        <f t="shared" si="2"/>
        <v>2243</v>
      </c>
      <c r="L19" s="369">
        <f t="shared" si="3"/>
        <v>10.095522238767924</v>
      </c>
      <c r="M19" s="369">
        <f t="shared" si="4"/>
        <v>62.90071217099014</v>
      </c>
    </row>
    <row r="20" spans="1:20" x14ac:dyDescent="0.25">
      <c r="E20" s="15">
        <v>46843</v>
      </c>
      <c r="F20" s="369">
        <f t="shared" si="6"/>
        <v>2193.6567933475358</v>
      </c>
      <c r="G20" s="14">
        <f t="shared" si="7"/>
        <v>19.413862621125691</v>
      </c>
      <c r="H20" s="14"/>
      <c r="I20" s="369">
        <f t="shared" si="5"/>
        <v>19.413862621125691</v>
      </c>
      <c r="K20" s="67">
        <f t="shared" si="2"/>
        <v>2424</v>
      </c>
      <c r="L20" s="369">
        <f t="shared" si="3"/>
        <v>9.5766282114291332</v>
      </c>
      <c r="M20" s="369">
        <f t="shared" si="4"/>
        <v>64.48262995695616</v>
      </c>
    </row>
    <row r="21" spans="1:20" x14ac:dyDescent="0.25">
      <c r="A21" s="12"/>
      <c r="E21" s="15">
        <v>47026</v>
      </c>
      <c r="F21" s="369">
        <f t="shared" si="6"/>
        <v>2193.6567933475358</v>
      </c>
      <c r="G21" s="14">
        <f t="shared" si="7"/>
        <v>19.413862621125691</v>
      </c>
      <c r="H21" s="14"/>
      <c r="I21" s="369">
        <f t="shared" si="5"/>
        <v>19.413862621125691</v>
      </c>
      <c r="K21" s="67">
        <f t="shared" si="2"/>
        <v>2603</v>
      </c>
      <c r="L21" s="369">
        <f t="shared" si="3"/>
        <v>9.0897027697341048</v>
      </c>
      <c r="M21" s="369">
        <f t="shared" si="4"/>
        <v>65.723600860049643</v>
      </c>
    </row>
    <row r="22" spans="1:20" x14ac:dyDescent="0.25">
      <c r="A22" s="110"/>
      <c r="E22" s="15">
        <v>47208</v>
      </c>
      <c r="F22" s="369">
        <f t="shared" si="6"/>
        <v>2193.6567933475358</v>
      </c>
      <c r="G22" s="14">
        <f>F22*$C$10*(180/360)</f>
        <v>19.413862621125691</v>
      </c>
      <c r="H22" s="14"/>
      <c r="I22" s="369">
        <f t="shared" si="5"/>
        <v>19.413862621125691</v>
      </c>
      <c r="J22" s="86"/>
      <c r="K22" s="67">
        <f t="shared" si="2"/>
        <v>2784</v>
      </c>
      <c r="L22" s="369">
        <f t="shared" si="3"/>
        <v>8.6225062873780338</v>
      </c>
      <c r="M22" s="369">
        <f t="shared" si="4"/>
        <v>66.680715289056792</v>
      </c>
    </row>
    <row r="23" spans="1:20" x14ac:dyDescent="0.25">
      <c r="A23" s="110"/>
      <c r="E23" s="15">
        <v>47391</v>
      </c>
      <c r="F23" s="369">
        <f t="shared" si="6"/>
        <v>2193.6567933475358</v>
      </c>
      <c r="G23" s="14">
        <f t="shared" ref="G23:G41" si="8">F23*$C$11*(180/360)</f>
        <v>27.201344237509442</v>
      </c>
      <c r="H23" s="14">
        <f t="shared" ref="H23:H42" si="9">$F$6/20</f>
        <v>109.68283966737678</v>
      </c>
      <c r="I23" s="369">
        <f t="shared" si="5"/>
        <v>136.88418390488621</v>
      </c>
      <c r="J23" s="71"/>
      <c r="K23" s="67">
        <f t="shared" si="2"/>
        <v>2963</v>
      </c>
      <c r="L23" s="369">
        <f t="shared" si="3"/>
        <v>57.704793805917873</v>
      </c>
      <c r="M23" s="369">
        <f t="shared" si="4"/>
        <v>474.94251124148519</v>
      </c>
    </row>
    <row r="24" spans="1:20" x14ac:dyDescent="0.25">
      <c r="A24" s="110"/>
      <c r="E24" s="15">
        <v>47573</v>
      </c>
      <c r="F24" s="369">
        <f t="shared" si="6"/>
        <v>2083.973953680159</v>
      </c>
      <c r="G24" s="14">
        <f t="shared" si="8"/>
        <v>25.841277025633971</v>
      </c>
      <c r="H24" s="14">
        <f t="shared" si="9"/>
        <v>109.68283966737678</v>
      </c>
      <c r="I24" s="369">
        <f t="shared" si="5"/>
        <v>135.52411669301074</v>
      </c>
      <c r="K24" s="67">
        <f t="shared" si="2"/>
        <v>3144</v>
      </c>
      <c r="L24" s="369">
        <f t="shared" si="3"/>
        <v>54.194978128220967</v>
      </c>
      <c r="M24" s="369">
        <f t="shared" si="4"/>
        <v>473.30280898646305</v>
      </c>
    </row>
    <row r="25" spans="1:20" x14ac:dyDescent="0.25">
      <c r="A25" s="110"/>
      <c r="E25" s="15">
        <v>47756</v>
      </c>
      <c r="F25" s="369">
        <f t="shared" si="6"/>
        <v>1974.2911140127821</v>
      </c>
      <c r="G25" s="14">
        <f t="shared" si="8"/>
        <v>24.481209813758497</v>
      </c>
      <c r="H25" s="14">
        <f t="shared" si="9"/>
        <v>109.68283966737678</v>
      </c>
      <c r="I25" s="369">
        <f t="shared" si="5"/>
        <v>134.16404948113529</v>
      </c>
      <c r="K25" s="67">
        <f t="shared" si="2"/>
        <v>3323</v>
      </c>
      <c r="L25" s="369">
        <f t="shared" si="3"/>
        <v>50.923198376872442</v>
      </c>
      <c r="M25" s="369">
        <f t="shared" si="4"/>
        <v>470.04941168429758</v>
      </c>
    </row>
    <row r="26" spans="1:20" x14ac:dyDescent="0.25">
      <c r="A26" s="110"/>
      <c r="E26" s="15">
        <v>47938</v>
      </c>
      <c r="F26" s="369">
        <f t="shared" si="6"/>
        <v>1864.6082743454053</v>
      </c>
      <c r="G26" s="14">
        <f t="shared" si="8"/>
        <v>23.121142601883026</v>
      </c>
      <c r="H26" s="14">
        <f t="shared" si="9"/>
        <v>109.68283966737678</v>
      </c>
      <c r="I26" s="369">
        <f t="shared" si="5"/>
        <v>132.80398226925982</v>
      </c>
      <c r="K26" s="67">
        <f t="shared" si="2"/>
        <v>3504</v>
      </c>
      <c r="L26" s="369">
        <f t="shared" si="3"/>
        <v>47.816132951777007</v>
      </c>
      <c r="M26" s="369">
        <f t="shared" si="4"/>
        <v>465.41036073062952</v>
      </c>
    </row>
    <row r="27" spans="1:20" x14ac:dyDescent="0.25">
      <c r="A27" s="110"/>
      <c r="E27" s="15">
        <v>48121</v>
      </c>
      <c r="F27" s="369">
        <f t="shared" si="6"/>
        <v>1754.9254346780285</v>
      </c>
      <c r="G27" s="14">
        <f t="shared" si="8"/>
        <v>21.761075390007552</v>
      </c>
      <c r="H27" s="14">
        <f t="shared" si="9"/>
        <v>109.68283966737678</v>
      </c>
      <c r="I27" s="369">
        <f t="shared" si="5"/>
        <v>131.44391505738434</v>
      </c>
      <c r="K27" s="67">
        <f t="shared" si="2"/>
        <v>3683</v>
      </c>
      <c r="L27" s="369">
        <f t="shared" si="3"/>
        <v>44.92011849933818</v>
      </c>
      <c r="M27" s="369">
        <f t="shared" si="4"/>
        <v>459.55776786961815</v>
      </c>
    </row>
    <row r="28" spans="1:20" x14ac:dyDescent="0.25">
      <c r="A28" s="110"/>
      <c r="E28" s="15">
        <v>48304</v>
      </c>
      <c r="F28" s="369">
        <f t="shared" si="6"/>
        <v>1645.2425950106517</v>
      </c>
      <c r="G28" s="14">
        <f t="shared" si="8"/>
        <v>20.401008178132081</v>
      </c>
      <c r="H28" s="14">
        <f t="shared" si="9"/>
        <v>109.68283966737678</v>
      </c>
      <c r="I28" s="369">
        <f t="shared" si="5"/>
        <v>130.08384784550887</v>
      </c>
      <c r="K28" s="67">
        <f t="shared" si="2"/>
        <v>3864</v>
      </c>
      <c r="L28" s="369">
        <f t="shared" si="3"/>
        <v>42.170390195209869</v>
      </c>
      <c r="M28" s="369">
        <f t="shared" si="4"/>
        <v>452.62885476191923</v>
      </c>
    </row>
    <row r="29" spans="1:20" x14ac:dyDescent="0.25">
      <c r="A29" s="51"/>
      <c r="E29" s="15">
        <v>48487</v>
      </c>
      <c r="F29" s="369">
        <f t="shared" si="6"/>
        <v>1535.5597553432749</v>
      </c>
      <c r="G29" s="14">
        <f t="shared" si="8"/>
        <v>19.04094096625661</v>
      </c>
      <c r="H29" s="14">
        <f t="shared" si="9"/>
        <v>109.68283966737678</v>
      </c>
      <c r="I29" s="369">
        <f t="shared" si="5"/>
        <v>128.7237806336334</v>
      </c>
      <c r="K29" s="67">
        <f t="shared" si="2"/>
        <v>4043</v>
      </c>
      <c r="L29" s="369">
        <f t="shared" si="3"/>
        <v>39.607742156403447</v>
      </c>
      <c r="M29" s="369">
        <f t="shared" si="4"/>
        <v>444.81694871760874</v>
      </c>
    </row>
    <row r="30" spans="1:20" x14ac:dyDescent="0.25">
      <c r="E30" s="15">
        <v>48669</v>
      </c>
      <c r="F30" s="369">
        <f t="shared" si="6"/>
        <v>1425.8769156758981</v>
      </c>
      <c r="G30" s="14">
        <f t="shared" si="8"/>
        <v>17.680873754381135</v>
      </c>
      <c r="H30" s="14">
        <f t="shared" si="9"/>
        <v>109.68283966737678</v>
      </c>
      <c r="I30" s="369">
        <f t="shared" si="5"/>
        <v>127.36371342175792</v>
      </c>
      <c r="K30" s="67">
        <f t="shared" si="2"/>
        <v>4224</v>
      </c>
      <c r="L30" s="369">
        <f t="shared" si="3"/>
        <v>37.17498911078463</v>
      </c>
      <c r="M30" s="369">
        <f t="shared" si="4"/>
        <v>436.18653889987297</v>
      </c>
      <c r="N30" s="12"/>
      <c r="O30" s="12"/>
      <c r="P30" s="12"/>
      <c r="Q30" s="12"/>
      <c r="R30" s="12"/>
      <c r="S30" s="12"/>
      <c r="T30" s="12"/>
    </row>
    <row r="31" spans="1:20" x14ac:dyDescent="0.25">
      <c r="E31" s="15">
        <v>48852</v>
      </c>
      <c r="F31" s="369">
        <f t="shared" si="6"/>
        <v>1316.1940760085213</v>
      </c>
      <c r="G31" s="14">
        <f t="shared" si="8"/>
        <v>16.320806542505665</v>
      </c>
      <c r="H31" s="14">
        <f t="shared" si="9"/>
        <v>109.68283966737678</v>
      </c>
      <c r="I31" s="369">
        <f t="shared" si="5"/>
        <v>126.00364620988245</v>
      </c>
      <c r="J31" s="165"/>
      <c r="K31" s="67">
        <f t="shared" si="2"/>
        <v>4403</v>
      </c>
      <c r="L31" s="369">
        <f t="shared" si="3"/>
        <v>34.908027106958492</v>
      </c>
      <c r="M31" s="369">
        <f t="shared" si="4"/>
        <v>426.94456486649511</v>
      </c>
      <c r="N31" s="12"/>
      <c r="O31" s="12"/>
      <c r="P31" s="12"/>
      <c r="Q31" s="12"/>
      <c r="R31" s="12"/>
      <c r="S31" s="12"/>
      <c r="T31" s="12"/>
    </row>
    <row r="32" spans="1:20" x14ac:dyDescent="0.25">
      <c r="E32" s="15">
        <v>49034</v>
      </c>
      <c r="F32" s="369">
        <f t="shared" si="6"/>
        <v>1206.5112363411445</v>
      </c>
      <c r="G32" s="14">
        <f t="shared" si="8"/>
        <v>14.96073933063019</v>
      </c>
      <c r="H32" s="14">
        <f t="shared" si="9"/>
        <v>109.68283966737678</v>
      </c>
      <c r="I32" s="369">
        <f t="shared" si="5"/>
        <v>124.64357899800697</v>
      </c>
      <c r="J32" s="165"/>
      <c r="K32" s="67">
        <f t="shared" ref="K32:K42" si="10">DAYS360($E$6,E32)</f>
        <v>4584</v>
      </c>
      <c r="L32" s="369">
        <f t="shared" si="3"/>
        <v>32.756382987363672</v>
      </c>
      <c r="M32" s="369">
        <f t="shared" si="4"/>
        <v>417.09794337243073</v>
      </c>
      <c r="N32" s="12"/>
      <c r="O32" s="12"/>
      <c r="P32" s="12"/>
      <c r="Q32" s="12"/>
      <c r="R32" s="12"/>
      <c r="S32" s="12"/>
      <c r="T32" s="12"/>
    </row>
    <row r="33" spans="5:20" x14ac:dyDescent="0.25">
      <c r="E33" s="15">
        <v>49217</v>
      </c>
      <c r="F33" s="369">
        <f t="shared" si="6"/>
        <v>1096.8283966737677</v>
      </c>
      <c r="G33" s="14">
        <f t="shared" si="8"/>
        <v>13.600672118754719</v>
      </c>
      <c r="H33" s="14">
        <f t="shared" si="9"/>
        <v>109.68283966737678</v>
      </c>
      <c r="I33" s="369">
        <f t="shared" si="5"/>
        <v>123.2835117861315</v>
      </c>
      <c r="J33" s="165"/>
      <c r="K33" s="67">
        <f t="shared" si="10"/>
        <v>4763</v>
      </c>
      <c r="L33" s="369">
        <f t="shared" si="3"/>
        <v>30.751625793746946</v>
      </c>
      <c r="M33" s="369">
        <f t="shared" si="4"/>
        <v>406.86109348782418</v>
      </c>
      <c r="N33" s="12"/>
      <c r="O33" s="12"/>
      <c r="P33" s="12"/>
      <c r="Q33" s="12"/>
      <c r="R33" s="12"/>
      <c r="S33" s="12"/>
      <c r="T33" s="12"/>
    </row>
    <row r="34" spans="5:20" x14ac:dyDescent="0.25">
      <c r="E34" s="15">
        <v>49399</v>
      </c>
      <c r="F34" s="369">
        <f t="shared" si="6"/>
        <v>987.14555700639085</v>
      </c>
      <c r="G34" s="14">
        <f t="shared" si="8"/>
        <v>12.240604906879247</v>
      </c>
      <c r="H34" s="14">
        <f t="shared" si="9"/>
        <v>109.68283966737678</v>
      </c>
      <c r="I34" s="369">
        <f t="shared" si="5"/>
        <v>121.92344457425602</v>
      </c>
      <c r="K34" s="67">
        <f t="shared" si="10"/>
        <v>4944</v>
      </c>
      <c r="L34" s="369">
        <f t="shared" si="3"/>
        <v>28.8492246554896</v>
      </c>
      <c r="M34" s="369">
        <f t="shared" si="4"/>
        <v>396.19601860205717</v>
      </c>
      <c r="N34" s="12"/>
      <c r="O34" s="12"/>
      <c r="P34" s="148"/>
      <c r="Q34" s="12"/>
      <c r="R34" s="12"/>
      <c r="S34" s="148"/>
      <c r="T34" s="12"/>
    </row>
    <row r="35" spans="5:20" x14ac:dyDescent="0.25">
      <c r="E35" s="15">
        <v>49582</v>
      </c>
      <c r="F35" s="369">
        <f t="shared" si="6"/>
        <v>877.46271733901403</v>
      </c>
      <c r="G35" s="14">
        <f t="shared" si="8"/>
        <v>10.880537695003774</v>
      </c>
      <c r="H35" s="14">
        <f t="shared" si="9"/>
        <v>109.68283966737678</v>
      </c>
      <c r="I35" s="369">
        <f t="shared" si="5"/>
        <v>120.56337736238055</v>
      </c>
      <c r="K35" s="67">
        <f t="shared" si="10"/>
        <v>5123</v>
      </c>
      <c r="L35" s="369">
        <f t="shared" si="3"/>
        <v>27.076927498159005</v>
      </c>
      <c r="M35" s="369">
        <f t="shared" si="4"/>
        <v>385.31972103630164</v>
      </c>
      <c r="N35" s="12"/>
      <c r="O35" s="12"/>
      <c r="P35" s="47"/>
      <c r="Q35" s="12"/>
      <c r="R35" s="12"/>
      <c r="S35" s="12"/>
      <c r="T35" s="12"/>
    </row>
    <row r="36" spans="5:20" x14ac:dyDescent="0.25">
      <c r="E36" s="15">
        <v>49765</v>
      </c>
      <c r="F36" s="369">
        <f t="shared" si="6"/>
        <v>767.77987767163722</v>
      </c>
      <c r="G36" s="14">
        <f t="shared" si="8"/>
        <v>9.5204704831283014</v>
      </c>
      <c r="H36" s="14">
        <f t="shared" si="9"/>
        <v>109.68283966737678</v>
      </c>
      <c r="I36" s="369">
        <f t="shared" si="5"/>
        <v>119.20331015050509</v>
      </c>
      <c r="K36" s="67">
        <f t="shared" si="10"/>
        <v>5304</v>
      </c>
      <c r="L36" s="369">
        <f t="shared" si="3"/>
        <v>25.395462680986157</v>
      </c>
      <c r="M36" s="369">
        <f t="shared" si="4"/>
        <v>374.15981683319603</v>
      </c>
      <c r="N36" s="12"/>
      <c r="O36" s="12"/>
      <c r="P36" s="12"/>
      <c r="Q36" s="12"/>
      <c r="R36" s="12"/>
      <c r="S36" s="12"/>
      <c r="T36" s="12"/>
    </row>
    <row r="37" spans="5:20" x14ac:dyDescent="0.25">
      <c r="E37" s="15">
        <v>49948</v>
      </c>
      <c r="F37" s="369">
        <f t="shared" si="6"/>
        <v>658.09703800426041</v>
      </c>
      <c r="G37" s="14">
        <f t="shared" si="8"/>
        <v>8.1604032712528287</v>
      </c>
      <c r="H37" s="14">
        <f t="shared" si="9"/>
        <v>109.68283966737678</v>
      </c>
      <c r="I37" s="369">
        <f t="shared" si="5"/>
        <v>117.84324293862961</v>
      </c>
      <c r="K37" s="67">
        <f t="shared" si="10"/>
        <v>5483</v>
      </c>
      <c r="L37" s="369">
        <f t="shared" si="3"/>
        <v>23.829205050685314</v>
      </c>
      <c r="M37" s="369">
        <f t="shared" si="4"/>
        <v>362.93203136918771</v>
      </c>
      <c r="N37" s="12"/>
      <c r="O37" s="12"/>
      <c r="P37" s="12"/>
      <c r="Q37" s="12"/>
      <c r="R37" s="12"/>
      <c r="S37" s="12"/>
      <c r="T37" s="12"/>
    </row>
    <row r="38" spans="5:20" x14ac:dyDescent="0.25">
      <c r="E38" s="15">
        <v>50130</v>
      </c>
      <c r="F38" s="369">
        <f t="shared" si="6"/>
        <v>548.4141983368836</v>
      </c>
      <c r="G38" s="14">
        <f t="shared" si="8"/>
        <v>6.8003360593773561</v>
      </c>
      <c r="H38" s="14">
        <f t="shared" si="9"/>
        <v>109.68283966737678</v>
      </c>
      <c r="I38" s="369">
        <f t="shared" si="5"/>
        <v>116.48317572675414</v>
      </c>
      <c r="K38" s="67">
        <f t="shared" si="10"/>
        <v>5664</v>
      </c>
      <c r="L38" s="369">
        <f t="shared" si="3"/>
        <v>22.343536261293529</v>
      </c>
      <c r="M38" s="369">
        <f t="shared" si="4"/>
        <v>351.5383038443515</v>
      </c>
      <c r="N38" s="12"/>
      <c r="O38" s="12"/>
      <c r="P38" s="12"/>
      <c r="Q38" s="12"/>
      <c r="R38" s="12"/>
      <c r="S38" s="12"/>
      <c r="T38" s="12"/>
    </row>
    <row r="39" spans="5:20" x14ac:dyDescent="0.25">
      <c r="E39" s="15">
        <v>50313</v>
      </c>
      <c r="F39" s="369">
        <f t="shared" si="6"/>
        <v>438.73135866950679</v>
      </c>
      <c r="G39" s="14">
        <f t="shared" si="8"/>
        <v>5.4402688475018843</v>
      </c>
      <c r="H39" s="14">
        <f t="shared" si="9"/>
        <v>109.68283966737678</v>
      </c>
      <c r="I39" s="369">
        <f t="shared" si="5"/>
        <v>115.12310851487867</v>
      </c>
      <c r="K39" s="67">
        <f t="shared" si="10"/>
        <v>5843</v>
      </c>
      <c r="L39" s="369">
        <f t="shared" si="3"/>
        <v>20.959854770968438</v>
      </c>
      <c r="M39" s="369">
        <f t="shared" si="4"/>
        <v>340.19008729657935</v>
      </c>
      <c r="N39" s="12"/>
      <c r="O39" s="12"/>
      <c r="P39" s="12"/>
      <c r="Q39" s="12"/>
      <c r="R39" s="12"/>
      <c r="S39" s="12"/>
      <c r="T39" s="12"/>
    </row>
    <row r="40" spans="5:20" x14ac:dyDescent="0.25">
      <c r="E40" s="15">
        <v>50495</v>
      </c>
      <c r="F40" s="369">
        <f t="shared" si="6"/>
        <v>329.04851900212998</v>
      </c>
      <c r="G40" s="14">
        <f t="shared" si="8"/>
        <v>4.0802016356264117</v>
      </c>
      <c r="H40" s="14">
        <f t="shared" si="9"/>
        <v>109.68283966737678</v>
      </c>
      <c r="I40" s="369">
        <f t="shared" si="5"/>
        <v>113.76304130300319</v>
      </c>
      <c r="K40" s="67">
        <f t="shared" si="10"/>
        <v>6024</v>
      </c>
      <c r="L40" s="369">
        <f t="shared" si="3"/>
        <v>19.647658128332839</v>
      </c>
      <c r="M40" s="369">
        <f t="shared" si="4"/>
        <v>328.77081268076955</v>
      </c>
      <c r="N40" s="12"/>
      <c r="O40" s="12"/>
      <c r="P40" s="12"/>
      <c r="Q40" s="12"/>
      <c r="R40" s="12"/>
      <c r="S40" s="12"/>
      <c r="T40" s="12"/>
    </row>
    <row r="41" spans="5:20" x14ac:dyDescent="0.25">
      <c r="E41" s="15">
        <v>50678</v>
      </c>
      <c r="F41" s="369">
        <f t="shared" si="6"/>
        <v>219.3656793347532</v>
      </c>
      <c r="G41" s="14">
        <f t="shared" si="8"/>
        <v>2.7201344237509395</v>
      </c>
      <c r="H41" s="14">
        <f t="shared" si="9"/>
        <v>109.68283966737678</v>
      </c>
      <c r="I41" s="369">
        <f t="shared" si="5"/>
        <v>112.40297409112772</v>
      </c>
      <c r="K41" s="67">
        <f t="shared" si="10"/>
        <v>6203</v>
      </c>
      <c r="L41" s="369">
        <f t="shared" si="3"/>
        <v>18.425719530387095</v>
      </c>
      <c r="M41" s="369">
        <f t="shared" si="4"/>
        <v>317.48538401941983</v>
      </c>
      <c r="N41" s="12"/>
      <c r="O41" s="12"/>
      <c r="P41" s="12"/>
      <c r="Q41" s="12"/>
      <c r="R41" s="12"/>
      <c r="S41" s="12"/>
      <c r="T41" s="12"/>
    </row>
    <row r="42" spans="5:20" x14ac:dyDescent="0.25">
      <c r="E42" s="15">
        <v>50770</v>
      </c>
      <c r="F42" s="369">
        <f t="shared" si="6"/>
        <v>109.68283966737641</v>
      </c>
      <c r="G42" s="14">
        <f>F42*$C$11*(90/360)</f>
        <v>0.68003360593773376</v>
      </c>
      <c r="H42" s="14">
        <f t="shared" si="9"/>
        <v>109.68283966737678</v>
      </c>
      <c r="I42" s="369">
        <f t="shared" si="5"/>
        <v>110.36287327331452</v>
      </c>
      <c r="K42" s="67">
        <f t="shared" si="10"/>
        <v>6294</v>
      </c>
      <c r="L42" s="369">
        <f t="shared" si="3"/>
        <v>17.617661726299119</v>
      </c>
      <c r="M42" s="369">
        <f t="shared" si="4"/>
        <v>308.01545251479627</v>
      </c>
    </row>
    <row r="43" spans="5:20" x14ac:dyDescent="0.25">
      <c r="L43" s="369">
        <f>SUM(L7:L42)</f>
        <v>887.63186732340159</v>
      </c>
      <c r="M43" s="369">
        <f>SUM(M7:M42)</f>
        <v>8814.788227149018</v>
      </c>
    </row>
    <row r="44" spans="5:20" x14ac:dyDescent="0.25">
      <c r="H44" s="92" t="s">
        <v>13</v>
      </c>
      <c r="I44" s="86">
        <f>XIRR(I6:I42,E6:E42)</f>
        <v>0.1106548249721527</v>
      </c>
    </row>
    <row r="45" spans="5:20" x14ac:dyDescent="0.25">
      <c r="H45" s="92" t="s">
        <v>29</v>
      </c>
      <c r="I45" s="71">
        <f>M45/(1+(I44/2))</f>
        <v>9.4100466851743203</v>
      </c>
      <c r="L45" s="12" t="s">
        <v>22</v>
      </c>
      <c r="M45" s="14">
        <f>M43/L43</f>
        <v>9.9306802196381945</v>
      </c>
    </row>
    <row r="50" spans="6:6" x14ac:dyDescent="0.25">
      <c r="F50" s="247"/>
    </row>
    <row r="51" spans="6:6" x14ac:dyDescent="0.25">
      <c r="F51" s="247"/>
    </row>
  </sheetData>
  <mergeCells count="3">
    <mergeCell ref="B2:I2"/>
    <mergeCell ref="B4:C4"/>
    <mergeCell ref="E4:I4"/>
  </mergeCells>
  <phoneticPr fontId="6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2FC1-7C0E-463A-ADAD-EF3022BFDFB0}">
  <dimension ref="A2:T64"/>
  <sheetViews>
    <sheetView showGridLines="0" topLeftCell="A26" zoomScale="90" zoomScaleNormal="90" workbookViewId="0">
      <selection activeCell="T15" sqref="T15"/>
    </sheetView>
  </sheetViews>
  <sheetFormatPr baseColWidth="10" defaultRowHeight="15" x14ac:dyDescent="0.25"/>
  <cols>
    <col min="1" max="1" width="4.140625" customWidth="1"/>
    <col min="2" max="2" width="15.85546875" bestFit="1" customWidth="1"/>
    <col min="4" max="4" width="2" customWidth="1"/>
    <col min="5" max="5" width="11.28515625" customWidth="1"/>
    <col min="6" max="6" width="9" bestFit="1" customWidth="1"/>
    <col min="14" max="14" width="10.42578125" customWidth="1"/>
  </cols>
  <sheetData>
    <row r="2" spans="2:13" ht="15.75" x14ac:dyDescent="0.25">
      <c r="B2" s="413" t="s">
        <v>267</v>
      </c>
      <c r="C2" s="413"/>
      <c r="D2" s="413"/>
      <c r="E2" s="413"/>
      <c r="F2" s="413"/>
      <c r="G2" s="413"/>
      <c r="H2" s="413"/>
      <c r="I2" s="413"/>
      <c r="J2" s="368"/>
      <c r="K2" s="368"/>
      <c r="L2" s="368"/>
      <c r="M2" s="368"/>
    </row>
    <row r="3" spans="2:1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x14ac:dyDescent="0.25">
      <c r="B4" s="373" t="s">
        <v>34</v>
      </c>
      <c r="C4" s="374"/>
      <c r="D4" s="12"/>
      <c r="E4" s="375" t="s">
        <v>266</v>
      </c>
      <c r="F4" s="375"/>
      <c r="G4" s="375"/>
      <c r="H4" s="375"/>
      <c r="I4" s="375"/>
      <c r="J4" s="367"/>
      <c r="K4" s="367"/>
      <c r="L4" s="367"/>
      <c r="M4" s="367"/>
    </row>
    <row r="5" spans="2:13" x14ac:dyDescent="0.25">
      <c r="B5" s="24" t="s">
        <v>0</v>
      </c>
      <c r="C5" s="33">
        <v>37986</v>
      </c>
      <c r="D5" s="12"/>
      <c r="E5" s="29" t="s">
        <v>14</v>
      </c>
      <c r="F5" s="29" t="s">
        <v>7</v>
      </c>
      <c r="G5" s="29" t="s">
        <v>8</v>
      </c>
      <c r="H5" s="29" t="s">
        <v>33</v>
      </c>
      <c r="I5" s="29" t="s">
        <v>9</v>
      </c>
      <c r="J5" s="29"/>
      <c r="K5" s="29" t="s">
        <v>21</v>
      </c>
      <c r="L5" s="29" t="s">
        <v>126</v>
      </c>
      <c r="M5" s="29" t="s">
        <v>127</v>
      </c>
    </row>
    <row r="6" spans="2:13" x14ac:dyDescent="0.25">
      <c r="B6" s="24" t="s">
        <v>1</v>
      </c>
      <c r="C6" s="33">
        <v>48944</v>
      </c>
      <c r="D6" s="12"/>
      <c r="E6" s="15">
        <f>'Planilla de datos'!D3</f>
        <v>44384</v>
      </c>
      <c r="F6" s="369">
        <f>+C12</f>
        <v>3046.0933965253244</v>
      </c>
      <c r="G6" s="30"/>
      <c r="H6" s="12"/>
      <c r="I6" s="369">
        <f>-'Planilla de datos'!C82</f>
        <v>-1345</v>
      </c>
      <c r="J6" s="14"/>
      <c r="K6" s="14"/>
      <c r="L6" s="14"/>
      <c r="M6" s="14"/>
    </row>
    <row r="7" spans="2:13" x14ac:dyDescent="0.25">
      <c r="B7" s="24" t="s">
        <v>2</v>
      </c>
      <c r="C7" s="34">
        <v>1.4551000000000001</v>
      </c>
      <c r="D7" s="12"/>
      <c r="E7" s="15">
        <v>44561</v>
      </c>
      <c r="F7" s="369">
        <f t="shared" ref="F7:F12" si="0">+F6</f>
        <v>3046.0933965253244</v>
      </c>
      <c r="G7" s="14">
        <f t="shared" ref="G7:G12" si="1">$C$12*$C$10*(180/360)</f>
        <v>50.412845712494111</v>
      </c>
      <c r="H7" s="14"/>
      <c r="I7" s="369">
        <f>SUM(G7:H7)</f>
        <v>50.412845712494111</v>
      </c>
      <c r="J7" s="14"/>
      <c r="K7" s="67">
        <f t="shared" ref="K7:K31" si="2">DAYS360($E$6,E7)</f>
        <v>174</v>
      </c>
      <c r="L7" s="369">
        <f t="shared" ref="L7:L31" si="3">I7/(1+$I$57)^(K7/360)</f>
        <v>48.132094272924455</v>
      </c>
      <c r="M7" s="369">
        <f t="shared" ref="M7:M55" si="4">L7*(K7/360)</f>
        <v>23.263845565246822</v>
      </c>
    </row>
    <row r="8" spans="2:13" x14ac:dyDescent="0.25">
      <c r="B8" s="24" t="s">
        <v>3</v>
      </c>
      <c r="C8" s="34">
        <f>+'Planilla de datos'!D64</f>
        <v>31.919899999999998</v>
      </c>
      <c r="D8" s="12"/>
      <c r="E8" s="15">
        <v>44742</v>
      </c>
      <c r="F8" s="369">
        <f t="shared" si="0"/>
        <v>3046.0933965253244</v>
      </c>
      <c r="G8" s="14">
        <f t="shared" si="1"/>
        <v>50.412845712494111</v>
      </c>
      <c r="H8" s="12"/>
      <c r="I8" s="369">
        <f t="shared" ref="I8:I55" si="5">SUM(G8:H8)</f>
        <v>50.412845712494111</v>
      </c>
      <c r="J8" s="14"/>
      <c r="K8" s="67">
        <f t="shared" si="2"/>
        <v>353</v>
      </c>
      <c r="L8" s="369">
        <f t="shared" si="3"/>
        <v>45.893431584734707</v>
      </c>
      <c r="M8" s="369">
        <f t="shared" si="4"/>
        <v>45.001059303920421</v>
      </c>
    </row>
    <row r="9" spans="2:13" x14ac:dyDescent="0.25">
      <c r="B9" s="24" t="s">
        <v>4</v>
      </c>
      <c r="C9" s="34">
        <f>((C8-C7)/C7)+1</f>
        <v>21.936567933475359</v>
      </c>
      <c r="D9" s="12"/>
      <c r="E9" s="15">
        <v>44926</v>
      </c>
      <c r="F9" s="369">
        <f t="shared" si="0"/>
        <v>3046.0933965253244</v>
      </c>
      <c r="G9" s="14">
        <f t="shared" si="1"/>
        <v>50.412845712494111</v>
      </c>
      <c r="H9" s="12"/>
      <c r="I9" s="369">
        <f t="shared" si="5"/>
        <v>50.412845712494111</v>
      </c>
      <c r="J9" s="14"/>
      <c r="K9" s="67">
        <f t="shared" si="2"/>
        <v>534</v>
      </c>
      <c r="L9" s="369">
        <f t="shared" si="3"/>
        <v>43.735610926626897</v>
      </c>
      <c r="M9" s="369">
        <f t="shared" si="4"/>
        <v>64.874489541163229</v>
      </c>
    </row>
    <row r="10" spans="2:13" x14ac:dyDescent="0.25">
      <c r="B10" s="24" t="s">
        <v>5</v>
      </c>
      <c r="C10" s="35">
        <v>3.3099999999999997E-2</v>
      </c>
      <c r="D10" s="12"/>
      <c r="E10" s="15">
        <v>45107</v>
      </c>
      <c r="F10" s="369">
        <f t="shared" si="0"/>
        <v>3046.0933965253244</v>
      </c>
      <c r="G10" s="14">
        <f t="shared" si="1"/>
        <v>50.412845712494111</v>
      </c>
      <c r="H10" s="14"/>
      <c r="I10" s="369">
        <f t="shared" si="5"/>
        <v>50.412845712494111</v>
      </c>
      <c r="J10" s="14"/>
      <c r="K10" s="67">
        <f t="shared" si="2"/>
        <v>713</v>
      </c>
      <c r="L10" s="369">
        <f t="shared" si="3"/>
        <v>41.701432239710719</v>
      </c>
      <c r="M10" s="369">
        <f t="shared" si="4"/>
        <v>82.592003296982625</v>
      </c>
    </row>
    <row r="11" spans="2:13" x14ac:dyDescent="0.25">
      <c r="B11" s="24" t="s">
        <v>264</v>
      </c>
      <c r="C11" s="34">
        <v>138.85916</v>
      </c>
      <c r="D11" s="12"/>
      <c r="E11" s="15">
        <v>45291</v>
      </c>
      <c r="F11" s="369">
        <f t="shared" si="0"/>
        <v>3046.0933965253244</v>
      </c>
      <c r="G11" s="14">
        <f t="shared" si="1"/>
        <v>50.412845712494111</v>
      </c>
      <c r="H11" s="14"/>
      <c r="I11" s="369">
        <f t="shared" si="5"/>
        <v>50.412845712494111</v>
      </c>
      <c r="J11" s="14"/>
      <c r="K11" s="67">
        <f t="shared" si="2"/>
        <v>894</v>
      </c>
      <c r="L11" s="369">
        <f t="shared" si="3"/>
        <v>39.740711307492134</v>
      </c>
      <c r="M11" s="369">
        <f t="shared" si="4"/>
        <v>98.689433080272138</v>
      </c>
    </row>
    <row r="12" spans="2:13" x14ac:dyDescent="0.25">
      <c r="B12" s="36" t="s">
        <v>16</v>
      </c>
      <c r="C12" s="370">
        <f>C9*C11</f>
        <v>3046.0933965253244</v>
      </c>
      <c r="D12" s="12"/>
      <c r="E12" s="15">
        <v>45473</v>
      </c>
      <c r="F12" s="369">
        <f t="shared" si="0"/>
        <v>3046.0933965253244</v>
      </c>
      <c r="G12" s="14">
        <f t="shared" si="1"/>
        <v>50.412845712494111</v>
      </c>
      <c r="H12" s="14"/>
      <c r="I12" s="369">
        <f t="shared" si="5"/>
        <v>50.412845712494111</v>
      </c>
      <c r="J12" s="14"/>
      <c r="K12" s="67">
        <f t="shared" si="2"/>
        <v>1073</v>
      </c>
      <c r="L12" s="369">
        <f t="shared" si="3"/>
        <v>37.892338637445064</v>
      </c>
      <c r="M12" s="369">
        <f t="shared" si="4"/>
        <v>112.94022043882931</v>
      </c>
    </row>
    <row r="13" spans="2:13" x14ac:dyDescent="0.25">
      <c r="B13" s="12"/>
      <c r="C13" s="12"/>
      <c r="D13" s="12"/>
      <c r="E13" s="15">
        <v>45657</v>
      </c>
      <c r="F13" s="369">
        <f>F12-H12</f>
        <v>3046.0933965253244</v>
      </c>
      <c r="G13" s="14">
        <f>F13*$C$10*(180/360)</f>
        <v>50.412845712494111</v>
      </c>
      <c r="H13" s="14"/>
      <c r="I13" s="369">
        <f t="shared" si="5"/>
        <v>50.412845712494111</v>
      </c>
      <c r="J13" s="14"/>
      <c r="K13" s="67">
        <f t="shared" si="2"/>
        <v>1254</v>
      </c>
      <c r="L13" s="369">
        <f t="shared" si="3"/>
        <v>36.110713941437524</v>
      </c>
      <c r="M13" s="369">
        <f t="shared" si="4"/>
        <v>125.78565356267404</v>
      </c>
    </row>
    <row r="14" spans="2:13" x14ac:dyDescent="0.25">
      <c r="B14" s="12"/>
      <c r="C14" s="12"/>
      <c r="D14" s="12"/>
      <c r="E14" s="15">
        <v>45838</v>
      </c>
      <c r="F14" s="369">
        <f t="shared" ref="F14:F55" si="6">F13-H13</f>
        <v>3046.0933965253244</v>
      </c>
      <c r="G14" s="14">
        <f t="shared" ref="G14:G55" si="7">F14*$C$10*(180/360)</f>
        <v>50.412845712494111</v>
      </c>
      <c r="H14" s="14"/>
      <c r="I14" s="369">
        <f t="shared" si="5"/>
        <v>50.412845712494111</v>
      </c>
      <c r="J14" s="14"/>
      <c r="K14" s="67">
        <f t="shared" si="2"/>
        <v>1433</v>
      </c>
      <c r="L14" s="369">
        <f t="shared" si="3"/>
        <v>34.431175388924053</v>
      </c>
      <c r="M14" s="369">
        <f t="shared" si="4"/>
        <v>137.05520647868937</v>
      </c>
    </row>
    <row r="15" spans="2:13" x14ac:dyDescent="0.25">
      <c r="B15" s="12"/>
      <c r="C15" s="12"/>
      <c r="D15" s="12"/>
      <c r="E15" s="15">
        <v>46022</v>
      </c>
      <c r="F15" s="369">
        <f t="shared" si="6"/>
        <v>3046.0933965253244</v>
      </c>
      <c r="G15" s="14">
        <f t="shared" si="7"/>
        <v>50.412845712494111</v>
      </c>
      <c r="H15" s="14"/>
      <c r="I15" s="369">
        <f t="shared" si="5"/>
        <v>50.412845712494111</v>
      </c>
      <c r="J15" s="14"/>
      <c r="K15" s="67">
        <f t="shared" si="2"/>
        <v>1614</v>
      </c>
      <c r="L15" s="369">
        <f t="shared" si="3"/>
        <v>32.812287914798752</v>
      </c>
      <c r="M15" s="369">
        <f t="shared" si="4"/>
        <v>147.10842415134775</v>
      </c>
    </row>
    <row r="16" spans="2:13" x14ac:dyDescent="0.25">
      <c r="B16" s="12"/>
      <c r="C16" s="12"/>
      <c r="D16" s="12"/>
      <c r="E16" s="15">
        <v>46203</v>
      </c>
      <c r="F16" s="369">
        <f t="shared" si="6"/>
        <v>3046.0933965253244</v>
      </c>
      <c r="G16" s="14">
        <f t="shared" si="7"/>
        <v>50.412845712494111</v>
      </c>
      <c r="H16" s="14"/>
      <c r="I16" s="369">
        <f t="shared" si="5"/>
        <v>50.412845712494111</v>
      </c>
      <c r="J16" s="14"/>
      <c r="K16" s="67">
        <f t="shared" si="2"/>
        <v>1793</v>
      </c>
      <c r="L16" s="369">
        <f t="shared" si="3"/>
        <v>31.286161828273574</v>
      </c>
      <c r="M16" s="369">
        <f t="shared" si="4"/>
        <v>155.82246710581811</v>
      </c>
    </row>
    <row r="17" spans="1:20" x14ac:dyDescent="0.25">
      <c r="B17" s="12"/>
      <c r="C17" s="12"/>
      <c r="D17" s="12"/>
      <c r="E17" s="15">
        <v>46387</v>
      </c>
      <c r="F17" s="369">
        <f t="shared" si="6"/>
        <v>3046.0933965253244</v>
      </c>
      <c r="G17" s="14">
        <f t="shared" si="7"/>
        <v>50.412845712494111</v>
      </c>
      <c r="H17" s="14"/>
      <c r="I17" s="369">
        <f t="shared" si="5"/>
        <v>50.412845712494111</v>
      </c>
      <c r="J17" s="14"/>
      <c r="K17" s="67">
        <f t="shared" si="2"/>
        <v>1974</v>
      </c>
      <c r="L17" s="369">
        <f t="shared" si="3"/>
        <v>29.81514682732934</v>
      </c>
      <c r="M17" s="369">
        <f t="shared" si="4"/>
        <v>163.48638843652256</v>
      </c>
    </row>
    <row r="18" spans="1:20" x14ac:dyDescent="0.25">
      <c r="B18" s="12"/>
      <c r="C18" s="12"/>
      <c r="D18" s="12"/>
      <c r="E18" s="15">
        <v>46568</v>
      </c>
      <c r="F18" s="369">
        <f t="shared" si="6"/>
        <v>3046.0933965253244</v>
      </c>
      <c r="G18" s="14">
        <f t="shared" si="7"/>
        <v>50.412845712494111</v>
      </c>
      <c r="H18" s="14"/>
      <c r="I18" s="369">
        <f t="shared" si="5"/>
        <v>50.412845712494111</v>
      </c>
      <c r="K18" s="67">
        <f t="shared" si="2"/>
        <v>2153</v>
      </c>
      <c r="L18" s="369">
        <f t="shared" si="3"/>
        <v>28.428420200252415</v>
      </c>
      <c r="M18" s="369">
        <f t="shared" si="4"/>
        <v>170.01774636428735</v>
      </c>
    </row>
    <row r="19" spans="1:20" x14ac:dyDescent="0.25">
      <c r="B19" s="12"/>
      <c r="C19" s="12"/>
      <c r="D19" s="12"/>
      <c r="E19" s="15">
        <v>46752</v>
      </c>
      <c r="F19" s="369">
        <f t="shared" si="6"/>
        <v>3046.0933965253244</v>
      </c>
      <c r="G19" s="14">
        <f t="shared" si="7"/>
        <v>50.412845712494111</v>
      </c>
      <c r="H19" s="14"/>
      <c r="I19" s="369">
        <f t="shared" si="5"/>
        <v>50.412845712494111</v>
      </c>
      <c r="K19" s="67">
        <f t="shared" si="2"/>
        <v>2334</v>
      </c>
      <c r="L19" s="369">
        <f t="shared" si="3"/>
        <v>27.091770700155362</v>
      </c>
      <c r="M19" s="369">
        <f t="shared" si="4"/>
        <v>175.6449800393406</v>
      </c>
    </row>
    <row r="20" spans="1:20" x14ac:dyDescent="0.25">
      <c r="E20" s="15">
        <v>46934</v>
      </c>
      <c r="F20" s="369">
        <f t="shared" si="6"/>
        <v>3046.0933965253244</v>
      </c>
      <c r="G20" s="14">
        <f t="shared" si="7"/>
        <v>50.412845712494111</v>
      </c>
      <c r="H20" s="14"/>
      <c r="I20" s="369">
        <f t="shared" si="5"/>
        <v>50.412845712494111</v>
      </c>
      <c r="K20" s="67">
        <f t="shared" si="2"/>
        <v>2513</v>
      </c>
      <c r="L20" s="369">
        <f t="shared" si="3"/>
        <v>25.831710502493305</v>
      </c>
      <c r="M20" s="369">
        <f t="shared" si="4"/>
        <v>180.31969025768242</v>
      </c>
    </row>
    <row r="21" spans="1:20" x14ac:dyDescent="0.25">
      <c r="A21" s="12"/>
      <c r="E21" s="15">
        <v>47118</v>
      </c>
      <c r="F21" s="369">
        <f t="shared" si="6"/>
        <v>3046.0933965253244</v>
      </c>
      <c r="G21" s="14">
        <f t="shared" si="7"/>
        <v>50.412845712494111</v>
      </c>
      <c r="H21" s="14"/>
      <c r="I21" s="369">
        <f t="shared" si="5"/>
        <v>50.412845712494111</v>
      </c>
      <c r="K21" s="67">
        <f t="shared" si="2"/>
        <v>2694</v>
      </c>
      <c r="L21" s="369">
        <f t="shared" si="3"/>
        <v>24.617153285223001</v>
      </c>
      <c r="M21" s="369">
        <f t="shared" si="4"/>
        <v>184.21836375108546</v>
      </c>
    </row>
    <row r="22" spans="1:20" x14ac:dyDescent="0.25">
      <c r="A22" s="110"/>
      <c r="E22" s="15">
        <v>47299</v>
      </c>
      <c r="F22" s="369">
        <f t="shared" si="6"/>
        <v>3046.0933965253244</v>
      </c>
      <c r="G22" s="14">
        <f t="shared" si="7"/>
        <v>50.412845712494111</v>
      </c>
      <c r="H22" s="14"/>
      <c r="I22" s="369">
        <f t="shared" si="5"/>
        <v>50.412845712494111</v>
      </c>
      <c r="J22" s="86"/>
      <c r="K22" s="67">
        <f t="shared" si="2"/>
        <v>2873</v>
      </c>
      <c r="L22" s="369">
        <f t="shared" si="3"/>
        <v>23.472189547792677</v>
      </c>
      <c r="M22" s="369">
        <f t="shared" si="4"/>
        <v>187.32111269668988</v>
      </c>
    </row>
    <row r="23" spans="1:20" x14ac:dyDescent="0.25">
      <c r="A23" s="110"/>
      <c r="E23" s="15">
        <v>47483</v>
      </c>
      <c r="F23" s="369">
        <f t="shared" si="6"/>
        <v>3046.0933965253244</v>
      </c>
      <c r="G23" s="14">
        <f t="shared" si="7"/>
        <v>50.412845712494111</v>
      </c>
      <c r="H23" s="14"/>
      <c r="I23" s="369">
        <f t="shared" si="5"/>
        <v>50.412845712494111</v>
      </c>
      <c r="J23" s="71"/>
      <c r="K23" s="67">
        <f t="shared" si="2"/>
        <v>3054</v>
      </c>
      <c r="L23" s="369">
        <f t="shared" si="3"/>
        <v>22.36857245601486</v>
      </c>
      <c r="M23" s="369">
        <f t="shared" si="4"/>
        <v>189.7600563351927</v>
      </c>
    </row>
    <row r="24" spans="1:20" x14ac:dyDescent="0.25">
      <c r="A24" s="110"/>
      <c r="E24" s="15">
        <v>47664</v>
      </c>
      <c r="F24" s="369">
        <f t="shared" si="6"/>
        <v>3046.0933965253244</v>
      </c>
      <c r="G24" s="14">
        <f t="shared" si="7"/>
        <v>50.412845712494111</v>
      </c>
      <c r="H24" s="14"/>
      <c r="I24" s="369">
        <f t="shared" si="5"/>
        <v>50.412845712494111</v>
      </c>
      <c r="K24" s="67">
        <f t="shared" si="2"/>
        <v>3233</v>
      </c>
      <c r="L24" s="369">
        <f t="shared" si="3"/>
        <v>21.328192034140748</v>
      </c>
      <c r="M24" s="369">
        <f t="shared" si="4"/>
        <v>191.53901346215847</v>
      </c>
    </row>
    <row r="25" spans="1:20" x14ac:dyDescent="0.25">
      <c r="A25" s="110"/>
      <c r="E25" s="15">
        <v>47848</v>
      </c>
      <c r="F25" s="369">
        <f t="shared" si="6"/>
        <v>3046.0933965253244</v>
      </c>
      <c r="G25" s="14">
        <f t="shared" si="7"/>
        <v>50.412845712494111</v>
      </c>
      <c r="H25" s="14"/>
      <c r="I25" s="369">
        <f t="shared" si="5"/>
        <v>50.412845712494111</v>
      </c>
      <c r="K25" s="67">
        <f t="shared" si="2"/>
        <v>3414</v>
      </c>
      <c r="L25" s="369">
        <f t="shared" si="3"/>
        <v>20.325381571245067</v>
      </c>
      <c r="M25" s="369">
        <f t="shared" si="4"/>
        <v>192.75236856730737</v>
      </c>
    </row>
    <row r="26" spans="1:20" x14ac:dyDescent="0.25">
      <c r="A26" s="110"/>
      <c r="E26" s="15">
        <v>48029</v>
      </c>
      <c r="F26" s="369">
        <f t="shared" si="6"/>
        <v>3046.0933965253244</v>
      </c>
      <c r="G26" s="14">
        <f t="shared" si="7"/>
        <v>50.412845712494111</v>
      </c>
      <c r="H26" s="14"/>
      <c r="I26" s="369">
        <f t="shared" si="5"/>
        <v>50.412845712494111</v>
      </c>
      <c r="K26" s="67">
        <f t="shared" si="2"/>
        <v>3593</v>
      </c>
      <c r="L26" s="369">
        <f t="shared" si="3"/>
        <v>19.380031612260179</v>
      </c>
      <c r="M26" s="369">
        <f t="shared" si="4"/>
        <v>193.42348217458564</v>
      </c>
    </row>
    <row r="27" spans="1:20" x14ac:dyDescent="0.25">
      <c r="A27" s="110"/>
      <c r="E27" s="15">
        <v>48213</v>
      </c>
      <c r="F27" s="369">
        <f t="shared" si="6"/>
        <v>3046.0933965253244</v>
      </c>
      <c r="G27" s="14">
        <f t="shared" si="7"/>
        <v>50.412845712494111</v>
      </c>
      <c r="H27" s="14"/>
      <c r="I27" s="369">
        <f t="shared" si="5"/>
        <v>50.412845712494111</v>
      </c>
      <c r="K27" s="67">
        <f t="shared" si="2"/>
        <v>3774</v>
      </c>
      <c r="L27" s="369">
        <f t="shared" si="3"/>
        <v>18.468819895818665</v>
      </c>
      <c r="M27" s="369">
        <f t="shared" si="4"/>
        <v>193.61479524116567</v>
      </c>
    </row>
    <row r="28" spans="1:20" x14ac:dyDescent="0.25">
      <c r="A28" s="110"/>
      <c r="E28" s="15">
        <v>48395</v>
      </c>
      <c r="F28" s="369">
        <f t="shared" si="6"/>
        <v>3046.0933965253244</v>
      </c>
      <c r="G28" s="14">
        <f t="shared" si="7"/>
        <v>50.412845712494111</v>
      </c>
      <c r="H28" s="14"/>
      <c r="I28" s="369">
        <f t="shared" si="5"/>
        <v>50.412845712494111</v>
      </c>
      <c r="K28" s="67">
        <f t="shared" si="2"/>
        <v>3953</v>
      </c>
      <c r="L28" s="369">
        <f t="shared" si="3"/>
        <v>17.609820124040116</v>
      </c>
      <c r="M28" s="369">
        <f t="shared" si="4"/>
        <v>193.36560819536274</v>
      </c>
    </row>
    <row r="29" spans="1:20" x14ac:dyDescent="0.25">
      <c r="A29" s="51"/>
      <c r="E29" s="15">
        <v>48579</v>
      </c>
      <c r="F29" s="369">
        <f t="shared" si="6"/>
        <v>3046.0933965253244</v>
      </c>
      <c r="G29" s="14">
        <f t="shared" si="7"/>
        <v>50.412845712494111</v>
      </c>
      <c r="H29" s="14"/>
      <c r="I29" s="369">
        <f t="shared" si="5"/>
        <v>50.412845712494111</v>
      </c>
      <c r="K29" s="67">
        <f t="shared" si="2"/>
        <v>4134</v>
      </c>
      <c r="L29" s="369">
        <f t="shared" si="3"/>
        <v>16.781840338325953</v>
      </c>
      <c r="M29" s="369">
        <f t="shared" si="4"/>
        <v>192.71146655177634</v>
      </c>
    </row>
    <row r="30" spans="1:20" x14ac:dyDescent="0.25">
      <c r="E30" s="15">
        <v>48760</v>
      </c>
      <c r="F30" s="369">
        <f t="shared" si="6"/>
        <v>3046.0933965253244</v>
      </c>
      <c r="G30" s="14">
        <f t="shared" si="7"/>
        <v>50.412845712494111</v>
      </c>
      <c r="H30" s="14"/>
      <c r="I30" s="369">
        <f t="shared" si="5"/>
        <v>50.412845712494111</v>
      </c>
      <c r="K30" s="67">
        <f t="shared" si="2"/>
        <v>4313</v>
      </c>
      <c r="L30" s="369">
        <f t="shared" si="3"/>
        <v>16.001303352099249</v>
      </c>
      <c r="M30" s="369">
        <f t="shared" si="4"/>
        <v>191.7045037711224</v>
      </c>
      <c r="N30" s="12"/>
      <c r="O30" s="12"/>
      <c r="P30" s="12"/>
      <c r="Q30" s="12"/>
      <c r="R30" s="12"/>
      <c r="S30" s="12"/>
      <c r="T30" s="12"/>
    </row>
    <row r="31" spans="1:20" x14ac:dyDescent="0.25">
      <c r="E31" s="15">
        <v>48944</v>
      </c>
      <c r="F31" s="369">
        <f t="shared" si="6"/>
        <v>3046.0933965253244</v>
      </c>
      <c r="G31" s="14">
        <f t="shared" si="7"/>
        <v>50.412845712494111</v>
      </c>
      <c r="H31" s="14"/>
      <c r="I31" s="369">
        <f t="shared" si="5"/>
        <v>50.412845712494111</v>
      </c>
      <c r="J31" s="165"/>
      <c r="K31" s="67">
        <f t="shared" si="2"/>
        <v>4494</v>
      </c>
      <c r="L31" s="369">
        <f t="shared" si="3"/>
        <v>15.248952923344337</v>
      </c>
      <c r="M31" s="369">
        <f t="shared" si="4"/>
        <v>190.35776232641513</v>
      </c>
      <c r="N31" s="12"/>
      <c r="O31" s="12"/>
      <c r="P31" s="12"/>
      <c r="Q31" s="12"/>
      <c r="R31" s="12"/>
      <c r="S31" s="12"/>
      <c r="T31" s="12"/>
    </row>
    <row r="32" spans="1:20" x14ac:dyDescent="0.25">
      <c r="E32" s="15">
        <v>49125</v>
      </c>
      <c r="F32" s="369">
        <f t="shared" si="6"/>
        <v>3046.0933965253244</v>
      </c>
      <c r="G32" s="14">
        <f t="shared" si="7"/>
        <v>50.412845712494111</v>
      </c>
      <c r="H32" s="14"/>
      <c r="I32" s="369">
        <f t="shared" si="5"/>
        <v>50.412845712494111</v>
      </c>
      <c r="J32" s="165"/>
      <c r="K32" s="67">
        <f t="shared" ref="K32:K55" si="8">DAYS360($E$6,E32)</f>
        <v>4673</v>
      </c>
      <c r="L32" s="369">
        <f t="shared" ref="L32:L55" si="9">I32/(1+$I$57)^(K32/360)</f>
        <v>14.53971177231767</v>
      </c>
      <c r="M32" s="369">
        <f t="shared" si="4"/>
        <v>188.73353642233465</v>
      </c>
      <c r="N32" s="12"/>
      <c r="O32" s="12"/>
      <c r="P32" s="12"/>
      <c r="Q32" s="12"/>
      <c r="R32" s="12"/>
      <c r="S32" s="12"/>
      <c r="T32" s="12"/>
    </row>
    <row r="33" spans="5:20" x14ac:dyDescent="0.25">
      <c r="E33" s="15">
        <v>49309</v>
      </c>
      <c r="F33" s="369">
        <f t="shared" si="6"/>
        <v>3046.0933965253244</v>
      </c>
      <c r="G33" s="14">
        <f t="shared" si="7"/>
        <v>50.412845712494111</v>
      </c>
      <c r="H33" s="14"/>
      <c r="I33" s="369">
        <f t="shared" si="5"/>
        <v>50.412845712494111</v>
      </c>
      <c r="J33" s="165"/>
      <c r="K33" s="67">
        <f t="shared" si="8"/>
        <v>4854</v>
      </c>
      <c r="L33" s="369">
        <f t="shared" si="9"/>
        <v>13.85608256129837</v>
      </c>
      <c r="M33" s="369">
        <f t="shared" si="4"/>
        <v>186.826179868173</v>
      </c>
      <c r="N33" s="12"/>
      <c r="O33" s="12"/>
      <c r="P33" s="12"/>
      <c r="Q33" s="12"/>
      <c r="R33" s="12"/>
      <c r="S33" s="12"/>
      <c r="T33" s="12"/>
    </row>
    <row r="34" spans="5:20" x14ac:dyDescent="0.25">
      <c r="E34" s="15">
        <v>49490</v>
      </c>
      <c r="F34" s="369">
        <f t="shared" si="6"/>
        <v>3046.0933965253244</v>
      </c>
      <c r="G34" s="14">
        <f t="shared" si="7"/>
        <v>50.412845712494111</v>
      </c>
      <c r="H34" s="14"/>
      <c r="I34" s="369">
        <f t="shared" si="5"/>
        <v>50.412845712494111</v>
      </c>
      <c r="K34" s="67">
        <f t="shared" si="8"/>
        <v>5033</v>
      </c>
      <c r="L34" s="369">
        <f t="shared" si="9"/>
        <v>13.211624938935898</v>
      </c>
      <c r="M34" s="369">
        <f t="shared" si="4"/>
        <v>184.70585643795661</v>
      </c>
      <c r="N34" s="12"/>
      <c r="O34" s="12"/>
      <c r="P34" s="148"/>
      <c r="Q34" s="12"/>
      <c r="R34" s="12"/>
      <c r="S34" s="148"/>
      <c r="T34" s="12"/>
    </row>
    <row r="35" spans="5:20" x14ac:dyDescent="0.25">
      <c r="E35" s="15">
        <v>49674</v>
      </c>
      <c r="F35" s="369">
        <f t="shared" si="6"/>
        <v>3046.0933965253244</v>
      </c>
      <c r="G35" s="14">
        <f t="shared" si="7"/>
        <v>50.412845712494111</v>
      </c>
      <c r="H35" s="14"/>
      <c r="I35" s="369">
        <f t="shared" si="5"/>
        <v>50.412845712494111</v>
      </c>
      <c r="K35" s="67">
        <f t="shared" si="8"/>
        <v>5214</v>
      </c>
      <c r="L35" s="369">
        <f t="shared" si="9"/>
        <v>12.590439809909926</v>
      </c>
      <c r="M35" s="369">
        <f t="shared" si="4"/>
        <v>182.35153658019541</v>
      </c>
      <c r="N35" s="12"/>
      <c r="O35" s="12"/>
      <c r="P35" s="47"/>
      <c r="Q35" s="12"/>
      <c r="R35" s="12"/>
      <c r="S35" s="12"/>
      <c r="T35" s="12"/>
    </row>
    <row r="36" spans="5:20" x14ac:dyDescent="0.25">
      <c r="E36" s="15">
        <v>49856</v>
      </c>
      <c r="F36" s="369">
        <f t="shared" si="6"/>
        <v>3046.0933965253244</v>
      </c>
      <c r="G36" s="14">
        <f t="shared" si="7"/>
        <v>50.412845712494111</v>
      </c>
      <c r="H36" s="14">
        <f t="shared" ref="H36:H55" si="10">$F$6/20</f>
        <v>152.30466982626621</v>
      </c>
      <c r="I36" s="369">
        <f t="shared" si="5"/>
        <v>202.71751553876032</v>
      </c>
      <c r="K36" s="67">
        <f t="shared" si="8"/>
        <v>5393</v>
      </c>
      <c r="L36" s="369">
        <f t="shared" si="9"/>
        <v>48.273271994138774</v>
      </c>
      <c r="M36" s="369">
        <f t="shared" si="4"/>
        <v>723.16043295664008</v>
      </c>
      <c r="N36" s="12"/>
      <c r="O36" s="12"/>
      <c r="P36" s="12"/>
      <c r="Q36" s="12"/>
      <c r="R36" s="12"/>
      <c r="S36" s="12"/>
      <c r="T36" s="12"/>
    </row>
    <row r="37" spans="5:20" x14ac:dyDescent="0.25">
      <c r="E37" s="15">
        <v>50040</v>
      </c>
      <c r="F37" s="369">
        <f t="shared" si="6"/>
        <v>2893.7887266990583</v>
      </c>
      <c r="G37" s="14">
        <f t="shared" si="7"/>
        <v>47.892203426869415</v>
      </c>
      <c r="H37" s="14">
        <f t="shared" si="10"/>
        <v>152.30466982626621</v>
      </c>
      <c r="I37" s="369">
        <f t="shared" si="5"/>
        <v>200.19687325313561</v>
      </c>
      <c r="K37" s="67">
        <f t="shared" si="8"/>
        <v>5574</v>
      </c>
      <c r="L37" s="369">
        <f t="shared" si="9"/>
        <v>45.43153565693175</v>
      </c>
      <c r="M37" s="369">
        <f t="shared" si="4"/>
        <v>703.43161042149325</v>
      </c>
      <c r="N37" s="12"/>
      <c r="O37" s="12"/>
      <c r="P37" s="12"/>
      <c r="Q37" s="12"/>
      <c r="R37" s="12"/>
      <c r="S37" s="12"/>
      <c r="T37" s="12"/>
    </row>
    <row r="38" spans="5:20" x14ac:dyDescent="0.25">
      <c r="E38" s="15">
        <v>50221</v>
      </c>
      <c r="F38" s="369">
        <f t="shared" si="6"/>
        <v>2741.4840568727923</v>
      </c>
      <c r="G38" s="14">
        <f t="shared" si="7"/>
        <v>45.371561141244712</v>
      </c>
      <c r="H38" s="14">
        <f t="shared" si="10"/>
        <v>152.30466982626621</v>
      </c>
      <c r="I38" s="369">
        <f t="shared" si="5"/>
        <v>197.67623096751092</v>
      </c>
      <c r="K38" s="67">
        <f t="shared" si="8"/>
        <v>5753</v>
      </c>
      <c r="L38" s="369">
        <f t="shared" si="9"/>
        <v>42.773063086699743</v>
      </c>
      <c r="M38" s="369">
        <f t="shared" si="4"/>
        <v>683.53731093828787</v>
      </c>
      <c r="N38" s="12"/>
      <c r="O38" s="12"/>
      <c r="P38" s="12"/>
      <c r="Q38" s="12"/>
      <c r="R38" s="12"/>
      <c r="S38" s="12"/>
      <c r="T38" s="12"/>
    </row>
    <row r="39" spans="5:20" x14ac:dyDescent="0.25">
      <c r="E39" s="15">
        <v>50405</v>
      </c>
      <c r="F39" s="369">
        <f t="shared" si="6"/>
        <v>2589.1793870465262</v>
      </c>
      <c r="G39" s="14">
        <f t="shared" si="7"/>
        <v>42.850918855620009</v>
      </c>
      <c r="H39" s="14">
        <f t="shared" si="10"/>
        <v>152.30466982626621</v>
      </c>
      <c r="I39" s="369">
        <f t="shared" si="5"/>
        <v>195.15558868188623</v>
      </c>
      <c r="K39" s="67">
        <f t="shared" si="8"/>
        <v>5934</v>
      </c>
      <c r="L39" s="369">
        <f t="shared" si="9"/>
        <v>40.242185451887231</v>
      </c>
      <c r="M39" s="369">
        <f t="shared" si="4"/>
        <v>663.32535686527456</v>
      </c>
      <c r="N39" s="12"/>
      <c r="O39" s="12"/>
      <c r="P39" s="12"/>
      <c r="Q39" s="12"/>
      <c r="R39" s="12"/>
      <c r="S39" s="12"/>
      <c r="T39" s="12"/>
    </row>
    <row r="40" spans="5:20" x14ac:dyDescent="0.25">
      <c r="E40" s="15">
        <v>50586</v>
      </c>
      <c r="F40" s="369">
        <f t="shared" si="6"/>
        <v>2436.8747172202602</v>
      </c>
      <c r="G40" s="14">
        <f t="shared" si="7"/>
        <v>40.330276569995306</v>
      </c>
      <c r="H40" s="14">
        <f t="shared" si="10"/>
        <v>152.30466982626621</v>
      </c>
      <c r="I40" s="369">
        <f t="shared" si="5"/>
        <v>192.63494639626151</v>
      </c>
      <c r="K40" s="67">
        <f t="shared" si="8"/>
        <v>6113</v>
      </c>
      <c r="L40" s="369">
        <f t="shared" si="9"/>
        <v>37.874893082271363</v>
      </c>
      <c r="M40" s="369">
        <f t="shared" si="4"/>
        <v>643.13672614423558</v>
      </c>
      <c r="N40" s="12"/>
      <c r="O40" s="12"/>
      <c r="P40" s="12"/>
      <c r="Q40" s="12"/>
      <c r="R40" s="12"/>
      <c r="S40" s="12"/>
      <c r="T40" s="12"/>
    </row>
    <row r="41" spans="5:20" x14ac:dyDescent="0.25">
      <c r="E41" s="15">
        <v>50770</v>
      </c>
      <c r="F41" s="369">
        <f t="shared" si="6"/>
        <v>2284.5700473939942</v>
      </c>
      <c r="G41" s="14">
        <f t="shared" si="7"/>
        <v>37.809634284370603</v>
      </c>
      <c r="H41" s="14">
        <f t="shared" si="10"/>
        <v>152.30466982626621</v>
      </c>
      <c r="I41" s="369">
        <f t="shared" si="5"/>
        <v>190.11430411063679</v>
      </c>
      <c r="K41" s="67">
        <f t="shared" si="8"/>
        <v>6294</v>
      </c>
      <c r="L41" s="369">
        <f t="shared" si="9"/>
        <v>35.621794867299805</v>
      </c>
      <c r="M41" s="369">
        <f t="shared" si="4"/>
        <v>622.78771359662494</v>
      </c>
      <c r="N41" s="12"/>
      <c r="O41" s="12"/>
      <c r="P41" s="12"/>
      <c r="Q41" s="12"/>
      <c r="R41" s="12"/>
      <c r="S41" s="12"/>
      <c r="T41" s="12"/>
    </row>
    <row r="42" spans="5:20" x14ac:dyDescent="0.25">
      <c r="E42" s="15">
        <v>50951</v>
      </c>
      <c r="F42" s="369">
        <f t="shared" si="6"/>
        <v>2132.2653775677281</v>
      </c>
      <c r="G42" s="14">
        <f t="shared" si="7"/>
        <v>35.2889919987459</v>
      </c>
      <c r="H42" s="14">
        <f t="shared" si="10"/>
        <v>152.30466982626621</v>
      </c>
      <c r="I42" s="369">
        <f t="shared" si="5"/>
        <v>187.59366182501211</v>
      </c>
      <c r="K42" s="67">
        <f t="shared" si="8"/>
        <v>6473</v>
      </c>
      <c r="L42" s="369">
        <f t="shared" si="9"/>
        <v>33.514669327600217</v>
      </c>
      <c r="M42" s="369">
        <f t="shared" si="4"/>
        <v>602.61237377098939</v>
      </c>
    </row>
    <row r="43" spans="5:20" x14ac:dyDescent="0.25">
      <c r="E43" s="15">
        <v>51135</v>
      </c>
      <c r="F43" s="369">
        <f t="shared" si="6"/>
        <v>1979.9607077414619</v>
      </c>
      <c r="G43" s="14">
        <f t="shared" si="7"/>
        <v>32.768349713121189</v>
      </c>
      <c r="H43" s="14">
        <f t="shared" si="10"/>
        <v>152.30466982626621</v>
      </c>
      <c r="I43" s="369">
        <f t="shared" si="5"/>
        <v>185.07301953938739</v>
      </c>
      <c r="K43" s="67">
        <f t="shared" si="8"/>
        <v>6654</v>
      </c>
      <c r="L43" s="369">
        <f t="shared" si="9"/>
        <v>31.509720699516944</v>
      </c>
      <c r="M43" s="369">
        <f t="shared" si="4"/>
        <v>582.40467092940492</v>
      </c>
    </row>
    <row r="44" spans="5:20" x14ac:dyDescent="0.25">
      <c r="E44" s="15">
        <v>51317</v>
      </c>
      <c r="F44" s="369">
        <f t="shared" si="6"/>
        <v>1827.6560379151956</v>
      </c>
      <c r="G44" s="14">
        <f t="shared" si="7"/>
        <v>30.247707427496486</v>
      </c>
      <c r="H44" s="14">
        <f t="shared" si="10"/>
        <v>152.30466982626621</v>
      </c>
      <c r="I44" s="369">
        <f t="shared" si="5"/>
        <v>182.5523772537627</v>
      </c>
      <c r="K44" s="67">
        <f t="shared" si="8"/>
        <v>6833</v>
      </c>
      <c r="L44" s="369">
        <f t="shared" si="9"/>
        <v>29.634984844419392</v>
      </c>
      <c r="M44" s="369">
        <f t="shared" si="4"/>
        <v>562.4884762275492</v>
      </c>
    </row>
    <row r="45" spans="5:20" x14ac:dyDescent="0.25">
      <c r="E45" s="15">
        <v>51501</v>
      </c>
      <c r="F45" s="369">
        <f t="shared" si="6"/>
        <v>1675.3513680889293</v>
      </c>
      <c r="G45" s="14">
        <f t="shared" si="7"/>
        <v>27.72706514187178</v>
      </c>
      <c r="H45" s="14">
        <f t="shared" si="10"/>
        <v>152.30466982626621</v>
      </c>
      <c r="I45" s="369">
        <f t="shared" si="5"/>
        <v>180.03173496813798</v>
      </c>
      <c r="K45" s="67">
        <f t="shared" si="8"/>
        <v>7014</v>
      </c>
      <c r="L45" s="369">
        <f t="shared" si="9"/>
        <v>27.851651252988219</v>
      </c>
      <c r="M45" s="369">
        <f t="shared" si="4"/>
        <v>542.64300524572047</v>
      </c>
    </row>
    <row r="46" spans="5:20" x14ac:dyDescent="0.25">
      <c r="E46" s="15">
        <v>51682</v>
      </c>
      <c r="F46" s="369">
        <f t="shared" si="6"/>
        <v>1523.0466982626631</v>
      </c>
      <c r="G46" s="14">
        <f t="shared" si="7"/>
        <v>25.206422856247073</v>
      </c>
      <c r="H46" s="14">
        <f t="shared" si="10"/>
        <v>152.30466982626621</v>
      </c>
      <c r="I46" s="369">
        <f t="shared" si="5"/>
        <v>177.51109268251327</v>
      </c>
      <c r="K46" s="67">
        <f t="shared" si="8"/>
        <v>7193</v>
      </c>
      <c r="L46" s="369">
        <f t="shared" si="9"/>
        <v>26.18443171168553</v>
      </c>
      <c r="M46" s="369">
        <f t="shared" si="4"/>
        <v>523.17949250598338</v>
      </c>
    </row>
    <row r="47" spans="5:20" x14ac:dyDescent="0.25">
      <c r="E47" s="15">
        <v>51866</v>
      </c>
      <c r="F47" s="369">
        <f t="shared" si="6"/>
        <v>1370.7420284363968</v>
      </c>
      <c r="G47" s="14">
        <f t="shared" si="7"/>
        <v>22.685780570622367</v>
      </c>
      <c r="H47" s="14">
        <f t="shared" si="10"/>
        <v>152.30466982626621</v>
      </c>
      <c r="I47" s="369">
        <f t="shared" si="5"/>
        <v>174.99045039688858</v>
      </c>
      <c r="K47" s="67">
        <f t="shared" si="8"/>
        <v>7374</v>
      </c>
      <c r="L47" s="369">
        <f t="shared" si="9"/>
        <v>24.598955643124903</v>
      </c>
      <c r="M47" s="369">
        <f t="shared" si="4"/>
        <v>503.86860809000842</v>
      </c>
    </row>
    <row r="48" spans="5:20" x14ac:dyDescent="0.25">
      <c r="E48" s="15">
        <v>52047</v>
      </c>
      <c r="F48" s="369">
        <f t="shared" si="6"/>
        <v>1218.4373586101306</v>
      </c>
      <c r="G48" s="14">
        <f t="shared" si="7"/>
        <v>20.16513828499766</v>
      </c>
      <c r="H48" s="14">
        <f t="shared" si="10"/>
        <v>152.30466982626621</v>
      </c>
      <c r="I48" s="369">
        <f t="shared" si="5"/>
        <v>172.46980811126386</v>
      </c>
      <c r="K48" s="67">
        <f t="shared" si="8"/>
        <v>7553</v>
      </c>
      <c r="L48" s="369">
        <f t="shared" si="9"/>
        <v>23.116984100900599</v>
      </c>
      <c r="M48" s="369">
        <f t="shared" si="4"/>
        <v>485.00716920583949</v>
      </c>
    </row>
    <row r="49" spans="5:13" x14ac:dyDescent="0.25">
      <c r="E49" s="15">
        <v>52231</v>
      </c>
      <c r="F49" s="369">
        <f t="shared" si="6"/>
        <v>1066.1326887838643</v>
      </c>
      <c r="G49" s="14">
        <f t="shared" si="7"/>
        <v>17.644495999372953</v>
      </c>
      <c r="H49" s="14">
        <f t="shared" si="10"/>
        <v>152.30466982626621</v>
      </c>
      <c r="I49" s="369">
        <f t="shared" si="5"/>
        <v>169.94916582563917</v>
      </c>
      <c r="K49" s="67">
        <f t="shared" si="8"/>
        <v>7734</v>
      </c>
      <c r="L49" s="369">
        <f t="shared" si="9"/>
        <v>21.708099145063169</v>
      </c>
      <c r="M49" s="369">
        <f t="shared" si="4"/>
        <v>466.36232996644043</v>
      </c>
    </row>
    <row r="50" spans="5:13" x14ac:dyDescent="0.25">
      <c r="E50" s="15">
        <v>52412</v>
      </c>
      <c r="F50" s="369">
        <f t="shared" si="6"/>
        <v>913.82801895759803</v>
      </c>
      <c r="G50" s="14">
        <f t="shared" si="7"/>
        <v>15.123853713748247</v>
      </c>
      <c r="H50" s="14">
        <f t="shared" si="10"/>
        <v>152.30466982626621</v>
      </c>
      <c r="I50" s="369">
        <f t="shared" si="5"/>
        <v>167.42852354001445</v>
      </c>
      <c r="K50" s="67">
        <f t="shared" si="8"/>
        <v>7913</v>
      </c>
      <c r="L50" s="369">
        <f t="shared" si="9"/>
        <v>20.391443968713624</v>
      </c>
      <c r="M50" s="369">
        <f t="shared" si="4"/>
        <v>448.21526701230806</v>
      </c>
    </row>
    <row r="51" spans="5:13" x14ac:dyDescent="0.25">
      <c r="E51" s="15">
        <v>52596</v>
      </c>
      <c r="F51" s="369">
        <f t="shared" si="6"/>
        <v>761.52334913133177</v>
      </c>
      <c r="G51" s="14">
        <f t="shared" si="7"/>
        <v>12.60321142812354</v>
      </c>
      <c r="H51" s="14">
        <f t="shared" si="10"/>
        <v>152.30466982626621</v>
      </c>
      <c r="I51" s="369">
        <f t="shared" si="5"/>
        <v>164.90788125438974</v>
      </c>
      <c r="K51" s="67">
        <f t="shared" si="8"/>
        <v>8094</v>
      </c>
      <c r="L51" s="369">
        <f t="shared" si="9"/>
        <v>19.140117951801809</v>
      </c>
      <c r="M51" s="369">
        <f t="shared" si="4"/>
        <v>430.33365194967735</v>
      </c>
    </row>
    <row r="52" spans="5:13" x14ac:dyDescent="0.25">
      <c r="E52" s="15">
        <v>52778</v>
      </c>
      <c r="F52" s="369">
        <f t="shared" si="6"/>
        <v>609.21867930506551</v>
      </c>
      <c r="G52" s="14">
        <f t="shared" si="7"/>
        <v>10.082569142498834</v>
      </c>
      <c r="H52" s="14">
        <f t="shared" si="10"/>
        <v>152.30466982626621</v>
      </c>
      <c r="I52" s="369">
        <f t="shared" si="5"/>
        <v>162.38723896876505</v>
      </c>
      <c r="K52" s="67">
        <f t="shared" si="8"/>
        <v>8273</v>
      </c>
      <c r="L52" s="369">
        <f t="shared" si="9"/>
        <v>17.970943107878437</v>
      </c>
      <c r="M52" s="369">
        <f t="shared" si="4"/>
        <v>412.98225647632859</v>
      </c>
    </row>
    <row r="53" spans="5:13" x14ac:dyDescent="0.25">
      <c r="E53" s="15">
        <v>52962</v>
      </c>
      <c r="F53" s="369">
        <f t="shared" si="6"/>
        <v>456.9140094787993</v>
      </c>
      <c r="G53" s="14">
        <f t="shared" si="7"/>
        <v>7.5619268568741278</v>
      </c>
      <c r="H53" s="14">
        <f t="shared" si="10"/>
        <v>152.30466982626621</v>
      </c>
      <c r="I53" s="369">
        <f t="shared" si="5"/>
        <v>159.86659668314033</v>
      </c>
      <c r="K53" s="67">
        <f t="shared" si="8"/>
        <v>8454</v>
      </c>
      <c r="L53" s="369">
        <f t="shared" si="9"/>
        <v>16.860147366528107</v>
      </c>
      <c r="M53" s="369">
        <f t="shared" si="4"/>
        <v>395.9324606573017</v>
      </c>
    </row>
    <row r="54" spans="5:13" x14ac:dyDescent="0.25">
      <c r="E54" s="15">
        <v>53143</v>
      </c>
      <c r="F54" s="369">
        <f t="shared" si="6"/>
        <v>304.60933965253309</v>
      </c>
      <c r="G54" s="14">
        <f t="shared" si="7"/>
        <v>5.0412845712494221</v>
      </c>
      <c r="H54" s="14">
        <f t="shared" si="10"/>
        <v>152.30466982626621</v>
      </c>
      <c r="I54" s="369">
        <f t="shared" si="5"/>
        <v>157.34595439751564</v>
      </c>
      <c r="K54" s="67">
        <f t="shared" si="8"/>
        <v>8633</v>
      </c>
      <c r="L54" s="369">
        <f t="shared" si="9"/>
        <v>15.822495885583976</v>
      </c>
      <c r="M54" s="369">
        <f t="shared" si="4"/>
        <v>379.43224161179569</v>
      </c>
    </row>
    <row r="55" spans="5:13" x14ac:dyDescent="0.25">
      <c r="E55" s="15">
        <v>53327</v>
      </c>
      <c r="F55" s="369">
        <f t="shared" si="6"/>
        <v>152.30466982626689</v>
      </c>
      <c r="G55" s="14">
        <f t="shared" si="7"/>
        <v>2.5206422856247168</v>
      </c>
      <c r="H55" s="14">
        <f t="shared" si="10"/>
        <v>152.30466982626621</v>
      </c>
      <c r="I55" s="369">
        <f t="shared" si="5"/>
        <v>154.82531211189092</v>
      </c>
      <c r="K55" s="67">
        <f t="shared" si="8"/>
        <v>8814</v>
      </c>
      <c r="L55" s="369">
        <f t="shared" si="9"/>
        <v>14.83699804984278</v>
      </c>
      <c r="M55" s="369">
        <f t="shared" si="4"/>
        <v>363.25916892031739</v>
      </c>
    </row>
    <row r="56" spans="5:13" x14ac:dyDescent="0.25">
      <c r="L56" s="369">
        <f>SUM(L7:L55)</f>
        <v>1346.0615096902416</v>
      </c>
      <c r="M56" s="369">
        <f>SUM(M7:M55)</f>
        <v>15264.087573496518</v>
      </c>
    </row>
    <row r="57" spans="5:13" x14ac:dyDescent="0.25">
      <c r="H57" s="92" t="s">
        <v>13</v>
      </c>
      <c r="I57" s="86">
        <f>XIRR(I6:I55,E6:E55)</f>
        <v>0.10052410960197447</v>
      </c>
    </row>
    <row r="58" spans="5:13" x14ac:dyDescent="0.25">
      <c r="H58" s="92" t="s">
        <v>29</v>
      </c>
      <c r="I58" s="71">
        <f>M58/(1+(I57/2))</f>
        <v>10.797128450908575</v>
      </c>
      <c r="L58" s="12" t="s">
        <v>22</v>
      </c>
      <c r="M58" s="14">
        <f>M56/L56</f>
        <v>11.339814312801442</v>
      </c>
    </row>
    <row r="63" spans="5:13" x14ac:dyDescent="0.25">
      <c r="F63" s="247"/>
    </row>
    <row r="64" spans="5:13" x14ac:dyDescent="0.25">
      <c r="F64" s="247"/>
    </row>
  </sheetData>
  <mergeCells count="3">
    <mergeCell ref="B2:I2"/>
    <mergeCell ref="B4:C4"/>
    <mergeCell ref="E4:I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T57"/>
  <sheetViews>
    <sheetView showGridLines="0" zoomScale="90" zoomScaleNormal="90" workbookViewId="0">
      <selection activeCell="K12" sqref="K12"/>
    </sheetView>
  </sheetViews>
  <sheetFormatPr baseColWidth="10" defaultRowHeight="14.25" x14ac:dyDescent="0.2"/>
  <cols>
    <col min="1" max="1" width="11.42578125" style="12"/>
    <col min="2" max="3" width="12" style="12" customWidth="1"/>
    <col min="4" max="4" width="16.42578125" style="12" customWidth="1"/>
    <col min="5" max="5" width="13.7109375" style="12" customWidth="1"/>
    <col min="6" max="6" width="14" style="12" customWidth="1"/>
    <col min="7" max="7" width="15.5703125" style="12" customWidth="1"/>
    <col min="8" max="8" width="15.5703125" style="12" bestFit="1" customWidth="1"/>
    <col min="9" max="9" width="11.5703125" style="12" bestFit="1" customWidth="1"/>
    <col min="10" max="10" width="12.140625" style="12" customWidth="1"/>
    <col min="11" max="11" width="10.42578125" style="12" customWidth="1"/>
    <col min="12" max="12" width="13.42578125" style="12" customWidth="1"/>
    <col min="13" max="13" width="12" style="12" customWidth="1"/>
    <col min="14" max="14" width="11.85546875" style="12" customWidth="1"/>
    <col min="15" max="15" width="14.85546875" style="12" customWidth="1"/>
    <col min="16" max="16" width="14.42578125" style="12" customWidth="1"/>
    <col min="17" max="16384" width="11.42578125" style="12"/>
  </cols>
  <sheetData>
    <row r="2" spans="2:16" ht="15" x14ac:dyDescent="0.25">
      <c r="B2" s="150" t="s">
        <v>43</v>
      </c>
      <c r="C2" s="150"/>
      <c r="E2" s="31">
        <f>'Planilla de datos'!D3</f>
        <v>44384</v>
      </c>
    </row>
    <row r="3" spans="2:16" x14ac:dyDescent="0.2">
      <c r="F3" s="15"/>
    </row>
    <row r="4" spans="2:16" ht="15.75" x14ac:dyDescent="0.25">
      <c r="B4" s="418" t="s">
        <v>67</v>
      </c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</row>
    <row r="5" spans="2:16" x14ac:dyDescent="0.2">
      <c r="F5" s="15"/>
    </row>
    <row r="6" spans="2:16" ht="30" x14ac:dyDescent="0.2">
      <c r="B6" s="156" t="s">
        <v>49</v>
      </c>
      <c r="C6" s="156" t="s">
        <v>130</v>
      </c>
      <c r="D6" s="156" t="s">
        <v>68</v>
      </c>
      <c r="E6" s="156" t="s">
        <v>69</v>
      </c>
      <c r="F6" s="156" t="s">
        <v>71</v>
      </c>
      <c r="G6" s="156" t="s">
        <v>72</v>
      </c>
      <c r="H6" s="156" t="s">
        <v>1</v>
      </c>
      <c r="I6" s="156" t="s">
        <v>21</v>
      </c>
      <c r="J6" s="156" t="s">
        <v>47</v>
      </c>
      <c r="K6" s="156" t="s">
        <v>131</v>
      </c>
      <c r="L6" s="156" t="s">
        <v>48</v>
      </c>
      <c r="M6" s="156" t="s">
        <v>57</v>
      </c>
      <c r="N6" s="156" t="s">
        <v>17</v>
      </c>
      <c r="O6" s="156" t="s">
        <v>10</v>
      </c>
      <c r="P6" s="156"/>
    </row>
    <row r="7" spans="2:16" x14ac:dyDescent="0.2">
      <c r="B7" s="267" t="s">
        <v>175</v>
      </c>
      <c r="C7" s="155">
        <v>44169</v>
      </c>
      <c r="D7" s="155">
        <v>44154</v>
      </c>
      <c r="E7" s="159">
        <f>+'Serie CER'!E101</f>
        <v>24.285399999999999</v>
      </c>
      <c r="F7" s="155">
        <v>44438</v>
      </c>
      <c r="G7" s="160">
        <f>+'Serie CER'!H246</f>
        <v>34.137791154237689</v>
      </c>
      <c r="H7" s="158">
        <v>44452</v>
      </c>
      <c r="I7" s="309">
        <f>+H7-$E$2</f>
        <v>68</v>
      </c>
      <c r="J7" s="128">
        <f>+'Planilla de datos'!C37</f>
        <v>131.4</v>
      </c>
      <c r="K7" s="160">
        <f t="shared" ref="K7:K12" si="0">(G7/E7)</f>
        <v>1.4056919447173071</v>
      </c>
      <c r="L7" s="128">
        <f t="shared" ref="L7:L12" si="1">K7*100</f>
        <v>140.5691944717307</v>
      </c>
      <c r="M7" s="157">
        <f>L7/J7-1</f>
        <v>6.978077984574349E-2</v>
      </c>
      <c r="N7" s="157">
        <f>M7/I7*365</f>
        <v>0.37455859770141731</v>
      </c>
      <c r="O7" s="157">
        <f>(1+M7)^(365/I7)-1</f>
        <v>0.43629648693281164</v>
      </c>
    </row>
    <row r="8" spans="2:16" x14ac:dyDescent="0.2">
      <c r="B8" s="310" t="s">
        <v>216</v>
      </c>
      <c r="C8" s="155">
        <v>44273</v>
      </c>
      <c r="D8" s="155">
        <v>44259</v>
      </c>
      <c r="E8" s="159">
        <v>27.5701</v>
      </c>
      <c r="F8" s="155">
        <v>44606</v>
      </c>
      <c r="G8" s="160">
        <f>+'Serie CER'!K49</f>
        <v>39.811632329624445</v>
      </c>
      <c r="H8" s="158">
        <v>44620</v>
      </c>
      <c r="I8" s="310">
        <f>+H8-$E$2</f>
        <v>236</v>
      </c>
      <c r="J8" s="128">
        <f>+'Planilla de datos'!C38</f>
        <v>113.76</v>
      </c>
      <c r="K8" s="160">
        <f t="shared" si="0"/>
        <v>1.4440147960879519</v>
      </c>
      <c r="L8" s="128">
        <f t="shared" si="1"/>
        <v>144.4014796087952</v>
      </c>
      <c r="M8" s="157">
        <f>L8/J8-1</f>
        <v>0.26935196561880437</v>
      </c>
      <c r="N8" s="157">
        <f t="shared" ref="N8:N11" si="2">M8/I8*365</f>
        <v>0.41658248919857449</v>
      </c>
      <c r="O8" s="157">
        <f t="shared" ref="O8:O11" si="3">(1+M8)^(365/I8)-1</f>
        <v>0.44610912708830042</v>
      </c>
    </row>
    <row r="9" spans="2:16" x14ac:dyDescent="0.2">
      <c r="B9" s="310" t="s">
        <v>217</v>
      </c>
      <c r="C9" s="155">
        <v>44286</v>
      </c>
      <c r="D9" s="155">
        <v>44271</v>
      </c>
      <c r="E9" s="159">
        <v>28.030100000000001</v>
      </c>
      <c r="F9" s="155">
        <v>44636</v>
      </c>
      <c r="G9" s="160">
        <f>+'Serie CER'!K79</f>
        <v>40.925142796753249</v>
      </c>
      <c r="H9" s="158">
        <v>44651</v>
      </c>
      <c r="I9" s="310">
        <f>+H9-$E$2</f>
        <v>267</v>
      </c>
      <c r="J9" s="128">
        <f>+'Planilla de datos'!C39</f>
        <v>111.45</v>
      </c>
      <c r="K9" s="160">
        <f t="shared" si="0"/>
        <v>1.4600426968420821</v>
      </c>
      <c r="L9" s="128">
        <f t="shared" si="1"/>
        <v>146.0042696842082</v>
      </c>
      <c r="M9" s="157">
        <f t="shared" ref="M9:M11" si="4">L9/J9-1</f>
        <v>0.31004279662815781</v>
      </c>
      <c r="N9" s="157">
        <f t="shared" si="2"/>
        <v>0.42384127628942919</v>
      </c>
      <c r="O9" s="157">
        <f t="shared" si="3"/>
        <v>0.44655212591047122</v>
      </c>
    </row>
    <row r="10" spans="2:16" x14ac:dyDescent="0.2">
      <c r="B10" s="316" t="s">
        <v>218</v>
      </c>
      <c r="C10" s="155">
        <v>44305</v>
      </c>
      <c r="D10" s="155">
        <v>44291</v>
      </c>
      <c r="E10" s="159">
        <v>28.677</v>
      </c>
      <c r="F10" s="155">
        <v>44651</v>
      </c>
      <c r="G10" s="160">
        <f>+'Serie CER'!K94</f>
        <v>41.494139317460402</v>
      </c>
      <c r="H10" s="158">
        <v>44669</v>
      </c>
      <c r="I10" s="360">
        <f>+H10-$E$2</f>
        <v>285</v>
      </c>
      <c r="J10" s="128">
        <f>+'Planilla de datos'!C40</f>
        <v>108.75</v>
      </c>
      <c r="K10" s="160">
        <f t="shared" si="0"/>
        <v>1.4469484017665866</v>
      </c>
      <c r="L10" s="128">
        <f t="shared" si="1"/>
        <v>144.69484017665866</v>
      </c>
      <c r="M10" s="157">
        <f t="shared" si="4"/>
        <v>0.33052726599226356</v>
      </c>
      <c r="N10" s="157">
        <f t="shared" si="2"/>
        <v>0.4233068494286884</v>
      </c>
      <c r="O10" s="157">
        <f t="shared" si="3"/>
        <v>0.4415757601507353</v>
      </c>
    </row>
    <row r="11" spans="2:16" x14ac:dyDescent="0.2">
      <c r="B11" s="328" t="s">
        <v>236</v>
      </c>
      <c r="C11" s="155">
        <v>44337</v>
      </c>
      <c r="D11" s="155">
        <v>44323</v>
      </c>
      <c r="E11" s="159">
        <v>30.020700000000001</v>
      </c>
      <c r="F11" s="155">
        <v>44690</v>
      </c>
      <c r="G11" s="160">
        <f>+'Serie CER'!K133</f>
        <v>43.010828653489412</v>
      </c>
      <c r="H11" s="158">
        <v>44704</v>
      </c>
      <c r="I11" s="328">
        <f>+H11-$E$2</f>
        <v>320</v>
      </c>
      <c r="J11" s="128">
        <f>+'Planilla de datos'!C41</f>
        <v>103.9</v>
      </c>
      <c r="K11" s="160">
        <f t="shared" si="0"/>
        <v>1.4327057215018106</v>
      </c>
      <c r="L11" s="128">
        <f t="shared" si="1"/>
        <v>143.27057215018107</v>
      </c>
      <c r="M11" s="157">
        <f t="shared" si="4"/>
        <v>0.37892754716247401</v>
      </c>
      <c r="N11" s="157">
        <f t="shared" si="2"/>
        <v>0.43221423348219695</v>
      </c>
      <c r="O11" s="157">
        <f t="shared" si="3"/>
        <v>0.44266157223618996</v>
      </c>
    </row>
    <row r="12" spans="2:16" x14ac:dyDescent="0.2">
      <c r="B12" s="360" t="s">
        <v>258</v>
      </c>
      <c r="C12" s="155">
        <v>44377</v>
      </c>
      <c r="D12" s="155">
        <v>44362</v>
      </c>
      <c r="E12" s="159">
        <f>+'Serie CER'!H170</f>
        <v>31.6447</v>
      </c>
      <c r="F12" s="155">
        <v>44546</v>
      </c>
      <c r="G12" s="160">
        <f>+'Serie CER'!H354</f>
        <v>37.706014477822819</v>
      </c>
      <c r="H12" s="158">
        <v>44561</v>
      </c>
      <c r="I12" s="360">
        <f>+H12-$C$12</f>
        <v>184</v>
      </c>
      <c r="J12" s="128">
        <v>99.2</v>
      </c>
      <c r="K12" s="160">
        <f t="shared" si="0"/>
        <v>1.1915428010953752</v>
      </c>
      <c r="L12" s="128">
        <f t="shared" si="1"/>
        <v>119.15428010953752</v>
      </c>
      <c r="M12" s="157">
        <f t="shared" ref="M12" si="5">L12/J12-1</f>
        <v>0.20115201723324105</v>
      </c>
      <c r="N12" s="157">
        <f t="shared" ref="N12" si="6">M12/I12*365</f>
        <v>0.39902438201159235</v>
      </c>
      <c r="O12" s="157">
        <f t="shared" ref="O12" si="7">(1+M12)^(365/I12)-1</f>
        <v>0.43846121609524746</v>
      </c>
    </row>
    <row r="13" spans="2:16" ht="15" x14ac:dyDescent="0.25">
      <c r="E13" s="110"/>
      <c r="F13" s="121"/>
      <c r="G13" s="139"/>
      <c r="H13" s="114"/>
      <c r="I13" s="110"/>
      <c r="J13" s="110"/>
      <c r="K13" s="22"/>
      <c r="M13" s="387"/>
      <c r="N13" s="387"/>
    </row>
    <row r="14" spans="2:16" x14ac:dyDescent="0.2">
      <c r="E14" s="110"/>
      <c r="F14" s="121"/>
      <c r="G14" s="139"/>
      <c r="H14" s="110"/>
      <c r="I14" s="110"/>
      <c r="J14" s="110"/>
      <c r="K14" s="22"/>
      <c r="N14" s="15"/>
    </row>
    <row r="15" spans="2:16" x14ac:dyDescent="0.2">
      <c r="B15" s="15"/>
      <c r="C15" s="22"/>
      <c r="E15" s="110"/>
      <c r="F15" s="110"/>
      <c r="G15" s="115"/>
      <c r="H15" s="114"/>
      <c r="I15" s="110"/>
      <c r="J15" s="110"/>
      <c r="K15" s="22"/>
    </row>
    <row r="16" spans="2:16" x14ac:dyDescent="0.2">
      <c r="E16" s="110"/>
      <c r="F16" s="110"/>
      <c r="G16" s="110"/>
      <c r="H16" s="110"/>
      <c r="I16" s="110"/>
      <c r="J16" s="110"/>
      <c r="N16" s="30"/>
    </row>
    <row r="17" spans="6:20" x14ac:dyDescent="0.2">
      <c r="K17" s="31"/>
      <c r="N17" s="14"/>
      <c r="O17" s="22"/>
      <c r="P17" s="22"/>
      <c r="Q17" s="22"/>
    </row>
    <row r="18" spans="6:20" ht="15" x14ac:dyDescent="0.25">
      <c r="F18" s="403"/>
      <c r="G18" s="403"/>
      <c r="H18" s="110"/>
      <c r="K18" s="31"/>
      <c r="N18" s="22"/>
      <c r="O18" s="22"/>
      <c r="P18" s="22"/>
      <c r="Q18" s="387" t="s">
        <v>181</v>
      </c>
      <c r="R18" s="387"/>
      <c r="S18" s="387"/>
      <c r="T18" s="387"/>
    </row>
    <row r="20" spans="6:20" ht="15" x14ac:dyDescent="0.25">
      <c r="K20" s="31"/>
      <c r="Q20" s="417" t="s">
        <v>175</v>
      </c>
      <c r="R20" s="417"/>
      <c r="S20" s="417"/>
      <c r="T20" s="417"/>
    </row>
    <row r="21" spans="6:20" x14ac:dyDescent="0.2">
      <c r="K21" s="31"/>
      <c r="Q21" s="12" t="s">
        <v>2</v>
      </c>
      <c r="R21" s="47">
        <f>+E7</f>
        <v>24.285399999999999</v>
      </c>
      <c r="S21" s="14">
        <f>-'Planilla de datos'!C37</f>
        <v>-131.4</v>
      </c>
      <c r="T21" s="155">
        <f>'Planilla de datos'!D3</f>
        <v>44384</v>
      </c>
    </row>
    <row r="22" spans="6:20" x14ac:dyDescent="0.2">
      <c r="K22" s="65"/>
      <c r="Q22" s="12" t="s">
        <v>176</v>
      </c>
      <c r="R22" s="47">
        <f>'Planilla de datos'!D64</f>
        <v>31.919899999999998</v>
      </c>
      <c r="S22" s="14">
        <f>R23*100</f>
        <v>131.43658329696029</v>
      </c>
      <c r="T22" s="155">
        <f>H7</f>
        <v>44452</v>
      </c>
    </row>
    <row r="23" spans="6:20" x14ac:dyDescent="0.2">
      <c r="Q23" s="12" t="s">
        <v>4</v>
      </c>
      <c r="R23" s="268">
        <f>(R22/R21)</f>
        <v>1.3143658329696031</v>
      </c>
      <c r="T23" s="12">
        <f>T22-T21</f>
        <v>68</v>
      </c>
    </row>
    <row r="24" spans="6:20" x14ac:dyDescent="0.2">
      <c r="R24" s="268"/>
    </row>
    <row r="25" spans="6:20" x14ac:dyDescent="0.2">
      <c r="R25" s="269" t="s">
        <v>10</v>
      </c>
      <c r="S25" s="270">
        <f>XIRR(S21:S22,T21:T22)</f>
        <v>1.4953225851058961E-3</v>
      </c>
      <c r="T25" s="22">
        <f>(S22/-S21)^(360/T23)-1</f>
        <v>1.474825620803033E-3</v>
      </c>
    </row>
    <row r="26" spans="6:20" x14ac:dyDescent="0.2">
      <c r="K26" s="22"/>
    </row>
    <row r="27" spans="6:20" x14ac:dyDescent="0.2">
      <c r="K27" s="22"/>
    </row>
    <row r="28" spans="6:20" ht="15" x14ac:dyDescent="0.25">
      <c r="K28" s="22"/>
      <c r="Q28" s="417" t="s">
        <v>216</v>
      </c>
      <c r="R28" s="417"/>
      <c r="S28" s="417"/>
      <c r="T28" s="417"/>
    </row>
    <row r="29" spans="6:20" x14ac:dyDescent="0.2">
      <c r="Q29" s="12" t="s">
        <v>2</v>
      </c>
      <c r="R29" s="47">
        <f>+E8</f>
        <v>27.5701</v>
      </c>
      <c r="S29" s="14">
        <f>-J8</f>
        <v>-113.76</v>
      </c>
      <c r="T29" s="155">
        <f>+'Planilla de datos'!D3</f>
        <v>44384</v>
      </c>
    </row>
    <row r="30" spans="6:20" x14ac:dyDescent="0.2">
      <c r="Q30" s="12" t="s">
        <v>176</v>
      </c>
      <c r="R30" s="47">
        <f>+'Planilla de datos'!D64</f>
        <v>31.919899999999998</v>
      </c>
      <c r="S30" s="14">
        <f>R31*100</f>
        <v>115.77723693421495</v>
      </c>
      <c r="T30" s="155">
        <f>+H8</f>
        <v>44620</v>
      </c>
    </row>
    <row r="31" spans="6:20" x14ac:dyDescent="0.2">
      <c r="Q31" s="12" t="s">
        <v>4</v>
      </c>
      <c r="R31" s="268">
        <f>(R30/R29)</f>
        <v>1.1577723693421496</v>
      </c>
    </row>
    <row r="32" spans="6:20" x14ac:dyDescent="0.2">
      <c r="R32" s="268"/>
    </row>
    <row r="33" spans="17:20" x14ac:dyDescent="0.2">
      <c r="R33" s="269" t="s">
        <v>10</v>
      </c>
      <c r="S33" s="270">
        <f>XIRR(S29:S30,T29:T30)</f>
        <v>2.7557656168937687E-2</v>
      </c>
    </row>
    <row r="36" spans="17:20" ht="15" x14ac:dyDescent="0.25">
      <c r="Q36" s="417" t="s">
        <v>217</v>
      </c>
      <c r="R36" s="417"/>
      <c r="S36" s="417"/>
      <c r="T36" s="417"/>
    </row>
    <row r="37" spans="17:20" x14ac:dyDescent="0.2">
      <c r="Q37" s="12" t="s">
        <v>2</v>
      </c>
      <c r="R37" s="47">
        <f>+E9</f>
        <v>28.030100000000001</v>
      </c>
      <c r="S37" s="14">
        <f>-J9</f>
        <v>-111.45</v>
      </c>
      <c r="T37" s="155">
        <f>+'Planilla de datos'!D3</f>
        <v>44384</v>
      </c>
    </row>
    <row r="38" spans="17:20" x14ac:dyDescent="0.2">
      <c r="Q38" s="12" t="s">
        <v>176</v>
      </c>
      <c r="R38" s="47">
        <f>+'Planilla de datos'!D64</f>
        <v>31.919899999999998</v>
      </c>
      <c r="S38" s="14">
        <f>R39*100</f>
        <v>113.87722484043938</v>
      </c>
      <c r="T38" s="155">
        <f>+H9</f>
        <v>44651</v>
      </c>
    </row>
    <row r="39" spans="17:20" x14ac:dyDescent="0.2">
      <c r="Q39" s="12" t="s">
        <v>4</v>
      </c>
      <c r="R39" s="268">
        <f>(R38/R37)</f>
        <v>1.1387722484043938</v>
      </c>
    </row>
    <row r="40" spans="17:20" x14ac:dyDescent="0.2">
      <c r="R40" s="268"/>
    </row>
    <row r="41" spans="17:20" x14ac:dyDescent="0.2">
      <c r="R41" s="269" t="s">
        <v>10</v>
      </c>
      <c r="S41" s="270">
        <f>XIRR(S37:S38,T37:T38)</f>
        <v>2.989069521427154E-2</v>
      </c>
    </row>
    <row r="44" spans="17:20" ht="15" x14ac:dyDescent="0.25">
      <c r="Q44" s="417" t="s">
        <v>218</v>
      </c>
      <c r="R44" s="417"/>
      <c r="S44" s="417"/>
      <c r="T44" s="417"/>
    </row>
    <row r="45" spans="17:20" x14ac:dyDescent="0.2">
      <c r="Q45" s="12" t="s">
        <v>2</v>
      </c>
      <c r="R45" s="47">
        <f>+E10</f>
        <v>28.677</v>
      </c>
      <c r="S45" s="14">
        <f>-J10</f>
        <v>-108.75</v>
      </c>
      <c r="T45" s="155">
        <f>+'Planilla de datos'!D3</f>
        <v>44384</v>
      </c>
    </row>
    <row r="46" spans="17:20" x14ac:dyDescent="0.2">
      <c r="Q46" s="12" t="s">
        <v>176</v>
      </c>
      <c r="R46" s="47">
        <f>+'Planilla de datos'!D64</f>
        <v>31.919899999999998</v>
      </c>
      <c r="S46" s="14">
        <f>R47*100</f>
        <v>111.3083655891481</v>
      </c>
      <c r="T46" s="155">
        <f>+H10</f>
        <v>44669</v>
      </c>
    </row>
    <row r="47" spans="17:20" x14ac:dyDescent="0.2">
      <c r="Q47" s="12" t="s">
        <v>4</v>
      </c>
      <c r="R47" s="268">
        <f>(R46/R45)</f>
        <v>1.1130836558914809</v>
      </c>
    </row>
    <row r="48" spans="17:20" x14ac:dyDescent="0.2">
      <c r="R48" s="268"/>
    </row>
    <row r="49" spans="17:20" x14ac:dyDescent="0.2">
      <c r="R49" s="269" t="s">
        <v>10</v>
      </c>
      <c r="S49" s="270">
        <f>XIRR(S45:S46,T45:T46)</f>
        <v>3.022768795490265E-2</v>
      </c>
    </row>
    <row r="52" spans="17:20" ht="15" x14ac:dyDescent="0.25">
      <c r="Q52" s="417" t="s">
        <v>236</v>
      </c>
      <c r="R52" s="417"/>
      <c r="S52" s="417"/>
      <c r="T52" s="417"/>
    </row>
    <row r="53" spans="17:20" x14ac:dyDescent="0.2">
      <c r="Q53" s="12" t="s">
        <v>2</v>
      </c>
      <c r="R53" s="47">
        <f>+E11</f>
        <v>30.020700000000001</v>
      </c>
      <c r="S53" s="14">
        <f>-'Planilla de datos'!C41</f>
        <v>-103.9</v>
      </c>
      <c r="T53" s="155">
        <f>+'Planilla de datos'!D3</f>
        <v>44384</v>
      </c>
    </row>
    <row r="54" spans="17:20" x14ac:dyDescent="0.2">
      <c r="Q54" s="12" t="s">
        <v>176</v>
      </c>
      <c r="R54" s="47">
        <f>+'Planilla de datos'!D64</f>
        <v>31.919899999999998</v>
      </c>
      <c r="S54" s="14">
        <f>R55*100</f>
        <v>106.32630151861882</v>
      </c>
      <c r="T54" s="155">
        <v>44704</v>
      </c>
    </row>
    <row r="55" spans="17:20" x14ac:dyDescent="0.2">
      <c r="Q55" s="12" t="s">
        <v>4</v>
      </c>
      <c r="R55" s="268">
        <f>(R54/R53)</f>
        <v>1.0632630151861882</v>
      </c>
    </row>
    <row r="56" spans="17:20" x14ac:dyDescent="0.2">
      <c r="R56" s="268"/>
    </row>
    <row r="57" spans="17:20" x14ac:dyDescent="0.2">
      <c r="R57" s="269" t="s">
        <v>10</v>
      </c>
      <c r="S57" s="270">
        <f>XIRR(S53:S54,T53:T54)</f>
        <v>2.6679638028144836E-2</v>
      </c>
    </row>
  </sheetData>
  <mergeCells count="9">
    <mergeCell ref="Q52:T52"/>
    <mergeCell ref="Q44:T44"/>
    <mergeCell ref="Q28:T28"/>
    <mergeCell ref="Q36:T36"/>
    <mergeCell ref="B4:O4"/>
    <mergeCell ref="Q18:T18"/>
    <mergeCell ref="Q20:T20"/>
    <mergeCell ref="F18:G18"/>
    <mergeCell ref="M13:N13"/>
  </mergeCells>
  <pageMargins left="0.7" right="0.7" top="0.75" bottom="0.75" header="0.3" footer="0.3"/>
  <pageSetup orientation="portrait" r:id="rId1"/>
  <ignoredErrors>
    <ignoredError sqref="S49" evalError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AH194"/>
  <sheetViews>
    <sheetView showGridLines="0" workbookViewId="0">
      <selection activeCell="W28" sqref="A28:W28"/>
    </sheetView>
  </sheetViews>
  <sheetFormatPr baseColWidth="10" defaultRowHeight="15" x14ac:dyDescent="0.25"/>
  <cols>
    <col min="6" max="6" width="14" bestFit="1" customWidth="1"/>
    <col min="12" max="12" width="14" bestFit="1" customWidth="1"/>
    <col min="18" max="18" width="14" bestFit="1" customWidth="1"/>
    <col min="24" max="24" width="14" bestFit="1" customWidth="1"/>
    <col min="30" max="30" width="14" bestFit="1" customWidth="1"/>
  </cols>
  <sheetData>
    <row r="2" spans="2:34" x14ac:dyDescent="0.25">
      <c r="B2" s="419" t="s">
        <v>160</v>
      </c>
      <c r="C2" s="419"/>
      <c r="F2" s="419" t="s">
        <v>182</v>
      </c>
      <c r="G2" s="419"/>
      <c r="H2" s="419"/>
      <c r="I2" s="419"/>
      <c r="J2" s="419"/>
      <c r="L2" s="419" t="s">
        <v>194</v>
      </c>
      <c r="M2" s="419"/>
      <c r="N2" s="419"/>
      <c r="O2" s="419"/>
      <c r="P2" s="419"/>
      <c r="R2" s="419" t="s">
        <v>205</v>
      </c>
      <c r="S2" s="419"/>
      <c r="T2" s="419"/>
      <c r="U2" s="419"/>
      <c r="V2" s="419"/>
      <c r="X2" s="419" t="s">
        <v>213</v>
      </c>
      <c r="Y2" s="419"/>
      <c r="Z2" s="419"/>
      <c r="AA2" s="419"/>
      <c r="AB2" s="419"/>
      <c r="AD2" s="419" t="s">
        <v>221</v>
      </c>
      <c r="AE2" s="419"/>
      <c r="AF2" s="419"/>
      <c r="AG2" s="419"/>
      <c r="AH2" s="419"/>
    </row>
    <row r="3" spans="2:34" x14ac:dyDescent="0.25">
      <c r="B3" s="186" t="s">
        <v>14</v>
      </c>
      <c r="C3" s="186" t="s">
        <v>142</v>
      </c>
    </row>
    <row r="4" spans="2:34" x14ac:dyDescent="0.25">
      <c r="B4" s="11">
        <v>44133</v>
      </c>
      <c r="C4" s="2">
        <v>0.34499999999999997</v>
      </c>
      <c r="F4" s="181" t="s">
        <v>0</v>
      </c>
      <c r="G4" s="178">
        <v>44225</v>
      </c>
      <c r="I4" s="187">
        <f>+'Planilla de datos'!D3</f>
        <v>44384</v>
      </c>
      <c r="J4" s="4" t="e">
        <f>'Planilla de datos'!#REF!</f>
        <v>#REF!</v>
      </c>
      <c r="L4" s="181" t="s">
        <v>0</v>
      </c>
      <c r="M4" s="178">
        <v>44253</v>
      </c>
      <c r="O4" s="187">
        <f>+'Planilla de datos'!D3</f>
        <v>44384</v>
      </c>
      <c r="P4" s="4">
        <f>'Planilla de datos'!C49</f>
        <v>112.53</v>
      </c>
      <c r="R4" s="181" t="s">
        <v>0</v>
      </c>
      <c r="S4" s="178">
        <v>44280</v>
      </c>
      <c r="U4" s="187">
        <f>+O4</f>
        <v>44384</v>
      </c>
      <c r="V4" s="4">
        <f>+'Planilla de datos'!C50</f>
        <v>109</v>
      </c>
      <c r="X4" s="181" t="s">
        <v>0</v>
      </c>
      <c r="Y4" s="178">
        <v>44286</v>
      </c>
      <c r="AA4" s="187">
        <f>+U4</f>
        <v>44384</v>
      </c>
      <c r="AB4" s="4">
        <f>+'Planilla de datos'!C51</f>
        <v>108.3</v>
      </c>
      <c r="AD4" s="181" t="s">
        <v>0</v>
      </c>
      <c r="AE4" s="178">
        <v>44305</v>
      </c>
      <c r="AG4" s="187">
        <f>+AA4</f>
        <v>44384</v>
      </c>
      <c r="AH4" s="4">
        <f>+'Planilla de datos'!C52</f>
        <v>106.25</v>
      </c>
    </row>
    <row r="5" spans="2:34" x14ac:dyDescent="0.25">
      <c r="B5" s="11">
        <v>44134</v>
      </c>
      <c r="C5" s="2">
        <f>+C4</f>
        <v>0.34499999999999997</v>
      </c>
      <c r="F5" s="182" t="s">
        <v>147</v>
      </c>
      <c r="G5" s="179">
        <v>44377</v>
      </c>
      <c r="I5" s="11">
        <f>+G5</f>
        <v>44377</v>
      </c>
      <c r="J5" s="4">
        <f>G7+(G10/365*G6*G7)</f>
        <v>116.13698630136986</v>
      </c>
      <c r="L5" s="182" t="s">
        <v>147</v>
      </c>
      <c r="M5" s="179">
        <v>44407</v>
      </c>
      <c r="O5" s="11">
        <f>+M5</f>
        <v>44407</v>
      </c>
      <c r="P5" s="4">
        <f>M7+(M10/365*M6*M7)</f>
        <v>116.34931506849315</v>
      </c>
      <c r="R5" s="182" t="s">
        <v>147</v>
      </c>
      <c r="S5" s="179">
        <v>44439</v>
      </c>
      <c r="U5" s="11">
        <f>+S5</f>
        <v>44439</v>
      </c>
      <c r="V5" s="4">
        <f>S7+(S10/365*S6*S7)</f>
        <v>116.66232876712328</v>
      </c>
      <c r="X5" s="182" t="s">
        <v>147</v>
      </c>
      <c r="Y5" s="179">
        <v>44469</v>
      </c>
      <c r="AA5" s="11">
        <f>+Y5</f>
        <v>44469</v>
      </c>
      <c r="AB5" s="4">
        <f>Y7+(Y10/365*Y6*Y7)</f>
        <v>119.3027397260274</v>
      </c>
      <c r="AD5" s="182" t="s">
        <v>147</v>
      </c>
      <c r="AE5" s="179">
        <v>44498</v>
      </c>
      <c r="AG5" s="11">
        <f>+AE5</f>
        <v>44498</v>
      </c>
      <c r="AH5" s="4">
        <f>AE7+(AE10/365*AE6*AE7)</f>
        <v>120.75410958904109</v>
      </c>
    </row>
    <row r="6" spans="2:34" x14ac:dyDescent="0.25">
      <c r="B6" s="11">
        <v>44137</v>
      </c>
      <c r="C6" s="2">
        <f t="shared" ref="C6:C13" si="0">+C5</f>
        <v>0.34499999999999997</v>
      </c>
      <c r="F6" s="182" t="s">
        <v>21</v>
      </c>
      <c r="G6" s="180">
        <f>G5-G4</f>
        <v>152</v>
      </c>
      <c r="I6">
        <f>I5-I4</f>
        <v>-7</v>
      </c>
      <c r="J6" s="2" t="e">
        <f>(J5-J4)/J4</f>
        <v>#REF!</v>
      </c>
      <c r="L6" s="182" t="s">
        <v>21</v>
      </c>
      <c r="M6" s="180">
        <f>M5-M4</f>
        <v>154</v>
      </c>
      <c r="O6">
        <f>O5-O4</f>
        <v>23</v>
      </c>
      <c r="P6" s="2">
        <f>(P5-P4)/P4</f>
        <v>3.3940416497761965E-2</v>
      </c>
      <c r="R6" s="182" t="s">
        <v>21</v>
      </c>
      <c r="S6" s="180">
        <f>S5-S4</f>
        <v>159</v>
      </c>
      <c r="U6">
        <f>U5-U4</f>
        <v>55</v>
      </c>
      <c r="V6" s="2">
        <f>(V5-V4)/V4</f>
        <v>7.0296594193791598E-2</v>
      </c>
      <c r="X6" s="182" t="s">
        <v>21</v>
      </c>
      <c r="Y6" s="180">
        <f>Y5-Y4</f>
        <v>183</v>
      </c>
      <c r="AA6">
        <f>AA5-AA4</f>
        <v>85</v>
      </c>
      <c r="AB6" s="2">
        <f>(AB5-AB4)/AB4</f>
        <v>0.10159501132065928</v>
      </c>
      <c r="AD6" s="182" t="s">
        <v>21</v>
      </c>
      <c r="AE6" s="180">
        <f>AE5-AE4</f>
        <v>193</v>
      </c>
      <c r="AG6">
        <f>AG5-AG4</f>
        <v>114</v>
      </c>
      <c r="AH6" s="2">
        <f>(AH5-AH4)/AH4</f>
        <v>0.13650926672038677</v>
      </c>
    </row>
    <row r="7" spans="2:34" x14ac:dyDescent="0.25">
      <c r="B7" s="11">
        <v>44138</v>
      </c>
      <c r="C7" s="2">
        <f t="shared" si="0"/>
        <v>0.34499999999999997</v>
      </c>
      <c r="F7" s="182" t="s">
        <v>151</v>
      </c>
      <c r="G7" s="180">
        <v>100</v>
      </c>
      <c r="J7" s="2"/>
      <c r="L7" s="182" t="s">
        <v>151</v>
      </c>
      <c r="M7" s="180">
        <v>100</v>
      </c>
      <c r="P7" s="2"/>
      <c r="R7" s="182" t="s">
        <v>151</v>
      </c>
      <c r="S7" s="180">
        <v>100</v>
      </c>
      <c r="V7" s="2"/>
      <c r="X7" s="182" t="s">
        <v>151</v>
      </c>
      <c r="Y7" s="180">
        <v>100</v>
      </c>
      <c r="AB7" s="2"/>
      <c r="AD7" s="182" t="s">
        <v>151</v>
      </c>
      <c r="AE7" s="180">
        <v>100</v>
      </c>
      <c r="AH7" s="2"/>
    </row>
    <row r="8" spans="2:34" x14ac:dyDescent="0.25">
      <c r="B8" s="11">
        <v>44139</v>
      </c>
      <c r="C8" s="2">
        <f t="shared" si="0"/>
        <v>0.34499999999999997</v>
      </c>
      <c r="F8" s="182" t="s">
        <v>157</v>
      </c>
      <c r="G8" s="189">
        <v>2.2499999999999999E-2</v>
      </c>
      <c r="I8" s="184" t="s">
        <v>17</v>
      </c>
      <c r="J8" s="183" t="e">
        <f>J6/I6*365</f>
        <v>#REF!</v>
      </c>
      <c r="L8" s="182" t="s">
        <v>157</v>
      </c>
      <c r="M8" s="189">
        <v>2.2499999999999999E-2</v>
      </c>
      <c r="O8" s="184" t="s">
        <v>17</v>
      </c>
      <c r="P8" s="183">
        <f>P6/O6*365</f>
        <v>0.53861965311665727</v>
      </c>
      <c r="R8" s="182" t="s">
        <v>157</v>
      </c>
      <c r="S8" s="189">
        <v>1.7500000000000002E-2</v>
      </c>
      <c r="U8" s="184" t="s">
        <v>17</v>
      </c>
      <c r="V8" s="183">
        <f>V6/U6*365</f>
        <v>0.4665137614678897</v>
      </c>
      <c r="X8" s="182" t="s">
        <v>157</v>
      </c>
      <c r="Y8" s="189">
        <v>0.02</v>
      </c>
      <c r="AA8" s="184" t="s">
        <v>17</v>
      </c>
      <c r="AB8" s="183">
        <f>AB6/AA6*365</f>
        <v>0.43626093096518392</v>
      </c>
      <c r="AD8" s="182" t="s">
        <v>157</v>
      </c>
      <c r="AE8" s="189">
        <v>2.75E-2</v>
      </c>
      <c r="AG8" s="184" t="s">
        <v>17</v>
      </c>
      <c r="AH8" s="183">
        <f>AH6/AG6*365</f>
        <v>0.43706914344685233</v>
      </c>
    </row>
    <row r="9" spans="2:34" x14ac:dyDescent="0.25">
      <c r="B9" s="11">
        <v>44140</v>
      </c>
      <c r="C9" s="2">
        <f t="shared" si="0"/>
        <v>0.34499999999999997</v>
      </c>
      <c r="F9" s="182" t="s">
        <v>159</v>
      </c>
      <c r="G9" s="190">
        <f>AVERAGE(C61:C163)</f>
        <v>0.36499999999999971</v>
      </c>
      <c r="I9" s="185" t="s">
        <v>150</v>
      </c>
      <c r="J9" s="169" t="e">
        <f>(1+J6)^(365/I6)-1</f>
        <v>#REF!</v>
      </c>
      <c r="L9" s="182" t="s">
        <v>159</v>
      </c>
      <c r="M9" s="190">
        <f>AVERAGE(Lepase!C81:C194)</f>
        <v>0.36499999999999994</v>
      </c>
      <c r="O9" s="185" t="s">
        <v>150</v>
      </c>
      <c r="P9" s="169">
        <f>(1+P6)^(365/O6)-1</f>
        <v>0.69839019967331306</v>
      </c>
      <c r="R9" s="182" t="s">
        <v>159</v>
      </c>
      <c r="S9" s="289">
        <v>0.36499999999999999</v>
      </c>
      <c r="U9" s="185" t="s">
        <v>150</v>
      </c>
      <c r="V9" s="169">
        <f>(1+V6)^(365/U6)-1</f>
        <v>0.56964060429321828</v>
      </c>
      <c r="X9" s="182" t="s">
        <v>159</v>
      </c>
      <c r="Y9" s="289">
        <v>0.36499999999999999</v>
      </c>
      <c r="AA9" s="185" t="s">
        <v>150</v>
      </c>
      <c r="AB9" s="169">
        <f>(1+AB6)^(365/AA6)-1</f>
        <v>0.51512073662388014</v>
      </c>
      <c r="AD9" s="182" t="s">
        <v>159</v>
      </c>
      <c r="AE9" s="289">
        <v>0.36499999999999999</v>
      </c>
      <c r="AG9" s="185" t="s">
        <v>150</v>
      </c>
      <c r="AH9" s="169">
        <f>(1+AH6)^(365/AG6)-1</f>
        <v>0.50636784348019859</v>
      </c>
    </row>
    <row r="10" spans="2:34" x14ac:dyDescent="0.25">
      <c r="B10" s="11">
        <v>44144</v>
      </c>
      <c r="C10" s="2">
        <f t="shared" si="0"/>
        <v>0.34499999999999997</v>
      </c>
      <c r="F10" s="191" t="s">
        <v>158</v>
      </c>
      <c r="G10" s="192">
        <f>(G8+G9)</f>
        <v>0.38749999999999973</v>
      </c>
      <c r="L10" s="191" t="s">
        <v>158</v>
      </c>
      <c r="M10" s="192">
        <f>(M8+M9)</f>
        <v>0.38749999999999996</v>
      </c>
      <c r="R10" s="191" t="s">
        <v>158</v>
      </c>
      <c r="S10" s="192">
        <f>(S8+S9)</f>
        <v>0.38250000000000001</v>
      </c>
      <c r="X10" s="191" t="s">
        <v>158</v>
      </c>
      <c r="Y10" s="192">
        <f>(Y8+Y9)</f>
        <v>0.38500000000000001</v>
      </c>
      <c r="AD10" s="191" t="s">
        <v>158</v>
      </c>
      <c r="AE10" s="192">
        <f>(AE8+AE9)</f>
        <v>0.39250000000000002</v>
      </c>
    </row>
    <row r="11" spans="2:34" x14ac:dyDescent="0.25">
      <c r="B11" s="11">
        <v>44145</v>
      </c>
      <c r="C11" s="2">
        <f t="shared" si="0"/>
        <v>0.34499999999999997</v>
      </c>
    </row>
    <row r="12" spans="2:34" x14ac:dyDescent="0.25">
      <c r="B12" s="11">
        <v>44146</v>
      </c>
      <c r="C12" s="2">
        <f t="shared" si="0"/>
        <v>0.34499999999999997</v>
      </c>
      <c r="V12">
        <f>V5/100</f>
        <v>1.1666232876712328</v>
      </c>
    </row>
    <row r="13" spans="2:34" x14ac:dyDescent="0.25">
      <c r="B13" s="11">
        <v>44147</v>
      </c>
      <c r="C13" s="2">
        <f t="shared" si="0"/>
        <v>0.34499999999999997</v>
      </c>
      <c r="F13" t="s">
        <v>148</v>
      </c>
      <c r="G13" s="11">
        <v>44218</v>
      </c>
      <c r="L13" t="s">
        <v>148</v>
      </c>
      <c r="M13" s="11">
        <v>44246</v>
      </c>
      <c r="R13" t="s">
        <v>148</v>
      </c>
      <c r="S13" s="11"/>
      <c r="X13" t="s">
        <v>148</v>
      </c>
      <c r="Y13" s="11"/>
      <c r="AD13" t="s">
        <v>148</v>
      </c>
      <c r="AE13" s="11"/>
    </row>
    <row r="14" spans="2:34" x14ac:dyDescent="0.25">
      <c r="B14" s="11">
        <v>44148</v>
      </c>
      <c r="C14" s="2">
        <v>0.36499999999999999</v>
      </c>
      <c r="F14" t="s">
        <v>149</v>
      </c>
      <c r="G14" s="11">
        <v>44370</v>
      </c>
      <c r="L14" t="s">
        <v>149</v>
      </c>
      <c r="M14" s="11">
        <v>44414</v>
      </c>
      <c r="R14" t="s">
        <v>149</v>
      </c>
      <c r="S14" s="11"/>
      <c r="X14" t="s">
        <v>149</v>
      </c>
      <c r="Y14" s="11"/>
      <c r="AD14" t="s">
        <v>149</v>
      </c>
      <c r="AE14" s="11"/>
    </row>
    <row r="15" spans="2:34" x14ac:dyDescent="0.25">
      <c r="B15" s="11">
        <v>44151</v>
      </c>
      <c r="C15" s="2">
        <f>+C14</f>
        <v>0.36499999999999999</v>
      </c>
    </row>
    <row r="16" spans="2:34" x14ac:dyDescent="0.25">
      <c r="B16" s="11">
        <v>44152</v>
      </c>
      <c r="C16" s="2">
        <f t="shared" ref="C16:C61" si="1">+C15</f>
        <v>0.36499999999999999</v>
      </c>
    </row>
    <row r="17" spans="2:10" x14ac:dyDescent="0.25">
      <c r="B17" s="11">
        <v>44153</v>
      </c>
      <c r="C17" s="2">
        <f t="shared" si="1"/>
        <v>0.36499999999999999</v>
      </c>
    </row>
    <row r="18" spans="2:10" x14ac:dyDescent="0.25">
      <c r="B18" s="11">
        <v>44154</v>
      </c>
      <c r="C18" s="2">
        <f>+C17</f>
        <v>0.36499999999999999</v>
      </c>
    </row>
    <row r="19" spans="2:10" x14ac:dyDescent="0.25">
      <c r="B19" s="11">
        <v>44155</v>
      </c>
      <c r="C19" s="2">
        <f>+C18</f>
        <v>0.36499999999999999</v>
      </c>
      <c r="J19">
        <f>J5/100</f>
        <v>1.1613698630136986</v>
      </c>
    </row>
    <row r="20" spans="2:10" x14ac:dyDescent="0.25">
      <c r="B20" s="11">
        <v>44158</v>
      </c>
      <c r="C20" s="2">
        <f t="shared" si="1"/>
        <v>0.36499999999999999</v>
      </c>
    </row>
    <row r="21" spans="2:10" x14ac:dyDescent="0.25">
      <c r="B21" s="11">
        <v>44159</v>
      </c>
      <c r="C21" s="2">
        <f t="shared" si="1"/>
        <v>0.36499999999999999</v>
      </c>
    </row>
    <row r="22" spans="2:10" x14ac:dyDescent="0.25">
      <c r="B22" s="11">
        <v>44160</v>
      </c>
      <c r="C22" s="2">
        <f t="shared" si="1"/>
        <v>0.36499999999999999</v>
      </c>
    </row>
    <row r="23" spans="2:10" x14ac:dyDescent="0.25">
      <c r="B23" s="11">
        <v>44161</v>
      </c>
      <c r="C23" s="2">
        <f t="shared" si="1"/>
        <v>0.36499999999999999</v>
      </c>
    </row>
    <row r="24" spans="2:10" x14ac:dyDescent="0.25">
      <c r="B24" s="11">
        <v>44162</v>
      </c>
      <c r="C24" s="2">
        <f t="shared" si="1"/>
        <v>0.36499999999999999</v>
      </c>
    </row>
    <row r="25" spans="2:10" x14ac:dyDescent="0.25">
      <c r="B25" s="11">
        <v>44165</v>
      </c>
      <c r="C25" s="2">
        <f t="shared" si="1"/>
        <v>0.36499999999999999</v>
      </c>
    </row>
    <row r="26" spans="2:10" x14ac:dyDescent="0.25">
      <c r="B26" s="11">
        <v>44166</v>
      </c>
      <c r="C26" s="2">
        <f t="shared" si="1"/>
        <v>0.36499999999999999</v>
      </c>
    </row>
    <row r="27" spans="2:10" x14ac:dyDescent="0.25">
      <c r="B27" s="11">
        <v>44167</v>
      </c>
      <c r="C27" s="2">
        <f t="shared" si="1"/>
        <v>0.36499999999999999</v>
      </c>
    </row>
    <row r="28" spans="2:10" x14ac:dyDescent="0.25">
      <c r="B28" s="11">
        <v>44168</v>
      </c>
      <c r="C28" s="2">
        <f t="shared" si="1"/>
        <v>0.36499999999999999</v>
      </c>
    </row>
    <row r="29" spans="2:10" x14ac:dyDescent="0.25">
      <c r="B29" s="11">
        <v>44169</v>
      </c>
      <c r="C29" s="2">
        <f t="shared" si="1"/>
        <v>0.36499999999999999</v>
      </c>
    </row>
    <row r="30" spans="2:10" x14ac:dyDescent="0.25">
      <c r="B30" s="11">
        <v>44172</v>
      </c>
      <c r="C30" s="2">
        <f t="shared" si="1"/>
        <v>0.36499999999999999</v>
      </c>
    </row>
    <row r="31" spans="2:10" x14ac:dyDescent="0.25">
      <c r="B31" s="11">
        <v>44173</v>
      </c>
      <c r="C31" s="2">
        <f t="shared" si="1"/>
        <v>0.36499999999999999</v>
      </c>
    </row>
    <row r="32" spans="2:10" x14ac:dyDescent="0.25">
      <c r="B32" s="11">
        <v>44174</v>
      </c>
      <c r="C32" s="2">
        <f t="shared" si="1"/>
        <v>0.36499999999999999</v>
      </c>
    </row>
    <row r="33" spans="2:3" x14ac:dyDescent="0.25">
      <c r="B33" s="11">
        <v>44175</v>
      </c>
      <c r="C33" s="2">
        <f t="shared" si="1"/>
        <v>0.36499999999999999</v>
      </c>
    </row>
    <row r="34" spans="2:3" x14ac:dyDescent="0.25">
      <c r="B34" s="11">
        <v>44176</v>
      </c>
      <c r="C34" s="2">
        <f t="shared" si="1"/>
        <v>0.36499999999999999</v>
      </c>
    </row>
    <row r="35" spans="2:3" x14ac:dyDescent="0.25">
      <c r="B35" s="11">
        <v>44179</v>
      </c>
      <c r="C35" s="2">
        <f t="shared" si="1"/>
        <v>0.36499999999999999</v>
      </c>
    </row>
    <row r="36" spans="2:3" x14ac:dyDescent="0.25">
      <c r="B36" s="11">
        <v>44180</v>
      </c>
      <c r="C36" s="2">
        <f t="shared" si="1"/>
        <v>0.36499999999999999</v>
      </c>
    </row>
    <row r="37" spans="2:3" x14ac:dyDescent="0.25">
      <c r="B37" s="11">
        <v>44181</v>
      </c>
      <c r="C37" s="2">
        <f t="shared" si="1"/>
        <v>0.36499999999999999</v>
      </c>
    </row>
    <row r="38" spans="2:3" x14ac:dyDescent="0.25">
      <c r="B38" s="11">
        <v>44182</v>
      </c>
      <c r="C38" s="2">
        <f t="shared" si="1"/>
        <v>0.36499999999999999</v>
      </c>
    </row>
    <row r="39" spans="2:3" x14ac:dyDescent="0.25">
      <c r="B39" s="11">
        <v>44183</v>
      </c>
      <c r="C39" s="2">
        <f t="shared" si="1"/>
        <v>0.36499999999999999</v>
      </c>
    </row>
    <row r="40" spans="2:3" x14ac:dyDescent="0.25">
      <c r="B40" s="11">
        <v>44184</v>
      </c>
      <c r="C40" s="2">
        <f t="shared" si="1"/>
        <v>0.36499999999999999</v>
      </c>
    </row>
    <row r="41" spans="2:3" x14ac:dyDescent="0.25">
      <c r="B41" s="11">
        <v>44185</v>
      </c>
      <c r="C41" s="2">
        <f t="shared" si="1"/>
        <v>0.36499999999999999</v>
      </c>
    </row>
    <row r="42" spans="2:3" x14ac:dyDescent="0.25">
      <c r="B42" s="11">
        <v>44188</v>
      </c>
      <c r="C42" s="2">
        <f t="shared" si="1"/>
        <v>0.36499999999999999</v>
      </c>
    </row>
    <row r="43" spans="2:3" x14ac:dyDescent="0.25">
      <c r="B43" s="11">
        <v>44189</v>
      </c>
      <c r="C43" s="2">
        <f t="shared" si="1"/>
        <v>0.36499999999999999</v>
      </c>
    </row>
    <row r="44" spans="2:3" x14ac:dyDescent="0.25">
      <c r="B44" s="11">
        <v>44193</v>
      </c>
      <c r="C44" s="2">
        <f t="shared" si="1"/>
        <v>0.36499999999999999</v>
      </c>
    </row>
    <row r="45" spans="2:3" x14ac:dyDescent="0.25">
      <c r="B45" s="11">
        <v>44194</v>
      </c>
      <c r="C45" s="2">
        <f t="shared" si="1"/>
        <v>0.36499999999999999</v>
      </c>
    </row>
    <row r="46" spans="2:3" x14ac:dyDescent="0.25">
      <c r="B46" s="11">
        <v>44195</v>
      </c>
      <c r="C46" s="2">
        <f t="shared" si="1"/>
        <v>0.36499999999999999</v>
      </c>
    </row>
    <row r="47" spans="2:3" x14ac:dyDescent="0.25">
      <c r="B47" s="11">
        <v>44200</v>
      </c>
      <c r="C47" s="2">
        <f t="shared" si="1"/>
        <v>0.36499999999999999</v>
      </c>
    </row>
    <row r="48" spans="2:3" x14ac:dyDescent="0.25">
      <c r="B48" s="11">
        <v>44201</v>
      </c>
      <c r="C48" s="2">
        <f t="shared" si="1"/>
        <v>0.36499999999999999</v>
      </c>
    </row>
    <row r="49" spans="2:3" x14ac:dyDescent="0.25">
      <c r="B49" s="11">
        <v>44202</v>
      </c>
      <c r="C49" s="2">
        <f t="shared" si="1"/>
        <v>0.36499999999999999</v>
      </c>
    </row>
    <row r="50" spans="2:3" x14ac:dyDescent="0.25">
      <c r="B50" s="11">
        <v>44203</v>
      </c>
      <c r="C50" s="2">
        <f t="shared" si="1"/>
        <v>0.36499999999999999</v>
      </c>
    </row>
    <row r="51" spans="2:3" x14ac:dyDescent="0.25">
      <c r="B51" s="11">
        <v>44204</v>
      </c>
      <c r="C51" s="2">
        <f t="shared" si="1"/>
        <v>0.36499999999999999</v>
      </c>
    </row>
    <row r="52" spans="2:3" x14ac:dyDescent="0.25">
      <c r="B52" s="11">
        <v>44207</v>
      </c>
      <c r="C52" s="2">
        <f t="shared" si="1"/>
        <v>0.36499999999999999</v>
      </c>
    </row>
    <row r="53" spans="2:3" x14ac:dyDescent="0.25">
      <c r="B53" s="11">
        <v>44208</v>
      </c>
      <c r="C53" s="2">
        <f t="shared" si="1"/>
        <v>0.36499999999999999</v>
      </c>
    </row>
    <row r="54" spans="2:3" x14ac:dyDescent="0.25">
      <c r="B54" s="11">
        <v>44209</v>
      </c>
      <c r="C54" s="2">
        <f t="shared" si="1"/>
        <v>0.36499999999999999</v>
      </c>
    </row>
    <row r="55" spans="2:3" x14ac:dyDescent="0.25">
      <c r="B55" s="11">
        <v>44210</v>
      </c>
      <c r="C55" s="2">
        <f t="shared" si="1"/>
        <v>0.36499999999999999</v>
      </c>
    </row>
    <row r="56" spans="2:3" x14ac:dyDescent="0.25">
      <c r="B56" s="11">
        <v>44211</v>
      </c>
      <c r="C56" s="2">
        <f t="shared" si="1"/>
        <v>0.36499999999999999</v>
      </c>
    </row>
    <row r="57" spans="2:3" x14ac:dyDescent="0.25">
      <c r="B57" s="11">
        <v>44214</v>
      </c>
      <c r="C57" s="2">
        <f t="shared" si="1"/>
        <v>0.36499999999999999</v>
      </c>
    </row>
    <row r="58" spans="2:3" x14ac:dyDescent="0.25">
      <c r="B58" s="11">
        <v>44215</v>
      </c>
      <c r="C58" s="2">
        <f t="shared" si="1"/>
        <v>0.36499999999999999</v>
      </c>
    </row>
    <row r="59" spans="2:3" x14ac:dyDescent="0.25">
      <c r="B59" s="11">
        <v>44216</v>
      </c>
      <c r="C59" s="2">
        <f t="shared" si="1"/>
        <v>0.36499999999999999</v>
      </c>
    </row>
    <row r="60" spans="2:3" x14ac:dyDescent="0.25">
      <c r="B60" s="11">
        <v>44217</v>
      </c>
      <c r="C60" s="2">
        <f t="shared" si="1"/>
        <v>0.36499999999999999</v>
      </c>
    </row>
    <row r="61" spans="2:3" x14ac:dyDescent="0.25">
      <c r="B61" s="188">
        <v>44218</v>
      </c>
      <c r="C61" s="169">
        <f t="shared" si="1"/>
        <v>0.36499999999999999</v>
      </c>
    </row>
    <row r="62" spans="2:3" x14ac:dyDescent="0.25">
      <c r="B62" s="11">
        <v>44221</v>
      </c>
      <c r="C62" s="5">
        <f>+C61</f>
        <v>0.36499999999999999</v>
      </c>
    </row>
    <row r="63" spans="2:3" x14ac:dyDescent="0.25">
      <c r="B63" s="11">
        <v>44222</v>
      </c>
      <c r="C63" s="5">
        <f>+C62</f>
        <v>0.36499999999999999</v>
      </c>
    </row>
    <row r="64" spans="2:3" x14ac:dyDescent="0.25">
      <c r="B64" s="11">
        <v>44223</v>
      </c>
      <c r="C64" s="5">
        <f t="shared" ref="C64:C127" si="2">+C63</f>
        <v>0.36499999999999999</v>
      </c>
    </row>
    <row r="65" spans="2:3" x14ac:dyDescent="0.25">
      <c r="B65" s="11">
        <v>44224</v>
      </c>
      <c r="C65" s="5">
        <f t="shared" si="2"/>
        <v>0.36499999999999999</v>
      </c>
    </row>
    <row r="66" spans="2:3" x14ac:dyDescent="0.25">
      <c r="B66" s="11">
        <v>44225</v>
      </c>
      <c r="C66" s="5">
        <f t="shared" si="2"/>
        <v>0.36499999999999999</v>
      </c>
    </row>
    <row r="67" spans="2:3" x14ac:dyDescent="0.25">
      <c r="B67" s="11">
        <v>44228</v>
      </c>
      <c r="C67" s="5">
        <f t="shared" si="2"/>
        <v>0.36499999999999999</v>
      </c>
    </row>
    <row r="68" spans="2:3" x14ac:dyDescent="0.25">
      <c r="B68" s="11">
        <v>44229</v>
      </c>
      <c r="C68" s="5">
        <f t="shared" si="2"/>
        <v>0.36499999999999999</v>
      </c>
    </row>
    <row r="69" spans="2:3" x14ac:dyDescent="0.25">
      <c r="B69" s="11">
        <v>44230</v>
      </c>
      <c r="C69" s="5">
        <f t="shared" si="2"/>
        <v>0.36499999999999999</v>
      </c>
    </row>
    <row r="70" spans="2:3" x14ac:dyDescent="0.25">
      <c r="B70" s="11">
        <v>44231</v>
      </c>
      <c r="C70" s="5">
        <f t="shared" si="2"/>
        <v>0.36499999999999999</v>
      </c>
    </row>
    <row r="71" spans="2:3" x14ac:dyDescent="0.25">
      <c r="B71" s="11">
        <v>44232</v>
      </c>
      <c r="C71" s="5">
        <f t="shared" si="2"/>
        <v>0.36499999999999999</v>
      </c>
    </row>
    <row r="72" spans="2:3" x14ac:dyDescent="0.25">
      <c r="B72" s="11">
        <v>44235</v>
      </c>
      <c r="C72" s="5">
        <f t="shared" si="2"/>
        <v>0.36499999999999999</v>
      </c>
    </row>
    <row r="73" spans="2:3" x14ac:dyDescent="0.25">
      <c r="B73" s="11">
        <v>44236</v>
      </c>
      <c r="C73" s="5">
        <f t="shared" si="2"/>
        <v>0.36499999999999999</v>
      </c>
    </row>
    <row r="74" spans="2:3" x14ac:dyDescent="0.25">
      <c r="B74" s="11">
        <v>44237</v>
      </c>
      <c r="C74" s="5">
        <f t="shared" si="2"/>
        <v>0.36499999999999999</v>
      </c>
    </row>
    <row r="75" spans="2:3" x14ac:dyDescent="0.25">
      <c r="B75" s="11">
        <v>44238</v>
      </c>
      <c r="C75" s="5">
        <f t="shared" si="2"/>
        <v>0.36499999999999999</v>
      </c>
    </row>
    <row r="76" spans="2:3" x14ac:dyDescent="0.25">
      <c r="B76" s="11">
        <v>44239</v>
      </c>
      <c r="C76" s="5">
        <f t="shared" si="2"/>
        <v>0.36499999999999999</v>
      </c>
    </row>
    <row r="77" spans="2:3" x14ac:dyDescent="0.25">
      <c r="B77" s="11">
        <v>44242</v>
      </c>
      <c r="C77" s="5">
        <f t="shared" si="2"/>
        <v>0.36499999999999999</v>
      </c>
    </row>
    <row r="78" spans="2:3" x14ac:dyDescent="0.25">
      <c r="B78" s="11">
        <v>44243</v>
      </c>
      <c r="C78" s="5">
        <f t="shared" si="2"/>
        <v>0.36499999999999999</v>
      </c>
    </row>
    <row r="79" spans="2:3" x14ac:dyDescent="0.25">
      <c r="B79" s="11">
        <v>44244</v>
      </c>
      <c r="C79" s="5">
        <f t="shared" si="2"/>
        <v>0.36499999999999999</v>
      </c>
    </row>
    <row r="80" spans="2:3" x14ac:dyDescent="0.25">
      <c r="B80" s="11">
        <v>44245</v>
      </c>
      <c r="C80" s="5">
        <f t="shared" si="2"/>
        <v>0.36499999999999999</v>
      </c>
    </row>
    <row r="81" spans="2:3" x14ac:dyDescent="0.25">
      <c r="B81" s="11">
        <v>44246</v>
      </c>
      <c r="C81" s="5">
        <f t="shared" si="2"/>
        <v>0.36499999999999999</v>
      </c>
    </row>
    <row r="82" spans="2:3" x14ac:dyDescent="0.25">
      <c r="B82" s="11">
        <v>44249</v>
      </c>
      <c r="C82" s="5">
        <f t="shared" si="2"/>
        <v>0.36499999999999999</v>
      </c>
    </row>
    <row r="83" spans="2:3" x14ac:dyDescent="0.25">
      <c r="B83" s="11">
        <v>44250</v>
      </c>
      <c r="C83" s="5">
        <f t="shared" si="2"/>
        <v>0.36499999999999999</v>
      </c>
    </row>
    <row r="84" spans="2:3" x14ac:dyDescent="0.25">
      <c r="B84" s="11">
        <v>44251</v>
      </c>
      <c r="C84" s="5">
        <f t="shared" si="2"/>
        <v>0.36499999999999999</v>
      </c>
    </row>
    <row r="85" spans="2:3" x14ac:dyDescent="0.25">
      <c r="B85" s="11">
        <v>44252</v>
      </c>
      <c r="C85" s="5">
        <f t="shared" si="2"/>
        <v>0.36499999999999999</v>
      </c>
    </row>
    <row r="86" spans="2:3" x14ac:dyDescent="0.25">
      <c r="B86" s="11">
        <v>44253</v>
      </c>
      <c r="C86" s="5">
        <f t="shared" si="2"/>
        <v>0.36499999999999999</v>
      </c>
    </row>
    <row r="87" spans="2:3" x14ac:dyDescent="0.25">
      <c r="B87" s="11">
        <v>44256</v>
      </c>
      <c r="C87" s="5">
        <f t="shared" si="2"/>
        <v>0.36499999999999999</v>
      </c>
    </row>
    <row r="88" spans="2:3" x14ac:dyDescent="0.25">
      <c r="B88" s="11">
        <v>44257</v>
      </c>
      <c r="C88" s="5">
        <f t="shared" si="2"/>
        <v>0.36499999999999999</v>
      </c>
    </row>
    <row r="89" spans="2:3" x14ac:dyDescent="0.25">
      <c r="B89" s="11">
        <v>44258</v>
      </c>
      <c r="C89" s="5">
        <f t="shared" si="2"/>
        <v>0.36499999999999999</v>
      </c>
    </row>
    <row r="90" spans="2:3" x14ac:dyDescent="0.25">
      <c r="B90" s="11">
        <v>44259</v>
      </c>
      <c r="C90" s="5">
        <f t="shared" si="2"/>
        <v>0.36499999999999999</v>
      </c>
    </row>
    <row r="91" spans="2:3" x14ac:dyDescent="0.25">
      <c r="B91" s="11">
        <v>44260</v>
      </c>
      <c r="C91" s="5">
        <f t="shared" si="2"/>
        <v>0.36499999999999999</v>
      </c>
    </row>
    <row r="92" spans="2:3" x14ac:dyDescent="0.25">
      <c r="B92" s="11">
        <v>44263</v>
      </c>
      <c r="C92" s="5">
        <f t="shared" si="2"/>
        <v>0.36499999999999999</v>
      </c>
    </row>
    <row r="93" spans="2:3" x14ac:dyDescent="0.25">
      <c r="B93" s="11">
        <v>44264</v>
      </c>
      <c r="C93" s="5">
        <f t="shared" si="2"/>
        <v>0.36499999999999999</v>
      </c>
    </row>
    <row r="94" spans="2:3" x14ac:dyDescent="0.25">
      <c r="B94" s="11">
        <v>44265</v>
      </c>
      <c r="C94" s="5">
        <f t="shared" si="2"/>
        <v>0.36499999999999999</v>
      </c>
    </row>
    <row r="95" spans="2:3" x14ac:dyDescent="0.25">
      <c r="B95" s="11">
        <v>44266</v>
      </c>
      <c r="C95" s="5">
        <f t="shared" si="2"/>
        <v>0.36499999999999999</v>
      </c>
    </row>
    <row r="96" spans="2:3" x14ac:dyDescent="0.25">
      <c r="B96" s="11">
        <v>44267</v>
      </c>
      <c r="C96" s="5">
        <f t="shared" si="2"/>
        <v>0.36499999999999999</v>
      </c>
    </row>
    <row r="97" spans="2:3" x14ac:dyDescent="0.25">
      <c r="B97" s="11">
        <v>44270</v>
      </c>
      <c r="C97" s="5">
        <f t="shared" si="2"/>
        <v>0.36499999999999999</v>
      </c>
    </row>
    <row r="98" spans="2:3" x14ac:dyDescent="0.25">
      <c r="B98" s="11">
        <v>44271</v>
      </c>
      <c r="C98" s="5">
        <f t="shared" si="2"/>
        <v>0.36499999999999999</v>
      </c>
    </row>
    <row r="99" spans="2:3" x14ac:dyDescent="0.25">
      <c r="B99" s="11">
        <v>44272</v>
      </c>
      <c r="C99" s="5">
        <f t="shared" si="2"/>
        <v>0.36499999999999999</v>
      </c>
    </row>
    <row r="100" spans="2:3" x14ac:dyDescent="0.25">
      <c r="B100" s="11">
        <v>44273</v>
      </c>
      <c r="C100" s="5">
        <f t="shared" si="2"/>
        <v>0.36499999999999999</v>
      </c>
    </row>
    <row r="101" spans="2:3" x14ac:dyDescent="0.25">
      <c r="B101" s="11">
        <v>44274</v>
      </c>
      <c r="C101" s="5">
        <f t="shared" si="2"/>
        <v>0.36499999999999999</v>
      </c>
    </row>
    <row r="102" spans="2:3" x14ac:dyDescent="0.25">
      <c r="B102" s="11">
        <v>44277</v>
      </c>
      <c r="C102" s="5">
        <f t="shared" si="2"/>
        <v>0.36499999999999999</v>
      </c>
    </row>
    <row r="103" spans="2:3" x14ac:dyDescent="0.25">
      <c r="B103" s="188">
        <v>44278</v>
      </c>
      <c r="C103" s="193">
        <f t="shared" si="2"/>
        <v>0.36499999999999999</v>
      </c>
    </row>
    <row r="104" spans="2:3" x14ac:dyDescent="0.25">
      <c r="B104" s="11">
        <v>44280</v>
      </c>
      <c r="C104" s="5">
        <f t="shared" si="2"/>
        <v>0.36499999999999999</v>
      </c>
    </row>
    <row r="105" spans="2:3" x14ac:dyDescent="0.25">
      <c r="B105" s="11">
        <v>44281</v>
      </c>
      <c r="C105" s="5">
        <f t="shared" si="2"/>
        <v>0.36499999999999999</v>
      </c>
    </row>
    <row r="106" spans="2:3" x14ac:dyDescent="0.25">
      <c r="B106" s="11">
        <v>44284</v>
      </c>
      <c r="C106" s="5">
        <f t="shared" si="2"/>
        <v>0.36499999999999999</v>
      </c>
    </row>
    <row r="107" spans="2:3" x14ac:dyDescent="0.25">
      <c r="B107" s="11">
        <v>44285</v>
      </c>
      <c r="C107" s="5">
        <f t="shared" si="2"/>
        <v>0.36499999999999999</v>
      </c>
    </row>
    <row r="108" spans="2:3" x14ac:dyDescent="0.25">
      <c r="B108" s="11">
        <v>44286</v>
      </c>
      <c r="C108" s="5">
        <f t="shared" si="2"/>
        <v>0.36499999999999999</v>
      </c>
    </row>
    <row r="109" spans="2:3" x14ac:dyDescent="0.25">
      <c r="B109" s="11">
        <v>44287</v>
      </c>
      <c r="C109" s="5">
        <f t="shared" si="2"/>
        <v>0.36499999999999999</v>
      </c>
    </row>
    <row r="110" spans="2:3" x14ac:dyDescent="0.25">
      <c r="B110" s="11">
        <v>44291</v>
      </c>
      <c r="C110" s="5">
        <f t="shared" si="2"/>
        <v>0.36499999999999999</v>
      </c>
    </row>
    <row r="111" spans="2:3" x14ac:dyDescent="0.25">
      <c r="B111" s="11">
        <v>44292</v>
      </c>
      <c r="C111" s="5">
        <f t="shared" si="2"/>
        <v>0.36499999999999999</v>
      </c>
    </row>
    <row r="112" spans="2:3" x14ac:dyDescent="0.25">
      <c r="B112" s="11">
        <v>44293</v>
      </c>
      <c r="C112" s="5">
        <f t="shared" si="2"/>
        <v>0.36499999999999999</v>
      </c>
    </row>
    <row r="113" spans="2:3" x14ac:dyDescent="0.25">
      <c r="B113" s="11">
        <v>44294</v>
      </c>
      <c r="C113" s="5">
        <f t="shared" si="2"/>
        <v>0.36499999999999999</v>
      </c>
    </row>
    <row r="114" spans="2:3" x14ac:dyDescent="0.25">
      <c r="B114" s="11">
        <v>44295</v>
      </c>
      <c r="C114" s="5">
        <f t="shared" si="2"/>
        <v>0.36499999999999999</v>
      </c>
    </row>
    <row r="115" spans="2:3" x14ac:dyDescent="0.25">
      <c r="B115" s="11">
        <v>44298</v>
      </c>
      <c r="C115" s="5">
        <f t="shared" si="2"/>
        <v>0.36499999999999999</v>
      </c>
    </row>
    <row r="116" spans="2:3" x14ac:dyDescent="0.25">
      <c r="B116" s="11">
        <v>44299</v>
      </c>
      <c r="C116" s="5">
        <f t="shared" si="2"/>
        <v>0.36499999999999999</v>
      </c>
    </row>
    <row r="117" spans="2:3" x14ac:dyDescent="0.25">
      <c r="B117" s="11">
        <v>44300</v>
      </c>
      <c r="C117" s="5">
        <f t="shared" si="2"/>
        <v>0.36499999999999999</v>
      </c>
    </row>
    <row r="118" spans="2:3" x14ac:dyDescent="0.25">
      <c r="B118" s="11">
        <v>44301</v>
      </c>
      <c r="C118" s="5">
        <f t="shared" si="2"/>
        <v>0.36499999999999999</v>
      </c>
    </row>
    <row r="119" spans="2:3" x14ac:dyDescent="0.25">
      <c r="B119" s="11">
        <v>44302</v>
      </c>
      <c r="C119" s="5">
        <f t="shared" si="2"/>
        <v>0.36499999999999999</v>
      </c>
    </row>
    <row r="120" spans="2:3" x14ac:dyDescent="0.25">
      <c r="B120" s="11">
        <v>44305</v>
      </c>
      <c r="C120" s="5">
        <f t="shared" si="2"/>
        <v>0.36499999999999999</v>
      </c>
    </row>
    <row r="121" spans="2:3" x14ac:dyDescent="0.25">
      <c r="B121" s="11">
        <v>44306</v>
      </c>
      <c r="C121" s="5">
        <f t="shared" si="2"/>
        <v>0.36499999999999999</v>
      </c>
    </row>
    <row r="122" spans="2:3" x14ac:dyDescent="0.25">
      <c r="B122" s="11">
        <v>44307</v>
      </c>
      <c r="C122" s="5">
        <f t="shared" si="2"/>
        <v>0.36499999999999999</v>
      </c>
    </row>
    <row r="123" spans="2:3" x14ac:dyDescent="0.25">
      <c r="B123" s="11">
        <v>44308</v>
      </c>
      <c r="C123" s="5">
        <f t="shared" si="2"/>
        <v>0.36499999999999999</v>
      </c>
    </row>
    <row r="124" spans="2:3" x14ac:dyDescent="0.25">
      <c r="B124" s="11">
        <v>44309</v>
      </c>
      <c r="C124" s="5">
        <f t="shared" si="2"/>
        <v>0.36499999999999999</v>
      </c>
    </row>
    <row r="125" spans="2:3" x14ac:dyDescent="0.25">
      <c r="B125" s="11">
        <v>44312</v>
      </c>
      <c r="C125" s="5">
        <f t="shared" si="2"/>
        <v>0.36499999999999999</v>
      </c>
    </row>
    <row r="126" spans="2:3" x14ac:dyDescent="0.25">
      <c r="B126" s="11">
        <v>44313</v>
      </c>
      <c r="C126" s="5">
        <f t="shared" si="2"/>
        <v>0.36499999999999999</v>
      </c>
    </row>
    <row r="127" spans="2:3" x14ac:dyDescent="0.25">
      <c r="B127" s="11">
        <v>44314</v>
      </c>
      <c r="C127" s="5">
        <f t="shared" si="2"/>
        <v>0.36499999999999999</v>
      </c>
    </row>
    <row r="128" spans="2:3" x14ac:dyDescent="0.25">
      <c r="B128" s="11">
        <v>44315</v>
      </c>
      <c r="C128" s="5">
        <f t="shared" ref="C128:C168" si="3">+C127</f>
        <v>0.36499999999999999</v>
      </c>
    </row>
    <row r="129" spans="2:3" x14ac:dyDescent="0.25">
      <c r="B129" s="11">
        <v>44319</v>
      </c>
      <c r="C129" s="5">
        <f t="shared" si="3"/>
        <v>0.36499999999999999</v>
      </c>
    </row>
    <row r="130" spans="2:3" x14ac:dyDescent="0.25">
      <c r="B130" s="11">
        <v>44320</v>
      </c>
      <c r="C130" s="5">
        <f t="shared" si="3"/>
        <v>0.36499999999999999</v>
      </c>
    </row>
    <row r="131" spans="2:3" x14ac:dyDescent="0.25">
      <c r="B131" s="11">
        <v>44321</v>
      </c>
      <c r="C131" s="5">
        <f t="shared" si="3"/>
        <v>0.36499999999999999</v>
      </c>
    </row>
    <row r="132" spans="2:3" x14ac:dyDescent="0.25">
      <c r="B132" s="11">
        <v>44322</v>
      </c>
      <c r="C132" s="5">
        <f t="shared" si="3"/>
        <v>0.36499999999999999</v>
      </c>
    </row>
    <row r="133" spans="2:3" x14ac:dyDescent="0.25">
      <c r="B133" s="11">
        <v>44323</v>
      </c>
      <c r="C133" s="5">
        <f t="shared" si="3"/>
        <v>0.36499999999999999</v>
      </c>
    </row>
    <row r="134" spans="2:3" x14ac:dyDescent="0.25">
      <c r="B134" s="11">
        <v>44326</v>
      </c>
      <c r="C134" s="5">
        <f t="shared" si="3"/>
        <v>0.36499999999999999</v>
      </c>
    </row>
    <row r="135" spans="2:3" x14ac:dyDescent="0.25">
      <c r="B135" s="11">
        <v>44327</v>
      </c>
      <c r="C135" s="5">
        <f t="shared" si="3"/>
        <v>0.36499999999999999</v>
      </c>
    </row>
    <row r="136" spans="2:3" x14ac:dyDescent="0.25">
      <c r="B136" s="11">
        <v>44328</v>
      </c>
      <c r="C136" s="5">
        <f t="shared" si="3"/>
        <v>0.36499999999999999</v>
      </c>
    </row>
    <row r="137" spans="2:3" x14ac:dyDescent="0.25">
      <c r="B137" s="11">
        <v>44329</v>
      </c>
      <c r="C137" s="5">
        <f t="shared" si="3"/>
        <v>0.36499999999999999</v>
      </c>
    </row>
    <row r="138" spans="2:3" x14ac:dyDescent="0.25">
      <c r="B138" s="11">
        <v>44330</v>
      </c>
      <c r="C138" s="5">
        <f t="shared" si="3"/>
        <v>0.36499999999999999</v>
      </c>
    </row>
    <row r="139" spans="2:3" x14ac:dyDescent="0.25">
      <c r="B139" s="11">
        <v>44333</v>
      </c>
      <c r="C139" s="5">
        <f t="shared" si="3"/>
        <v>0.36499999999999999</v>
      </c>
    </row>
    <row r="140" spans="2:3" x14ac:dyDescent="0.25">
      <c r="B140" s="11">
        <v>44334</v>
      </c>
      <c r="C140" s="5">
        <f t="shared" si="3"/>
        <v>0.36499999999999999</v>
      </c>
    </row>
    <row r="141" spans="2:3" x14ac:dyDescent="0.25">
      <c r="B141" s="11">
        <v>44335</v>
      </c>
      <c r="C141" s="5">
        <f t="shared" si="3"/>
        <v>0.36499999999999999</v>
      </c>
    </row>
    <row r="142" spans="2:3" x14ac:dyDescent="0.25">
      <c r="B142" s="11">
        <v>44336</v>
      </c>
      <c r="C142" s="5">
        <f t="shared" si="3"/>
        <v>0.36499999999999999</v>
      </c>
    </row>
    <row r="143" spans="2:3" x14ac:dyDescent="0.25">
      <c r="B143" s="11">
        <v>44337</v>
      </c>
      <c r="C143" s="5">
        <f t="shared" si="3"/>
        <v>0.36499999999999999</v>
      </c>
    </row>
    <row r="144" spans="2:3" x14ac:dyDescent="0.25">
      <c r="B144" s="11">
        <v>44342</v>
      </c>
      <c r="C144" s="5">
        <f t="shared" si="3"/>
        <v>0.36499999999999999</v>
      </c>
    </row>
    <row r="145" spans="2:3" x14ac:dyDescent="0.25">
      <c r="B145" s="11">
        <v>44343</v>
      </c>
      <c r="C145" s="5">
        <f t="shared" si="3"/>
        <v>0.36499999999999999</v>
      </c>
    </row>
    <row r="146" spans="2:3" x14ac:dyDescent="0.25">
      <c r="B146" s="11">
        <v>44344</v>
      </c>
      <c r="C146" s="5">
        <f t="shared" si="3"/>
        <v>0.36499999999999999</v>
      </c>
    </row>
    <row r="147" spans="2:3" x14ac:dyDescent="0.25">
      <c r="B147" s="11">
        <v>44347</v>
      </c>
      <c r="C147" s="5">
        <f t="shared" si="3"/>
        <v>0.36499999999999999</v>
      </c>
    </row>
    <row r="148" spans="2:3" x14ac:dyDescent="0.25">
      <c r="B148" s="11">
        <v>44348</v>
      </c>
      <c r="C148" s="5">
        <f t="shared" si="3"/>
        <v>0.36499999999999999</v>
      </c>
    </row>
    <row r="149" spans="2:3" x14ac:dyDescent="0.25">
      <c r="B149" s="11">
        <v>44349</v>
      </c>
      <c r="C149" s="5">
        <f t="shared" si="3"/>
        <v>0.36499999999999999</v>
      </c>
    </row>
    <row r="150" spans="2:3" x14ac:dyDescent="0.25">
      <c r="B150" s="11">
        <v>44350</v>
      </c>
      <c r="C150" s="5">
        <f t="shared" si="3"/>
        <v>0.36499999999999999</v>
      </c>
    </row>
    <row r="151" spans="2:3" x14ac:dyDescent="0.25">
      <c r="B151" s="11">
        <v>44351</v>
      </c>
      <c r="C151" s="5">
        <f t="shared" si="3"/>
        <v>0.36499999999999999</v>
      </c>
    </row>
    <row r="152" spans="2:3" x14ac:dyDescent="0.25">
      <c r="B152" s="11">
        <v>44354</v>
      </c>
      <c r="C152" s="5">
        <f t="shared" si="3"/>
        <v>0.36499999999999999</v>
      </c>
    </row>
    <row r="153" spans="2:3" x14ac:dyDescent="0.25">
      <c r="B153" s="11">
        <v>44355</v>
      </c>
      <c r="C153" s="5">
        <f t="shared" si="3"/>
        <v>0.36499999999999999</v>
      </c>
    </row>
    <row r="154" spans="2:3" x14ac:dyDescent="0.25">
      <c r="B154" s="11">
        <v>44356</v>
      </c>
      <c r="C154" s="5">
        <f t="shared" si="3"/>
        <v>0.36499999999999999</v>
      </c>
    </row>
    <row r="155" spans="2:3" x14ac:dyDescent="0.25">
      <c r="B155" s="11">
        <v>44357</v>
      </c>
      <c r="C155" s="5">
        <f t="shared" si="3"/>
        <v>0.36499999999999999</v>
      </c>
    </row>
    <row r="156" spans="2:3" x14ac:dyDescent="0.25">
      <c r="B156" s="11">
        <v>44358</v>
      </c>
      <c r="C156" s="5">
        <f t="shared" si="3"/>
        <v>0.36499999999999999</v>
      </c>
    </row>
    <row r="157" spans="2:3" x14ac:dyDescent="0.25">
      <c r="B157" s="11">
        <v>44361</v>
      </c>
      <c r="C157" s="5">
        <f t="shared" si="3"/>
        <v>0.36499999999999999</v>
      </c>
    </row>
    <row r="158" spans="2:3" x14ac:dyDescent="0.25">
      <c r="B158" s="11">
        <v>44362</v>
      </c>
      <c r="C158" s="5">
        <f t="shared" si="3"/>
        <v>0.36499999999999999</v>
      </c>
    </row>
    <row r="159" spans="2:3" x14ac:dyDescent="0.25">
      <c r="B159" s="11">
        <v>44363</v>
      </c>
      <c r="C159" s="5">
        <f t="shared" si="3"/>
        <v>0.36499999999999999</v>
      </c>
    </row>
    <row r="160" spans="2:3" x14ac:dyDescent="0.25">
      <c r="B160" s="11">
        <v>44364</v>
      </c>
      <c r="C160" s="5">
        <f t="shared" si="3"/>
        <v>0.36499999999999999</v>
      </c>
    </row>
    <row r="161" spans="2:3" x14ac:dyDescent="0.25">
      <c r="B161" s="11">
        <v>44365</v>
      </c>
      <c r="C161" s="5">
        <f t="shared" si="3"/>
        <v>0.36499999999999999</v>
      </c>
    </row>
    <row r="162" spans="2:3" x14ac:dyDescent="0.25">
      <c r="B162" s="11">
        <v>44369</v>
      </c>
      <c r="C162" s="5">
        <f t="shared" si="3"/>
        <v>0.36499999999999999</v>
      </c>
    </row>
    <row r="163" spans="2:3" x14ac:dyDescent="0.25">
      <c r="B163" s="11">
        <v>44370</v>
      </c>
      <c r="C163" s="271">
        <f t="shared" si="3"/>
        <v>0.36499999999999999</v>
      </c>
    </row>
    <row r="164" spans="2:3" x14ac:dyDescent="0.25">
      <c r="B164" s="11">
        <v>44371</v>
      </c>
      <c r="C164" s="5">
        <f t="shared" si="3"/>
        <v>0.36499999999999999</v>
      </c>
    </row>
    <row r="165" spans="2:3" x14ac:dyDescent="0.25">
      <c r="B165" s="11">
        <v>44372</v>
      </c>
      <c r="C165" s="5">
        <f t="shared" si="3"/>
        <v>0.36499999999999999</v>
      </c>
    </row>
    <row r="166" spans="2:3" x14ac:dyDescent="0.25">
      <c r="B166" s="11">
        <v>44375</v>
      </c>
      <c r="C166" s="5">
        <f t="shared" si="3"/>
        <v>0.36499999999999999</v>
      </c>
    </row>
    <row r="167" spans="2:3" x14ac:dyDescent="0.25">
      <c r="B167" s="11">
        <v>44376</v>
      </c>
      <c r="C167" s="5">
        <f t="shared" si="3"/>
        <v>0.36499999999999999</v>
      </c>
    </row>
    <row r="168" spans="2:3" x14ac:dyDescent="0.25">
      <c r="B168" s="11">
        <v>44377</v>
      </c>
      <c r="C168" s="5">
        <f t="shared" si="3"/>
        <v>0.36499999999999999</v>
      </c>
    </row>
    <row r="169" spans="2:3" x14ac:dyDescent="0.25">
      <c r="B169" s="11">
        <v>44378</v>
      </c>
      <c r="C169" s="5">
        <f>+C168</f>
        <v>0.36499999999999999</v>
      </c>
    </row>
    <row r="170" spans="2:3" x14ac:dyDescent="0.25">
      <c r="B170" s="11">
        <v>44379</v>
      </c>
      <c r="C170" s="5">
        <f t="shared" ref="C170:C194" si="4">+C169</f>
        <v>0.36499999999999999</v>
      </c>
    </row>
    <row r="171" spans="2:3" x14ac:dyDescent="0.25">
      <c r="B171" s="11">
        <v>44382</v>
      </c>
      <c r="C171" s="5">
        <f t="shared" si="4"/>
        <v>0.36499999999999999</v>
      </c>
    </row>
    <row r="172" spans="2:3" x14ac:dyDescent="0.25">
      <c r="B172" s="11">
        <v>44383</v>
      </c>
      <c r="C172" s="5">
        <f t="shared" si="4"/>
        <v>0.36499999999999999</v>
      </c>
    </row>
    <row r="173" spans="2:3" x14ac:dyDescent="0.25">
      <c r="B173" s="11">
        <v>44384</v>
      </c>
      <c r="C173" s="5">
        <f t="shared" si="4"/>
        <v>0.36499999999999999</v>
      </c>
    </row>
    <row r="174" spans="2:3" x14ac:dyDescent="0.25">
      <c r="B174" s="11">
        <v>44385</v>
      </c>
      <c r="C174" s="5">
        <f t="shared" si="4"/>
        <v>0.36499999999999999</v>
      </c>
    </row>
    <row r="175" spans="2:3" x14ac:dyDescent="0.25">
      <c r="B175" s="11">
        <v>44389</v>
      </c>
      <c r="C175" s="5">
        <f t="shared" si="4"/>
        <v>0.36499999999999999</v>
      </c>
    </row>
    <row r="176" spans="2:3" x14ac:dyDescent="0.25">
      <c r="B176" s="11">
        <v>44390</v>
      </c>
      <c r="C176" s="5">
        <f t="shared" si="4"/>
        <v>0.36499999999999999</v>
      </c>
    </row>
    <row r="177" spans="2:3" x14ac:dyDescent="0.25">
      <c r="B177" s="11">
        <v>44391</v>
      </c>
      <c r="C177" s="5">
        <f t="shared" si="4"/>
        <v>0.36499999999999999</v>
      </c>
    </row>
    <row r="178" spans="2:3" x14ac:dyDescent="0.25">
      <c r="B178" s="11">
        <v>44392</v>
      </c>
      <c r="C178" s="5">
        <f t="shared" si="4"/>
        <v>0.36499999999999999</v>
      </c>
    </row>
    <row r="179" spans="2:3" x14ac:dyDescent="0.25">
      <c r="B179" s="11">
        <v>44393</v>
      </c>
      <c r="C179" s="5">
        <f t="shared" si="4"/>
        <v>0.36499999999999999</v>
      </c>
    </row>
    <row r="180" spans="2:3" x14ac:dyDescent="0.25">
      <c r="B180" s="11">
        <v>44396</v>
      </c>
      <c r="C180" s="5">
        <f t="shared" si="4"/>
        <v>0.36499999999999999</v>
      </c>
    </row>
    <row r="181" spans="2:3" x14ac:dyDescent="0.25">
      <c r="B181" s="11">
        <v>44397</v>
      </c>
      <c r="C181" s="5">
        <f t="shared" si="4"/>
        <v>0.36499999999999999</v>
      </c>
    </row>
    <row r="182" spans="2:3" x14ac:dyDescent="0.25">
      <c r="B182" s="11">
        <v>44398</v>
      </c>
      <c r="C182" s="5">
        <f t="shared" si="4"/>
        <v>0.36499999999999999</v>
      </c>
    </row>
    <row r="183" spans="2:3" x14ac:dyDescent="0.25">
      <c r="B183" s="11">
        <v>44399</v>
      </c>
      <c r="C183" s="5">
        <f t="shared" si="4"/>
        <v>0.36499999999999999</v>
      </c>
    </row>
    <row r="184" spans="2:3" x14ac:dyDescent="0.25">
      <c r="B184" s="11">
        <v>44400</v>
      </c>
      <c r="C184" s="5">
        <f t="shared" si="4"/>
        <v>0.36499999999999999</v>
      </c>
    </row>
    <row r="185" spans="2:3" x14ac:dyDescent="0.25">
      <c r="B185" s="11">
        <v>44403</v>
      </c>
      <c r="C185" s="5">
        <f t="shared" si="4"/>
        <v>0.36499999999999999</v>
      </c>
    </row>
    <row r="186" spans="2:3" x14ac:dyDescent="0.25">
      <c r="B186" s="11">
        <v>44404</v>
      </c>
      <c r="C186" s="5">
        <f t="shared" si="4"/>
        <v>0.36499999999999999</v>
      </c>
    </row>
    <row r="187" spans="2:3" x14ac:dyDescent="0.25">
      <c r="B187" s="11">
        <v>44405</v>
      </c>
      <c r="C187" s="5">
        <f t="shared" si="4"/>
        <v>0.36499999999999999</v>
      </c>
    </row>
    <row r="188" spans="2:3" x14ac:dyDescent="0.25">
      <c r="B188" s="11">
        <v>44406</v>
      </c>
      <c r="C188" s="5">
        <f t="shared" si="4"/>
        <v>0.36499999999999999</v>
      </c>
    </row>
    <row r="189" spans="2:3" x14ac:dyDescent="0.25">
      <c r="B189" s="11">
        <v>44407</v>
      </c>
      <c r="C189" s="5">
        <f t="shared" si="4"/>
        <v>0.36499999999999999</v>
      </c>
    </row>
    <row r="190" spans="2:3" x14ac:dyDescent="0.25">
      <c r="B190" s="11">
        <v>44410</v>
      </c>
      <c r="C190" s="5">
        <f t="shared" si="4"/>
        <v>0.36499999999999999</v>
      </c>
    </row>
    <row r="191" spans="2:3" x14ac:dyDescent="0.25">
      <c r="B191" s="11">
        <v>44411</v>
      </c>
      <c r="C191" s="5">
        <f t="shared" si="4"/>
        <v>0.36499999999999999</v>
      </c>
    </row>
    <row r="192" spans="2:3" x14ac:dyDescent="0.25">
      <c r="B192" s="11">
        <v>44412</v>
      </c>
      <c r="C192" s="5">
        <f t="shared" si="4"/>
        <v>0.36499999999999999</v>
      </c>
    </row>
    <row r="193" spans="2:3" x14ac:dyDescent="0.25">
      <c r="B193" s="11">
        <v>44413</v>
      </c>
      <c r="C193" s="5">
        <f t="shared" si="4"/>
        <v>0.36499999999999999</v>
      </c>
    </row>
    <row r="194" spans="2:3" x14ac:dyDescent="0.25">
      <c r="B194" s="11">
        <v>44414</v>
      </c>
      <c r="C194" s="5">
        <f t="shared" si="4"/>
        <v>0.36499999999999999</v>
      </c>
    </row>
  </sheetData>
  <mergeCells count="6">
    <mergeCell ref="AD2:AH2"/>
    <mergeCell ref="X2:AB2"/>
    <mergeCell ref="R2:V2"/>
    <mergeCell ref="L2:P2"/>
    <mergeCell ref="B2:C2"/>
    <mergeCell ref="F2:J2"/>
  </mergeCells>
  <pageMargins left="0.7" right="0.7" top="0.75" bottom="0.75" header="0.3" footer="0.3"/>
  <pageSetup orientation="portrait" r:id="rId1"/>
  <ignoredErrors>
    <ignoredError sqref="M10 P5" evalError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Y372"/>
  <sheetViews>
    <sheetView topLeftCell="A136" zoomScale="80" zoomScaleNormal="80" workbookViewId="0">
      <selection activeCell="B25" sqref="B25"/>
    </sheetView>
  </sheetViews>
  <sheetFormatPr baseColWidth="10" defaultRowHeight="15" x14ac:dyDescent="0.25"/>
  <cols>
    <col min="1" max="1" width="18.28515625" bestFit="1" customWidth="1"/>
    <col min="4" max="4" width="12.28515625" bestFit="1" customWidth="1"/>
    <col min="5" max="5" width="11.85546875" bestFit="1" customWidth="1"/>
    <col min="7" max="7" width="12.28515625" bestFit="1" customWidth="1"/>
    <col min="10" max="10" width="12.28515625" bestFit="1" customWidth="1"/>
    <col min="13" max="13" width="12.28515625" bestFit="1" customWidth="1"/>
    <col min="16" max="16" width="12.28515625" bestFit="1" customWidth="1"/>
  </cols>
  <sheetData>
    <row r="3" spans="1:17" x14ac:dyDescent="0.25">
      <c r="A3" s="12"/>
      <c r="B3" s="15"/>
      <c r="D3" s="387" t="s">
        <v>93</v>
      </c>
      <c r="E3" s="387"/>
      <c r="G3" s="420" t="s">
        <v>94</v>
      </c>
      <c r="H3" s="420"/>
      <c r="J3" s="420" t="s">
        <v>95</v>
      </c>
      <c r="K3" s="420"/>
      <c r="M3" s="420" t="s">
        <v>96</v>
      </c>
      <c r="N3" s="420"/>
      <c r="P3" s="420" t="s">
        <v>97</v>
      </c>
      <c r="Q3" s="420"/>
    </row>
    <row r="4" spans="1:17" x14ac:dyDescent="0.25">
      <c r="A4" s="12"/>
      <c r="B4" s="47"/>
      <c r="D4" s="48" t="s">
        <v>14</v>
      </c>
      <c r="E4" s="48" t="s">
        <v>24</v>
      </c>
      <c r="G4" s="48" t="s">
        <v>14</v>
      </c>
      <c r="H4" s="48" t="s">
        <v>24</v>
      </c>
      <c r="J4" s="48" t="s">
        <v>14</v>
      </c>
      <c r="K4" s="48" t="s">
        <v>24</v>
      </c>
      <c r="M4" s="48" t="s">
        <v>14</v>
      </c>
      <c r="N4" s="48" t="s">
        <v>24</v>
      </c>
      <c r="P4" s="48" t="s">
        <v>14</v>
      </c>
      <c r="Q4" s="48" t="s">
        <v>24</v>
      </c>
    </row>
    <row r="5" spans="1:17" x14ac:dyDescent="0.25">
      <c r="B5" s="5"/>
      <c r="D5" s="15">
        <v>44058</v>
      </c>
      <c r="E5" s="47">
        <v>22.462</v>
      </c>
      <c r="G5" s="15">
        <v>44197</v>
      </c>
      <c r="H5" s="47">
        <v>25.520199999999999</v>
      </c>
      <c r="J5" s="239">
        <v>44562</v>
      </c>
      <c r="K5" s="47">
        <f>H369*(1+B34)</f>
        <v>38.265461699578019</v>
      </c>
      <c r="M5" s="15">
        <v>44927</v>
      </c>
      <c r="N5" s="47">
        <f>K369*(1+$B$43)</f>
        <v>53.495584780870118</v>
      </c>
      <c r="P5" s="15">
        <v>45292</v>
      </c>
      <c r="Q5" s="47">
        <f>+N369*(1+$B$45)</f>
        <v>74.513560386410404</v>
      </c>
    </row>
    <row r="6" spans="1:17" x14ac:dyDescent="0.25">
      <c r="A6" s="237"/>
      <c r="B6" s="2"/>
      <c r="D6" s="15">
        <v>44059</v>
      </c>
      <c r="E6" s="47">
        <v>22.4756</v>
      </c>
      <c r="G6" s="15">
        <v>44198</v>
      </c>
      <c r="H6" s="47">
        <v>25.546199999999999</v>
      </c>
      <c r="J6" s="239">
        <v>44563</v>
      </c>
      <c r="K6" s="47">
        <f>K5*(1+$B$34)</f>
        <v>38.300701486847487</v>
      </c>
      <c r="M6" s="15">
        <v>44928</v>
      </c>
      <c r="N6" s="47">
        <f t="shared" ref="N6:N69" si="0">N5*(1+$B$43)</f>
        <v>53.54417525730161</v>
      </c>
      <c r="P6" s="15">
        <v>45293</v>
      </c>
      <c r="Q6" s="47">
        <f t="shared" ref="Q6:Q69" si="1">Q5*(1+$B$45)</f>
        <v>74.581241661689731</v>
      </c>
    </row>
    <row r="7" spans="1:17" x14ac:dyDescent="0.25">
      <c r="A7" s="237"/>
      <c r="B7" s="2"/>
      <c r="D7" s="15">
        <v>44060</v>
      </c>
      <c r="E7" s="47">
        <v>22.4893</v>
      </c>
      <c r="G7" s="15">
        <v>44199</v>
      </c>
      <c r="H7" s="47">
        <v>25.572199999999999</v>
      </c>
      <c r="J7" s="239">
        <v>44564</v>
      </c>
      <c r="K7" s="47">
        <f t="shared" ref="K7:K19" si="2">K6*(1+$B$34)</f>
        <v>38.335973727471803</v>
      </c>
      <c r="M7" s="15">
        <v>44929</v>
      </c>
      <c r="N7" s="47">
        <f t="shared" si="0"/>
        <v>53.592809868859568</v>
      </c>
      <c r="P7" s="15">
        <v>45294</v>
      </c>
      <c r="Q7" s="47">
        <f t="shared" si="1"/>
        <v>74.648984412423985</v>
      </c>
    </row>
    <row r="8" spans="1:17" x14ac:dyDescent="0.25">
      <c r="B8" s="2"/>
      <c r="D8" s="15">
        <v>44061</v>
      </c>
      <c r="E8" s="47">
        <v>22.5029</v>
      </c>
      <c r="G8" s="15">
        <v>44200</v>
      </c>
      <c r="H8" s="47">
        <v>25.598199999999999</v>
      </c>
      <c r="J8" s="239">
        <v>44565</v>
      </c>
      <c r="K8" s="47">
        <f t="shared" si="2"/>
        <v>38.371278451338206</v>
      </c>
      <c r="M8" s="15">
        <v>44930</v>
      </c>
      <c r="N8" s="47">
        <f t="shared" si="0"/>
        <v>53.641488655632294</v>
      </c>
      <c r="P8" s="15">
        <v>45295</v>
      </c>
      <c r="Q8" s="47">
        <f t="shared" si="1"/>
        <v>74.716788694451836</v>
      </c>
    </row>
    <row r="9" spans="1:17" x14ac:dyDescent="0.25">
      <c r="A9" s="237"/>
      <c r="B9" s="2"/>
      <c r="D9" s="15">
        <v>44062</v>
      </c>
      <c r="E9" s="47">
        <v>22.5166</v>
      </c>
      <c r="G9" s="15">
        <v>44201</v>
      </c>
      <c r="H9" s="47">
        <v>25.624199999999998</v>
      </c>
      <c r="J9" s="239">
        <v>44566</v>
      </c>
      <c r="K9" s="47">
        <f t="shared" si="2"/>
        <v>38.406615688361477</v>
      </c>
      <c r="M9" s="15">
        <v>44931</v>
      </c>
      <c r="N9" s="47">
        <f t="shared" si="0"/>
        <v>53.690211657744491</v>
      </c>
      <c r="P9" s="15">
        <v>45296</v>
      </c>
      <c r="Q9" s="47">
        <f t="shared" si="1"/>
        <v>74.784654563662642</v>
      </c>
    </row>
    <row r="10" spans="1:17" x14ac:dyDescent="0.25">
      <c r="B10" s="2"/>
      <c r="D10" s="15">
        <v>44063</v>
      </c>
      <c r="E10" s="47">
        <v>22.5303</v>
      </c>
      <c r="G10" s="15">
        <v>44202</v>
      </c>
      <c r="H10" s="47">
        <v>25.650200000000002</v>
      </c>
      <c r="J10" s="239">
        <v>44567</v>
      </c>
      <c r="K10" s="47">
        <f t="shared" si="2"/>
        <v>38.441985468483928</v>
      </c>
      <c r="M10" s="15">
        <v>44932</v>
      </c>
      <c r="N10" s="47">
        <f t="shared" si="0"/>
        <v>53.738978915357315</v>
      </c>
      <c r="P10" s="15">
        <v>45297</v>
      </c>
      <c r="Q10" s="47">
        <f t="shared" si="1"/>
        <v>74.852582075996565</v>
      </c>
    </row>
    <row r="11" spans="1:17" x14ac:dyDescent="0.25">
      <c r="B11" s="2"/>
      <c r="D11" s="15">
        <v>44064</v>
      </c>
      <c r="E11" s="47">
        <v>22.544</v>
      </c>
      <c r="G11" s="15">
        <v>44203</v>
      </c>
      <c r="H11" s="47">
        <v>25.676300000000001</v>
      </c>
      <c r="J11" s="239">
        <v>44568</v>
      </c>
      <c r="K11" s="47">
        <f t="shared" si="2"/>
        <v>38.477387821675457</v>
      </c>
      <c r="M11" s="15">
        <v>44933</v>
      </c>
      <c r="N11" s="47">
        <f t="shared" si="0"/>
        <v>53.787790468668398</v>
      </c>
      <c r="P11" s="15">
        <v>45298</v>
      </c>
      <c r="Q11" s="47">
        <f t="shared" si="1"/>
        <v>74.920571287444545</v>
      </c>
    </row>
    <row r="12" spans="1:17" x14ac:dyDescent="0.25">
      <c r="A12" t="s">
        <v>134</v>
      </c>
      <c r="B12" s="2"/>
      <c r="D12" s="15">
        <v>44065</v>
      </c>
      <c r="E12" s="47">
        <v>22.557600000000001</v>
      </c>
      <c r="G12" s="15">
        <v>44204</v>
      </c>
      <c r="H12" s="47">
        <v>25.702400000000001</v>
      </c>
      <c r="J12" s="239">
        <v>44569</v>
      </c>
      <c r="K12" s="47">
        <f t="shared" si="2"/>
        <v>38.512822777933565</v>
      </c>
      <c r="M12" s="15">
        <v>44934</v>
      </c>
      <c r="N12" s="47">
        <f t="shared" si="0"/>
        <v>53.836646357911889</v>
      </c>
      <c r="P12" s="15">
        <v>45299</v>
      </c>
      <c r="Q12" s="47">
        <f t="shared" si="1"/>
        <v>74.988622254048394</v>
      </c>
    </row>
    <row r="13" spans="1:17" x14ac:dyDescent="0.25">
      <c r="A13" s="237">
        <v>44197</v>
      </c>
      <c r="B13" s="279">
        <v>0.04</v>
      </c>
      <c r="D13" s="15">
        <v>44066</v>
      </c>
      <c r="E13" s="47">
        <v>22.571300000000001</v>
      </c>
      <c r="G13" s="15">
        <v>44205</v>
      </c>
      <c r="H13" s="47">
        <v>25.7285</v>
      </c>
      <c r="J13" s="239">
        <v>44570</v>
      </c>
      <c r="K13" s="47">
        <f t="shared" si="2"/>
        <v>38.548290367283364</v>
      </c>
      <c r="M13" s="15">
        <v>44935</v>
      </c>
      <c r="N13" s="47">
        <f t="shared" si="0"/>
        <v>53.885546623358472</v>
      </c>
      <c r="P13" s="15">
        <v>45300</v>
      </c>
      <c r="Q13" s="47">
        <f t="shared" si="1"/>
        <v>75.056735031900828</v>
      </c>
    </row>
    <row r="14" spans="1:17" x14ac:dyDescent="0.25">
      <c r="B14" s="2">
        <f>(1+B13)^(1/28)-1</f>
        <v>1.4017212496246767E-3</v>
      </c>
      <c r="D14" s="15">
        <v>44067</v>
      </c>
      <c r="E14" s="47">
        <v>22.585100000000001</v>
      </c>
      <c r="G14" s="15">
        <v>44206</v>
      </c>
      <c r="H14" s="47">
        <v>25.7547</v>
      </c>
      <c r="J14" s="239">
        <v>44571</v>
      </c>
      <c r="K14" s="47">
        <f t="shared" si="2"/>
        <v>38.583790619777638</v>
      </c>
      <c r="M14" s="15">
        <v>44936</v>
      </c>
      <c r="N14" s="47">
        <f t="shared" si="0"/>
        <v>53.934491305315412</v>
      </c>
      <c r="P14" s="15">
        <v>45301</v>
      </c>
      <c r="Q14" s="47">
        <f t="shared" si="1"/>
        <v>75.12490967714551</v>
      </c>
    </row>
    <row r="15" spans="1:17" x14ac:dyDescent="0.25">
      <c r="A15" s="237">
        <v>44228</v>
      </c>
      <c r="B15" s="279">
        <v>3.5999999999999997E-2</v>
      </c>
      <c r="D15" s="15">
        <v>44068</v>
      </c>
      <c r="E15" s="47">
        <v>22.598800000000001</v>
      </c>
      <c r="G15" s="15">
        <v>44207</v>
      </c>
      <c r="H15" s="47">
        <v>25.780899999999999</v>
      </c>
      <c r="J15" s="239">
        <v>44572</v>
      </c>
      <c r="K15" s="47">
        <f t="shared" si="2"/>
        <v>38.619323565496828</v>
      </c>
      <c r="M15" s="15">
        <v>44937</v>
      </c>
      <c r="N15" s="47">
        <f t="shared" si="0"/>
        <v>53.983480444126592</v>
      </c>
      <c r="P15" s="15">
        <v>45302</v>
      </c>
      <c r="Q15" s="47">
        <f t="shared" si="1"/>
        <v>75.19314624597709</v>
      </c>
    </row>
    <row r="16" spans="1:17" x14ac:dyDescent="0.25">
      <c r="B16" s="2">
        <f>(1+B15)^(1/31)-1</f>
        <v>1.1415266537946334E-3</v>
      </c>
      <c r="D16" s="15">
        <v>44069</v>
      </c>
      <c r="E16" s="47">
        <v>22.612500000000001</v>
      </c>
      <c r="G16" s="15">
        <v>44208</v>
      </c>
      <c r="H16" s="47">
        <v>25.807099999999998</v>
      </c>
      <c r="J16" s="239">
        <v>44573</v>
      </c>
      <c r="K16" s="47">
        <f t="shared" si="2"/>
        <v>38.654889234549081</v>
      </c>
      <c r="M16" s="15">
        <v>44938</v>
      </c>
      <c r="N16" s="47">
        <f t="shared" si="0"/>
        <v>54.03251408017254</v>
      </c>
      <c r="P16" s="15">
        <v>45303</v>
      </c>
      <c r="Q16" s="47">
        <f t="shared" si="1"/>
        <v>75.261444794641264</v>
      </c>
    </row>
    <row r="17" spans="1:17" x14ac:dyDescent="0.25">
      <c r="A17" s="237">
        <v>44256</v>
      </c>
      <c r="B17" s="279">
        <v>4.8000000000000001E-2</v>
      </c>
      <c r="D17" s="15">
        <v>44070</v>
      </c>
      <c r="E17" s="47">
        <v>22.626200000000001</v>
      </c>
      <c r="G17" s="15">
        <v>44209</v>
      </c>
      <c r="H17" s="47">
        <v>25.833300000000001</v>
      </c>
      <c r="J17" s="239">
        <v>44574</v>
      </c>
      <c r="K17" s="47">
        <f t="shared" si="2"/>
        <v>38.690487657070285</v>
      </c>
      <c r="M17" s="15">
        <v>44939</v>
      </c>
      <c r="N17" s="47">
        <f t="shared" si="0"/>
        <v>54.081592253870447</v>
      </c>
      <c r="P17" s="15">
        <v>45304</v>
      </c>
      <c r="Q17" s="47">
        <f t="shared" si="1"/>
        <v>75.329805379434831</v>
      </c>
    </row>
    <row r="18" spans="1:17" x14ac:dyDescent="0.25">
      <c r="B18" s="2">
        <f>(1+B17)^(1/30)-1</f>
        <v>1.5640079833574294E-3</v>
      </c>
      <c r="D18" s="15">
        <v>44071</v>
      </c>
      <c r="E18" s="47">
        <v>22.64</v>
      </c>
      <c r="G18" s="15">
        <v>44210</v>
      </c>
      <c r="H18" s="47">
        <v>25.8596</v>
      </c>
      <c r="J18" s="239">
        <v>44575</v>
      </c>
      <c r="K18" s="47">
        <f t="shared" si="2"/>
        <v>38.726118863224066</v>
      </c>
      <c r="M18" s="15">
        <v>44940</v>
      </c>
      <c r="N18" s="47">
        <f t="shared" si="0"/>
        <v>54.130715005674233</v>
      </c>
      <c r="P18" s="15">
        <v>45305</v>
      </c>
      <c r="Q18" s="47">
        <f t="shared" si="1"/>
        <v>75.398228056705705</v>
      </c>
    </row>
    <row r="19" spans="1:17" x14ac:dyDescent="0.25">
      <c r="A19" s="237">
        <v>44287</v>
      </c>
      <c r="B19" s="324">
        <v>4.1000000000000002E-2</v>
      </c>
      <c r="D19" s="15">
        <v>44072</v>
      </c>
      <c r="E19" s="47">
        <v>22.653700000000001</v>
      </c>
      <c r="G19" s="15">
        <v>44211</v>
      </c>
      <c r="H19" s="47">
        <v>25.885899999999999</v>
      </c>
      <c r="J19" s="239">
        <v>44576</v>
      </c>
      <c r="K19" s="47">
        <f t="shared" si="2"/>
        <v>38.761782883201832</v>
      </c>
      <c r="M19" s="15">
        <v>44941</v>
      </c>
      <c r="N19" s="47">
        <f t="shared" si="0"/>
        <v>54.179882376074559</v>
      </c>
      <c r="P19" s="15">
        <v>45306</v>
      </c>
      <c r="Q19" s="47">
        <f t="shared" si="1"/>
        <v>75.466712882853002</v>
      </c>
    </row>
    <row r="20" spans="1:17" x14ac:dyDescent="0.25">
      <c r="B20" s="2">
        <f>(1+B19)^(1/31)-1</f>
        <v>1.2970271754824125E-3</v>
      </c>
      <c r="C20" s="5"/>
      <c r="D20" s="15">
        <v>44073</v>
      </c>
      <c r="E20" s="47">
        <v>22.6675</v>
      </c>
      <c r="G20" s="121">
        <v>44212</v>
      </c>
      <c r="H20" s="47">
        <v>25.918600000000001</v>
      </c>
      <c r="I20" t="s">
        <v>201</v>
      </c>
      <c r="J20" s="238">
        <v>44577</v>
      </c>
      <c r="K20" s="47">
        <f>K19*(1+$B$36)</f>
        <v>38.79632772251643</v>
      </c>
      <c r="M20" s="15">
        <v>44942</v>
      </c>
      <c r="N20" s="47">
        <f t="shared" si="0"/>
        <v>54.229094405598858</v>
      </c>
      <c r="P20" s="15">
        <v>45307</v>
      </c>
      <c r="Q20" s="47">
        <f t="shared" si="1"/>
        <v>75.535259914327042</v>
      </c>
    </row>
    <row r="21" spans="1:17" x14ac:dyDescent="0.25">
      <c r="A21" s="237">
        <v>44317</v>
      </c>
      <c r="B21" s="324">
        <v>3.3000000000000002E-2</v>
      </c>
      <c r="C21" s="2"/>
      <c r="D21" s="15">
        <v>44074</v>
      </c>
      <c r="E21" s="47">
        <v>22.6812</v>
      </c>
      <c r="G21" s="121">
        <v>44213</v>
      </c>
      <c r="H21" s="47">
        <v>25.951499999999999</v>
      </c>
      <c r="J21" s="238">
        <v>44578</v>
      </c>
      <c r="K21" s="47">
        <f t="shared" ref="K21:K50" si="3">K20*(1+$B$36)</f>
        <v>38.830903348493422</v>
      </c>
      <c r="M21" s="15">
        <v>44943</v>
      </c>
      <c r="N21" s="47">
        <f t="shared" si="0"/>
        <v>54.278351134811373</v>
      </c>
      <c r="P21" s="15">
        <v>45308</v>
      </c>
      <c r="Q21" s="47">
        <f t="shared" si="1"/>
        <v>75.60386920762943</v>
      </c>
    </row>
    <row r="22" spans="1:17" x14ac:dyDescent="0.25">
      <c r="B22" s="2">
        <f>(1+B21)^(1/30)-1</f>
        <v>1.0828255039210255E-3</v>
      </c>
      <c r="D22" s="15">
        <v>44075</v>
      </c>
      <c r="E22" s="47">
        <v>22.695</v>
      </c>
      <c r="G22" s="121">
        <v>44214</v>
      </c>
      <c r="H22" s="47">
        <v>25.984300000000001</v>
      </c>
      <c r="J22" s="238">
        <v>44579</v>
      </c>
      <c r="K22" s="47">
        <f t="shared" si="3"/>
        <v>38.865509788570144</v>
      </c>
      <c r="M22" s="15">
        <v>44944</v>
      </c>
      <c r="N22" s="47">
        <f t="shared" si="0"/>
        <v>54.327652604313194</v>
      </c>
      <c r="P22" s="15">
        <v>45309</v>
      </c>
      <c r="Q22" s="47">
        <f t="shared" si="1"/>
        <v>75.672540819313099</v>
      </c>
    </row>
    <row r="23" spans="1:17" x14ac:dyDescent="0.25">
      <c r="A23" s="237">
        <v>44348</v>
      </c>
      <c r="B23" s="2">
        <v>0.03</v>
      </c>
      <c r="D23" s="15">
        <v>44076</v>
      </c>
      <c r="E23" s="47">
        <v>22.7088</v>
      </c>
      <c r="G23" s="121">
        <v>44215</v>
      </c>
      <c r="H23" s="47">
        <v>26.017199999999999</v>
      </c>
      <c r="J23" s="238">
        <v>44580</v>
      </c>
      <c r="K23" s="47">
        <f t="shared" si="3"/>
        <v>38.900147070208391</v>
      </c>
      <c r="M23" s="15">
        <v>44945</v>
      </c>
      <c r="N23" s="47">
        <f t="shared" si="0"/>
        <v>54.376998854742297</v>
      </c>
      <c r="P23" s="15">
        <v>45310</v>
      </c>
      <c r="Q23" s="47">
        <f t="shared" si="1"/>
        <v>75.741274805982343</v>
      </c>
    </row>
    <row r="24" spans="1:17" x14ac:dyDescent="0.25">
      <c r="B24" s="2">
        <f>(1+B23)^(1/31)-1</f>
        <v>9.5396448466855688E-4</v>
      </c>
      <c r="D24" s="15">
        <v>44077</v>
      </c>
      <c r="E24" s="47">
        <v>22.7225</v>
      </c>
      <c r="G24" s="121">
        <v>44216</v>
      </c>
      <c r="H24" s="47">
        <v>26.0501</v>
      </c>
      <c r="J24" s="238">
        <v>44581</v>
      </c>
      <c r="K24" s="47">
        <f t="shared" si="3"/>
        <v>38.934815220894436</v>
      </c>
      <c r="M24" s="15">
        <v>44946</v>
      </c>
      <c r="N24" s="47">
        <f t="shared" si="0"/>
        <v>54.42638992677356</v>
      </c>
      <c r="P24" s="15">
        <v>45311</v>
      </c>
      <c r="Q24" s="47">
        <f t="shared" si="1"/>
        <v>75.810071224292869</v>
      </c>
    </row>
    <row r="25" spans="1:17" x14ac:dyDescent="0.25">
      <c r="A25" s="237">
        <v>44378</v>
      </c>
      <c r="B25" s="2">
        <v>2.8000000000000001E-2</v>
      </c>
      <c r="D25" s="15">
        <v>44078</v>
      </c>
      <c r="E25" s="47">
        <v>22.7364</v>
      </c>
      <c r="G25" s="121">
        <v>44217</v>
      </c>
      <c r="H25" s="47">
        <v>26.083100000000002</v>
      </c>
      <c r="J25" s="238">
        <v>44582</v>
      </c>
      <c r="K25" s="47">
        <f t="shared" si="3"/>
        <v>38.969514268139044</v>
      </c>
      <c r="M25" s="15">
        <v>44947</v>
      </c>
      <c r="N25" s="47">
        <f t="shared" si="0"/>
        <v>54.475825861118814</v>
      </c>
      <c r="P25" s="15">
        <v>45312</v>
      </c>
      <c r="Q25" s="47">
        <f t="shared" si="1"/>
        <v>75.878930130951858</v>
      </c>
    </row>
    <row r="26" spans="1:17" x14ac:dyDescent="0.25">
      <c r="B26" s="2">
        <f>(1+B25)^(1/30)-1</f>
        <v>9.2092936304122297E-4</v>
      </c>
      <c r="D26" s="15">
        <v>44079</v>
      </c>
      <c r="E26" s="47">
        <v>22.7502</v>
      </c>
      <c r="G26" s="121">
        <v>44218</v>
      </c>
      <c r="H26" s="47">
        <v>26.116099999999999</v>
      </c>
      <c r="J26" s="238">
        <v>44583</v>
      </c>
      <c r="K26" s="47">
        <f t="shared" si="3"/>
        <v>39.004244239477494</v>
      </c>
      <c r="M26" s="15">
        <v>44948</v>
      </c>
      <c r="N26" s="47">
        <f t="shared" si="0"/>
        <v>54.525306698526862</v>
      </c>
      <c r="P26" s="15">
        <v>45313</v>
      </c>
      <c r="Q26" s="47">
        <f t="shared" si="1"/>
        <v>75.947851582717973</v>
      </c>
    </row>
    <row r="27" spans="1:17" x14ac:dyDescent="0.25">
      <c r="A27" s="237">
        <v>44409</v>
      </c>
      <c r="B27" s="2">
        <f>+B25</f>
        <v>2.8000000000000001E-2</v>
      </c>
      <c r="D27" s="15">
        <v>44080</v>
      </c>
      <c r="E27" s="47">
        <v>22.763999999999999</v>
      </c>
      <c r="G27" s="121">
        <v>44219</v>
      </c>
      <c r="H27" s="47">
        <v>26.1492</v>
      </c>
      <c r="J27" s="238">
        <v>44584</v>
      </c>
      <c r="K27" s="47">
        <f t="shared" si="3"/>
        <v>39.039005162469614</v>
      </c>
      <c r="M27" s="15">
        <v>44949</v>
      </c>
      <c r="N27" s="47">
        <f t="shared" si="0"/>
        <v>54.574832479783524</v>
      </c>
      <c r="P27" s="15">
        <v>45314</v>
      </c>
      <c r="Q27" s="47">
        <f t="shared" si="1"/>
        <v>76.016835636401453</v>
      </c>
    </row>
    <row r="28" spans="1:17" x14ac:dyDescent="0.25">
      <c r="B28" s="2">
        <f>(1+B27)^(1/30)-1</f>
        <v>9.2092936304122297E-4</v>
      </c>
      <c r="D28" s="15">
        <v>44081</v>
      </c>
      <c r="E28" s="47">
        <v>22.777799999999999</v>
      </c>
      <c r="G28" s="121">
        <v>44220</v>
      </c>
      <c r="H28" s="47">
        <v>26.182300000000001</v>
      </c>
      <c r="J28" s="238">
        <v>44585</v>
      </c>
      <c r="K28" s="47">
        <f t="shared" si="3"/>
        <v>39.073797064699782</v>
      </c>
      <c r="M28" s="15">
        <v>44950</v>
      </c>
      <c r="N28" s="47">
        <f t="shared" si="0"/>
        <v>54.624403245711662</v>
      </c>
      <c r="P28" s="15">
        <v>45315</v>
      </c>
      <c r="Q28" s="47">
        <f t="shared" si="1"/>
        <v>76.085882348864118</v>
      </c>
    </row>
    <row r="29" spans="1:17" x14ac:dyDescent="0.25">
      <c r="A29" s="237">
        <v>44440</v>
      </c>
      <c r="B29" s="2">
        <f>+B27</f>
        <v>2.8000000000000001E-2</v>
      </c>
      <c r="D29" s="15">
        <v>44082</v>
      </c>
      <c r="E29" s="47">
        <v>22.805499999999999</v>
      </c>
      <c r="G29" s="121">
        <v>44221</v>
      </c>
      <c r="H29" s="47">
        <v>26.215499999999999</v>
      </c>
      <c r="J29" s="238">
        <v>44586</v>
      </c>
      <c r="K29" s="47">
        <f t="shared" si="3"/>
        <v>39.108619973776968</v>
      </c>
      <c r="M29" s="15">
        <v>44951</v>
      </c>
      <c r="N29" s="47">
        <f t="shared" si="0"/>
        <v>54.674019037171227</v>
      </c>
      <c r="P29" s="15">
        <v>45316</v>
      </c>
      <c r="Q29" s="47">
        <f t="shared" si="1"/>
        <v>76.154991777019461</v>
      </c>
    </row>
    <row r="30" spans="1:17" x14ac:dyDescent="0.25">
      <c r="B30" s="2">
        <f>(1+B29)^(1/30)-1</f>
        <v>9.2092936304122297E-4</v>
      </c>
      <c r="D30" s="15">
        <v>44083</v>
      </c>
      <c r="E30" s="47">
        <v>22.805499999999999</v>
      </c>
      <c r="G30" s="121">
        <v>44222</v>
      </c>
      <c r="H30" s="47">
        <v>26.2486</v>
      </c>
      <c r="J30" s="238">
        <v>44587</v>
      </c>
      <c r="K30" s="47">
        <f t="shared" si="3"/>
        <v>39.143473917334745</v>
      </c>
      <c r="M30" s="15">
        <v>44952</v>
      </c>
      <c r="N30" s="47">
        <f t="shared" si="0"/>
        <v>54.72367989505927</v>
      </c>
      <c r="P30" s="15">
        <v>45317</v>
      </c>
      <c r="Q30" s="47">
        <f t="shared" si="1"/>
        <v>76.22416397783266</v>
      </c>
    </row>
    <row r="31" spans="1:17" x14ac:dyDescent="0.25">
      <c r="A31" s="237">
        <v>44470</v>
      </c>
      <c r="B31" s="2">
        <f>+B29</f>
        <v>2.8000000000000001E-2</v>
      </c>
      <c r="D31" s="15">
        <v>44084</v>
      </c>
      <c r="E31" s="47">
        <v>22.819400000000002</v>
      </c>
      <c r="G31" s="121">
        <v>44223</v>
      </c>
      <c r="H31" s="47">
        <v>26.2819</v>
      </c>
      <c r="J31" s="238">
        <v>44588</v>
      </c>
      <c r="K31" s="47">
        <f t="shared" si="3"/>
        <v>39.178358923031311</v>
      </c>
      <c r="M31" s="15">
        <v>44953</v>
      </c>
      <c r="N31" s="47">
        <f t="shared" si="0"/>
        <v>54.77338586031</v>
      </c>
      <c r="P31" s="15">
        <v>45318</v>
      </c>
      <c r="Q31" s="47">
        <f t="shared" si="1"/>
        <v>76.29339900832062</v>
      </c>
    </row>
    <row r="32" spans="1:17" x14ac:dyDescent="0.25">
      <c r="B32" s="2">
        <f>(1+B31)^(1/30)-1</f>
        <v>9.2092936304122297E-4</v>
      </c>
      <c r="D32" s="15">
        <v>44085</v>
      </c>
      <c r="E32" s="47">
        <v>22.833200000000001</v>
      </c>
      <c r="G32" s="121">
        <v>44224</v>
      </c>
      <c r="H32" s="47">
        <v>26.315100000000001</v>
      </c>
      <c r="J32" s="238">
        <v>44589</v>
      </c>
      <c r="K32" s="47">
        <f t="shared" si="3"/>
        <v>39.213275018549517</v>
      </c>
      <c r="M32" s="15">
        <v>44954</v>
      </c>
      <c r="N32" s="47">
        <f t="shared" si="0"/>
        <v>54.823136973894798</v>
      </c>
      <c r="P32" s="15">
        <v>45319</v>
      </c>
      <c r="Q32" s="47">
        <f t="shared" si="1"/>
        <v>76.362696925552058</v>
      </c>
    </row>
    <row r="33" spans="1:23" x14ac:dyDescent="0.25">
      <c r="A33" s="237">
        <v>44501</v>
      </c>
      <c r="B33" s="2">
        <f>+B31</f>
        <v>2.8000000000000001E-2</v>
      </c>
      <c r="D33" s="15">
        <v>44086</v>
      </c>
      <c r="E33" s="47">
        <v>22.847100000000001</v>
      </c>
      <c r="G33" s="121">
        <v>44225</v>
      </c>
      <c r="H33" s="47">
        <v>26.348500000000001</v>
      </c>
      <c r="J33" s="238">
        <v>44590</v>
      </c>
      <c r="K33" s="47">
        <f t="shared" si="3"/>
        <v>39.248222231596884</v>
      </c>
      <c r="M33" s="15">
        <v>44955</v>
      </c>
      <c r="N33" s="47">
        <f t="shared" si="0"/>
        <v>54.872933276822266</v>
      </c>
      <c r="P33" s="15">
        <v>45320</v>
      </c>
      <c r="Q33" s="47">
        <f t="shared" si="1"/>
        <v>76.432057786647519</v>
      </c>
    </row>
    <row r="34" spans="1:23" x14ac:dyDescent="0.25">
      <c r="B34" s="2">
        <f>(1+B33)^(1/30)-1</f>
        <v>9.2092936304122297E-4</v>
      </c>
      <c r="D34" s="15">
        <v>44087</v>
      </c>
      <c r="E34" s="47">
        <v>22.861000000000001</v>
      </c>
      <c r="G34" s="121">
        <v>44226</v>
      </c>
      <c r="H34" s="47">
        <v>26.381799999999998</v>
      </c>
      <c r="J34" s="238">
        <v>44591</v>
      </c>
      <c r="K34" s="47">
        <f t="shared" si="3"/>
        <v>39.283200589905626</v>
      </c>
      <c r="M34" s="15">
        <v>44956</v>
      </c>
      <c r="N34" s="47">
        <f t="shared" si="0"/>
        <v>54.922774810138257</v>
      </c>
      <c r="P34" s="15">
        <v>45321</v>
      </c>
      <c r="Q34" s="47">
        <f t="shared" si="1"/>
        <v>76.501481648779418</v>
      </c>
    </row>
    <row r="35" spans="1:23" x14ac:dyDescent="0.25">
      <c r="A35" s="237">
        <v>44531</v>
      </c>
      <c r="B35" s="2">
        <f>+B33</f>
        <v>2.8000000000000001E-2</v>
      </c>
      <c r="D35" s="15">
        <v>44088</v>
      </c>
      <c r="E35" s="47">
        <v>22.8749</v>
      </c>
      <c r="G35" s="121">
        <v>44227</v>
      </c>
      <c r="H35" s="47">
        <v>26.415199999999999</v>
      </c>
      <c r="J35" s="238">
        <v>44592</v>
      </c>
      <c r="K35" s="47">
        <f t="shared" si="3"/>
        <v>39.318210121232667</v>
      </c>
      <c r="M35" s="15">
        <v>44957</v>
      </c>
      <c r="N35" s="47">
        <f t="shared" si="0"/>
        <v>54.972661614925904</v>
      </c>
      <c r="P35" s="15">
        <v>45322</v>
      </c>
      <c r="Q35" s="47">
        <f t="shared" si="1"/>
        <v>76.570968569172123</v>
      </c>
    </row>
    <row r="36" spans="1:23" x14ac:dyDescent="0.25">
      <c r="B36" s="2">
        <f>(1+B35)^(1/31)-1</f>
        <v>8.9120873048309512E-4</v>
      </c>
      <c r="D36" s="15">
        <v>44089</v>
      </c>
      <c r="E36" s="47">
        <v>22.8888</v>
      </c>
      <c r="G36" s="121">
        <v>44228</v>
      </c>
      <c r="H36" s="47">
        <v>26.448699999999999</v>
      </c>
      <c r="J36" s="238">
        <v>44593</v>
      </c>
      <c r="K36" s="47">
        <f t="shared" si="3"/>
        <v>39.353250853359675</v>
      </c>
      <c r="M36" s="15">
        <v>44958</v>
      </c>
      <c r="N36" s="47">
        <f t="shared" si="0"/>
        <v>55.022593732305644</v>
      </c>
      <c r="P36" s="15">
        <v>45323</v>
      </c>
      <c r="Q36" s="47">
        <f t="shared" si="1"/>
        <v>76.64051860510196</v>
      </c>
    </row>
    <row r="37" spans="1:23" x14ac:dyDescent="0.25">
      <c r="A37" t="s">
        <v>174</v>
      </c>
      <c r="B37" s="2">
        <f>(1+B13)*(1+B15)*(1+B17)*(1+B19)*(1+B21)*(1+B23)*(1+B25)*(1+B27)*(1+B29)*(1+B31)*(1+B33)*(1+B35)-1</f>
        <v>0.47605092423765161</v>
      </c>
      <c r="D37" s="15">
        <v>44090</v>
      </c>
      <c r="E37" s="47">
        <v>22.909087915273471</v>
      </c>
      <c r="G37" s="121">
        <v>44229</v>
      </c>
      <c r="H37" s="47">
        <v>26.482099999999999</v>
      </c>
      <c r="J37" s="238">
        <v>44594</v>
      </c>
      <c r="K37" s="47">
        <f t="shared" si="3"/>
        <v>39.38832281409308</v>
      </c>
      <c r="M37" s="15">
        <v>44959</v>
      </c>
      <c r="N37" s="47">
        <f t="shared" si="0"/>
        <v>55.072571203435281</v>
      </c>
      <c r="P37" s="15">
        <v>45324</v>
      </c>
      <c r="Q37" s="47">
        <f t="shared" si="1"/>
        <v>76.710131813897277</v>
      </c>
    </row>
    <row r="38" spans="1:23" x14ac:dyDescent="0.25">
      <c r="D38" s="15">
        <v>44091</v>
      </c>
      <c r="E38" s="47">
        <v>22.929441696279067</v>
      </c>
      <c r="G38" s="121">
        <v>44230</v>
      </c>
      <c r="H38" s="47">
        <v>26.515699999999999</v>
      </c>
      <c r="J38" s="238">
        <v>44595</v>
      </c>
      <c r="K38" s="47">
        <f t="shared" si="3"/>
        <v>39.423426031264086</v>
      </c>
      <c r="M38" s="15">
        <v>44960</v>
      </c>
      <c r="N38" s="47">
        <f t="shared" si="0"/>
        <v>55.122594069510001</v>
      </c>
      <c r="P38" s="15">
        <v>45325</v>
      </c>
      <c r="Q38" s="47">
        <f t="shared" si="1"/>
        <v>76.779808252938523</v>
      </c>
    </row>
    <row r="39" spans="1:23" x14ac:dyDescent="0.25">
      <c r="D39" s="15">
        <v>44092</v>
      </c>
      <c r="E39" s="47">
        <v>22.949813560780729</v>
      </c>
      <c r="G39" s="121">
        <v>44231</v>
      </c>
      <c r="H39" s="47">
        <v>26.549199999999999</v>
      </c>
      <c r="J39" s="238">
        <v>44596</v>
      </c>
      <c r="K39" s="47">
        <f t="shared" si="3"/>
        <v>39.458560532728704</v>
      </c>
      <c r="M39" s="15">
        <v>44961</v>
      </c>
      <c r="N39" s="47">
        <f t="shared" si="0"/>
        <v>55.172662371762392</v>
      </c>
      <c r="P39" s="15">
        <v>45326</v>
      </c>
      <c r="Q39" s="47">
        <f t="shared" si="1"/>
        <v>76.849547979658226</v>
      </c>
    </row>
    <row r="40" spans="1:23" x14ac:dyDescent="0.25">
      <c r="A40" t="s">
        <v>135</v>
      </c>
      <c r="B40" s="2">
        <f>(1+B35)^(12)-1</f>
        <v>0.39289178147385528</v>
      </c>
      <c r="D40" s="15">
        <v>44093</v>
      </c>
      <c r="E40" s="47">
        <v>22.970203524844901</v>
      </c>
      <c r="G40" s="121">
        <v>44232</v>
      </c>
      <c r="H40" s="47">
        <v>26.582799999999999</v>
      </c>
      <c r="J40" s="238">
        <v>44597</v>
      </c>
      <c r="K40" s="47">
        <f t="shared" si="3"/>
        <v>39.493726346367765</v>
      </c>
      <c r="M40" s="15">
        <v>44962</v>
      </c>
      <c r="N40" s="47">
        <f t="shared" si="0"/>
        <v>55.222776151462512</v>
      </c>
      <c r="P40" s="15">
        <v>45327</v>
      </c>
      <c r="Q40" s="47">
        <f t="shared" si="1"/>
        <v>76.919351051541113</v>
      </c>
      <c r="V40" s="3">
        <v>44363</v>
      </c>
      <c r="W40">
        <v>31.678999999999998</v>
      </c>
    </row>
    <row r="41" spans="1:23" x14ac:dyDescent="0.25">
      <c r="B41" s="359">
        <f>(1+B40)^(1/360)-1</f>
        <v>9.2092936304122297E-4</v>
      </c>
      <c r="D41" s="15">
        <v>44094</v>
      </c>
      <c r="E41" s="47">
        <v>22.990611604552296</v>
      </c>
      <c r="G41" s="121">
        <v>44233</v>
      </c>
      <c r="H41" s="47">
        <v>26.616499999999998</v>
      </c>
      <c r="J41" s="238">
        <v>44598</v>
      </c>
      <c r="K41" s="47">
        <f t="shared" si="3"/>
        <v>39.528923500086961</v>
      </c>
      <c r="M41" s="15">
        <v>44963</v>
      </c>
      <c r="N41" s="47">
        <f t="shared" si="0"/>
        <v>55.272935449917902</v>
      </c>
      <c r="P41" s="15">
        <v>45328</v>
      </c>
      <c r="Q41" s="47">
        <f t="shared" si="1"/>
        <v>76.989217526124122</v>
      </c>
      <c r="V41" s="3">
        <v>44364</v>
      </c>
      <c r="W41">
        <v>31.7133</v>
      </c>
    </row>
    <row r="42" spans="1:23" x14ac:dyDescent="0.25">
      <c r="A42" t="s">
        <v>136</v>
      </c>
      <c r="B42" s="2">
        <f>+B40</f>
        <v>0.39289178147385528</v>
      </c>
      <c r="D42" s="15">
        <v>44095</v>
      </c>
      <c r="E42" s="47">
        <v>23.01103781599792</v>
      </c>
      <c r="G42" s="121">
        <v>44234</v>
      </c>
      <c r="H42" s="47">
        <v>26.650200000000002</v>
      </c>
      <c r="J42" s="238">
        <v>44599</v>
      </c>
      <c r="K42" s="47">
        <f t="shared" si="3"/>
        <v>39.564152021816838</v>
      </c>
      <c r="M42" s="15">
        <v>44964</v>
      </c>
      <c r="N42" s="47">
        <f t="shared" si="0"/>
        <v>55.323140308473612</v>
      </c>
      <c r="P42" s="15">
        <v>45329</v>
      </c>
      <c r="Q42" s="47">
        <f t="shared" si="1"/>
        <v>77.059147460996428</v>
      </c>
      <c r="V42" s="3">
        <v>44365</v>
      </c>
      <c r="W42">
        <v>31.747599999999998</v>
      </c>
    </row>
    <row r="43" spans="1:23" x14ac:dyDescent="0.25">
      <c r="B43" s="2">
        <f>(1+B42)^(1/365)-1</f>
        <v>9.0830816469300579E-4</v>
      </c>
      <c r="D43" s="15">
        <v>44096</v>
      </c>
      <c r="E43" s="47">
        <v>23.031482175291075</v>
      </c>
      <c r="G43" s="121">
        <v>44235</v>
      </c>
      <c r="H43" s="47">
        <v>26.683900000000001</v>
      </c>
      <c r="J43" s="238">
        <v>44600</v>
      </c>
      <c r="K43" s="47">
        <f t="shared" si="3"/>
        <v>39.599411939512841</v>
      </c>
      <c r="M43" s="15">
        <v>44965</v>
      </c>
      <c r="N43" s="47">
        <f t="shared" si="0"/>
        <v>55.373390768512252</v>
      </c>
      <c r="P43" s="15">
        <v>45330</v>
      </c>
      <c r="Q43" s="47">
        <f t="shared" si="1"/>
        <v>77.129140913799532</v>
      </c>
      <c r="V43" s="3">
        <v>44366</v>
      </c>
      <c r="W43">
        <v>31.782</v>
      </c>
    </row>
    <row r="44" spans="1:23" x14ac:dyDescent="0.25">
      <c r="A44" t="s">
        <v>137</v>
      </c>
      <c r="B44" s="2">
        <f>+B42</f>
        <v>0.39289178147385528</v>
      </c>
      <c r="D44" s="15">
        <v>44097</v>
      </c>
      <c r="E44" s="47">
        <v>23.051944698555374</v>
      </c>
      <c r="G44" s="121">
        <v>44236</v>
      </c>
      <c r="H44" s="47">
        <v>26.717700000000001</v>
      </c>
      <c r="J44" s="238">
        <v>44601</v>
      </c>
      <c r="K44" s="47">
        <f t="shared" si="3"/>
        <v>39.634703281155332</v>
      </c>
      <c r="M44" s="15">
        <v>44966</v>
      </c>
      <c r="N44" s="47">
        <f t="shared" si="0"/>
        <v>55.423686871454031</v>
      </c>
      <c r="P44" s="15">
        <v>45331</v>
      </c>
      <c r="Q44" s="47">
        <f t="shared" si="1"/>
        <v>77.199197942227286</v>
      </c>
      <c r="V44" s="3">
        <v>44367</v>
      </c>
      <c r="W44">
        <v>31.816400000000002</v>
      </c>
    </row>
    <row r="45" spans="1:23" x14ac:dyDescent="0.25">
      <c r="B45" s="2">
        <f>(1+B44)^(1/365)-1</f>
        <v>9.0830816469300579E-4</v>
      </c>
      <c r="D45" s="15">
        <v>44098</v>
      </c>
      <c r="E45" s="47">
        <v>23.072425401928758</v>
      </c>
      <c r="G45" s="121">
        <v>44237</v>
      </c>
      <c r="H45" s="47">
        <v>26.7515</v>
      </c>
      <c r="J45" s="238">
        <v>44602</v>
      </c>
      <c r="K45" s="47">
        <f t="shared" si="3"/>
        <v>39.670026074749607</v>
      </c>
      <c r="M45" s="15">
        <v>44967</v>
      </c>
      <c r="N45" s="47">
        <f t="shared" si="0"/>
        <v>55.474028658756758</v>
      </c>
      <c r="P45" s="15">
        <v>45332</v>
      </c>
      <c r="Q45" s="47">
        <f t="shared" si="1"/>
        <v>77.269318604025969</v>
      </c>
      <c r="V45" s="3">
        <v>44368</v>
      </c>
      <c r="W45">
        <v>31.850899999999999</v>
      </c>
    </row>
    <row r="46" spans="1:23" x14ac:dyDescent="0.25">
      <c r="D46" s="15">
        <v>44099</v>
      </c>
      <c r="E46" s="47">
        <v>23.092924301563503</v>
      </c>
      <c r="G46" s="121">
        <v>44238</v>
      </c>
      <c r="H46" s="47">
        <v>26.785399999999999</v>
      </c>
      <c r="J46" s="238">
        <v>44603</v>
      </c>
      <c r="K46" s="47">
        <f t="shared" si="3"/>
        <v>39.705380348325917</v>
      </c>
      <c r="M46" s="15">
        <v>44968</v>
      </c>
      <c r="N46" s="47">
        <f t="shared" si="0"/>
        <v>55.524416171915924</v>
      </c>
      <c r="P46" s="15">
        <v>45333</v>
      </c>
      <c r="Q46" s="47">
        <f t="shared" si="1"/>
        <v>77.339502956994266</v>
      </c>
      <c r="V46" s="3">
        <v>44369</v>
      </c>
      <c r="W46">
        <v>31.885400000000001</v>
      </c>
    </row>
    <row r="47" spans="1:23" x14ac:dyDescent="0.25">
      <c r="D47" s="15">
        <v>44100</v>
      </c>
      <c r="E47" s="47">
        <v>23.113441413626241</v>
      </c>
      <c r="G47" s="121">
        <v>44239</v>
      </c>
      <c r="H47" s="47">
        <v>26.819299999999998</v>
      </c>
      <c r="J47" s="238">
        <v>44604</v>
      </c>
      <c r="K47" s="47">
        <f t="shared" si="3"/>
        <v>39.740766129939495</v>
      </c>
      <c r="M47" s="15">
        <v>44969</v>
      </c>
      <c r="N47" s="47">
        <f t="shared" si="0"/>
        <v>55.57484945246469</v>
      </c>
      <c r="P47" s="15">
        <v>45334</v>
      </c>
      <c r="Q47" s="47">
        <f t="shared" si="1"/>
        <v>77.409751058983403</v>
      </c>
      <c r="U47" s="3"/>
      <c r="V47" s="3">
        <v>44370</v>
      </c>
      <c r="W47">
        <v>31.919899999999998</v>
      </c>
    </row>
    <row r="48" spans="1:23" x14ac:dyDescent="0.25">
      <c r="D48" s="15">
        <v>44101</v>
      </c>
      <c r="E48" s="47">
        <v>23.133976754297965</v>
      </c>
      <c r="G48" s="121">
        <v>44240</v>
      </c>
      <c r="H48" s="47">
        <v>26.853300000000001</v>
      </c>
      <c r="J48" s="238">
        <v>44605</v>
      </c>
      <c r="K48" s="47">
        <f t="shared" si="3"/>
        <v>39.776183447670583</v>
      </c>
      <c r="M48" s="15">
        <v>44970</v>
      </c>
      <c r="N48" s="47">
        <f t="shared" si="0"/>
        <v>55.62532854197395</v>
      </c>
      <c r="P48" s="15">
        <v>45335</v>
      </c>
      <c r="Q48" s="47">
        <f t="shared" si="1"/>
        <v>77.480062967897126</v>
      </c>
      <c r="U48" s="3"/>
      <c r="V48" s="3">
        <v>44371</v>
      </c>
      <c r="W48">
        <v>31.9544</v>
      </c>
    </row>
    <row r="49" spans="2:23" x14ac:dyDescent="0.25">
      <c r="B49" s="5"/>
      <c r="D49" s="15">
        <v>44102</v>
      </c>
      <c r="E49" s="47">
        <v>23.154530339774041</v>
      </c>
      <c r="G49" s="121">
        <v>44241</v>
      </c>
      <c r="H49" s="47">
        <v>26.8873</v>
      </c>
      <c r="J49" s="238">
        <v>44606</v>
      </c>
      <c r="K49" s="47">
        <f t="shared" si="3"/>
        <v>39.811632329624445</v>
      </c>
      <c r="M49" s="15">
        <v>44971</v>
      </c>
      <c r="N49" s="47">
        <f t="shared" si="0"/>
        <v>55.675853482052354</v>
      </c>
      <c r="P49" s="15">
        <v>45336</v>
      </c>
      <c r="Q49" s="47">
        <f t="shared" si="1"/>
        <v>77.550438741691792</v>
      </c>
      <c r="U49" s="3"/>
      <c r="V49" s="3">
        <v>44372</v>
      </c>
      <c r="W49">
        <v>31.989000000000001</v>
      </c>
    </row>
    <row r="50" spans="2:23" x14ac:dyDescent="0.25">
      <c r="B50" s="5"/>
      <c r="D50" s="15">
        <v>44103</v>
      </c>
      <c r="E50" s="47">
        <v>23.175102186264226</v>
      </c>
      <c r="G50" s="121">
        <v>44242</v>
      </c>
      <c r="H50" s="47">
        <v>26.921299999999999</v>
      </c>
      <c r="J50" s="238">
        <v>44607</v>
      </c>
      <c r="K50" s="47">
        <f t="shared" si="3"/>
        <v>39.847112803931388</v>
      </c>
      <c r="M50" s="15">
        <v>44972</v>
      </c>
      <c r="N50" s="47">
        <f t="shared" si="0"/>
        <v>55.726424314346353</v>
      </c>
      <c r="P50" s="15">
        <v>45337</v>
      </c>
      <c r="Q50" s="47">
        <f t="shared" si="1"/>
        <v>77.620878438376394</v>
      </c>
      <c r="U50" s="3"/>
      <c r="V50" s="3">
        <v>44373</v>
      </c>
      <c r="W50">
        <v>32.023699999999998</v>
      </c>
    </row>
    <row r="51" spans="2:23" x14ac:dyDescent="0.25">
      <c r="B51" s="5"/>
      <c r="D51" s="15">
        <v>44104</v>
      </c>
      <c r="E51" s="47">
        <v>23.19569230999268</v>
      </c>
      <c r="G51" s="121">
        <v>44243</v>
      </c>
      <c r="H51" s="47">
        <v>26.959</v>
      </c>
      <c r="I51" t="s">
        <v>202</v>
      </c>
      <c r="J51" s="239">
        <v>44608</v>
      </c>
      <c r="K51" s="47">
        <f t="shared" ref="K51:K114" si="4">K50*(1+$B$41)</f>
        <v>39.883809180144944</v>
      </c>
      <c r="M51" s="15">
        <v>44973</v>
      </c>
      <c r="N51" s="47">
        <f t="shared" si="0"/>
        <v>55.777041080540222</v>
      </c>
      <c r="P51" s="15">
        <v>45338</v>
      </c>
      <c r="Q51" s="47">
        <f t="shared" si="1"/>
        <v>77.691382116012619</v>
      </c>
      <c r="U51" s="3"/>
      <c r="V51" s="3">
        <v>44374</v>
      </c>
      <c r="W51">
        <v>32.058399999999999</v>
      </c>
    </row>
    <row r="52" spans="2:23" x14ac:dyDescent="0.25">
      <c r="B52" s="5"/>
      <c r="D52" s="15">
        <v>44105</v>
      </c>
      <c r="E52" s="47">
        <v>23.216300727197975</v>
      </c>
      <c r="G52" s="121">
        <v>44244</v>
      </c>
      <c r="H52" s="47">
        <v>26.9968</v>
      </c>
      <c r="J52" s="239">
        <v>44609</v>
      </c>
      <c r="K52" s="47">
        <f t="shared" si="4"/>
        <v>39.920539351128873</v>
      </c>
      <c r="M52" s="15">
        <v>44974</v>
      </c>
      <c r="N52" s="47">
        <f t="shared" si="0"/>
        <v>55.827703822356092</v>
      </c>
      <c r="P52" s="15">
        <v>45339</v>
      </c>
      <c r="Q52" s="47">
        <f t="shared" si="1"/>
        <v>77.761949832714876</v>
      </c>
      <c r="U52" s="3"/>
      <c r="V52" s="3">
        <v>44375</v>
      </c>
      <c r="W52">
        <v>32.0931</v>
      </c>
    </row>
    <row r="53" spans="2:23" x14ac:dyDescent="0.25">
      <c r="B53" s="2"/>
      <c r="D53" s="15">
        <v>44106</v>
      </c>
      <c r="E53" s="47">
        <v>23.236927454133113</v>
      </c>
      <c r="G53" s="121">
        <v>44245</v>
      </c>
      <c r="H53" s="47">
        <v>27.034700000000001</v>
      </c>
      <c r="J53" s="239">
        <v>44610</v>
      </c>
      <c r="K53" s="47">
        <f t="shared" si="4"/>
        <v>39.957303348005773</v>
      </c>
      <c r="M53" s="15">
        <v>44975</v>
      </c>
      <c r="N53" s="47">
        <f t="shared" si="0"/>
        <v>55.878412581554002</v>
      </c>
      <c r="P53" s="15">
        <v>45340</v>
      </c>
      <c r="Q53" s="47">
        <f t="shared" si="1"/>
        <v>77.832581646650382</v>
      </c>
      <c r="U53" s="3"/>
      <c r="V53" s="3">
        <v>44376</v>
      </c>
      <c r="W53">
        <v>32.127800000000001</v>
      </c>
    </row>
    <row r="54" spans="2:23" x14ac:dyDescent="0.25">
      <c r="B54" s="2"/>
      <c r="D54" s="15">
        <v>44107</v>
      </c>
      <c r="E54" s="47">
        <v>23.257572507065536</v>
      </c>
      <c r="G54" s="121">
        <v>44246</v>
      </c>
      <c r="H54" s="47">
        <v>27.072600000000001</v>
      </c>
      <c r="J54" s="239">
        <v>44611</v>
      </c>
      <c r="K54" s="47">
        <f t="shared" si="4"/>
        <v>39.994101201926895</v>
      </c>
      <c r="M54" s="15">
        <v>44976</v>
      </c>
      <c r="N54" s="47">
        <f t="shared" si="0"/>
        <v>55.929167399931913</v>
      </c>
      <c r="P54" s="15">
        <v>45341</v>
      </c>
      <c r="Q54" s="47">
        <f t="shared" si="1"/>
        <v>77.903277616039176</v>
      </c>
      <c r="U54" s="3"/>
      <c r="V54" s="3">
        <v>44377</v>
      </c>
      <c r="W54">
        <v>32.162599999999998</v>
      </c>
    </row>
    <row r="55" spans="2:23" x14ac:dyDescent="0.25">
      <c r="D55" s="15">
        <v>44108</v>
      </c>
      <c r="E55" s="47">
        <v>23.278235902277135</v>
      </c>
      <c r="G55" s="121">
        <v>44247</v>
      </c>
      <c r="H55" s="47">
        <v>27.110499999999998</v>
      </c>
      <c r="J55" s="239">
        <v>44612</v>
      </c>
      <c r="K55" s="47">
        <f t="shared" si="4"/>
        <v>40.030932944072191</v>
      </c>
      <c r="M55" s="15">
        <v>44977</v>
      </c>
      <c r="N55" s="47">
        <f t="shared" si="0"/>
        <v>55.979968319325756</v>
      </c>
      <c r="P55" s="15">
        <v>45342</v>
      </c>
      <c r="Q55" s="47">
        <f t="shared" si="1"/>
        <v>77.974037799154175</v>
      </c>
      <c r="U55" s="3"/>
      <c r="V55" s="3">
        <v>44378</v>
      </c>
      <c r="W55">
        <v>32.197400000000002</v>
      </c>
    </row>
    <row r="56" spans="2:23" x14ac:dyDescent="0.25">
      <c r="D56" s="15">
        <v>44109</v>
      </c>
      <c r="E56" s="47">
        <v>23.298917656064269</v>
      </c>
      <c r="G56" s="121">
        <v>44248</v>
      </c>
      <c r="H56" s="47">
        <v>27.148499999999999</v>
      </c>
      <c r="J56" s="239">
        <v>44613</v>
      </c>
      <c r="K56" s="47">
        <f t="shared" si="4"/>
        <v>40.067798605650324</v>
      </c>
      <c r="M56" s="15">
        <v>44978</v>
      </c>
      <c r="N56" s="47">
        <f t="shared" si="0"/>
        <v>56.030815381609457</v>
      </c>
      <c r="P56" s="15">
        <v>45343</v>
      </c>
      <c r="Q56" s="47">
        <f t="shared" si="1"/>
        <v>78.044862254321231</v>
      </c>
      <c r="U56" s="3"/>
      <c r="V56" s="3">
        <v>44379</v>
      </c>
      <c r="W56">
        <v>32.232300000000002</v>
      </c>
    </row>
    <row r="57" spans="2:23" x14ac:dyDescent="0.25">
      <c r="D57" s="15">
        <v>44110</v>
      </c>
      <c r="E57" s="47">
        <v>23.31961778473778</v>
      </c>
      <c r="G57" s="121">
        <v>44249</v>
      </c>
      <c r="H57" s="47">
        <v>27.186599999999999</v>
      </c>
      <c r="J57" s="239">
        <v>44614</v>
      </c>
      <c r="K57" s="47">
        <f t="shared" si="4"/>
        <v>40.104698217898687</v>
      </c>
      <c r="M57" s="15">
        <v>44979</v>
      </c>
      <c r="N57" s="47">
        <f t="shared" si="0"/>
        <v>56.081708628694983</v>
      </c>
      <c r="P57" s="15">
        <v>45344</v>
      </c>
      <c r="Q57" s="47">
        <f t="shared" si="1"/>
        <v>78.115751039919175</v>
      </c>
      <c r="U57" s="3"/>
      <c r="V57" s="3">
        <v>44380</v>
      </c>
      <c r="W57">
        <v>32.267200000000003</v>
      </c>
    </row>
    <row r="58" spans="2:23" x14ac:dyDescent="0.25">
      <c r="D58" s="15">
        <v>44111</v>
      </c>
      <c r="E58" s="47">
        <v>23.340336304622994</v>
      </c>
      <c r="G58" s="121">
        <v>44250</v>
      </c>
      <c r="H58" s="47">
        <v>27.224699999999999</v>
      </c>
      <c r="J58" s="239">
        <v>44615</v>
      </c>
      <c r="K58" s="47">
        <f t="shared" si="4"/>
        <v>40.141631812083453</v>
      </c>
      <c r="M58" s="15">
        <v>44980</v>
      </c>
      <c r="N58" s="47">
        <f t="shared" si="0"/>
        <v>56.132648102532357</v>
      </c>
      <c r="P58" s="15">
        <v>45345</v>
      </c>
      <c r="Q58" s="47">
        <f t="shared" si="1"/>
        <v>78.186704214379859</v>
      </c>
      <c r="U58" s="3"/>
      <c r="V58" s="3">
        <v>44381</v>
      </c>
      <c r="W58">
        <v>32.302100000000003</v>
      </c>
    </row>
    <row r="59" spans="2:23" x14ac:dyDescent="0.25">
      <c r="D59" s="15">
        <v>44112</v>
      </c>
      <c r="E59" s="47">
        <v>23.361073232059749</v>
      </c>
      <c r="G59" s="121">
        <v>44251</v>
      </c>
      <c r="H59" s="47">
        <v>27.262799999999999</v>
      </c>
      <c r="J59" s="239">
        <v>44616</v>
      </c>
      <c r="K59" s="47">
        <f t="shared" si="4"/>
        <v>40.178599419499591</v>
      </c>
      <c r="M59" s="15">
        <v>44981</v>
      </c>
      <c r="N59" s="47">
        <f t="shared" si="0"/>
        <v>56.183633845109725</v>
      </c>
      <c r="P59" s="15">
        <v>45346</v>
      </c>
      <c r="Q59" s="47">
        <f t="shared" si="1"/>
        <v>78.25772183618821</v>
      </c>
      <c r="U59" s="3"/>
      <c r="V59" s="3">
        <v>44382</v>
      </c>
      <c r="W59">
        <v>32.3371</v>
      </c>
    </row>
    <row r="60" spans="2:23" x14ac:dyDescent="0.25">
      <c r="D60" s="15">
        <v>44113</v>
      </c>
      <c r="E60" s="47">
        <v>23.381828583402392</v>
      </c>
      <c r="G60" s="121">
        <v>44252</v>
      </c>
      <c r="H60" s="47">
        <v>27.301100000000002</v>
      </c>
      <c r="J60" s="239">
        <v>44617</v>
      </c>
      <c r="K60" s="47">
        <f t="shared" si="4"/>
        <v>40.215601071470878</v>
      </c>
      <c r="M60" s="15">
        <v>44982</v>
      </c>
      <c r="N60" s="47">
        <f t="shared" si="0"/>
        <v>56.234665898453358</v>
      </c>
      <c r="P60" s="15">
        <v>45347</v>
      </c>
      <c r="Q60" s="47">
        <f t="shared" si="1"/>
        <v>78.328803963882294</v>
      </c>
      <c r="U60" s="3"/>
      <c r="V60" s="3">
        <v>44383</v>
      </c>
      <c r="W60">
        <v>32.372100000000003</v>
      </c>
    </row>
    <row r="61" spans="2:23" x14ac:dyDescent="0.25">
      <c r="D61" s="15">
        <v>44114</v>
      </c>
      <c r="E61" s="47">
        <v>23.402602375019807</v>
      </c>
      <c r="G61" s="121">
        <v>44253</v>
      </c>
      <c r="H61" s="47">
        <v>27.339300000000001</v>
      </c>
      <c r="J61" s="239">
        <v>44618</v>
      </c>
      <c r="K61" s="47">
        <f t="shared" si="4"/>
        <v>40.252636799349951</v>
      </c>
      <c r="M61" s="15">
        <v>44983</v>
      </c>
      <c r="N61" s="47">
        <f t="shared" si="0"/>
        <v>56.285744304627706</v>
      </c>
      <c r="P61" s="15">
        <v>45348</v>
      </c>
      <c r="Q61" s="47">
        <f t="shared" si="1"/>
        <v>78.399950656053321</v>
      </c>
      <c r="U61" s="3"/>
      <c r="V61" s="3">
        <v>44384</v>
      </c>
      <c r="W61">
        <v>32.407200000000003</v>
      </c>
    </row>
    <row r="62" spans="2:23" x14ac:dyDescent="0.25">
      <c r="D62" s="15">
        <v>44115</v>
      </c>
      <c r="E62" s="47">
        <v>23.423394623295419</v>
      </c>
      <c r="G62" s="121">
        <v>44254</v>
      </c>
      <c r="H62" s="47">
        <v>27.377600000000001</v>
      </c>
      <c r="J62" s="239">
        <v>44619</v>
      </c>
      <c r="K62" s="47">
        <f t="shared" si="4"/>
        <v>40.289706634518303</v>
      </c>
      <c r="M62" s="15">
        <v>44984</v>
      </c>
      <c r="N62" s="47">
        <f t="shared" si="0"/>
        <v>56.336869105735424</v>
      </c>
      <c r="P62" s="15">
        <v>45349</v>
      </c>
      <c r="Q62" s="47">
        <f t="shared" si="1"/>
        <v>78.471161971345737</v>
      </c>
      <c r="U62" s="3"/>
      <c r="V62" s="3">
        <v>44385</v>
      </c>
      <c r="W62">
        <v>32.442300000000003</v>
      </c>
    </row>
    <row r="63" spans="2:23" x14ac:dyDescent="0.25">
      <c r="D63" s="15">
        <v>44116</v>
      </c>
      <c r="E63" s="47">
        <v>23.444205344627207</v>
      </c>
      <c r="G63" s="121">
        <v>44255</v>
      </c>
      <c r="H63" s="47">
        <v>27.416</v>
      </c>
      <c r="J63" s="239">
        <v>44620</v>
      </c>
      <c r="K63" s="47">
        <f t="shared" si="4"/>
        <v>40.326810608386346</v>
      </c>
      <c r="M63" s="15">
        <v>44985</v>
      </c>
      <c r="N63" s="47">
        <f t="shared" si="0"/>
        <v>56.388040343917403</v>
      </c>
      <c r="P63" s="15">
        <v>45350</v>
      </c>
      <c r="Q63" s="47">
        <f t="shared" si="1"/>
        <v>78.542437968457264</v>
      </c>
      <c r="U63" s="3"/>
      <c r="V63" s="3">
        <v>44386</v>
      </c>
      <c r="W63">
        <v>32.477400000000003</v>
      </c>
    </row>
    <row r="64" spans="2:23" x14ac:dyDescent="0.25">
      <c r="D64" s="15">
        <v>44117</v>
      </c>
      <c r="E64" s="47">
        <v>23.465034555427721</v>
      </c>
      <c r="G64" s="121">
        <v>44256</v>
      </c>
      <c r="H64" s="47">
        <v>27.4544</v>
      </c>
      <c r="J64" s="239">
        <v>44621</v>
      </c>
      <c r="K64" s="47">
        <f t="shared" si="4"/>
        <v>40.363948752393412</v>
      </c>
      <c r="M64" s="15">
        <v>44986</v>
      </c>
      <c r="N64" s="47">
        <f t="shared" si="0"/>
        <v>56.439258061352824</v>
      </c>
      <c r="P64" s="15">
        <v>45351</v>
      </c>
      <c r="Q64" s="47">
        <f t="shared" si="1"/>
        <v>78.613778706138902</v>
      </c>
      <c r="U64" s="3"/>
      <c r="V64" s="3">
        <v>44387</v>
      </c>
      <c r="W64">
        <v>32.512599999999999</v>
      </c>
    </row>
    <row r="65" spans="4:23" x14ac:dyDescent="0.25">
      <c r="D65" s="15">
        <v>44118</v>
      </c>
      <c r="E65" s="47">
        <v>23.485882272124094</v>
      </c>
      <c r="G65" s="121">
        <v>44257</v>
      </c>
      <c r="H65" s="47">
        <v>27.492899999999999</v>
      </c>
      <c r="J65" s="239">
        <v>44622</v>
      </c>
      <c r="K65" s="47">
        <f t="shared" si="4"/>
        <v>40.401121098007785</v>
      </c>
      <c r="M65" s="15">
        <v>44987</v>
      </c>
      <c r="N65" s="47">
        <f t="shared" si="0"/>
        <v>56.490522300259165</v>
      </c>
      <c r="P65" s="15">
        <v>45352</v>
      </c>
      <c r="Q65" s="47">
        <f t="shared" si="1"/>
        <v>78.685184243195053</v>
      </c>
      <c r="U65" s="3"/>
      <c r="V65" s="3">
        <v>44388</v>
      </c>
      <c r="W65">
        <v>32.547800000000002</v>
      </c>
    </row>
    <row r="66" spans="4:23" x14ac:dyDescent="0.25">
      <c r="D66" s="15">
        <v>44119</v>
      </c>
      <c r="E66" s="47">
        <v>23.506699999999999</v>
      </c>
      <c r="G66" s="121">
        <v>44258</v>
      </c>
      <c r="H66" s="47">
        <v>27.531500000000001</v>
      </c>
      <c r="J66" s="239">
        <v>44623</v>
      </c>
      <c r="K66" s="47">
        <f t="shared" si="4"/>
        <v>40.438327676726722</v>
      </c>
      <c r="M66" s="15">
        <v>44988</v>
      </c>
      <c r="N66" s="47">
        <f t="shared" si="0"/>
        <v>56.541833102892262</v>
      </c>
      <c r="P66" s="15">
        <v>45353</v>
      </c>
      <c r="Q66" s="47">
        <f t="shared" si="1"/>
        <v>78.756654638483525</v>
      </c>
      <c r="U66" s="3"/>
      <c r="V66" s="3">
        <v>44389</v>
      </c>
      <c r="W66">
        <v>32.582999999999998</v>
      </c>
    </row>
    <row r="67" spans="4:23" x14ac:dyDescent="0.25">
      <c r="D67" s="15">
        <v>44120</v>
      </c>
      <c r="E67" s="47">
        <v>23.527699999999999</v>
      </c>
      <c r="G67" s="121">
        <v>44259</v>
      </c>
      <c r="H67" s="47">
        <v>27.5701</v>
      </c>
      <c r="J67" s="239">
        <v>44624</v>
      </c>
      <c r="K67" s="47">
        <f t="shared" si="4"/>
        <v>40.4755685200765</v>
      </c>
      <c r="M67" s="15">
        <v>44989</v>
      </c>
      <c r="N67" s="47">
        <f t="shared" si="0"/>
        <v>56.593190511546325</v>
      </c>
      <c r="P67" s="15">
        <v>45354</v>
      </c>
      <c r="Q67" s="47">
        <f t="shared" si="1"/>
        <v>78.828189950915572</v>
      </c>
      <c r="U67" s="3"/>
      <c r="V67" s="3">
        <v>44390</v>
      </c>
      <c r="W67">
        <v>32.618299999999998</v>
      </c>
    </row>
    <row r="68" spans="4:23" x14ac:dyDescent="0.25">
      <c r="D68" s="15">
        <v>44121</v>
      </c>
      <c r="E68" s="47">
        <v>23.5487</v>
      </c>
      <c r="G68" s="121">
        <v>44260</v>
      </c>
      <c r="H68" s="47">
        <v>27.608699999999999</v>
      </c>
      <c r="J68" s="239">
        <v>44625</v>
      </c>
      <c r="K68" s="47">
        <f t="shared" si="4"/>
        <v>40.512843659612429</v>
      </c>
      <c r="M68" s="15">
        <v>44990</v>
      </c>
      <c r="N68" s="47">
        <f t="shared" si="0"/>
        <v>56.644594568553991</v>
      </c>
      <c r="P68" s="15">
        <v>45355</v>
      </c>
      <c r="Q68" s="47">
        <f t="shared" si="1"/>
        <v>78.899790239455953</v>
      </c>
      <c r="U68" s="3"/>
      <c r="V68" s="3">
        <v>44391</v>
      </c>
      <c r="W68">
        <v>32.653599999999997</v>
      </c>
    </row>
    <row r="69" spans="4:23" x14ac:dyDescent="0.25">
      <c r="D69" s="15">
        <v>44122</v>
      </c>
      <c r="E69" s="47">
        <v>23.569700000000001</v>
      </c>
      <c r="G69" s="121">
        <v>44261</v>
      </c>
      <c r="H69" s="47">
        <v>27.647400000000001</v>
      </c>
      <c r="J69" s="239">
        <v>44626</v>
      </c>
      <c r="K69" s="47">
        <f t="shared" si="4"/>
        <v>40.550153126918865</v>
      </c>
      <c r="M69" s="15">
        <v>44991</v>
      </c>
      <c r="N69" s="47">
        <f t="shared" si="0"/>
        <v>56.69604531628633</v>
      </c>
      <c r="P69" s="15">
        <v>45356</v>
      </c>
      <c r="Q69" s="47">
        <f t="shared" si="1"/>
        <v>78.971455563123016</v>
      </c>
      <c r="U69" s="3"/>
      <c r="V69" s="3">
        <v>44392</v>
      </c>
      <c r="W69">
        <v>32.689</v>
      </c>
    </row>
    <row r="70" spans="4:23" x14ac:dyDescent="0.25">
      <c r="D70" s="15">
        <v>44123</v>
      </c>
      <c r="E70" s="47">
        <v>23.590699999999998</v>
      </c>
      <c r="G70" s="121">
        <v>44262</v>
      </c>
      <c r="H70" s="47">
        <v>27.686199999999999</v>
      </c>
      <c r="J70" s="239">
        <v>44627</v>
      </c>
      <c r="K70" s="47">
        <f t="shared" si="4"/>
        <v>40.587496953609261</v>
      </c>
      <c r="M70" s="15">
        <v>44992</v>
      </c>
      <c r="N70" s="47">
        <f t="shared" ref="N70:N133" si="5">N69*(1+$B$43)</f>
        <v>56.747542797152917</v>
      </c>
      <c r="P70" s="15">
        <v>45357</v>
      </c>
      <c r="Q70" s="47">
        <f t="shared" ref="Q70:Q133" si="6">Q69*(1+$B$45)</f>
        <v>79.043185980988696</v>
      </c>
      <c r="U70" s="3"/>
    </row>
    <row r="71" spans="4:23" x14ac:dyDescent="0.25">
      <c r="D71" s="15">
        <v>44124</v>
      </c>
      <c r="E71" s="47">
        <v>23.611699999999999</v>
      </c>
      <c r="G71" s="121">
        <v>44263</v>
      </c>
      <c r="H71" s="47">
        <v>27.725000000000001</v>
      </c>
      <c r="J71" s="239">
        <v>44628</v>
      </c>
      <c r="K71" s="47">
        <f t="shared" si="4"/>
        <v>40.624875171326188</v>
      </c>
      <c r="M71" s="15">
        <v>44993</v>
      </c>
      <c r="N71" s="47">
        <f t="shared" si="5"/>
        <v>56.799087053601838</v>
      </c>
      <c r="P71" s="15">
        <v>45358</v>
      </c>
      <c r="Q71" s="47">
        <f t="shared" si="6"/>
        <v>79.114981552178577</v>
      </c>
      <c r="U71" s="3"/>
    </row>
    <row r="72" spans="4:23" x14ac:dyDescent="0.25">
      <c r="D72" s="15">
        <v>44125</v>
      </c>
      <c r="E72" s="47">
        <v>23.6327</v>
      </c>
      <c r="G72" s="121">
        <v>44264</v>
      </c>
      <c r="H72" s="47">
        <v>27.7638</v>
      </c>
      <c r="J72" s="239">
        <v>44629</v>
      </c>
      <c r="K72" s="47">
        <f t="shared" si="4"/>
        <v>40.662287811741344</v>
      </c>
      <c r="M72" s="15">
        <v>44994</v>
      </c>
      <c r="N72" s="47">
        <f t="shared" si="5"/>
        <v>56.850678128119732</v>
      </c>
      <c r="P72" s="15">
        <v>45359</v>
      </c>
      <c r="Q72" s="47">
        <f t="shared" si="6"/>
        <v>79.186842335871958</v>
      </c>
      <c r="U72" s="3"/>
    </row>
    <row r="73" spans="4:23" x14ac:dyDescent="0.25">
      <c r="D73" s="15">
        <v>44126</v>
      </c>
      <c r="E73" s="47">
        <v>23.6538</v>
      </c>
      <c r="G73" s="121">
        <v>44265</v>
      </c>
      <c r="H73" s="47">
        <v>27.802700000000002</v>
      </c>
      <c r="J73" s="239">
        <v>44630</v>
      </c>
      <c r="K73" s="47">
        <f t="shared" si="4"/>
        <v>40.699734906555612</v>
      </c>
      <c r="M73" s="15">
        <v>44995</v>
      </c>
      <c r="N73" s="47">
        <f t="shared" si="5"/>
        <v>56.902316063231837</v>
      </c>
      <c r="P73" s="15">
        <v>45360</v>
      </c>
      <c r="Q73" s="47">
        <f t="shared" si="6"/>
        <v>79.258768391301885</v>
      </c>
      <c r="U73" s="3"/>
    </row>
    <row r="74" spans="4:23" x14ac:dyDescent="0.25">
      <c r="D74" s="15">
        <v>44127</v>
      </c>
      <c r="E74" s="47">
        <v>23.674900000000001</v>
      </c>
      <c r="G74" s="121">
        <v>44266</v>
      </c>
      <c r="H74" s="47">
        <v>27.841699999999999</v>
      </c>
      <c r="J74" s="239">
        <v>44631</v>
      </c>
      <c r="K74" s="47">
        <f t="shared" si="4"/>
        <v>40.737216487499055</v>
      </c>
      <c r="M74" s="15">
        <v>44996</v>
      </c>
      <c r="N74" s="47">
        <f t="shared" si="5"/>
        <v>56.954000901502013</v>
      </c>
      <c r="P74" s="15">
        <v>45361</v>
      </c>
      <c r="Q74" s="47">
        <f t="shared" si="6"/>
        <v>79.330759777755219</v>
      </c>
      <c r="U74" s="3"/>
    </row>
    <row r="75" spans="4:23" x14ac:dyDescent="0.25">
      <c r="D75" s="15">
        <v>44128</v>
      </c>
      <c r="E75" s="47">
        <v>23.696000000000002</v>
      </c>
      <c r="G75" s="121">
        <v>44267</v>
      </c>
      <c r="H75" s="47">
        <v>27.880700000000001</v>
      </c>
      <c r="J75" s="239">
        <v>44632</v>
      </c>
      <c r="K75" s="47">
        <f t="shared" si="4"/>
        <v>40.774732586330963</v>
      </c>
      <c r="M75" s="15">
        <v>44997</v>
      </c>
      <c r="N75" s="47">
        <f t="shared" si="5"/>
        <v>57.005732685532777</v>
      </c>
      <c r="P75" s="15">
        <v>45362</v>
      </c>
      <c r="Q75" s="47">
        <f t="shared" si="6"/>
        <v>79.402816554572652</v>
      </c>
      <c r="U75" s="3"/>
    </row>
    <row r="76" spans="4:23" x14ac:dyDescent="0.25">
      <c r="D76" s="15">
        <v>44129</v>
      </c>
      <c r="E76" s="47">
        <v>23.717099999999999</v>
      </c>
      <c r="G76" s="121">
        <v>44268</v>
      </c>
      <c r="H76" s="47">
        <v>27.919799999999999</v>
      </c>
      <c r="J76" s="239">
        <v>44633</v>
      </c>
      <c r="K76" s="47">
        <f t="shared" si="4"/>
        <v>40.812283234839867</v>
      </c>
      <c r="M76" s="15">
        <v>44998</v>
      </c>
      <c r="N76" s="47">
        <f t="shared" si="5"/>
        <v>57.057511457965354</v>
      </c>
      <c r="P76" s="15">
        <v>45363</v>
      </c>
      <c r="Q76" s="47">
        <f t="shared" si="6"/>
        <v>79.474938781148794</v>
      </c>
      <c r="U76" s="3"/>
    </row>
    <row r="77" spans="4:23" x14ac:dyDescent="0.25">
      <c r="D77" s="15">
        <v>44130</v>
      </c>
      <c r="E77" s="47">
        <v>23.738199999999999</v>
      </c>
      <c r="G77" s="121">
        <v>44269</v>
      </c>
      <c r="H77" s="47">
        <v>27.959</v>
      </c>
      <c r="J77" s="239">
        <v>44634</v>
      </c>
      <c r="K77" s="47">
        <f t="shared" si="4"/>
        <v>40.849868464843588</v>
      </c>
      <c r="M77" s="15">
        <v>44999</v>
      </c>
      <c r="N77" s="47">
        <f t="shared" si="5"/>
        <v>57.109337261479688</v>
      </c>
      <c r="P77" s="15">
        <v>45364</v>
      </c>
      <c r="Q77" s="47">
        <f t="shared" si="6"/>
        <v>79.547126516932181</v>
      </c>
      <c r="U77" s="3"/>
    </row>
    <row r="78" spans="4:23" x14ac:dyDescent="0.25">
      <c r="D78" s="15">
        <v>44131</v>
      </c>
      <c r="E78" s="47">
        <v>23.759399999999999</v>
      </c>
      <c r="G78" s="121">
        <v>44270</v>
      </c>
      <c r="H78" s="47">
        <v>27.998200000000001</v>
      </c>
      <c r="J78" s="239">
        <v>44635</v>
      </c>
      <c r="K78" s="47">
        <f t="shared" si="4"/>
        <v>40.887488308189234</v>
      </c>
      <c r="M78" s="15">
        <v>45000</v>
      </c>
      <c r="N78" s="47">
        <f t="shared" si="5"/>
        <v>57.161210138794495</v>
      </c>
      <c r="P78" s="15">
        <v>45365</v>
      </c>
      <c r="Q78" s="47">
        <f t="shared" si="6"/>
        <v>79.619379821425383</v>
      </c>
    </row>
    <row r="79" spans="4:23" x14ac:dyDescent="0.25">
      <c r="D79" s="15">
        <v>44132</v>
      </c>
      <c r="E79" s="47">
        <v>23.7806</v>
      </c>
      <c r="G79" s="121">
        <v>44271</v>
      </c>
      <c r="H79" s="47">
        <v>28.030100000000001</v>
      </c>
      <c r="I79" t="s">
        <v>230</v>
      </c>
      <c r="J79" s="238">
        <v>44636</v>
      </c>
      <c r="K79" s="47">
        <f t="shared" si="4"/>
        <v>40.925142796753249</v>
      </c>
      <c r="L79" t="s">
        <v>231</v>
      </c>
      <c r="M79" s="15">
        <v>45001</v>
      </c>
      <c r="N79" s="47">
        <f t="shared" si="5"/>
        <v>57.213130132667295</v>
      </c>
      <c r="P79" s="15">
        <v>45366</v>
      </c>
      <c r="Q79" s="47">
        <f t="shared" si="6"/>
        <v>79.691698754184983</v>
      </c>
    </row>
    <row r="80" spans="4:23" x14ac:dyDescent="0.25">
      <c r="D80" s="15">
        <v>44133</v>
      </c>
      <c r="E80" s="47">
        <v>23.8017</v>
      </c>
      <c r="G80" s="121">
        <v>44272</v>
      </c>
      <c r="H80" s="47">
        <v>28.062100000000001</v>
      </c>
      <c r="J80" s="238">
        <v>44637</v>
      </c>
      <c r="K80" s="47">
        <f t="shared" si="4"/>
        <v>40.962831962441435</v>
      </c>
      <c r="M80" s="15">
        <v>45002</v>
      </c>
      <c r="N80" s="47">
        <f t="shared" si="5"/>
        <v>57.265097285894441</v>
      </c>
      <c r="P80" s="15">
        <v>45367</v>
      </c>
      <c r="Q80" s="47">
        <f t="shared" si="6"/>
        <v>79.764083374821666</v>
      </c>
    </row>
    <row r="81" spans="4:17" x14ac:dyDescent="0.25">
      <c r="D81" s="15">
        <v>44134</v>
      </c>
      <c r="E81" s="47">
        <v>23.823</v>
      </c>
      <c r="G81" s="121">
        <v>44273</v>
      </c>
      <c r="H81" s="47">
        <v>28.094100000000001</v>
      </c>
      <c r="J81" s="238">
        <v>44638</v>
      </c>
      <c r="K81" s="47">
        <f t="shared" si="4"/>
        <v>41.000555837188969</v>
      </c>
      <c r="M81" s="15">
        <v>45003</v>
      </c>
      <c r="N81" s="47">
        <f t="shared" si="5"/>
        <v>57.317111641311158</v>
      </c>
      <c r="P81" s="15">
        <v>45368</v>
      </c>
      <c r="Q81" s="47">
        <f t="shared" si="6"/>
        <v>79.836533743000274</v>
      </c>
    </row>
    <row r="82" spans="4:17" x14ac:dyDescent="0.25">
      <c r="D82" s="15">
        <v>44135</v>
      </c>
      <c r="E82" s="47">
        <v>23.844200000000001</v>
      </c>
      <c r="G82" s="121">
        <v>44274</v>
      </c>
      <c r="H82" s="47">
        <v>28.126200000000001</v>
      </c>
      <c r="J82" s="238">
        <v>44639</v>
      </c>
      <c r="K82" s="47">
        <f t="shared" si="4"/>
        <v>41.038314452960449</v>
      </c>
      <c r="M82" s="15">
        <v>45004</v>
      </c>
      <c r="N82" s="47">
        <f t="shared" si="5"/>
        <v>57.369173241791579</v>
      </c>
      <c r="P82" s="15">
        <v>45369</v>
      </c>
      <c r="Q82" s="47">
        <f t="shared" si="6"/>
        <v>79.909049918439834</v>
      </c>
    </row>
    <row r="83" spans="4:17" x14ac:dyDescent="0.25">
      <c r="D83" s="15">
        <v>44136</v>
      </c>
      <c r="E83" s="47">
        <v>23.865400000000001</v>
      </c>
      <c r="G83" s="121">
        <v>44275</v>
      </c>
      <c r="H83" s="47">
        <v>28.158300000000001</v>
      </c>
      <c r="J83" s="238">
        <v>44640</v>
      </c>
      <c r="K83" s="47">
        <f t="shared" si="4"/>
        <v>41.076107841749902</v>
      </c>
      <c r="M83" s="15">
        <v>45005</v>
      </c>
      <c r="N83" s="47">
        <f t="shared" si="5"/>
        <v>57.421282130248784</v>
      </c>
      <c r="P83" s="15">
        <v>45370</v>
      </c>
      <c r="Q83" s="47">
        <f t="shared" si="6"/>
        <v>79.981631960913617</v>
      </c>
    </row>
    <row r="84" spans="4:17" x14ac:dyDescent="0.25">
      <c r="D84" s="15">
        <v>44137</v>
      </c>
      <c r="E84" s="47">
        <v>23.886700000000001</v>
      </c>
      <c r="G84" s="121">
        <v>44276</v>
      </c>
      <c r="H84" s="47">
        <v>28.1905</v>
      </c>
      <c r="J84" s="238">
        <v>44641</v>
      </c>
      <c r="K84" s="47">
        <f t="shared" si="4"/>
        <v>41.113936035580821</v>
      </c>
      <c r="M84" s="15">
        <v>45006</v>
      </c>
      <c r="N84" s="47">
        <f t="shared" si="5"/>
        <v>57.473438349634833</v>
      </c>
      <c r="P84" s="15">
        <v>45371</v>
      </c>
      <c r="Q84" s="47">
        <f t="shared" si="6"/>
        <v>80.05427993024918</v>
      </c>
    </row>
    <row r="85" spans="4:17" x14ac:dyDescent="0.25">
      <c r="D85" s="15">
        <v>44138</v>
      </c>
      <c r="E85" s="47">
        <v>23.908000000000001</v>
      </c>
      <c r="G85" s="121">
        <v>44277</v>
      </c>
      <c r="H85" s="47">
        <v>28.2226</v>
      </c>
      <c r="J85" s="238">
        <v>44642</v>
      </c>
      <c r="K85" s="47">
        <f t="shared" si="4"/>
        <v>41.151799066506186</v>
      </c>
      <c r="M85" s="15">
        <v>45007</v>
      </c>
      <c r="N85" s="47">
        <f t="shared" si="5"/>
        <v>57.525641942940787</v>
      </c>
      <c r="P85" s="15">
        <v>45372</v>
      </c>
      <c r="Q85" s="47">
        <f t="shared" si="6"/>
        <v>80.126993886328449</v>
      </c>
    </row>
    <row r="86" spans="4:17" x14ac:dyDescent="0.25">
      <c r="D86" s="15">
        <v>44139</v>
      </c>
      <c r="E86" s="47">
        <v>23.929300000000001</v>
      </c>
      <c r="G86" s="121">
        <v>44278</v>
      </c>
      <c r="H86" s="47">
        <v>28.254899999999999</v>
      </c>
      <c r="J86" s="238">
        <v>44643</v>
      </c>
      <c r="K86" s="47">
        <f t="shared" si="4"/>
        <v>41.189696966608501</v>
      </c>
      <c r="M86" s="15">
        <v>45008</v>
      </c>
      <c r="N86" s="47">
        <f t="shared" si="5"/>
        <v>57.577892953196766</v>
      </c>
      <c r="P86" s="15">
        <v>45373</v>
      </c>
      <c r="Q86" s="47">
        <f t="shared" si="6"/>
        <v>80.199773889087709</v>
      </c>
    </row>
    <row r="87" spans="4:17" x14ac:dyDescent="0.25">
      <c r="D87" s="15">
        <v>44140</v>
      </c>
      <c r="E87" s="47">
        <v>23.950600000000001</v>
      </c>
      <c r="G87" s="121">
        <v>44279</v>
      </c>
      <c r="H87" s="47">
        <v>28.287099999999999</v>
      </c>
      <c r="J87" s="238">
        <v>44644</v>
      </c>
      <c r="K87" s="47">
        <f t="shared" si="4"/>
        <v>41.227629767999822</v>
      </c>
      <c r="M87" s="15">
        <v>45009</v>
      </c>
      <c r="N87" s="47">
        <f t="shared" si="5"/>
        <v>57.630191423471977</v>
      </c>
      <c r="P87" s="15">
        <v>45374</v>
      </c>
      <c r="Q87" s="47">
        <f t="shared" si="6"/>
        <v>80.272619998517698</v>
      </c>
    </row>
    <row r="88" spans="4:17" x14ac:dyDescent="0.25">
      <c r="D88" s="15">
        <v>44141</v>
      </c>
      <c r="E88" s="47">
        <v>23.972000000000001</v>
      </c>
      <c r="G88" s="121">
        <v>44280</v>
      </c>
      <c r="H88" s="47">
        <v>28.319400000000002</v>
      </c>
      <c r="J88" s="238">
        <v>44645</v>
      </c>
      <c r="K88" s="47">
        <f t="shared" si="4"/>
        <v>41.265597502821763</v>
      </c>
      <c r="M88" s="15">
        <v>45010</v>
      </c>
      <c r="N88" s="47">
        <f t="shared" si="5"/>
        <v>57.682537396874736</v>
      </c>
      <c r="P88" s="15">
        <v>45375</v>
      </c>
      <c r="Q88" s="47">
        <f t="shared" si="6"/>
        <v>80.345532274663654</v>
      </c>
    </row>
    <row r="89" spans="4:17" x14ac:dyDescent="0.25">
      <c r="D89" s="15">
        <v>44142</v>
      </c>
      <c r="E89" s="47">
        <v>23.993300000000001</v>
      </c>
      <c r="G89" s="121">
        <v>44281</v>
      </c>
      <c r="H89" s="47">
        <v>28.351700000000001</v>
      </c>
      <c r="J89" s="238">
        <v>44646</v>
      </c>
      <c r="K89" s="47">
        <f t="shared" si="4"/>
        <v>41.303600203245551</v>
      </c>
      <c r="M89" s="15">
        <v>45011</v>
      </c>
      <c r="N89" s="47">
        <f t="shared" si="5"/>
        <v>57.734930916552528</v>
      </c>
      <c r="P89" s="15">
        <v>45376</v>
      </c>
      <c r="Q89" s="47">
        <f t="shared" si="6"/>
        <v>80.418510777625343</v>
      </c>
    </row>
    <row r="90" spans="4:17" x14ac:dyDescent="0.25">
      <c r="D90" s="15">
        <v>44143</v>
      </c>
      <c r="E90" s="47">
        <v>24.014700000000001</v>
      </c>
      <c r="G90" s="121">
        <v>44282</v>
      </c>
      <c r="H90" s="47">
        <v>28.3841</v>
      </c>
      <c r="J90" s="238">
        <v>44647</v>
      </c>
      <c r="K90" s="47">
        <f t="shared" si="4"/>
        <v>41.341637901472033</v>
      </c>
      <c r="M90" s="15">
        <v>45012</v>
      </c>
      <c r="N90" s="47">
        <f t="shared" si="5"/>
        <v>57.787372025692022</v>
      </c>
      <c r="P90" s="15">
        <v>45377</v>
      </c>
      <c r="Q90" s="47">
        <f t="shared" si="6"/>
        <v>80.491555567557114</v>
      </c>
    </row>
    <row r="91" spans="4:17" x14ac:dyDescent="0.25">
      <c r="D91" s="15">
        <v>44144</v>
      </c>
      <c r="E91" s="47">
        <v>24.036100000000001</v>
      </c>
      <c r="G91" s="121">
        <v>44283</v>
      </c>
      <c r="H91" s="47">
        <v>28.416499999999999</v>
      </c>
      <c r="J91" s="238">
        <v>44648</v>
      </c>
      <c r="K91" s="47">
        <f t="shared" si="4"/>
        <v>41.379710629731719</v>
      </c>
      <c r="M91" s="15">
        <v>45013</v>
      </c>
      <c r="N91" s="47">
        <f t="shared" si="5"/>
        <v>57.839860767519113</v>
      </c>
      <c r="P91" s="15">
        <v>45378</v>
      </c>
      <c r="Q91" s="47">
        <f t="shared" si="6"/>
        <v>80.564666704667971</v>
      </c>
    </row>
    <row r="92" spans="4:17" x14ac:dyDescent="0.25">
      <c r="D92" s="15">
        <v>44145</v>
      </c>
      <c r="E92" s="47">
        <v>24.057500000000001</v>
      </c>
      <c r="G92" s="121">
        <v>44284</v>
      </c>
      <c r="H92" s="47">
        <v>28.448899999999998</v>
      </c>
      <c r="J92" s="238">
        <v>44649</v>
      </c>
      <c r="K92" s="47">
        <f t="shared" si="4"/>
        <v>41.417818420284789</v>
      </c>
      <c r="M92" s="15">
        <v>45014</v>
      </c>
      <c r="N92" s="47">
        <f t="shared" si="5"/>
        <v>57.892397185298954</v>
      </c>
      <c r="P92" s="15">
        <v>45379</v>
      </c>
      <c r="Q92" s="47">
        <f t="shared" si="6"/>
        <v>80.637844249221587</v>
      </c>
    </row>
    <row r="93" spans="4:17" x14ac:dyDescent="0.25">
      <c r="D93" s="15">
        <v>44146</v>
      </c>
      <c r="E93" s="47">
        <v>24.079000000000001</v>
      </c>
      <c r="G93" s="121">
        <v>44285</v>
      </c>
      <c r="H93" s="47">
        <v>28.481400000000001</v>
      </c>
      <c r="J93" s="238">
        <v>44650</v>
      </c>
      <c r="K93" s="47">
        <f t="shared" si="4"/>
        <v>41.455961305421141</v>
      </c>
      <c r="M93" s="15">
        <v>45015</v>
      </c>
      <c r="N93" s="47">
        <f t="shared" si="5"/>
        <v>57.944981322336012</v>
      </c>
      <c r="P93" s="15">
        <v>45380</v>
      </c>
      <c r="Q93" s="47">
        <f t="shared" si="6"/>
        <v>80.711088261536403</v>
      </c>
    </row>
    <row r="94" spans="4:17" x14ac:dyDescent="0.25">
      <c r="D94" s="15">
        <v>44147</v>
      </c>
      <c r="E94" s="47">
        <v>24.1004</v>
      </c>
      <c r="G94" s="121">
        <v>44286</v>
      </c>
      <c r="H94" s="47">
        <v>28.5139</v>
      </c>
      <c r="J94" s="238">
        <v>44651</v>
      </c>
      <c r="K94" s="47">
        <f t="shared" si="4"/>
        <v>41.494139317460402</v>
      </c>
      <c r="M94" s="15">
        <v>45016</v>
      </c>
      <c r="N94" s="47">
        <f t="shared" si="5"/>
        <v>57.997613221974071</v>
      </c>
      <c r="P94" s="15">
        <v>45381</v>
      </c>
      <c r="Q94" s="47">
        <f t="shared" si="6"/>
        <v>80.784398801985617</v>
      </c>
    </row>
    <row r="95" spans="4:17" x14ac:dyDescent="0.25">
      <c r="D95" s="15">
        <v>44148</v>
      </c>
      <c r="E95" s="47">
        <v>24.1219</v>
      </c>
      <c r="G95" s="121">
        <v>44287</v>
      </c>
      <c r="H95" s="47">
        <v>28.546500000000002</v>
      </c>
      <c r="J95" s="238">
        <v>44652</v>
      </c>
      <c r="K95" s="47">
        <f t="shared" si="4"/>
        <v>41.532352488751975</v>
      </c>
      <c r="M95" s="15">
        <v>45017</v>
      </c>
      <c r="N95" s="47">
        <f t="shared" si="5"/>
        <v>58.050292927596296</v>
      </c>
      <c r="P95" s="15">
        <v>45382</v>
      </c>
      <c r="Q95" s="47">
        <f t="shared" si="6"/>
        <v>80.857775930997278</v>
      </c>
    </row>
    <row r="96" spans="4:17" x14ac:dyDescent="0.25">
      <c r="D96" s="15">
        <v>44149</v>
      </c>
      <c r="E96" s="47">
        <v>24.1434</v>
      </c>
      <c r="G96" s="121">
        <v>44288</v>
      </c>
      <c r="H96" s="47">
        <v>28.5791</v>
      </c>
      <c r="J96" s="238">
        <v>44653</v>
      </c>
      <c r="K96" s="47">
        <f t="shared" si="4"/>
        <v>41.570600851675046</v>
      </c>
      <c r="M96" s="15">
        <v>45018</v>
      </c>
      <c r="N96" s="47">
        <f t="shared" si="5"/>
        <v>58.103020482625254</v>
      </c>
      <c r="P96" s="15">
        <v>45383</v>
      </c>
      <c r="Q96" s="47">
        <f t="shared" si="6"/>
        <v>80.931219709054318</v>
      </c>
    </row>
    <row r="97" spans="4:17" x14ac:dyDescent="0.25">
      <c r="D97" s="15">
        <v>44150</v>
      </c>
      <c r="E97" s="47">
        <v>24.164899999999999</v>
      </c>
      <c r="G97" s="121">
        <v>44289</v>
      </c>
      <c r="H97" s="47">
        <v>28.611699999999999</v>
      </c>
      <c r="J97" s="238">
        <v>44654</v>
      </c>
      <c r="K97" s="47">
        <f t="shared" si="4"/>
        <v>41.608884438638619</v>
      </c>
      <c r="M97" s="15">
        <v>45019</v>
      </c>
      <c r="N97" s="47">
        <f t="shared" si="5"/>
        <v>58.155795930522949</v>
      </c>
      <c r="P97" s="15">
        <v>45384</v>
      </c>
      <c r="Q97" s="47">
        <f t="shared" si="6"/>
        <v>81.004730196694609</v>
      </c>
    </row>
    <row r="98" spans="4:17" x14ac:dyDescent="0.25">
      <c r="D98" s="15">
        <v>44151</v>
      </c>
      <c r="E98" s="47">
        <v>24.195</v>
      </c>
      <c r="G98" s="121">
        <v>44290</v>
      </c>
      <c r="H98" s="47">
        <v>28.644300000000001</v>
      </c>
      <c r="J98" s="238">
        <v>44655</v>
      </c>
      <c r="K98" s="47">
        <f t="shared" si="4"/>
        <v>41.647203282081549</v>
      </c>
      <c r="M98" s="15">
        <v>45020</v>
      </c>
      <c r="N98" s="47">
        <f t="shared" si="5"/>
        <v>58.208619314790866</v>
      </c>
      <c r="P98" s="15">
        <v>45385</v>
      </c>
      <c r="Q98" s="47">
        <f t="shared" si="6"/>
        <v>81.07830745451102</v>
      </c>
    </row>
    <row r="99" spans="4:17" x14ac:dyDescent="0.25">
      <c r="D99" s="15">
        <v>44152</v>
      </c>
      <c r="E99" s="47">
        <v>24.225100000000001</v>
      </c>
      <c r="G99" s="121">
        <v>44291</v>
      </c>
      <c r="H99" s="47">
        <v>28.677</v>
      </c>
      <c r="J99" s="238">
        <v>44656</v>
      </c>
      <c r="K99" s="47">
        <f t="shared" si="4"/>
        <v>41.685557414472562</v>
      </c>
      <c r="M99" s="15">
        <v>45021</v>
      </c>
      <c r="N99" s="47">
        <f t="shared" si="5"/>
        <v>58.261490678969999</v>
      </c>
      <c r="P99" s="15">
        <v>45386</v>
      </c>
      <c r="Q99" s="47">
        <f t="shared" si="6"/>
        <v>81.151951543151441</v>
      </c>
    </row>
    <row r="100" spans="4:17" x14ac:dyDescent="0.25">
      <c r="D100" s="15">
        <v>44153</v>
      </c>
      <c r="E100" s="47">
        <v>24.255199999999999</v>
      </c>
      <c r="G100" s="121">
        <v>44292</v>
      </c>
      <c r="H100" s="47">
        <v>28.709800000000001</v>
      </c>
      <c r="J100" s="238">
        <v>44657</v>
      </c>
      <c r="K100" s="47">
        <f t="shared" si="4"/>
        <v>41.723946868310293</v>
      </c>
      <c r="M100" s="15">
        <v>45022</v>
      </c>
      <c r="N100" s="47">
        <f t="shared" si="5"/>
        <v>58.314410066640896</v>
      </c>
      <c r="P100" s="15">
        <v>45387</v>
      </c>
      <c r="Q100" s="47">
        <f t="shared" si="6"/>
        <v>81.22566252331886</v>
      </c>
    </row>
    <row r="101" spans="4:17" x14ac:dyDescent="0.25">
      <c r="D101" s="15">
        <v>44154</v>
      </c>
      <c r="E101" s="47">
        <v>24.285399999999999</v>
      </c>
      <c r="G101" s="121">
        <v>44293</v>
      </c>
      <c r="H101" s="47">
        <v>28.742599999999999</v>
      </c>
      <c r="J101" s="238">
        <v>44658</v>
      </c>
      <c r="K101" s="47">
        <f t="shared" si="4"/>
        <v>41.762371676123294</v>
      </c>
      <c r="M101" s="15">
        <v>45023</v>
      </c>
      <c r="N101" s="47">
        <f t="shared" si="5"/>
        <v>58.367377521423684</v>
      </c>
      <c r="P101" s="15">
        <v>45388</v>
      </c>
      <c r="Q101" s="47">
        <f t="shared" si="6"/>
        <v>81.299440455771389</v>
      </c>
    </row>
    <row r="102" spans="4:17" x14ac:dyDescent="0.25">
      <c r="D102" s="15">
        <v>44155</v>
      </c>
      <c r="E102" s="47">
        <v>24.3156</v>
      </c>
      <c r="G102" s="121">
        <v>44294</v>
      </c>
      <c r="H102" s="47">
        <v>28.775400000000001</v>
      </c>
      <c r="J102" s="238">
        <v>44659</v>
      </c>
      <c r="K102" s="47">
        <f t="shared" si="4"/>
        <v>41.800831870470077</v>
      </c>
      <c r="M102" s="15">
        <v>45024</v>
      </c>
      <c r="N102" s="47">
        <f t="shared" si="5"/>
        <v>58.420393086978109</v>
      </c>
      <c r="P102" s="15">
        <v>45389</v>
      </c>
      <c r="Q102" s="47">
        <f t="shared" si="6"/>
        <v>81.373285401322335</v>
      </c>
    </row>
    <row r="103" spans="4:17" x14ac:dyDescent="0.25">
      <c r="D103" s="15">
        <v>44156</v>
      </c>
      <c r="E103" s="47">
        <v>24.3459</v>
      </c>
      <c r="G103" s="121">
        <v>44295</v>
      </c>
      <c r="H103" s="47">
        <v>28.808199999999999</v>
      </c>
      <c r="J103" s="238">
        <v>44660</v>
      </c>
      <c r="K103" s="47">
        <f t="shared" si="4"/>
        <v>41.839327483939144</v>
      </c>
      <c r="M103" s="15">
        <v>45025</v>
      </c>
      <c r="N103" s="47">
        <f t="shared" si="5"/>
        <v>58.473456807003586</v>
      </c>
      <c r="P103" s="15">
        <v>45390</v>
      </c>
      <c r="Q103" s="47">
        <f t="shared" si="6"/>
        <v>81.447197420840254</v>
      </c>
    </row>
    <row r="104" spans="4:17" x14ac:dyDescent="0.25">
      <c r="D104" s="15">
        <v>44157</v>
      </c>
      <c r="E104" s="47">
        <v>24.376100000000001</v>
      </c>
      <c r="G104" s="121">
        <v>44296</v>
      </c>
      <c r="H104" s="47">
        <v>28.841100000000001</v>
      </c>
      <c r="J104" s="238">
        <v>44661</v>
      </c>
      <c r="K104" s="47">
        <f t="shared" si="4"/>
        <v>41.877858549149003</v>
      </c>
      <c r="M104" s="15">
        <v>45026</v>
      </c>
      <c r="N104" s="47">
        <f t="shared" si="5"/>
        <v>58.526568725239208</v>
      </c>
      <c r="P104" s="15">
        <v>45391</v>
      </c>
      <c r="Q104" s="47">
        <f t="shared" si="6"/>
        <v>81.521176575248973</v>
      </c>
    </row>
    <row r="105" spans="4:17" x14ac:dyDescent="0.25">
      <c r="D105" s="15">
        <v>44158</v>
      </c>
      <c r="E105" s="47">
        <v>24.406500000000001</v>
      </c>
      <c r="G105" s="121">
        <v>44297</v>
      </c>
      <c r="H105" s="47">
        <v>28.873999999999999</v>
      </c>
      <c r="J105" s="238">
        <v>44662</v>
      </c>
      <c r="K105" s="47">
        <f t="shared" si="4"/>
        <v>41.916425098748199</v>
      </c>
      <c r="M105" s="15">
        <v>45027</v>
      </c>
      <c r="N105" s="47">
        <f t="shared" si="5"/>
        <v>58.579728885463808</v>
      </c>
      <c r="P105" s="15">
        <v>45392</v>
      </c>
      <c r="Q105" s="47">
        <f t="shared" si="6"/>
        <v>81.595222925527651</v>
      </c>
    </row>
    <row r="106" spans="4:17" x14ac:dyDescent="0.25">
      <c r="D106" s="15">
        <v>44159</v>
      </c>
      <c r="E106" s="47">
        <v>24.436800000000002</v>
      </c>
      <c r="G106" s="121">
        <v>44298</v>
      </c>
      <c r="H106" s="47">
        <v>28.907</v>
      </c>
      <c r="J106" s="238">
        <v>44663</v>
      </c>
      <c r="K106" s="47">
        <f t="shared" si="4"/>
        <v>41.955027165415352</v>
      </c>
      <c r="M106" s="15">
        <v>45028</v>
      </c>
      <c r="N106" s="47">
        <f t="shared" si="5"/>
        <v>58.632937331495981</v>
      </c>
      <c r="P106" s="15">
        <v>45393</v>
      </c>
      <c r="Q106" s="47">
        <f t="shared" si="6"/>
        <v>81.669336532710858</v>
      </c>
    </row>
    <row r="107" spans="4:17" x14ac:dyDescent="0.25">
      <c r="D107" s="15">
        <v>44160</v>
      </c>
      <c r="E107" s="47">
        <v>24.467199999999998</v>
      </c>
      <c r="G107" s="121">
        <v>44299</v>
      </c>
      <c r="H107" s="47">
        <v>28.94</v>
      </c>
      <c r="J107" s="238">
        <v>44664</v>
      </c>
      <c r="K107" s="47">
        <f t="shared" si="4"/>
        <v>41.993664781859174</v>
      </c>
      <c r="M107" s="15">
        <v>45029</v>
      </c>
      <c r="N107" s="47">
        <f t="shared" si="5"/>
        <v>58.686194107194112</v>
      </c>
      <c r="P107" s="15">
        <v>45394</v>
      </c>
      <c r="Q107" s="47">
        <f t="shared" si="6"/>
        <v>81.743517457888586</v>
      </c>
    </row>
    <row r="108" spans="4:17" x14ac:dyDescent="0.25">
      <c r="D108" s="15">
        <v>44161</v>
      </c>
      <c r="E108" s="47">
        <v>24.497699999999998</v>
      </c>
      <c r="G108" s="121">
        <v>44300</v>
      </c>
      <c r="H108" s="47">
        <v>28.972999999999999</v>
      </c>
      <c r="J108" s="238">
        <v>44665</v>
      </c>
      <c r="K108" s="47">
        <f t="shared" si="4"/>
        <v>42.032337980818497</v>
      </c>
      <c r="M108" s="15">
        <v>45030</v>
      </c>
      <c r="N108" s="47">
        <f t="shared" si="5"/>
        <v>58.739499256456433</v>
      </c>
      <c r="P108" s="15">
        <v>45395</v>
      </c>
      <c r="Q108" s="47">
        <f t="shared" si="6"/>
        <v>81.817765762206307</v>
      </c>
    </row>
    <row r="109" spans="4:17" x14ac:dyDescent="0.25">
      <c r="D109" s="15">
        <v>44162</v>
      </c>
      <c r="E109" s="47">
        <v>24.528099999999998</v>
      </c>
      <c r="G109" s="121">
        <v>44301</v>
      </c>
      <c r="H109" s="47">
        <v>29.0061</v>
      </c>
      <c r="J109" s="238">
        <v>44666</v>
      </c>
      <c r="K109" s="47">
        <f t="shared" si="4"/>
        <v>42.071046795062308</v>
      </c>
      <c r="M109" s="15">
        <v>45031</v>
      </c>
      <c r="N109" s="47">
        <f t="shared" si="5"/>
        <v>58.792852823221054</v>
      </c>
      <c r="P109" s="15">
        <v>45396</v>
      </c>
      <c r="Q109" s="47">
        <f t="shared" si="6"/>
        <v>81.892081506865054</v>
      </c>
    </row>
    <row r="110" spans="4:17" x14ac:dyDescent="0.25">
      <c r="D110" s="15">
        <v>44163</v>
      </c>
      <c r="E110" s="47">
        <v>24.558700000000002</v>
      </c>
      <c r="F110" t="s">
        <v>189</v>
      </c>
      <c r="G110" s="121">
        <v>44302</v>
      </c>
      <c r="H110" s="47">
        <v>29.051500000000001</v>
      </c>
      <c r="J110" s="15">
        <v>44667</v>
      </c>
      <c r="K110" s="47">
        <f t="shared" si="4"/>
        <v>42.109791257389766</v>
      </c>
      <c r="L110" t="s">
        <v>230</v>
      </c>
      <c r="M110" s="15">
        <v>45032</v>
      </c>
      <c r="N110" s="47">
        <f t="shared" si="5"/>
        <v>58.846254851465979</v>
      </c>
      <c r="P110" s="15">
        <v>45397</v>
      </c>
      <c r="Q110" s="47">
        <f t="shared" si="6"/>
        <v>81.966464753121443</v>
      </c>
    </row>
    <row r="111" spans="4:17" x14ac:dyDescent="0.25">
      <c r="D111" s="15">
        <v>44164</v>
      </c>
      <c r="E111" s="47">
        <v>24.589200000000002</v>
      </c>
      <c r="G111" s="121">
        <v>44303</v>
      </c>
      <c r="H111" s="47">
        <v>29.096900000000002</v>
      </c>
      <c r="J111" s="15">
        <v>44668</v>
      </c>
      <c r="K111" s="47">
        <f t="shared" si="4"/>
        <v>42.148571400630232</v>
      </c>
      <c r="M111" s="15">
        <v>45033</v>
      </c>
      <c r="N111" s="47">
        <f t="shared" si="5"/>
        <v>58.899705385209174</v>
      </c>
      <c r="P111" s="15">
        <v>45398</v>
      </c>
      <c r="Q111" s="47">
        <f t="shared" si="6"/>
        <v>82.040915562287722</v>
      </c>
    </row>
    <row r="112" spans="4:17" x14ac:dyDescent="0.25">
      <c r="D112" s="15">
        <v>44165</v>
      </c>
      <c r="E112" s="47">
        <v>24.619800000000001</v>
      </c>
      <c r="G112" s="121">
        <v>44304</v>
      </c>
      <c r="H112" s="47">
        <v>29.142399999999999</v>
      </c>
      <c r="J112" s="15">
        <v>44669</v>
      </c>
      <c r="K112" s="47">
        <f t="shared" si="4"/>
        <v>42.187387257643309</v>
      </c>
      <c r="M112" s="15">
        <v>45034</v>
      </c>
      <c r="N112" s="47">
        <f t="shared" si="5"/>
        <v>58.953204468508574</v>
      </c>
      <c r="P112" s="15">
        <v>45399</v>
      </c>
      <c r="Q112" s="47">
        <f t="shared" si="6"/>
        <v>82.115433995731834</v>
      </c>
    </row>
    <row r="113" spans="4:17" x14ac:dyDescent="0.25">
      <c r="D113" s="15">
        <v>44166</v>
      </c>
      <c r="E113" s="47">
        <v>24.650400000000001</v>
      </c>
      <c r="G113" s="121">
        <v>44305</v>
      </c>
      <c r="H113" s="47">
        <v>29.187999999999999</v>
      </c>
      <c r="J113" s="15">
        <v>44670</v>
      </c>
      <c r="K113" s="47">
        <f t="shared" si="4"/>
        <v>42.226238861318862</v>
      </c>
      <c r="M113" s="15">
        <v>45035</v>
      </c>
      <c r="N113" s="47">
        <f t="shared" si="5"/>
        <v>59.006752145462137</v>
      </c>
      <c r="P113" s="15">
        <v>45400</v>
      </c>
      <c r="Q113" s="47">
        <f t="shared" si="6"/>
        <v>82.19002011487747</v>
      </c>
    </row>
    <row r="114" spans="4:17" x14ac:dyDescent="0.25">
      <c r="D114" s="15">
        <v>44167</v>
      </c>
      <c r="E114" s="47">
        <v>24.681100000000001</v>
      </c>
      <c r="G114" s="121">
        <v>44306</v>
      </c>
      <c r="H114" s="47">
        <v>29.233599999999999</v>
      </c>
      <c r="J114" s="15">
        <v>44671</v>
      </c>
      <c r="K114" s="47">
        <f t="shared" si="4"/>
        <v>42.26512624457704</v>
      </c>
      <c r="M114" s="15">
        <v>45036</v>
      </c>
      <c r="N114" s="47">
        <f t="shared" si="5"/>
        <v>59.060348460207877</v>
      </c>
      <c r="P114" s="15">
        <v>45401</v>
      </c>
      <c r="Q114" s="47">
        <f t="shared" si="6"/>
        <v>82.264673981204098</v>
      </c>
    </row>
    <row r="115" spans="4:17" x14ac:dyDescent="0.25">
      <c r="D115" s="15">
        <v>44168</v>
      </c>
      <c r="E115" s="47">
        <v>24.7118</v>
      </c>
      <c r="G115" s="121">
        <v>44307</v>
      </c>
      <c r="H115" s="47">
        <v>29.279299999999999</v>
      </c>
      <c r="J115" s="15">
        <v>44672</v>
      </c>
      <c r="K115" s="47">
        <f t="shared" ref="K115:K178" si="7">K114*(1+$B$41)</f>
        <v>42.304049440368317</v>
      </c>
      <c r="M115" s="15">
        <v>45037</v>
      </c>
      <c r="N115" s="47">
        <f t="shared" si="5"/>
        <v>59.1139934569239</v>
      </c>
      <c r="P115" s="15">
        <v>45402</v>
      </c>
      <c r="Q115" s="47">
        <f t="shared" si="6"/>
        <v>82.339395656247035</v>
      </c>
    </row>
    <row r="116" spans="4:17" x14ac:dyDescent="0.25">
      <c r="D116" s="15">
        <v>44169</v>
      </c>
      <c r="E116" s="47">
        <v>24.7425</v>
      </c>
      <c r="G116" s="121">
        <v>44308</v>
      </c>
      <c r="H116" s="47">
        <v>29.325099999999999</v>
      </c>
      <c r="J116" s="15">
        <v>44673</v>
      </c>
      <c r="K116" s="47">
        <f t="shared" si="7"/>
        <v>42.3430084816735</v>
      </c>
      <c r="M116" s="15">
        <v>45038</v>
      </c>
      <c r="N116" s="47">
        <f t="shared" si="5"/>
        <v>59.167687179828434</v>
      </c>
      <c r="P116" s="15">
        <v>45403</v>
      </c>
      <c r="Q116" s="47">
        <f t="shared" si="6"/>
        <v>82.414185201597491</v>
      </c>
    </row>
    <row r="117" spans="4:17" x14ac:dyDescent="0.25">
      <c r="D117" s="15">
        <v>44170</v>
      </c>
      <c r="E117" s="47">
        <v>24.773299999999999</v>
      </c>
      <c r="G117" s="121">
        <v>44309</v>
      </c>
      <c r="H117" s="47">
        <v>29.370999999999999</v>
      </c>
      <c r="J117" s="15">
        <v>44674</v>
      </c>
      <c r="K117" s="47">
        <f t="shared" si="7"/>
        <v>42.382003401503781</v>
      </c>
      <c r="M117" s="15">
        <v>45039</v>
      </c>
      <c r="N117" s="47">
        <f t="shared" si="5"/>
        <v>59.221429673179877</v>
      </c>
      <c r="P117" s="15">
        <v>45404</v>
      </c>
      <c r="Q117" s="47">
        <f t="shared" si="6"/>
        <v>82.489042678902621</v>
      </c>
    </row>
    <row r="118" spans="4:17" x14ac:dyDescent="0.25">
      <c r="D118" s="15">
        <v>44171</v>
      </c>
      <c r="E118" s="47">
        <v>24.804099999999998</v>
      </c>
      <c r="G118" s="121">
        <v>44310</v>
      </c>
      <c r="H118" s="47">
        <v>29.416899999999998</v>
      </c>
      <c r="J118" s="15">
        <v>44675</v>
      </c>
      <c r="K118" s="47">
        <f t="shared" si="7"/>
        <v>42.421034232900737</v>
      </c>
      <c r="M118" s="15">
        <v>45040</v>
      </c>
      <c r="N118" s="47">
        <f t="shared" si="5"/>
        <v>59.275220981276817</v>
      </c>
      <c r="P118" s="15">
        <v>45405</v>
      </c>
      <c r="Q118" s="47">
        <f t="shared" si="6"/>
        <v>82.563968149865573</v>
      </c>
    </row>
    <row r="119" spans="4:17" x14ac:dyDescent="0.25">
      <c r="D119" s="15">
        <v>44172</v>
      </c>
      <c r="E119" s="47">
        <v>24.835000000000001</v>
      </c>
      <c r="G119" s="121">
        <v>44311</v>
      </c>
      <c r="H119" s="47">
        <v>29.463000000000001</v>
      </c>
      <c r="J119" s="15">
        <v>44676</v>
      </c>
      <c r="K119" s="47">
        <f t="shared" si="7"/>
        <v>42.460101008936391</v>
      </c>
      <c r="M119" s="15">
        <v>45041</v>
      </c>
      <c r="N119" s="47">
        <f t="shared" si="5"/>
        <v>59.329061148458095</v>
      </c>
      <c r="P119" s="15">
        <v>45406</v>
      </c>
      <c r="Q119" s="47">
        <f t="shared" si="6"/>
        <v>82.638961676245543</v>
      </c>
    </row>
    <row r="120" spans="4:17" x14ac:dyDescent="0.25">
      <c r="D120" s="15">
        <v>44173</v>
      </c>
      <c r="E120" s="47">
        <v>24.8659</v>
      </c>
      <c r="G120" s="121">
        <v>44312</v>
      </c>
      <c r="H120" s="47">
        <v>29.509</v>
      </c>
      <c r="J120" s="15">
        <v>44677</v>
      </c>
      <c r="K120" s="47">
        <f t="shared" si="7"/>
        <v>42.499203762713215</v>
      </c>
      <c r="M120" s="15">
        <v>45042</v>
      </c>
      <c r="N120" s="47">
        <f t="shared" si="5"/>
        <v>59.38295021910281</v>
      </c>
      <c r="P120" s="15">
        <v>45407</v>
      </c>
      <c r="Q120" s="47">
        <f t="shared" si="6"/>
        <v>82.71402331985783</v>
      </c>
    </row>
    <row r="121" spans="4:17" x14ac:dyDescent="0.25">
      <c r="D121" s="15">
        <v>44174</v>
      </c>
      <c r="E121" s="47">
        <v>24.896799999999999</v>
      </c>
      <c r="G121" s="121">
        <v>44313</v>
      </c>
      <c r="H121" s="47">
        <v>29.555199999999999</v>
      </c>
      <c r="J121" s="15">
        <v>44678</v>
      </c>
      <c r="K121" s="47">
        <f t="shared" si="7"/>
        <v>42.538342527364172</v>
      </c>
      <c r="M121" s="15">
        <v>45043</v>
      </c>
      <c r="N121" s="47">
        <f t="shared" si="5"/>
        <v>59.436888237630377</v>
      </c>
      <c r="P121" s="15">
        <v>45408</v>
      </c>
      <c r="Q121" s="47">
        <f t="shared" si="6"/>
        <v>82.789153142573866</v>
      </c>
    </row>
    <row r="122" spans="4:17" x14ac:dyDescent="0.25">
      <c r="D122" s="15">
        <v>44175</v>
      </c>
      <c r="E122" s="47">
        <v>24.927800000000001</v>
      </c>
      <c r="G122" s="121">
        <v>44314</v>
      </c>
      <c r="H122" s="47">
        <v>29.601400000000002</v>
      </c>
      <c r="J122" s="15">
        <v>44679</v>
      </c>
      <c r="K122" s="47">
        <f t="shared" si="7"/>
        <v>42.577517336052729</v>
      </c>
      <c r="M122" s="15">
        <v>45044</v>
      </c>
      <c r="N122" s="47">
        <f t="shared" si="5"/>
        <v>59.490875248500565</v>
      </c>
      <c r="P122" s="15">
        <v>45409</v>
      </c>
      <c r="Q122" s="47">
        <f t="shared" si="6"/>
        <v>82.864351206321288</v>
      </c>
    </row>
    <row r="123" spans="4:17" x14ac:dyDescent="0.25">
      <c r="D123" s="15">
        <v>44176</v>
      </c>
      <c r="E123" s="47">
        <v>24.9588</v>
      </c>
      <c r="G123" s="121">
        <v>44315</v>
      </c>
      <c r="H123" s="47">
        <v>29.6477</v>
      </c>
      <c r="J123" s="15">
        <v>44680</v>
      </c>
      <c r="K123" s="47">
        <f t="shared" si="7"/>
        <v>42.616728221972899</v>
      </c>
      <c r="M123" s="15">
        <v>45045</v>
      </c>
      <c r="N123" s="47">
        <f t="shared" si="5"/>
        <v>59.544911296213513</v>
      </c>
      <c r="P123" s="15">
        <v>45410</v>
      </c>
      <c r="Q123" s="47">
        <f t="shared" si="6"/>
        <v>82.939617573083979</v>
      </c>
    </row>
    <row r="124" spans="4:17" x14ac:dyDescent="0.25">
      <c r="D124" s="15">
        <v>44177</v>
      </c>
      <c r="E124" s="47">
        <v>24.989799999999999</v>
      </c>
      <c r="G124" s="121">
        <v>44316</v>
      </c>
      <c r="H124" s="47">
        <v>29.694099999999999</v>
      </c>
      <c r="J124" s="15">
        <v>44681</v>
      </c>
      <c r="K124" s="47">
        <f t="shared" si="7"/>
        <v>42.655975218349262</v>
      </c>
      <c r="M124" s="15">
        <v>45046</v>
      </c>
      <c r="N124" s="47">
        <f t="shared" si="5"/>
        <v>59.598996425309785</v>
      </c>
      <c r="P124" s="15">
        <v>45411</v>
      </c>
      <c r="Q124" s="47">
        <f t="shared" si="6"/>
        <v>83.014952304902124</v>
      </c>
    </row>
    <row r="125" spans="4:17" x14ac:dyDescent="0.25">
      <c r="D125" s="15">
        <v>44178</v>
      </c>
      <c r="E125" s="47">
        <v>25.020900000000001</v>
      </c>
      <c r="G125" s="121">
        <v>44317</v>
      </c>
      <c r="H125" s="47">
        <v>29.740500000000001</v>
      </c>
      <c r="J125" s="15">
        <v>44682</v>
      </c>
      <c r="K125" s="47">
        <f t="shared" si="7"/>
        <v>42.695258358437002</v>
      </c>
      <c r="M125" s="15">
        <v>45047</v>
      </c>
      <c r="N125" s="47">
        <f t="shared" si="5"/>
        <v>59.653130680370403</v>
      </c>
      <c r="P125" s="15">
        <v>45412</v>
      </c>
      <c r="Q125" s="47">
        <f t="shared" si="6"/>
        <v>83.090355463872271</v>
      </c>
    </row>
    <row r="126" spans="4:17" x14ac:dyDescent="0.25">
      <c r="D126" s="15">
        <v>44179</v>
      </c>
      <c r="E126" s="47">
        <v>25.052</v>
      </c>
      <c r="G126" s="121">
        <v>44318</v>
      </c>
      <c r="H126" s="47">
        <v>29.786999999999999</v>
      </c>
      <c r="J126" s="15">
        <v>44683</v>
      </c>
      <c r="K126" s="47">
        <f t="shared" si="7"/>
        <v>42.734577675521919</v>
      </c>
      <c r="M126" s="15">
        <v>45048</v>
      </c>
      <c r="N126" s="47">
        <f t="shared" si="5"/>
        <v>59.707314106016881</v>
      </c>
      <c r="P126" s="15">
        <v>45413</v>
      </c>
      <c r="Q126" s="47">
        <f t="shared" si="6"/>
        <v>83.165827112147355</v>
      </c>
    </row>
    <row r="127" spans="4:17" x14ac:dyDescent="0.25">
      <c r="D127" s="15">
        <v>44180</v>
      </c>
      <c r="E127" s="47">
        <v>25.083200000000001</v>
      </c>
      <c r="G127" s="121">
        <v>44319</v>
      </c>
      <c r="H127" s="47">
        <v>29.833600000000001</v>
      </c>
      <c r="J127" s="15">
        <v>44684</v>
      </c>
      <c r="K127" s="47">
        <f t="shared" si="7"/>
        <v>42.773933202920475</v>
      </c>
      <c r="M127" s="15">
        <v>45049</v>
      </c>
      <c r="N127" s="47">
        <f t="shared" si="5"/>
        <v>59.761546746911264</v>
      </c>
      <c r="P127" s="15">
        <v>45414</v>
      </c>
      <c r="Q127" s="47">
        <f t="shared" si="6"/>
        <v>83.24136731193677</v>
      </c>
    </row>
    <row r="128" spans="4:17" x14ac:dyDescent="0.25">
      <c r="D128" s="15">
        <v>44181</v>
      </c>
      <c r="E128" s="47">
        <v>25.108699999999999</v>
      </c>
      <c r="G128" s="121">
        <v>44320</v>
      </c>
      <c r="H128" s="47">
        <v>29.880299999999998</v>
      </c>
      <c r="J128" s="15">
        <v>44685</v>
      </c>
      <c r="K128" s="47">
        <f t="shared" si="7"/>
        <v>42.81332497397981</v>
      </c>
      <c r="M128" s="15">
        <v>45050</v>
      </c>
      <c r="N128" s="47">
        <f t="shared" si="5"/>
        <v>59.815828647756163</v>
      </c>
      <c r="P128" s="15">
        <v>45415</v>
      </c>
      <c r="Q128" s="47">
        <f t="shared" si="6"/>
        <v>83.316976125506415</v>
      </c>
    </row>
    <row r="129" spans="4:17" x14ac:dyDescent="0.25">
      <c r="D129" s="15">
        <v>44182</v>
      </c>
      <c r="E129" s="47">
        <v>25.1342</v>
      </c>
      <c r="G129" s="121">
        <v>44321</v>
      </c>
      <c r="H129" s="47">
        <v>29.927</v>
      </c>
      <c r="J129" s="15">
        <v>44686</v>
      </c>
      <c r="K129" s="47">
        <f t="shared" si="7"/>
        <v>42.852753022077778</v>
      </c>
      <c r="M129" s="15">
        <v>45051</v>
      </c>
      <c r="N129" s="47">
        <f t="shared" si="5"/>
        <v>59.870159853294801</v>
      </c>
      <c r="P129" s="15">
        <v>45416</v>
      </c>
      <c r="Q129" s="47">
        <f t="shared" si="6"/>
        <v>83.392653615178745</v>
      </c>
    </row>
    <row r="130" spans="4:17" x14ac:dyDescent="0.25">
      <c r="D130" s="15">
        <v>44183</v>
      </c>
      <c r="E130" s="47">
        <v>25.159800000000001</v>
      </c>
      <c r="G130" s="121">
        <v>44322</v>
      </c>
      <c r="H130" s="47">
        <v>29.973800000000001</v>
      </c>
      <c r="J130" s="15">
        <v>44687</v>
      </c>
      <c r="K130" s="47">
        <f t="shared" si="7"/>
        <v>42.892217380622959</v>
      </c>
      <c r="M130" s="15">
        <v>45052</v>
      </c>
      <c r="N130" s="47">
        <f t="shared" si="5"/>
        <v>59.924540408311024</v>
      </c>
      <c r="P130" s="15">
        <v>45417</v>
      </c>
      <c r="Q130" s="47">
        <f t="shared" si="6"/>
        <v>83.468399843332833</v>
      </c>
    </row>
    <row r="131" spans="4:17" x14ac:dyDescent="0.25">
      <c r="D131" s="15">
        <v>44184</v>
      </c>
      <c r="E131" s="47">
        <v>25.185400000000001</v>
      </c>
      <c r="G131" s="121">
        <v>44323</v>
      </c>
      <c r="H131" s="47">
        <v>30.020700000000001</v>
      </c>
      <c r="J131" s="15">
        <v>44688</v>
      </c>
      <c r="K131" s="47">
        <f t="shared" si="7"/>
        <v>42.931718083054719</v>
      </c>
      <c r="M131" s="15">
        <v>45053</v>
      </c>
      <c r="N131" s="47">
        <f t="shared" si="5"/>
        <v>59.978970357629372</v>
      </c>
      <c r="P131" s="15">
        <v>45418</v>
      </c>
      <c r="Q131" s="47">
        <f t="shared" si="6"/>
        <v>83.544214872404396</v>
      </c>
    </row>
    <row r="132" spans="4:17" x14ac:dyDescent="0.25">
      <c r="D132" s="15">
        <v>44185</v>
      </c>
      <c r="E132" s="47">
        <v>25.210999999999999</v>
      </c>
      <c r="G132" s="121">
        <v>44324</v>
      </c>
      <c r="H132" s="47">
        <v>30.067599999999999</v>
      </c>
      <c r="J132" s="15">
        <v>44689</v>
      </c>
      <c r="K132" s="47">
        <f t="shared" si="7"/>
        <v>42.971255162843214</v>
      </c>
      <c r="M132" s="15">
        <v>45054</v>
      </c>
      <c r="N132" s="47">
        <f t="shared" si="5"/>
        <v>60.033449746115089</v>
      </c>
      <c r="P132" s="15">
        <v>45419</v>
      </c>
      <c r="Q132" s="47">
        <f t="shared" si="6"/>
        <v>83.620098764885867</v>
      </c>
    </row>
    <row r="133" spans="4:17" x14ac:dyDescent="0.25">
      <c r="D133" s="15">
        <v>44186</v>
      </c>
      <c r="E133" s="47">
        <v>25.236599999999999</v>
      </c>
      <c r="G133" s="121">
        <v>44325</v>
      </c>
      <c r="H133" s="47">
        <v>30.114699999999999</v>
      </c>
      <c r="J133" s="15">
        <v>44690</v>
      </c>
      <c r="K133" s="47">
        <f t="shared" si="7"/>
        <v>43.010828653489412</v>
      </c>
      <c r="M133" s="15">
        <v>45055</v>
      </c>
      <c r="N133" s="47">
        <f t="shared" si="5"/>
        <v>60.087978618674171</v>
      </c>
      <c r="P133" s="15">
        <v>45420</v>
      </c>
      <c r="Q133" s="47">
        <f t="shared" si="6"/>
        <v>83.696051583326451</v>
      </c>
    </row>
    <row r="134" spans="4:17" x14ac:dyDescent="0.25">
      <c r="D134" s="15">
        <v>44187</v>
      </c>
      <c r="E134" s="47">
        <v>25.2622</v>
      </c>
      <c r="G134" s="121">
        <v>44326</v>
      </c>
      <c r="H134" s="47">
        <v>30.161799999999999</v>
      </c>
      <c r="J134" s="15">
        <v>44691</v>
      </c>
      <c r="K134" s="47">
        <f t="shared" si="7"/>
        <v>43.050438588525147</v>
      </c>
      <c r="M134" s="15">
        <v>45056</v>
      </c>
      <c r="N134" s="47">
        <f t="shared" ref="N134:N197" si="8">N133*(1+$B$43)</f>
        <v>60.142557020253413</v>
      </c>
      <c r="P134" s="15">
        <v>45421</v>
      </c>
      <c r="Q134" s="47">
        <f t="shared" ref="Q134:Q197" si="9">Q133*(1+$B$45)</f>
        <v>83.772073390332153</v>
      </c>
    </row>
    <row r="135" spans="4:17" x14ac:dyDescent="0.25">
      <c r="D135" s="15">
        <v>44188</v>
      </c>
      <c r="E135" s="47">
        <v>25.2879</v>
      </c>
      <c r="G135" s="121">
        <v>44327</v>
      </c>
      <c r="H135" s="47">
        <v>30.2089</v>
      </c>
      <c r="J135" s="15">
        <v>44692</v>
      </c>
      <c r="K135" s="47">
        <f t="shared" si="7"/>
        <v>43.090085001513124</v>
      </c>
      <c r="M135" s="15">
        <v>45057</v>
      </c>
      <c r="N135" s="47">
        <f t="shared" si="8"/>
        <v>60.197184995840423</v>
      </c>
      <c r="P135" s="15">
        <v>45422</v>
      </c>
      <c r="Q135" s="47">
        <f t="shared" si="9"/>
        <v>83.848164248565851</v>
      </c>
    </row>
    <row r="136" spans="4:17" x14ac:dyDescent="0.25">
      <c r="D136" s="15">
        <v>44189</v>
      </c>
      <c r="E136" s="47">
        <v>25.313600000000001</v>
      </c>
      <c r="G136" s="121">
        <v>44328</v>
      </c>
      <c r="H136" s="47">
        <v>30.2562</v>
      </c>
      <c r="J136" s="15">
        <v>44693</v>
      </c>
      <c r="K136" s="47">
        <f t="shared" si="7"/>
        <v>43.129767926046959</v>
      </c>
      <c r="M136" s="15">
        <v>45058</v>
      </c>
      <c r="N136" s="47">
        <f t="shared" si="8"/>
        <v>60.251862590463681</v>
      </c>
      <c r="P136" s="15">
        <v>45423</v>
      </c>
      <c r="Q136" s="47">
        <f t="shared" si="9"/>
        <v>83.924324220747337</v>
      </c>
    </row>
    <row r="137" spans="4:17" x14ac:dyDescent="0.25">
      <c r="D137" s="15">
        <v>44190</v>
      </c>
      <c r="E137" s="47">
        <v>25.339400000000001</v>
      </c>
      <c r="G137" s="121">
        <v>44329</v>
      </c>
      <c r="H137" s="47">
        <v>30.3035</v>
      </c>
      <c r="J137" s="15">
        <v>44694</v>
      </c>
      <c r="K137" s="47">
        <f t="shared" si="7"/>
        <v>43.169487395751212</v>
      </c>
      <c r="M137" s="15">
        <v>45059</v>
      </c>
      <c r="N137" s="47">
        <f t="shared" si="8"/>
        <v>60.306589849192562</v>
      </c>
      <c r="P137" s="15">
        <v>45424</v>
      </c>
      <c r="Q137" s="47">
        <f t="shared" si="9"/>
        <v>84.000553369653389</v>
      </c>
    </row>
    <row r="138" spans="4:17" x14ac:dyDescent="0.25">
      <c r="D138" s="15">
        <v>44191</v>
      </c>
      <c r="E138" s="47">
        <v>25.365100000000002</v>
      </c>
      <c r="G138" s="121">
        <v>44330</v>
      </c>
      <c r="H138" s="47">
        <v>30.350899999999999</v>
      </c>
      <c r="J138" s="15">
        <v>44695</v>
      </c>
      <c r="K138" s="47">
        <f t="shared" si="7"/>
        <v>43.209243444281398</v>
      </c>
      <c r="M138" s="15">
        <v>45060</v>
      </c>
      <c r="N138" s="47">
        <f t="shared" si="8"/>
        <v>60.361366817137373</v>
      </c>
      <c r="P138" s="15">
        <v>45425</v>
      </c>
      <c r="Q138" s="47">
        <f t="shared" si="9"/>
        <v>84.076851758117769</v>
      </c>
    </row>
    <row r="139" spans="4:17" x14ac:dyDescent="0.25">
      <c r="D139" s="15">
        <v>44192</v>
      </c>
      <c r="E139" s="47">
        <v>25.390899999999998</v>
      </c>
      <c r="G139" s="121">
        <v>44331</v>
      </c>
      <c r="H139" s="47">
        <v>30.398399999999999</v>
      </c>
      <c r="J139" s="15">
        <v>44696</v>
      </c>
      <c r="K139" s="47">
        <f t="shared" si="7"/>
        <v>43.249036105324031</v>
      </c>
      <c r="M139" s="15">
        <v>45061</v>
      </c>
      <c r="N139" s="47">
        <f t="shared" si="8"/>
        <v>60.416193539449409</v>
      </c>
      <c r="P139" s="15">
        <v>45426</v>
      </c>
      <c r="Q139" s="47">
        <f t="shared" si="9"/>
        <v>84.153219449031354</v>
      </c>
    </row>
    <row r="140" spans="4:17" x14ac:dyDescent="0.25">
      <c r="D140" s="15">
        <v>44193</v>
      </c>
      <c r="E140" s="47">
        <v>25.416699999999999</v>
      </c>
      <c r="F140" t="s">
        <v>190</v>
      </c>
      <c r="G140" s="121">
        <v>44332</v>
      </c>
      <c r="H140" s="47">
        <v>30.437799999999999</v>
      </c>
      <c r="J140" s="15">
        <v>44697</v>
      </c>
      <c r="K140" s="47">
        <f t="shared" si="7"/>
        <v>43.288865412596657</v>
      </c>
      <c r="M140" s="15">
        <v>45062</v>
      </c>
      <c r="N140" s="47">
        <f t="shared" si="8"/>
        <v>60.471070061320965</v>
      </c>
      <c r="P140" s="15">
        <v>45427</v>
      </c>
      <c r="Q140" s="47">
        <f t="shared" si="9"/>
        <v>84.229656505342106</v>
      </c>
    </row>
    <row r="141" spans="4:17" x14ac:dyDescent="0.25">
      <c r="D141" s="15">
        <v>44194</v>
      </c>
      <c r="E141" s="47">
        <v>25.442599999999999</v>
      </c>
      <c r="G141" s="121">
        <v>44333</v>
      </c>
      <c r="H141" s="47">
        <v>30.4773</v>
      </c>
      <c r="J141" s="15">
        <v>44698</v>
      </c>
      <c r="K141" s="47">
        <f t="shared" si="7"/>
        <v>43.328731399847854</v>
      </c>
      <c r="M141" s="15">
        <v>45063</v>
      </c>
      <c r="N141" s="47">
        <f t="shared" si="8"/>
        <v>60.525996427985383</v>
      </c>
      <c r="P141" s="15">
        <v>45428</v>
      </c>
      <c r="Q141" s="47">
        <f t="shared" si="9"/>
        <v>84.306162990055199</v>
      </c>
    </row>
    <row r="142" spans="4:17" x14ac:dyDescent="0.25">
      <c r="D142" s="15">
        <v>44195</v>
      </c>
      <c r="E142" s="47">
        <v>25.468399999999999</v>
      </c>
      <c r="G142" s="121">
        <v>44334</v>
      </c>
      <c r="H142" s="47">
        <v>30.5168</v>
      </c>
      <c r="J142" s="15">
        <v>44699</v>
      </c>
      <c r="K142" s="47">
        <f t="shared" si="7"/>
        <v>43.3686341008573</v>
      </c>
      <c r="M142" s="15">
        <v>45064</v>
      </c>
      <c r="N142" s="47">
        <f t="shared" si="8"/>
        <v>60.580972684717104</v>
      </c>
      <c r="P142" s="15">
        <v>45429</v>
      </c>
      <c r="Q142" s="47">
        <f t="shared" si="9"/>
        <v>84.382738966233006</v>
      </c>
    </row>
    <row r="143" spans="4:17" x14ac:dyDescent="0.25">
      <c r="D143" s="15">
        <v>44196</v>
      </c>
      <c r="E143" s="47">
        <v>25.494299999999999</v>
      </c>
      <c r="G143" s="121">
        <v>44335</v>
      </c>
      <c r="H143" s="47">
        <v>30.5564</v>
      </c>
      <c r="J143" s="15">
        <v>44700</v>
      </c>
      <c r="K143" s="47">
        <f t="shared" si="7"/>
        <v>43.408573549435772</v>
      </c>
      <c r="M143" s="15">
        <v>45065</v>
      </c>
      <c r="N143" s="47">
        <f t="shared" si="8"/>
        <v>60.635998876831678</v>
      </c>
      <c r="P143" s="15">
        <v>45430</v>
      </c>
      <c r="Q143" s="47">
        <f t="shared" si="9"/>
        <v>84.459384496995199</v>
      </c>
    </row>
    <row r="144" spans="4:17" x14ac:dyDescent="0.25">
      <c r="G144" s="121">
        <v>44336</v>
      </c>
      <c r="H144" s="47">
        <v>30.596</v>
      </c>
      <c r="J144" s="15">
        <v>44701</v>
      </c>
      <c r="K144" s="47">
        <f t="shared" si="7"/>
        <v>43.448549779425178</v>
      </c>
      <c r="M144" s="15">
        <v>45066</v>
      </c>
      <c r="N144" s="47">
        <f t="shared" si="8"/>
        <v>60.691075049685821</v>
      </c>
      <c r="P144" s="15">
        <v>45431</v>
      </c>
      <c r="Q144" s="47">
        <f t="shared" si="9"/>
        <v>84.53609964551876</v>
      </c>
    </row>
    <row r="145" spans="2:17" x14ac:dyDescent="0.25">
      <c r="G145" s="121">
        <v>44337</v>
      </c>
      <c r="H145" s="47">
        <v>30.6357</v>
      </c>
      <c r="J145" s="15">
        <v>44702</v>
      </c>
      <c r="K145" s="47">
        <f t="shared" si="7"/>
        <v>43.488562824698612</v>
      </c>
      <c r="M145" s="15">
        <v>45067</v>
      </c>
      <c r="N145" s="47">
        <f t="shared" si="8"/>
        <v>60.746201248677444</v>
      </c>
      <c r="P145" s="15">
        <v>45432</v>
      </c>
      <c r="Q145" s="47">
        <f t="shared" si="9"/>
        <v>84.612884475038086</v>
      </c>
    </row>
    <row r="146" spans="2:17" x14ac:dyDescent="0.25">
      <c r="G146" s="121">
        <v>44338</v>
      </c>
      <c r="H146" s="47">
        <v>30.6754</v>
      </c>
      <c r="J146" s="15">
        <v>44703</v>
      </c>
      <c r="K146" s="47">
        <f t="shared" si="7"/>
        <v>43.528612719160343</v>
      </c>
      <c r="M146" s="15">
        <v>45068</v>
      </c>
      <c r="N146" s="47">
        <f t="shared" si="8"/>
        <v>60.801377519245705</v>
      </c>
      <c r="P146" s="15">
        <v>45433</v>
      </c>
      <c r="Q146" s="47">
        <f t="shared" si="9"/>
        <v>84.689739048844984</v>
      </c>
    </row>
    <row r="147" spans="2:17" x14ac:dyDescent="0.25">
      <c r="G147" s="121">
        <v>44339</v>
      </c>
      <c r="H147" s="47">
        <v>30.715199999999999</v>
      </c>
      <c r="J147" s="15">
        <v>44704</v>
      </c>
      <c r="K147" s="47">
        <f t="shared" si="7"/>
        <v>43.568699496745865</v>
      </c>
      <c r="M147" s="15">
        <v>45069</v>
      </c>
      <c r="N147" s="47">
        <f t="shared" si="8"/>
        <v>60.856603906871015</v>
      </c>
      <c r="P147" s="15">
        <v>45434</v>
      </c>
      <c r="Q147" s="47">
        <f t="shared" si="9"/>
        <v>84.766663430288773</v>
      </c>
    </row>
    <row r="148" spans="2:17" x14ac:dyDescent="0.25">
      <c r="G148" s="121">
        <v>44340</v>
      </c>
      <c r="H148" s="47">
        <v>30.755099999999999</v>
      </c>
      <c r="J148" s="15">
        <v>44705</v>
      </c>
      <c r="K148" s="47">
        <f t="shared" si="7"/>
        <v>43.608823191421941</v>
      </c>
      <c r="M148" s="15">
        <v>45070</v>
      </c>
      <c r="N148" s="47">
        <f t="shared" si="8"/>
        <v>60.911880457075114</v>
      </c>
      <c r="P148" s="15">
        <v>45435</v>
      </c>
      <c r="Q148" s="47">
        <f t="shared" si="9"/>
        <v>84.843657682776282</v>
      </c>
    </row>
    <row r="149" spans="2:17" x14ac:dyDescent="0.25">
      <c r="B149" s="3"/>
      <c r="G149" s="121">
        <v>44341</v>
      </c>
      <c r="H149" s="47">
        <v>30.795000000000002</v>
      </c>
      <c r="J149" s="15">
        <v>44706</v>
      </c>
      <c r="K149" s="47">
        <f t="shared" si="7"/>
        <v>43.648983837186591</v>
      </c>
      <c r="M149" s="15">
        <v>45071</v>
      </c>
      <c r="N149" s="47">
        <f t="shared" si="8"/>
        <v>60.967207215421077</v>
      </c>
      <c r="P149" s="15">
        <v>45436</v>
      </c>
      <c r="Q149" s="47">
        <f t="shared" si="9"/>
        <v>84.920721869771967</v>
      </c>
    </row>
    <row r="150" spans="2:17" x14ac:dyDescent="0.25">
      <c r="B150" s="3"/>
      <c r="G150" s="121">
        <v>44342</v>
      </c>
      <c r="H150" s="47">
        <v>30.834900000000001</v>
      </c>
      <c r="J150" s="15">
        <v>44707</v>
      </c>
      <c r="K150" s="47">
        <f t="shared" si="7"/>
        <v>43.689181468069165</v>
      </c>
      <c r="M150" s="15">
        <v>45072</v>
      </c>
      <c r="N150" s="47">
        <f t="shared" si="8"/>
        <v>61.022584227513377</v>
      </c>
      <c r="P150" s="15">
        <v>45437</v>
      </c>
      <c r="Q150" s="47">
        <f t="shared" si="9"/>
        <v>84.997856054797907</v>
      </c>
    </row>
    <row r="151" spans="2:17" x14ac:dyDescent="0.25">
      <c r="B151" s="3"/>
      <c r="G151" s="121">
        <v>44343</v>
      </c>
      <c r="H151" s="47">
        <v>30.8749</v>
      </c>
      <c r="J151" s="15">
        <v>44708</v>
      </c>
      <c r="K151" s="47">
        <f t="shared" si="7"/>
        <v>43.729416118130345</v>
      </c>
      <c r="M151" s="15">
        <v>45073</v>
      </c>
      <c r="N151" s="47">
        <f t="shared" si="8"/>
        <v>61.078011538997892</v>
      </c>
      <c r="P151" s="15">
        <v>45438</v>
      </c>
      <c r="Q151" s="47">
        <f t="shared" si="9"/>
        <v>85.075060301433879</v>
      </c>
    </row>
    <row r="152" spans="2:17" x14ac:dyDescent="0.25">
      <c r="B152" s="3"/>
      <c r="G152" s="121">
        <v>44344</v>
      </c>
      <c r="H152" s="47">
        <v>30.914899999999999</v>
      </c>
      <c r="J152" s="15">
        <v>44709</v>
      </c>
      <c r="K152" s="47">
        <f t="shared" si="7"/>
        <v>43.769687821462178</v>
      </c>
      <c r="M152" s="15">
        <v>45074</v>
      </c>
      <c r="N152" s="47">
        <f t="shared" si="8"/>
        <v>61.133489195561978</v>
      </c>
      <c r="P152" s="15">
        <v>45439</v>
      </c>
      <c r="Q152" s="47">
        <f t="shared" si="9"/>
        <v>85.152334673317426</v>
      </c>
    </row>
    <row r="153" spans="2:17" x14ac:dyDescent="0.25">
      <c r="B153" s="3"/>
      <c r="G153" s="121">
        <v>44345</v>
      </c>
      <c r="H153" s="47">
        <v>30.954999999999998</v>
      </c>
      <c r="J153" s="15">
        <v>44710</v>
      </c>
      <c r="K153" s="47">
        <f t="shared" si="7"/>
        <v>43.809996612188108</v>
      </c>
      <c r="M153" s="15">
        <v>45075</v>
      </c>
      <c r="N153" s="47">
        <f t="shared" si="8"/>
        <v>61.189017242934476</v>
      </c>
      <c r="P153" s="15">
        <v>45440</v>
      </c>
      <c r="Q153" s="47">
        <f t="shared" si="9"/>
        <v>85.229679234143873</v>
      </c>
    </row>
    <row r="154" spans="2:17" x14ac:dyDescent="0.25">
      <c r="B154" s="3"/>
      <c r="G154" s="121">
        <v>44346</v>
      </c>
      <c r="H154" s="47">
        <v>30.995200000000001</v>
      </c>
      <c r="J154" s="15">
        <v>44711</v>
      </c>
      <c r="K154" s="47">
        <f t="shared" si="7"/>
        <v>43.850342524463009</v>
      </c>
      <c r="M154" s="15">
        <v>45076</v>
      </c>
      <c r="N154" s="47">
        <f t="shared" si="8"/>
        <v>61.244595726885777</v>
      </c>
      <c r="P154" s="15">
        <v>45441</v>
      </c>
      <c r="Q154" s="47">
        <f t="shared" si="9"/>
        <v>85.307094047666411</v>
      </c>
    </row>
    <row r="155" spans="2:17" x14ac:dyDescent="0.25">
      <c r="B155" s="3"/>
      <c r="G155" s="121">
        <v>44347</v>
      </c>
      <c r="H155" s="47">
        <v>31.035399999999999</v>
      </c>
      <c r="J155" s="15">
        <v>44712</v>
      </c>
      <c r="K155" s="47">
        <f t="shared" si="7"/>
        <v>43.890725592473203</v>
      </c>
      <c r="M155" s="15">
        <v>45077</v>
      </c>
      <c r="N155" s="47">
        <f t="shared" si="8"/>
        <v>61.300224693227833</v>
      </c>
      <c r="P155" s="15">
        <v>45442</v>
      </c>
      <c r="Q155" s="47">
        <f t="shared" si="9"/>
        <v>85.384579177696139</v>
      </c>
    </row>
    <row r="156" spans="2:17" x14ac:dyDescent="0.25">
      <c r="B156" s="3"/>
      <c r="G156" s="121">
        <v>44348</v>
      </c>
      <c r="H156" s="47">
        <v>31.075600000000001</v>
      </c>
      <c r="J156" s="15">
        <v>44713</v>
      </c>
      <c r="K156" s="47">
        <f t="shared" si="7"/>
        <v>43.931145850436494</v>
      </c>
      <c r="M156" s="15">
        <v>45078</v>
      </c>
      <c r="N156" s="47">
        <f t="shared" si="8"/>
        <v>61.355904187814204</v>
      </c>
      <c r="P156" s="15">
        <v>45443</v>
      </c>
      <c r="Q156" s="47">
        <f t="shared" si="9"/>
        <v>85.462134688102111</v>
      </c>
    </row>
    <row r="157" spans="2:17" x14ac:dyDescent="0.25">
      <c r="B157" s="3"/>
      <c r="G157" s="121">
        <v>44349</v>
      </c>
      <c r="H157" s="47">
        <v>31.116</v>
      </c>
      <c r="J157" s="15">
        <v>44714</v>
      </c>
      <c r="K157" s="47">
        <f t="shared" si="7"/>
        <v>43.971603332602207</v>
      </c>
      <c r="M157" s="15">
        <v>45079</v>
      </c>
      <c r="N157" s="47">
        <f t="shared" si="8"/>
        <v>61.411634256540118</v>
      </c>
      <c r="P157" s="15">
        <v>45444</v>
      </c>
      <c r="Q157" s="47">
        <f t="shared" si="9"/>
        <v>85.539760642811402</v>
      </c>
    </row>
    <row r="158" spans="2:17" x14ac:dyDescent="0.25">
      <c r="B158" s="3"/>
      <c r="G158" s="121">
        <v>44350</v>
      </c>
      <c r="H158" s="47">
        <v>31.156300000000002</v>
      </c>
      <c r="J158" s="15">
        <v>44715</v>
      </c>
      <c r="K158" s="47">
        <f t="shared" si="7"/>
        <v>44.012098073251202</v>
      </c>
      <c r="M158" s="15">
        <v>45080</v>
      </c>
      <c r="N158" s="47">
        <f t="shared" si="8"/>
        <v>61.467414945342476</v>
      </c>
      <c r="P158" s="15">
        <v>45445</v>
      </c>
      <c r="Q158" s="47">
        <f t="shared" si="9"/>
        <v>85.617457105809152</v>
      </c>
    </row>
    <row r="159" spans="2:17" x14ac:dyDescent="0.25">
      <c r="B159" s="3"/>
      <c r="G159" s="121">
        <v>44351</v>
      </c>
      <c r="H159" s="47">
        <v>31.1967</v>
      </c>
      <c r="J159" s="15">
        <v>44716</v>
      </c>
      <c r="K159" s="47">
        <f t="shared" si="7"/>
        <v>44.052630106695908</v>
      </c>
      <c r="M159" s="15">
        <v>45081</v>
      </c>
      <c r="N159" s="47">
        <f t="shared" si="8"/>
        <v>61.523246300199901</v>
      </c>
      <c r="P159" s="15">
        <v>45446</v>
      </c>
      <c r="Q159" s="47">
        <f t="shared" si="9"/>
        <v>85.69522414113861</v>
      </c>
    </row>
    <row r="160" spans="2:17" x14ac:dyDescent="0.25">
      <c r="B160" s="3"/>
      <c r="G160" s="121">
        <v>44352</v>
      </c>
      <c r="H160" s="47">
        <v>31.237200000000001</v>
      </c>
      <c r="J160" s="15">
        <v>44717</v>
      </c>
      <c r="K160" s="47">
        <f t="shared" si="7"/>
        <v>44.093199467280357</v>
      </c>
      <c r="M160" s="15">
        <v>45082</v>
      </c>
      <c r="N160" s="47">
        <f t="shared" si="8"/>
        <v>61.579128367132789</v>
      </c>
      <c r="P160" s="15">
        <v>45447</v>
      </c>
      <c r="Q160" s="47">
        <f t="shared" si="9"/>
        <v>85.773061812901204</v>
      </c>
    </row>
    <row r="161" spans="2:17" x14ac:dyDescent="0.25">
      <c r="B161" s="3"/>
      <c r="G161" s="121">
        <v>44353</v>
      </c>
      <c r="H161" s="47">
        <v>31.277699999999999</v>
      </c>
      <c r="J161" s="15">
        <v>44718</v>
      </c>
      <c r="K161" s="47">
        <f t="shared" si="7"/>
        <v>44.133806189380209</v>
      </c>
      <c r="M161" s="15">
        <v>45083</v>
      </c>
      <c r="N161" s="47">
        <f t="shared" si="8"/>
        <v>61.635061192203331</v>
      </c>
      <c r="P161" s="15">
        <v>45448</v>
      </c>
      <c r="Q161" s="47">
        <f t="shared" si="9"/>
        <v>85.850970185256585</v>
      </c>
    </row>
    <row r="162" spans="2:17" x14ac:dyDescent="0.25">
      <c r="B162" s="3"/>
      <c r="G162" s="121">
        <v>44354</v>
      </c>
      <c r="H162" s="47">
        <v>31.318300000000001</v>
      </c>
      <c r="J162" s="15">
        <v>44719</v>
      </c>
      <c r="K162" s="47">
        <f t="shared" si="7"/>
        <v>44.174450307402779</v>
      </c>
      <c r="M162" s="15">
        <v>45084</v>
      </c>
      <c r="N162" s="47">
        <f t="shared" si="8"/>
        <v>61.691044821515561</v>
      </c>
      <c r="P162" s="15">
        <v>45449</v>
      </c>
      <c r="Q162" s="47">
        <f t="shared" si="9"/>
        <v>85.928949322422667</v>
      </c>
    </row>
    <row r="163" spans="2:17" x14ac:dyDescent="0.25">
      <c r="B163" s="3"/>
      <c r="G163" s="121">
        <v>44355</v>
      </c>
      <c r="H163" s="47">
        <v>31.358899999999998</v>
      </c>
      <c r="J163" s="15">
        <v>44720</v>
      </c>
      <c r="K163" s="47">
        <f t="shared" si="7"/>
        <v>44.215131855787071</v>
      </c>
      <c r="M163" s="15">
        <v>45085</v>
      </c>
      <c r="N163" s="47">
        <f t="shared" si="8"/>
        <v>61.747079301215386</v>
      </c>
      <c r="P163" s="15">
        <v>45450</v>
      </c>
      <c r="Q163" s="47">
        <f t="shared" si="9"/>
        <v>86.006999288675715</v>
      </c>
    </row>
    <row r="164" spans="2:17" x14ac:dyDescent="0.25">
      <c r="B164" s="3"/>
      <c r="G164" s="121">
        <v>44356</v>
      </c>
      <c r="H164" s="47">
        <v>31.3996</v>
      </c>
      <c r="J164" s="15">
        <v>44721</v>
      </c>
      <c r="K164" s="47">
        <f t="shared" si="7"/>
        <v>44.255850869003808</v>
      </c>
      <c r="M164" s="15">
        <v>45086</v>
      </c>
      <c r="N164" s="47">
        <f t="shared" si="8"/>
        <v>61.803164677490628</v>
      </c>
      <c r="P164" s="15">
        <v>45451</v>
      </c>
      <c r="Q164" s="47">
        <f t="shared" si="9"/>
        <v>86.08512014835037</v>
      </c>
    </row>
    <row r="165" spans="2:17" x14ac:dyDescent="0.25">
      <c r="B165" s="3"/>
      <c r="G165" s="121">
        <v>44357</v>
      </c>
      <c r="H165" s="47">
        <v>31.440300000000001</v>
      </c>
      <c r="J165" s="15">
        <v>44722</v>
      </c>
      <c r="K165" s="47">
        <f t="shared" si="7"/>
        <v>44.296607381555447</v>
      </c>
      <c r="M165" s="15">
        <v>45087</v>
      </c>
      <c r="N165" s="47">
        <f t="shared" si="8"/>
        <v>61.859300996571058</v>
      </c>
      <c r="P165" s="15">
        <v>45452</v>
      </c>
      <c r="Q165" s="47">
        <f t="shared" si="9"/>
        <v>86.163311965839696</v>
      </c>
    </row>
    <row r="166" spans="2:17" x14ac:dyDescent="0.25">
      <c r="B166" s="3"/>
      <c r="G166" s="121">
        <v>44358</v>
      </c>
      <c r="H166" s="47">
        <v>31.481100000000001</v>
      </c>
      <c r="J166" s="15">
        <v>44723</v>
      </c>
      <c r="K166" s="47">
        <f t="shared" si="7"/>
        <v>44.337401427976232</v>
      </c>
      <c r="M166" s="15">
        <v>45088</v>
      </c>
      <c r="N166" s="47">
        <f t="shared" si="8"/>
        <v>61.915488304728449</v>
      </c>
      <c r="P166" s="15">
        <v>45453</v>
      </c>
      <c r="Q166" s="47">
        <f t="shared" si="9"/>
        <v>86.241574805595263</v>
      </c>
    </row>
    <row r="167" spans="2:17" x14ac:dyDescent="0.25">
      <c r="B167" s="3"/>
      <c r="G167" s="121">
        <v>44359</v>
      </c>
      <c r="H167" s="47">
        <v>31.521899999999999</v>
      </c>
      <c r="J167" s="15">
        <v>44724</v>
      </c>
      <c r="K167" s="47">
        <f t="shared" si="7"/>
        <v>44.3782330428322</v>
      </c>
      <c r="M167" s="15">
        <v>45089</v>
      </c>
      <c r="N167" s="47">
        <f t="shared" si="8"/>
        <v>61.971726648276587</v>
      </c>
      <c r="P167" s="15">
        <v>45454</v>
      </c>
      <c r="Q167" s="47">
        <f t="shared" si="9"/>
        <v>86.319908732127175</v>
      </c>
    </row>
    <row r="168" spans="2:17" x14ac:dyDescent="0.25">
      <c r="B168" s="3"/>
      <c r="G168" s="121">
        <v>44360</v>
      </c>
      <c r="H168" s="47">
        <v>31.562799999999999</v>
      </c>
      <c r="J168" s="15">
        <v>44725</v>
      </c>
      <c r="K168" s="47">
        <f t="shared" si="7"/>
        <v>44.419102260721232</v>
      </c>
      <c r="M168" s="15">
        <v>45090</v>
      </c>
      <c r="N168" s="47">
        <f t="shared" si="8"/>
        <v>62.028016073571337</v>
      </c>
      <c r="P168" s="15">
        <v>45455</v>
      </c>
      <c r="Q168" s="47">
        <f t="shared" si="9"/>
        <v>86.398313810004126</v>
      </c>
    </row>
    <row r="169" spans="2:17" x14ac:dyDescent="0.25">
      <c r="B169" s="3"/>
      <c r="G169" s="121">
        <v>44361</v>
      </c>
      <c r="H169" s="47">
        <v>31.6037</v>
      </c>
      <c r="J169" s="15">
        <v>44726</v>
      </c>
      <c r="K169" s="47">
        <f t="shared" si="7"/>
        <v>44.460009116273064</v>
      </c>
      <c r="M169" s="15">
        <v>45091</v>
      </c>
      <c r="N169" s="47">
        <f t="shared" si="8"/>
        <v>62.084356627010671</v>
      </c>
      <c r="P169" s="15">
        <v>45456</v>
      </c>
      <c r="Q169" s="47">
        <f t="shared" si="9"/>
        <v>86.47679010385346</v>
      </c>
    </row>
    <row r="170" spans="2:17" x14ac:dyDescent="0.25">
      <c r="B170" s="3"/>
      <c r="G170" s="121">
        <v>44362</v>
      </c>
      <c r="H170" s="47">
        <v>31.6447</v>
      </c>
      <c r="J170" s="15">
        <v>44727</v>
      </c>
      <c r="K170" s="47">
        <f t="shared" si="7"/>
        <v>44.50095364414932</v>
      </c>
      <c r="M170" s="15">
        <v>45092</v>
      </c>
      <c r="N170" s="47">
        <f t="shared" si="8"/>
        <v>62.140748355034695</v>
      </c>
      <c r="P170" s="15">
        <v>45457</v>
      </c>
      <c r="Q170" s="47">
        <f t="shared" si="9"/>
        <v>86.555337678361241</v>
      </c>
    </row>
    <row r="171" spans="2:17" x14ac:dyDescent="0.25">
      <c r="B171" s="3"/>
      <c r="F171" t="s">
        <v>191</v>
      </c>
      <c r="G171" s="121">
        <v>44363</v>
      </c>
      <c r="H171" s="47">
        <v>31.678999999999998</v>
      </c>
      <c r="J171" s="15">
        <v>44728</v>
      </c>
      <c r="K171" s="47">
        <f t="shared" si="7"/>
        <v>44.54193587904355</v>
      </c>
      <c r="M171" s="15">
        <v>45093</v>
      </c>
      <c r="N171" s="47">
        <f t="shared" si="8"/>
        <v>62.19719130412571</v>
      </c>
      <c r="P171" s="15">
        <v>45458</v>
      </c>
      <c r="Q171" s="47">
        <f t="shared" si="9"/>
        <v>86.633956598272263</v>
      </c>
    </row>
    <row r="172" spans="2:17" x14ac:dyDescent="0.25">
      <c r="B172" s="3"/>
      <c r="G172" s="121">
        <v>44364</v>
      </c>
      <c r="H172" s="47">
        <v>31.7133</v>
      </c>
      <c r="J172" s="15">
        <v>44729</v>
      </c>
      <c r="K172" s="47">
        <f t="shared" si="7"/>
        <v>44.582955855681263</v>
      </c>
      <c r="M172" s="15">
        <v>45094</v>
      </c>
      <c r="N172" s="47">
        <f t="shared" si="8"/>
        <v>62.253685520808219</v>
      </c>
      <c r="P172" s="15">
        <v>45459</v>
      </c>
      <c r="Q172" s="47">
        <f t="shared" si="9"/>
        <v>86.712646928390129</v>
      </c>
    </row>
    <row r="173" spans="2:17" x14ac:dyDescent="0.25">
      <c r="B173" s="3"/>
      <c r="G173" s="121">
        <v>44365</v>
      </c>
      <c r="H173" s="47">
        <v>31.747599999999998</v>
      </c>
      <c r="J173" s="15">
        <v>44730</v>
      </c>
      <c r="K173" s="47">
        <f t="shared" si="7"/>
        <v>44.624013608819929</v>
      </c>
      <c r="M173" s="15">
        <v>45095</v>
      </c>
      <c r="N173" s="47">
        <f t="shared" si="8"/>
        <v>62.310231051648998</v>
      </c>
      <c r="P173" s="15">
        <v>45460</v>
      </c>
      <c r="Q173" s="47">
        <f t="shared" si="9"/>
        <v>86.791408733577327</v>
      </c>
    </row>
    <row r="174" spans="2:17" x14ac:dyDescent="0.25">
      <c r="B174" s="3"/>
      <c r="G174" s="121">
        <v>44366</v>
      </c>
      <c r="H174" s="47">
        <v>31.782</v>
      </c>
      <c r="J174" s="15">
        <v>44731</v>
      </c>
      <c r="K174" s="47">
        <f t="shared" si="7"/>
        <v>44.665109173249043</v>
      </c>
      <c r="M174" s="15">
        <v>45096</v>
      </c>
      <c r="N174" s="47">
        <f t="shared" si="8"/>
        <v>62.366827943257121</v>
      </c>
      <c r="P174" s="15">
        <v>45461</v>
      </c>
      <c r="Q174" s="47">
        <f t="shared" si="9"/>
        <v>86.87024207875524</v>
      </c>
    </row>
    <row r="175" spans="2:17" x14ac:dyDescent="0.25">
      <c r="B175" s="3"/>
      <c r="G175" s="121">
        <v>44367</v>
      </c>
      <c r="H175" s="47">
        <v>31.816400000000002</v>
      </c>
      <c r="J175" s="15">
        <v>44732</v>
      </c>
      <c r="K175" s="47">
        <f t="shared" si="7"/>
        <v>44.706242583790129</v>
      </c>
      <c r="M175" s="15">
        <v>45097</v>
      </c>
      <c r="N175" s="47">
        <f t="shared" si="8"/>
        <v>62.423476242283982</v>
      </c>
      <c r="P175" s="15">
        <v>45462</v>
      </c>
      <c r="Q175" s="47">
        <f t="shared" si="9"/>
        <v>86.949147028904235</v>
      </c>
    </row>
    <row r="176" spans="2:17" x14ac:dyDescent="0.25">
      <c r="B176" s="3"/>
      <c r="G176" s="121">
        <v>44368</v>
      </c>
      <c r="H176" s="47">
        <v>31.850899999999999</v>
      </c>
      <c r="J176" s="15">
        <v>44733</v>
      </c>
      <c r="K176" s="47">
        <f t="shared" si="7"/>
        <v>44.747413875296786</v>
      </c>
      <c r="M176" s="15">
        <v>45098</v>
      </c>
      <c r="N176" s="47">
        <f t="shared" si="8"/>
        <v>62.480175995423366</v>
      </c>
      <c r="P176" s="15">
        <v>45463</v>
      </c>
      <c r="Q176" s="47">
        <f t="shared" si="9"/>
        <v>87.028123649063687</v>
      </c>
    </row>
    <row r="177" spans="2:17" x14ac:dyDescent="0.25">
      <c r="B177" s="3"/>
      <c r="G177" s="121">
        <v>44369</v>
      </c>
      <c r="H177" s="47">
        <v>31.885400000000001</v>
      </c>
      <c r="J177" s="15">
        <v>44734</v>
      </c>
      <c r="K177" s="47">
        <f t="shared" si="7"/>
        <v>44.788623082654702</v>
      </c>
      <c r="M177" s="15">
        <v>45099</v>
      </c>
      <c r="N177" s="47">
        <f t="shared" si="8"/>
        <v>62.536927249411463</v>
      </c>
      <c r="P177" s="15">
        <v>45464</v>
      </c>
      <c r="Q177" s="47">
        <f t="shared" si="9"/>
        <v>87.107172004332043</v>
      </c>
    </row>
    <row r="178" spans="2:17" x14ac:dyDescent="0.25">
      <c r="B178" s="3"/>
      <c r="G178" s="121">
        <v>44370</v>
      </c>
      <c r="H178" s="47">
        <v>31.919899999999998</v>
      </c>
      <c r="J178" s="15">
        <v>44735</v>
      </c>
      <c r="K178" s="47">
        <f t="shared" si="7"/>
        <v>44.829870240781702</v>
      </c>
      <c r="M178" s="15">
        <v>45100</v>
      </c>
      <c r="N178" s="47">
        <f t="shared" si="8"/>
        <v>62.593730051026917</v>
      </c>
      <c r="P178" s="15">
        <v>45465</v>
      </c>
      <c r="Q178" s="47">
        <f t="shared" si="9"/>
        <v>87.186292159866895</v>
      </c>
    </row>
    <row r="179" spans="2:17" x14ac:dyDescent="0.25">
      <c r="B179" s="3"/>
      <c r="G179" s="121">
        <v>44371</v>
      </c>
      <c r="H179" s="47">
        <v>31.9544</v>
      </c>
      <c r="J179" s="15">
        <v>44736</v>
      </c>
      <c r="K179" s="47">
        <f t="shared" ref="K179:K242" si="10">K178*(1+$B$41)</f>
        <v>44.871155384627762</v>
      </c>
      <c r="M179" s="15">
        <v>45101</v>
      </c>
      <c r="N179" s="47">
        <f t="shared" si="8"/>
        <v>62.650584447090857</v>
      </c>
      <c r="P179" s="15">
        <v>45466</v>
      </c>
      <c r="Q179" s="47">
        <f t="shared" si="9"/>
        <v>87.265484180885011</v>
      </c>
    </row>
    <row r="180" spans="2:17" x14ac:dyDescent="0.25">
      <c r="B180" s="3"/>
      <c r="G180" s="121">
        <v>44372</v>
      </c>
      <c r="H180" s="47">
        <v>31.989000000000001</v>
      </c>
      <c r="J180" s="15">
        <v>44737</v>
      </c>
      <c r="K180" s="47">
        <f t="shared" si="10"/>
        <v>44.912478549175049</v>
      </c>
      <c r="M180" s="15">
        <v>45102</v>
      </c>
      <c r="N180" s="47">
        <f t="shared" si="8"/>
        <v>62.707490484466938</v>
      </c>
      <c r="P180" s="15">
        <v>45467</v>
      </c>
      <c r="Q180" s="47">
        <f t="shared" si="9"/>
        <v>87.344748132662403</v>
      </c>
    </row>
    <row r="181" spans="2:17" x14ac:dyDescent="0.25">
      <c r="B181" s="3"/>
      <c r="G181" s="121">
        <v>44373</v>
      </c>
      <c r="H181" s="47">
        <v>32.023699999999998</v>
      </c>
      <c r="J181" s="15">
        <v>44738</v>
      </c>
      <c r="K181" s="47">
        <f t="shared" si="10"/>
        <v>44.953839769437941</v>
      </c>
      <c r="M181" s="15">
        <v>45103</v>
      </c>
      <c r="N181" s="47">
        <f t="shared" si="8"/>
        <v>62.764448210061389</v>
      </c>
      <c r="P181" s="15">
        <v>45468</v>
      </c>
      <c r="Q181" s="47">
        <f t="shared" si="9"/>
        <v>87.424084080534357</v>
      </c>
    </row>
    <row r="182" spans="2:17" x14ac:dyDescent="0.25">
      <c r="B182" s="3"/>
      <c r="G182" s="121">
        <v>44374</v>
      </c>
      <c r="H182" s="47">
        <v>32.058399999999999</v>
      </c>
      <c r="J182" s="15">
        <v>44739</v>
      </c>
      <c r="K182" s="47">
        <f t="shared" si="10"/>
        <v>44.995239080463065</v>
      </c>
      <c r="M182" s="15">
        <v>45104</v>
      </c>
      <c r="N182" s="47">
        <f t="shared" si="8"/>
        <v>62.821457670823037</v>
      </c>
      <c r="P182" s="15">
        <v>45469</v>
      </c>
      <c r="Q182" s="47">
        <f t="shared" si="9"/>
        <v>87.503492089895516</v>
      </c>
    </row>
    <row r="183" spans="2:17" x14ac:dyDescent="0.25">
      <c r="B183" s="3"/>
      <c r="G183" s="121">
        <v>44375</v>
      </c>
      <c r="H183" s="47">
        <v>32.0931</v>
      </c>
      <c r="J183" s="15">
        <v>44740</v>
      </c>
      <c r="K183" s="47">
        <f t="shared" si="10"/>
        <v>45.036676517329326</v>
      </c>
      <c r="M183" s="15">
        <v>45105</v>
      </c>
      <c r="N183" s="47">
        <f t="shared" si="8"/>
        <v>62.878518913743363</v>
      </c>
      <c r="P183" s="15">
        <v>45470</v>
      </c>
      <c r="Q183" s="47">
        <f t="shared" si="9"/>
        <v>87.582972226199914</v>
      </c>
    </row>
    <row r="184" spans="2:17" x14ac:dyDescent="0.25">
      <c r="B184" s="3"/>
      <c r="G184" s="121">
        <v>44376</v>
      </c>
      <c r="H184" s="47">
        <v>32.127800000000001</v>
      </c>
      <c r="J184" s="15">
        <v>44741</v>
      </c>
      <c r="K184" s="47">
        <f t="shared" si="10"/>
        <v>45.078152115147923</v>
      </c>
      <c r="M184" s="15">
        <v>45106</v>
      </c>
      <c r="N184" s="47">
        <f t="shared" si="8"/>
        <v>62.935631985856517</v>
      </c>
      <c r="P184" s="15">
        <v>45471</v>
      </c>
      <c r="Q184" s="47">
        <f t="shared" si="9"/>
        <v>87.662524554961053</v>
      </c>
    </row>
    <row r="185" spans="2:17" x14ac:dyDescent="0.25">
      <c r="B185" s="3"/>
      <c r="G185" s="121">
        <v>44377</v>
      </c>
      <c r="H185" s="47">
        <v>32.162599999999998</v>
      </c>
      <c r="J185" s="15">
        <v>44742</v>
      </c>
      <c r="K185" s="47">
        <f t="shared" si="10"/>
        <v>45.119665909062398</v>
      </c>
      <c r="M185" s="15">
        <v>45107</v>
      </c>
      <c r="N185" s="47">
        <f t="shared" si="8"/>
        <v>62.992796934239387</v>
      </c>
      <c r="P185" s="15">
        <v>45472</v>
      </c>
      <c r="Q185" s="47">
        <f t="shared" si="9"/>
        <v>87.742149141751923</v>
      </c>
    </row>
    <row r="186" spans="2:17" x14ac:dyDescent="0.25">
      <c r="B186" s="3"/>
      <c r="G186" s="121">
        <v>44378</v>
      </c>
      <c r="H186" s="47">
        <v>32.197400000000002</v>
      </c>
      <c r="J186" s="15">
        <v>44743</v>
      </c>
      <c r="K186" s="47">
        <f t="shared" si="10"/>
        <v>45.161217934248661</v>
      </c>
      <c r="M186" s="15">
        <v>45108</v>
      </c>
      <c r="N186" s="47">
        <f t="shared" si="8"/>
        <v>63.050013806011606</v>
      </c>
      <c r="P186" s="15">
        <v>45473</v>
      </c>
      <c r="Q186" s="47">
        <f t="shared" si="9"/>
        <v>87.821846052205089</v>
      </c>
    </row>
    <row r="187" spans="2:17" x14ac:dyDescent="0.25">
      <c r="B187" s="3"/>
      <c r="G187" s="121">
        <v>44379</v>
      </c>
      <c r="H187" s="47">
        <v>32.232300000000002</v>
      </c>
      <c r="J187" s="15">
        <v>44744</v>
      </c>
      <c r="K187" s="47">
        <f t="shared" si="10"/>
        <v>45.202808225915014</v>
      </c>
      <c r="M187" s="15">
        <v>45109</v>
      </c>
      <c r="N187" s="47">
        <f t="shared" si="8"/>
        <v>63.107282648335612</v>
      </c>
      <c r="P187" s="15">
        <v>45474</v>
      </c>
      <c r="Q187" s="47">
        <f t="shared" si="9"/>
        <v>87.901615352012726</v>
      </c>
    </row>
    <row r="188" spans="2:17" x14ac:dyDescent="0.25">
      <c r="B188" s="3"/>
      <c r="G188" s="121">
        <v>44380</v>
      </c>
      <c r="H188" s="47">
        <v>32.267200000000003</v>
      </c>
      <c r="J188" s="15">
        <v>44745</v>
      </c>
      <c r="K188" s="47">
        <f t="shared" si="10"/>
        <v>45.24443681930218</v>
      </c>
      <c r="M188" s="15">
        <v>45110</v>
      </c>
      <c r="N188" s="47">
        <f t="shared" si="8"/>
        <v>63.164603508416683</v>
      </c>
      <c r="P188" s="15">
        <v>45475</v>
      </c>
      <c r="Q188" s="47">
        <f t="shared" si="9"/>
        <v>87.981457106926669</v>
      </c>
    </row>
    <row r="189" spans="2:17" x14ac:dyDescent="0.25">
      <c r="G189" s="121">
        <v>44381</v>
      </c>
      <c r="H189" s="47">
        <v>32.302100000000003</v>
      </c>
      <c r="J189" s="15">
        <v>44746</v>
      </c>
      <c r="K189" s="47">
        <f t="shared" si="10"/>
        <v>45.286103749683342</v>
      </c>
      <c r="M189" s="15">
        <v>45111</v>
      </c>
      <c r="N189" s="47">
        <f t="shared" si="8"/>
        <v>63.221976433502974</v>
      </c>
      <c r="P189" s="15">
        <v>45476</v>
      </c>
      <c r="Q189" s="47">
        <f t="shared" si="9"/>
        <v>88.06137138275848</v>
      </c>
    </row>
    <row r="190" spans="2:17" x14ac:dyDescent="0.25">
      <c r="G190" s="121">
        <v>44382</v>
      </c>
      <c r="H190" s="47">
        <v>32.3371</v>
      </c>
      <c r="J190" s="15">
        <v>44747</v>
      </c>
      <c r="K190" s="47">
        <f t="shared" si="10"/>
        <v>45.327809052364159</v>
      </c>
      <c r="M190" s="15">
        <v>45112</v>
      </c>
      <c r="N190" s="47">
        <f t="shared" si="8"/>
        <v>63.279401470885553</v>
      </c>
      <c r="P190" s="15">
        <v>45477</v>
      </c>
      <c r="Q190" s="47">
        <f t="shared" si="9"/>
        <v>88.141358245379507</v>
      </c>
    </row>
    <row r="191" spans="2:17" x14ac:dyDescent="0.25">
      <c r="G191" s="121">
        <v>44383</v>
      </c>
      <c r="H191" s="47">
        <v>32.372100000000003</v>
      </c>
      <c r="J191" s="15">
        <v>44748</v>
      </c>
      <c r="K191" s="47">
        <f t="shared" si="10"/>
        <v>45.369552762682808</v>
      </c>
      <c r="M191" s="15">
        <v>45113</v>
      </c>
      <c r="N191" s="47">
        <f t="shared" si="8"/>
        <v>63.336878667898446</v>
      </c>
      <c r="P191" s="15">
        <v>45478</v>
      </c>
      <c r="Q191" s="47">
        <f t="shared" si="9"/>
        <v>88.221417760720911</v>
      </c>
    </row>
    <row r="192" spans="2:17" x14ac:dyDescent="0.25">
      <c r="G192" s="121">
        <v>44384</v>
      </c>
      <c r="H192" s="47">
        <v>32.407200000000003</v>
      </c>
      <c r="J192" s="15">
        <v>44749</v>
      </c>
      <c r="K192" s="47">
        <f t="shared" si="10"/>
        <v>45.411334916010013</v>
      </c>
      <c r="M192" s="15">
        <v>45114</v>
      </c>
      <c r="N192" s="47">
        <f t="shared" si="8"/>
        <v>63.394408071918669</v>
      </c>
      <c r="P192" s="15">
        <v>45479</v>
      </c>
      <c r="Q192" s="47">
        <f t="shared" si="9"/>
        <v>88.301549994773765</v>
      </c>
    </row>
    <row r="193" spans="6:25" x14ac:dyDescent="0.25">
      <c r="G193" s="121">
        <v>44385</v>
      </c>
      <c r="H193" s="47">
        <v>32.442300000000003</v>
      </c>
      <c r="J193" s="15">
        <v>44750</v>
      </c>
      <c r="K193" s="47">
        <f t="shared" si="10"/>
        <v>45.453155547749063</v>
      </c>
      <c r="M193" s="15">
        <v>45115</v>
      </c>
      <c r="N193" s="47">
        <f t="shared" si="8"/>
        <v>63.451989730366272</v>
      </c>
      <c r="P193" s="15">
        <v>45480</v>
      </c>
      <c r="Q193" s="47">
        <f t="shared" si="9"/>
        <v>88.381755013589071</v>
      </c>
    </row>
    <row r="194" spans="6:25" x14ac:dyDescent="0.25">
      <c r="G194" s="121">
        <v>44386</v>
      </c>
      <c r="H194" s="47">
        <v>32.477400000000003</v>
      </c>
      <c r="J194" s="15">
        <v>44751</v>
      </c>
      <c r="K194" s="47">
        <f t="shared" si="10"/>
        <v>45.495014693335868</v>
      </c>
      <c r="M194" s="15">
        <v>45116</v>
      </c>
      <c r="N194" s="47">
        <f t="shared" si="8"/>
        <v>63.50962369070438</v>
      </c>
      <c r="P194" s="15">
        <v>45481</v>
      </c>
      <c r="Q194" s="47">
        <f t="shared" si="9"/>
        <v>88.462032883277814</v>
      </c>
    </row>
    <row r="195" spans="6:25" x14ac:dyDescent="0.25">
      <c r="G195" s="121">
        <v>44387</v>
      </c>
      <c r="H195" s="47">
        <v>32.512599999999999</v>
      </c>
      <c r="J195" s="15">
        <v>44752</v>
      </c>
      <c r="K195" s="47">
        <f t="shared" si="10"/>
        <v>45.536912388238953</v>
      </c>
      <c r="M195" s="15">
        <v>45117</v>
      </c>
      <c r="N195" s="47">
        <f t="shared" si="8"/>
        <v>63.567310000439228</v>
      </c>
      <c r="P195" s="15">
        <v>45482</v>
      </c>
      <c r="Q195" s="47">
        <f t="shared" si="9"/>
        <v>88.542383670011034</v>
      </c>
    </row>
    <row r="196" spans="6:25" x14ac:dyDescent="0.25">
      <c r="G196" s="121">
        <v>44388</v>
      </c>
      <c r="H196" s="47">
        <v>32.547800000000002</v>
      </c>
      <c r="J196" s="15">
        <v>44753</v>
      </c>
      <c r="K196" s="47">
        <f t="shared" si="10"/>
        <v>45.57884866795952</v>
      </c>
      <c r="M196" s="15">
        <v>45118</v>
      </c>
      <c r="N196" s="47">
        <f t="shared" si="8"/>
        <v>63.6250487071202</v>
      </c>
      <c r="P196" s="15">
        <v>45483</v>
      </c>
      <c r="Q196" s="47">
        <f t="shared" si="9"/>
        <v>88.622807440019884</v>
      </c>
    </row>
    <row r="197" spans="6:25" x14ac:dyDescent="0.25">
      <c r="G197" s="121">
        <v>44389</v>
      </c>
      <c r="H197" s="47">
        <v>32.582999999999998</v>
      </c>
      <c r="J197" s="15">
        <v>44754</v>
      </c>
      <c r="K197" s="47">
        <f t="shared" si="10"/>
        <v>45.620823568031454</v>
      </c>
      <c r="M197" s="15">
        <v>45119</v>
      </c>
      <c r="N197" s="47">
        <f t="shared" si="8"/>
        <v>63.682839858339868</v>
      </c>
      <c r="P197" s="15">
        <v>45484</v>
      </c>
      <c r="Q197" s="47">
        <f t="shared" si="9"/>
        <v>88.703304259595669</v>
      </c>
    </row>
    <row r="198" spans="6:25" x14ac:dyDescent="0.25">
      <c r="G198" s="121">
        <v>44390</v>
      </c>
      <c r="H198" s="47">
        <v>32.618299999999998</v>
      </c>
      <c r="J198" s="15">
        <v>44755</v>
      </c>
      <c r="K198" s="47">
        <f t="shared" si="10"/>
        <v>45.66283712402138</v>
      </c>
      <c r="M198" s="15">
        <v>45120</v>
      </c>
      <c r="N198" s="47">
        <f t="shared" ref="N198:N261" si="11">N197*(1+$B$43)</f>
        <v>63.740683501734033</v>
      </c>
      <c r="P198" s="15">
        <v>45485</v>
      </c>
      <c r="Q198" s="47">
        <f t="shared" ref="Q198:Q261" si="12">Q197*(1+$B$45)</f>
        <v>88.783874195089908</v>
      </c>
    </row>
    <row r="199" spans="6:25" x14ac:dyDescent="0.25">
      <c r="G199" s="121">
        <v>44391</v>
      </c>
      <c r="H199" s="47">
        <v>32.653599999999997</v>
      </c>
      <c r="J199" s="15">
        <v>44756</v>
      </c>
      <c r="K199" s="47">
        <f t="shared" si="10"/>
        <v>45.704889371528658</v>
      </c>
      <c r="M199" s="15">
        <v>45121</v>
      </c>
      <c r="N199" s="47">
        <f t="shared" si="11"/>
        <v>63.798579684981767</v>
      </c>
      <c r="P199" s="15">
        <v>45486</v>
      </c>
      <c r="Q199" s="47">
        <f t="shared" si="12"/>
        <v>88.864517312914387</v>
      </c>
      <c r="X199">
        <v>31.6447</v>
      </c>
    </row>
    <row r="200" spans="6:25" x14ac:dyDescent="0.25">
      <c r="G200" s="121">
        <v>44392</v>
      </c>
      <c r="H200" s="47">
        <v>32.689</v>
      </c>
      <c r="J200" s="15">
        <v>44757</v>
      </c>
      <c r="K200" s="47">
        <f t="shared" si="10"/>
        <v>45.746980346185453</v>
      </c>
      <c r="M200" s="15">
        <v>45122</v>
      </c>
      <c r="N200" s="47">
        <f t="shared" si="11"/>
        <v>63.856528455805453</v>
      </c>
      <c r="P200" s="15">
        <v>45487</v>
      </c>
      <c r="Q200" s="47">
        <f t="shared" si="12"/>
        <v>88.945233679541204</v>
      </c>
      <c r="W200" s="3">
        <v>44392</v>
      </c>
      <c r="X200">
        <v>32.689</v>
      </c>
    </row>
    <row r="201" spans="6:25" x14ac:dyDescent="0.25">
      <c r="F201" t="s">
        <v>192</v>
      </c>
      <c r="G201" s="238">
        <v>44393</v>
      </c>
      <c r="H201" s="47">
        <f>H200*(1+$B$24)</f>
        <v>32.720184145039333</v>
      </c>
      <c r="J201" s="15">
        <v>44758</v>
      </c>
      <c r="K201" s="47">
        <f t="shared" si="10"/>
        <v>45.789110083656723</v>
      </c>
      <c r="M201" s="15">
        <v>45123</v>
      </c>
      <c r="N201" s="47">
        <f t="shared" si="11"/>
        <v>63.914529861970813</v>
      </c>
      <c r="P201" s="15">
        <v>45488</v>
      </c>
      <c r="Q201" s="47">
        <f t="shared" si="12"/>
        <v>89.026023361502865</v>
      </c>
      <c r="W201" t="s">
        <v>259</v>
      </c>
      <c r="X201" s="2">
        <v>0.03</v>
      </c>
      <c r="Y201">
        <f>X200*(1+X201)</f>
        <v>33.669670000000004</v>
      </c>
    </row>
    <row r="202" spans="6:25" x14ac:dyDescent="0.25">
      <c r="G202" s="238">
        <v>44394</v>
      </c>
      <c r="H202" s="47">
        <f t="shared" ref="H202:H231" si="13">H201*(1+$B$24)</f>
        <v>32.751398038645519</v>
      </c>
      <c r="J202" s="15">
        <v>44759</v>
      </c>
      <c r="K202" s="47">
        <f t="shared" si="10"/>
        <v>45.831278619640287</v>
      </c>
      <c r="M202" s="15">
        <v>45124</v>
      </c>
      <c r="N202" s="47">
        <f t="shared" si="11"/>
        <v>63.972583951286957</v>
      </c>
      <c r="P202" s="15">
        <v>45489</v>
      </c>
      <c r="Q202" s="47">
        <f t="shared" si="12"/>
        <v>89.106886425392275</v>
      </c>
      <c r="W202" t="s">
        <v>260</v>
      </c>
      <c r="X202" s="5">
        <f>+X201</f>
        <v>0.03</v>
      </c>
      <c r="Y202">
        <f>Y201*(1+X202)</f>
        <v>34.679760100000003</v>
      </c>
    </row>
    <row r="203" spans="6:25" x14ac:dyDescent="0.25">
      <c r="G203" s="238">
        <v>44395</v>
      </c>
      <c r="H203" s="47">
        <f t="shared" si="13"/>
        <v>32.782641709197627</v>
      </c>
      <c r="J203" s="15">
        <v>44760</v>
      </c>
      <c r="K203" s="47">
        <f t="shared" si="10"/>
        <v>45.873485989866836</v>
      </c>
      <c r="M203" s="15">
        <v>45125</v>
      </c>
      <c r="N203" s="47">
        <f t="shared" si="11"/>
        <v>64.030690771606416</v>
      </c>
      <c r="P203" s="15">
        <v>45490</v>
      </c>
      <c r="Q203" s="47">
        <f t="shared" si="12"/>
        <v>89.187822937862833</v>
      </c>
      <c r="W203" t="s">
        <v>261</v>
      </c>
      <c r="X203" s="5">
        <f t="shared" ref="X203:X205" si="14">+X202</f>
        <v>0.03</v>
      </c>
      <c r="Y203">
        <f t="shared" ref="Y203:Y205" si="15">Y202*(1+X203)</f>
        <v>35.720152903000006</v>
      </c>
    </row>
    <row r="204" spans="6:25" x14ac:dyDescent="0.25">
      <c r="G204" s="238">
        <v>44396</v>
      </c>
      <c r="H204" s="47">
        <f t="shared" si="13"/>
        <v>32.813915185101813</v>
      </c>
      <c r="J204" s="15">
        <v>44761</v>
      </c>
      <c r="K204" s="47">
        <f t="shared" si="10"/>
        <v>45.915732230099962</v>
      </c>
      <c r="M204" s="15">
        <v>45126</v>
      </c>
      <c r="N204" s="47">
        <f t="shared" si="11"/>
        <v>64.088850370825199</v>
      </c>
      <c r="P204" s="15">
        <v>45491</v>
      </c>
      <c r="Q204" s="47">
        <f t="shared" si="12"/>
        <v>89.268832965628491</v>
      </c>
      <c r="W204" t="s">
        <v>262</v>
      </c>
      <c r="X204" s="5">
        <f t="shared" si="14"/>
        <v>0.03</v>
      </c>
      <c r="Y204">
        <f t="shared" si="15"/>
        <v>36.791757490090006</v>
      </c>
    </row>
    <row r="205" spans="6:25" x14ac:dyDescent="0.25">
      <c r="G205" s="238">
        <v>44397</v>
      </c>
      <c r="H205" s="47">
        <f t="shared" si="13"/>
        <v>32.845218494791325</v>
      </c>
      <c r="J205" s="15">
        <v>44762</v>
      </c>
      <c r="K205" s="47">
        <f t="shared" si="10"/>
        <v>45.958017376136198</v>
      </c>
      <c r="M205" s="15">
        <v>45127</v>
      </c>
      <c r="N205" s="47">
        <f t="shared" si="11"/>
        <v>64.147062796882807</v>
      </c>
      <c r="P205" s="15">
        <v>45492</v>
      </c>
      <c r="Q205" s="47">
        <f t="shared" si="12"/>
        <v>89.349916575463794</v>
      </c>
      <c r="W205" t="s">
        <v>263</v>
      </c>
      <c r="X205" s="5">
        <f t="shared" si="14"/>
        <v>0.03</v>
      </c>
      <c r="Y205">
        <f t="shared" si="15"/>
        <v>37.895510214792708</v>
      </c>
    </row>
    <row r="206" spans="6:25" x14ac:dyDescent="0.25">
      <c r="G206" s="238">
        <v>44398</v>
      </c>
      <c r="H206" s="47">
        <f t="shared" si="13"/>
        <v>32.876551666726535</v>
      </c>
      <c r="J206" s="15">
        <v>44763</v>
      </c>
      <c r="K206" s="47">
        <f t="shared" si="10"/>
        <v>46.000341463805043</v>
      </c>
      <c r="M206" s="15">
        <v>45128</v>
      </c>
      <c r="N206" s="47">
        <f t="shared" si="11"/>
        <v>64.20532809776229</v>
      </c>
      <c r="P206" s="15">
        <v>45493</v>
      </c>
      <c r="Q206" s="47">
        <f t="shared" si="12"/>
        <v>89.431073834203929</v>
      </c>
      <c r="X206">
        <f>X200*(1+X201)*(1+X202)*(1+X203)*(1+X204)*(1+X205)</f>
        <v>37.895510214792708</v>
      </c>
    </row>
    <row r="207" spans="6:25" x14ac:dyDescent="0.25">
      <c r="G207" s="238">
        <v>44399</v>
      </c>
      <c r="H207" s="47">
        <f t="shared" si="13"/>
        <v>32.90791472939496</v>
      </c>
      <c r="J207" s="15">
        <v>44764</v>
      </c>
      <c r="K207" s="47">
        <f t="shared" si="10"/>
        <v>46.042704528968983</v>
      </c>
      <c r="M207" s="15">
        <v>45129</v>
      </c>
      <c r="N207" s="47">
        <f t="shared" si="11"/>
        <v>64.263646321490285</v>
      </c>
      <c r="P207" s="15">
        <v>45494</v>
      </c>
      <c r="Q207" s="47">
        <f t="shared" si="12"/>
        <v>89.512304808744801</v>
      </c>
      <c r="X207">
        <f>(X206/X199)</f>
        <v>1.1975310309401799</v>
      </c>
    </row>
    <row r="208" spans="6:25" x14ac:dyDescent="0.25">
      <c r="G208" s="238">
        <v>44400</v>
      </c>
      <c r="H208" s="47">
        <f t="shared" si="13"/>
        <v>32.939307711311301</v>
      </c>
      <c r="J208" s="15">
        <v>44765</v>
      </c>
      <c r="K208" s="47">
        <f t="shared" si="10"/>
        <v>46.085106607523542</v>
      </c>
      <c r="M208" s="15">
        <v>45130</v>
      </c>
      <c r="N208" s="47">
        <f t="shared" si="11"/>
        <v>64.322017516137038</v>
      </c>
      <c r="P208" s="15">
        <v>45495</v>
      </c>
      <c r="Q208" s="47">
        <f t="shared" si="12"/>
        <v>89.593609566043071</v>
      </c>
      <c r="X208">
        <f>X207*100</f>
        <v>119.75310309401799</v>
      </c>
    </row>
    <row r="209" spans="7:17" x14ac:dyDescent="0.25">
      <c r="G209" s="238">
        <v>44401</v>
      </c>
      <c r="H209" s="47">
        <f t="shared" si="13"/>
        <v>32.970730641017461</v>
      </c>
      <c r="J209" s="15">
        <v>44766</v>
      </c>
      <c r="K209" s="47">
        <f t="shared" si="10"/>
        <v>46.127547735397293</v>
      </c>
      <c r="M209" s="15">
        <v>45131</v>
      </c>
      <c r="N209" s="47">
        <f t="shared" si="11"/>
        <v>64.380441729816468</v>
      </c>
      <c r="P209" s="15">
        <v>45496</v>
      </c>
      <c r="Q209" s="47">
        <f t="shared" si="12"/>
        <v>89.674988173116219</v>
      </c>
    </row>
    <row r="210" spans="7:17" x14ac:dyDescent="0.25">
      <c r="G210" s="238">
        <v>44402</v>
      </c>
      <c r="H210" s="47">
        <f t="shared" si="13"/>
        <v>33.002183547082566</v>
      </c>
      <c r="J210" s="15">
        <v>44767</v>
      </c>
      <c r="K210" s="47">
        <f t="shared" si="10"/>
        <v>46.170027948551905</v>
      </c>
      <c r="M210" s="15">
        <v>45132</v>
      </c>
      <c r="N210" s="47">
        <f t="shared" si="11"/>
        <v>64.438919010686206</v>
      </c>
      <c r="P210" s="15">
        <v>45497</v>
      </c>
      <c r="Q210" s="47">
        <f t="shared" si="12"/>
        <v>89.756440697042606</v>
      </c>
    </row>
    <row r="211" spans="7:17" x14ac:dyDescent="0.25">
      <c r="G211" s="238">
        <v>44403</v>
      </c>
      <c r="H211" s="47">
        <f t="shared" si="13"/>
        <v>33.033666458102999</v>
      </c>
      <c r="J211" s="15">
        <v>44768</v>
      </c>
      <c r="K211" s="47">
        <f t="shared" si="10"/>
        <v>46.212547282982158</v>
      </c>
      <c r="M211" s="15">
        <v>45133</v>
      </c>
      <c r="N211" s="47">
        <f t="shared" si="11"/>
        <v>64.497449406947609</v>
      </c>
      <c r="P211" s="15">
        <v>45498</v>
      </c>
      <c r="Q211" s="47">
        <f t="shared" si="12"/>
        <v>89.837967204961515</v>
      </c>
    </row>
    <row r="212" spans="7:17" x14ac:dyDescent="0.25">
      <c r="G212" s="238">
        <v>44404</v>
      </c>
      <c r="H212" s="47">
        <f t="shared" si="13"/>
        <v>33.06517940270242</v>
      </c>
      <c r="J212" s="15">
        <v>44769</v>
      </c>
      <c r="K212" s="47">
        <f t="shared" si="10"/>
        <v>46.255105774715986</v>
      </c>
      <c r="M212" s="15">
        <v>45134</v>
      </c>
      <c r="N212" s="47">
        <f t="shared" si="11"/>
        <v>64.556032966845819</v>
      </c>
      <c r="P212" s="15">
        <v>45499</v>
      </c>
      <c r="Q212" s="47">
        <f t="shared" si="12"/>
        <v>89.919567764073207</v>
      </c>
    </row>
    <row r="213" spans="7:17" x14ac:dyDescent="0.25">
      <c r="G213" s="238">
        <v>44405</v>
      </c>
      <c r="H213" s="47">
        <f t="shared" si="13"/>
        <v>33.096722409531793</v>
      </c>
      <c r="J213" s="15">
        <v>44770</v>
      </c>
      <c r="K213" s="47">
        <f t="shared" si="10"/>
        <v>46.2977034598145</v>
      </c>
      <c r="M213" s="15">
        <v>45135</v>
      </c>
      <c r="N213" s="47">
        <f t="shared" si="11"/>
        <v>64.614669738669789</v>
      </c>
      <c r="P213" s="15">
        <v>45500</v>
      </c>
      <c r="Q213" s="47">
        <f t="shared" si="12"/>
        <v>90.001242441638979</v>
      </c>
    </row>
    <row r="214" spans="7:17" x14ac:dyDescent="0.25">
      <c r="G214" s="238">
        <v>44406</v>
      </c>
      <c r="H214" s="47">
        <f t="shared" si="13"/>
        <v>33.128295507269421</v>
      </c>
      <c r="J214" s="15">
        <v>44771</v>
      </c>
      <c r="K214" s="47">
        <f t="shared" si="10"/>
        <v>46.340340374372019</v>
      </c>
      <c r="M214" s="15">
        <v>45136</v>
      </c>
      <c r="N214" s="47">
        <f t="shared" si="11"/>
        <v>64.67335977075237</v>
      </c>
      <c r="P214" s="15">
        <v>45501</v>
      </c>
      <c r="Q214" s="47">
        <f t="shared" si="12"/>
        <v>90.082991304981235</v>
      </c>
    </row>
    <row r="215" spans="7:17" x14ac:dyDescent="0.25">
      <c r="G215" s="238">
        <v>44407</v>
      </c>
      <c r="H215" s="47">
        <f t="shared" si="13"/>
        <v>33.159898724620959</v>
      </c>
      <c r="J215" s="15">
        <v>44772</v>
      </c>
      <c r="K215" s="47">
        <f t="shared" si="10"/>
        <v>46.383016554516104</v>
      </c>
      <c r="M215" s="15">
        <v>45137</v>
      </c>
      <c r="N215" s="47">
        <f t="shared" si="11"/>
        <v>64.732103111470266</v>
      </c>
      <c r="P215" s="15">
        <v>45502</v>
      </c>
      <c r="Q215" s="47">
        <f t="shared" si="12"/>
        <v>90.164814421483513</v>
      </c>
    </row>
    <row r="216" spans="7:17" x14ac:dyDescent="0.25">
      <c r="G216" s="238">
        <v>44408</v>
      </c>
      <c r="H216" s="47">
        <f t="shared" si="13"/>
        <v>33.191532090319456</v>
      </c>
      <c r="J216" s="15">
        <v>44773</v>
      </c>
      <c r="K216" s="47">
        <f t="shared" si="10"/>
        <v>46.425732036407588</v>
      </c>
      <c r="M216" s="15">
        <v>45138</v>
      </c>
      <c r="N216" s="47">
        <f t="shared" si="11"/>
        <v>64.790899809244166</v>
      </c>
      <c r="P216" s="15">
        <v>45503</v>
      </c>
      <c r="Q216" s="47">
        <f t="shared" si="12"/>
        <v>90.246711858590572</v>
      </c>
    </row>
    <row r="217" spans="7:17" x14ac:dyDescent="0.25">
      <c r="G217" s="238">
        <v>44409</v>
      </c>
      <c r="H217" s="47">
        <f t="shared" si="13"/>
        <v>33.223195633125357</v>
      </c>
      <c r="J217" s="15">
        <v>44774</v>
      </c>
      <c r="K217" s="47">
        <f t="shared" si="10"/>
        <v>46.468486856240602</v>
      </c>
      <c r="M217" s="15">
        <v>45139</v>
      </c>
      <c r="N217" s="47">
        <f t="shared" si="11"/>
        <v>64.849749912538712</v>
      </c>
      <c r="P217" s="15">
        <v>45504</v>
      </c>
      <c r="Q217" s="47">
        <f t="shared" si="12"/>
        <v>90.328683683808421</v>
      </c>
    </row>
    <row r="218" spans="7:17" x14ac:dyDescent="0.25">
      <c r="G218" s="238">
        <v>44410</v>
      </c>
      <c r="H218" s="47">
        <f t="shared" si="13"/>
        <v>33.254889381826551</v>
      </c>
      <c r="J218" s="15">
        <v>44775</v>
      </c>
      <c r="K218" s="47">
        <f t="shared" si="10"/>
        <v>46.511281050242609</v>
      </c>
      <c r="M218" s="15">
        <v>45140</v>
      </c>
      <c r="N218" s="47">
        <f t="shared" si="11"/>
        <v>64.908653469862571</v>
      </c>
      <c r="P218" s="15">
        <v>45505</v>
      </c>
      <c r="Q218" s="47">
        <f t="shared" si="12"/>
        <v>90.410729964704402</v>
      </c>
    </row>
    <row r="219" spans="7:17" x14ac:dyDescent="0.25">
      <c r="G219" s="238">
        <v>44411</v>
      </c>
      <c r="H219" s="47">
        <f t="shared" si="13"/>
        <v>33.286613365238395</v>
      </c>
      <c r="J219" s="15">
        <v>44776</v>
      </c>
      <c r="K219" s="47">
        <f t="shared" si="10"/>
        <v>46.554114654674443</v>
      </c>
      <c r="M219" s="15">
        <v>45141</v>
      </c>
      <c r="N219" s="47">
        <f t="shared" si="11"/>
        <v>64.967610529768479</v>
      </c>
      <c r="P219" s="15">
        <v>45506</v>
      </c>
      <c r="Q219" s="47">
        <f t="shared" si="12"/>
        <v>90.492850768907203</v>
      </c>
    </row>
    <row r="220" spans="7:17" x14ac:dyDescent="0.25">
      <c r="G220" s="238">
        <v>44412</v>
      </c>
      <c r="H220" s="47">
        <f t="shared" si="13"/>
        <v>33.31836761220373</v>
      </c>
      <c r="J220" s="15">
        <v>44777</v>
      </c>
      <c r="K220" s="47">
        <f t="shared" si="10"/>
        <v>46.596987705830323</v>
      </c>
      <c r="M220" s="15">
        <v>45142</v>
      </c>
      <c r="N220" s="47">
        <f t="shared" si="11"/>
        <v>65.026621140853266</v>
      </c>
      <c r="P220" s="15">
        <v>45507</v>
      </c>
      <c r="Q220" s="47">
        <f t="shared" si="12"/>
        <v>90.575046164106951</v>
      </c>
    </row>
    <row r="221" spans="7:17" x14ac:dyDescent="0.25">
      <c r="G221" s="238">
        <v>44413</v>
      </c>
      <c r="H221" s="47">
        <f t="shared" si="13"/>
        <v>33.350152151592901</v>
      </c>
      <c r="J221" s="15">
        <v>44778</v>
      </c>
      <c r="K221" s="47">
        <f t="shared" si="10"/>
        <v>46.639900240037889</v>
      </c>
      <c r="M221" s="15">
        <v>45143</v>
      </c>
      <c r="N221" s="47">
        <f t="shared" si="11"/>
        <v>65.085685351757903</v>
      </c>
      <c r="P221" s="15">
        <v>45508</v>
      </c>
      <c r="Q221" s="47">
        <f t="shared" si="12"/>
        <v>90.657316218055257</v>
      </c>
    </row>
    <row r="222" spans="7:17" x14ac:dyDescent="0.25">
      <c r="G222" s="238">
        <v>44414</v>
      </c>
      <c r="H222" s="47">
        <f t="shared" si="13"/>
        <v>33.381967012303811</v>
      </c>
      <c r="J222" s="15">
        <v>44779</v>
      </c>
      <c r="K222" s="47">
        <f t="shared" si="10"/>
        <v>46.68285229365825</v>
      </c>
      <c r="M222" s="15">
        <v>45144</v>
      </c>
      <c r="N222" s="47">
        <f t="shared" si="11"/>
        <v>65.144803211167542</v>
      </c>
      <c r="P222" s="15">
        <v>45509</v>
      </c>
      <c r="Q222" s="47">
        <f t="shared" si="12"/>
        <v>90.73966099856527</v>
      </c>
    </row>
    <row r="223" spans="7:17" x14ac:dyDescent="0.25">
      <c r="G223" s="238">
        <v>44415</v>
      </c>
      <c r="H223" s="47">
        <f t="shared" si="13"/>
        <v>33.413812223261928</v>
      </c>
      <c r="J223" s="15">
        <v>44780</v>
      </c>
      <c r="K223" s="47">
        <f t="shared" si="10"/>
        <v>46.725843903085995</v>
      </c>
      <c r="M223" s="15">
        <v>45145</v>
      </c>
      <c r="N223" s="47">
        <f t="shared" si="11"/>
        <v>65.203974767811559</v>
      </c>
      <c r="P223" s="15">
        <v>45510</v>
      </c>
      <c r="Q223" s="47">
        <f t="shared" si="12"/>
        <v>90.822080573511741</v>
      </c>
    </row>
    <row r="224" spans="7:17" x14ac:dyDescent="0.25">
      <c r="G224" s="238">
        <v>44416</v>
      </c>
      <c r="H224" s="47">
        <f t="shared" si="13"/>
        <v>33.445687813420307</v>
      </c>
      <c r="J224" s="15">
        <v>44781</v>
      </c>
      <c r="K224" s="47">
        <f t="shared" si="10"/>
        <v>46.768875104749227</v>
      </c>
      <c r="M224" s="15">
        <v>45146</v>
      </c>
      <c r="N224" s="47">
        <f t="shared" si="11"/>
        <v>65.263200070463597</v>
      </c>
      <c r="P224" s="15">
        <v>45511</v>
      </c>
      <c r="Q224" s="47">
        <f t="shared" si="12"/>
        <v>90.904575010831067</v>
      </c>
    </row>
    <row r="225" spans="6:17" x14ac:dyDescent="0.25">
      <c r="G225" s="238">
        <v>44417</v>
      </c>
      <c r="H225" s="47">
        <f t="shared" si="13"/>
        <v>33.477593811759618</v>
      </c>
      <c r="J225" s="15">
        <v>44782</v>
      </c>
      <c r="K225" s="47">
        <f t="shared" si="10"/>
        <v>46.811945935109598</v>
      </c>
      <c r="M225" s="15">
        <v>45147</v>
      </c>
      <c r="N225" s="47">
        <f t="shared" si="11"/>
        <v>65.322479167941594</v>
      </c>
      <c r="P225" s="15">
        <v>45512</v>
      </c>
      <c r="Q225" s="47">
        <f t="shared" si="12"/>
        <v>90.98714437852135</v>
      </c>
    </row>
    <row r="226" spans="6:17" x14ac:dyDescent="0.25">
      <c r="G226" s="238">
        <v>44418</v>
      </c>
      <c r="H226" s="47">
        <f t="shared" si="13"/>
        <v>33.509530247288197</v>
      </c>
      <c r="J226" s="15">
        <v>44783</v>
      </c>
      <c r="K226" s="47">
        <f t="shared" si="10"/>
        <v>46.855056430662337</v>
      </c>
      <c r="M226" s="15">
        <v>45148</v>
      </c>
      <c r="N226" s="47">
        <f t="shared" si="11"/>
        <v>65.381812109107827</v>
      </c>
      <c r="P226" s="15">
        <v>45513</v>
      </c>
      <c r="Q226" s="47">
        <f t="shared" si="12"/>
        <v>91.069788744642466</v>
      </c>
    </row>
    <row r="227" spans="6:17" x14ac:dyDescent="0.25">
      <c r="G227" s="238">
        <v>44419</v>
      </c>
      <c r="H227" s="47">
        <f t="shared" si="13"/>
        <v>33.541497149042037</v>
      </c>
      <c r="J227" s="15">
        <v>44784</v>
      </c>
      <c r="K227" s="47">
        <f t="shared" si="10"/>
        <v>46.89820662793629</v>
      </c>
      <c r="M227" s="15">
        <v>45149</v>
      </c>
      <c r="N227" s="47">
        <f t="shared" si="11"/>
        <v>65.441198942868951</v>
      </c>
      <c r="P227" s="15">
        <v>45514</v>
      </c>
      <c r="Q227" s="47">
        <f t="shared" si="12"/>
        <v>91.152508177316093</v>
      </c>
    </row>
    <row r="228" spans="6:17" x14ac:dyDescent="0.25">
      <c r="G228" s="238">
        <v>44420</v>
      </c>
      <c r="H228" s="47">
        <f t="shared" si="13"/>
        <v>33.573494546084838</v>
      </c>
      <c r="J228" s="15">
        <v>44785</v>
      </c>
      <c r="K228" s="47">
        <f t="shared" si="10"/>
        <v>46.941396563493932</v>
      </c>
      <c r="M228" s="15">
        <v>45150</v>
      </c>
      <c r="N228" s="47">
        <f t="shared" si="11"/>
        <v>65.50063971817606</v>
      </c>
      <c r="P228" s="15">
        <v>45515</v>
      </c>
      <c r="Q228" s="47">
        <f t="shared" si="12"/>
        <v>91.2353027447258</v>
      </c>
    </row>
    <row r="229" spans="6:17" x14ac:dyDescent="0.25">
      <c r="G229" s="238">
        <v>44421</v>
      </c>
      <c r="H229" s="47">
        <f t="shared" si="13"/>
        <v>33.605522467508017</v>
      </c>
      <c r="J229" s="15">
        <v>44786</v>
      </c>
      <c r="K229" s="47">
        <f t="shared" si="10"/>
        <v>46.984626273931418</v>
      </c>
      <c r="M229" s="15">
        <v>45151</v>
      </c>
      <c r="N229" s="47">
        <f t="shared" si="11"/>
        <v>65.560134484024701</v>
      </c>
      <c r="P229" s="15">
        <v>45516</v>
      </c>
      <c r="Q229" s="47">
        <f t="shared" si="12"/>
        <v>91.31817251511707</v>
      </c>
    </row>
    <row r="230" spans="6:17" x14ac:dyDescent="0.25">
      <c r="G230" s="238">
        <v>44422</v>
      </c>
      <c r="H230" s="47">
        <f t="shared" si="13"/>
        <v>33.637580942430752</v>
      </c>
      <c r="J230" s="15">
        <v>44787</v>
      </c>
      <c r="K230" s="47">
        <f t="shared" si="10"/>
        <v>47.027895795878599</v>
      </c>
      <c r="M230" s="15">
        <v>45152</v>
      </c>
      <c r="N230" s="47">
        <f t="shared" si="11"/>
        <v>65.619683289454912</v>
      </c>
      <c r="P230" s="15">
        <v>45517</v>
      </c>
      <c r="Q230" s="47">
        <f t="shared" si="12"/>
        <v>91.401117556797388</v>
      </c>
    </row>
    <row r="231" spans="6:17" x14ac:dyDescent="0.25">
      <c r="G231" s="238">
        <v>44423</v>
      </c>
      <c r="H231" s="47">
        <f t="shared" si="13"/>
        <v>33.669669999999996</v>
      </c>
      <c r="J231" s="15">
        <v>44788</v>
      </c>
      <c r="K231" s="47">
        <f t="shared" si="10"/>
        <v>47.071205165999068</v>
      </c>
      <c r="M231" s="15">
        <v>45153</v>
      </c>
      <c r="N231" s="47">
        <f t="shared" si="11"/>
        <v>65.679286183551298</v>
      </c>
      <c r="P231" s="15">
        <v>45518</v>
      </c>
      <c r="Q231" s="47">
        <f t="shared" si="12"/>
        <v>91.484137938136286</v>
      </c>
    </row>
    <row r="232" spans="6:17" x14ac:dyDescent="0.25">
      <c r="F232" t="s">
        <v>196</v>
      </c>
      <c r="G232" s="239">
        <v>44424</v>
      </c>
      <c r="H232" s="47">
        <f>H231*(1+$B$26)</f>
        <v>33.700677387746907</v>
      </c>
      <c r="J232" s="15">
        <v>44789</v>
      </c>
      <c r="K232" s="47">
        <f t="shared" si="10"/>
        <v>47.114554420990174</v>
      </c>
      <c r="M232" s="15">
        <v>45154</v>
      </c>
      <c r="N232" s="47">
        <f t="shared" si="11"/>
        <v>65.73894321544303</v>
      </c>
      <c r="P232" s="15">
        <v>45519</v>
      </c>
      <c r="Q232" s="47">
        <f t="shared" si="12"/>
        <v>91.567233727565394</v>
      </c>
    </row>
    <row r="233" spans="6:17" x14ac:dyDescent="0.25">
      <c r="G233" s="239">
        <v>44425</v>
      </c>
      <c r="H233" s="47">
        <f t="shared" ref="H233:H262" si="16">H232*(1+$B$26)</f>
        <v>33.731713331107663</v>
      </c>
      <c r="J233" s="15">
        <v>44790</v>
      </c>
      <c r="K233" s="47">
        <f t="shared" si="10"/>
        <v>47.157943597583071</v>
      </c>
      <c r="M233" s="15">
        <v>45155</v>
      </c>
      <c r="N233" s="47">
        <f t="shared" si="11"/>
        <v>65.798654434303913</v>
      </c>
      <c r="P233" s="15">
        <v>45520</v>
      </c>
      <c r="Q233" s="47">
        <f t="shared" si="12"/>
        <v>91.650404993578491</v>
      </c>
    </row>
    <row r="234" spans="6:17" x14ac:dyDescent="0.25">
      <c r="G234" s="239">
        <v>44426</v>
      </c>
      <c r="H234" s="47">
        <f t="shared" si="16"/>
        <v>33.762777856379969</v>
      </c>
      <c r="J234" s="15">
        <v>44791</v>
      </c>
      <c r="K234" s="47">
        <f t="shared" si="10"/>
        <v>47.20137273254273</v>
      </c>
      <c r="M234" s="15">
        <v>45156</v>
      </c>
      <c r="N234" s="47">
        <f t="shared" si="11"/>
        <v>65.858419889352405</v>
      </c>
      <c r="P234" s="15">
        <v>45521</v>
      </c>
      <c r="Q234" s="47">
        <f t="shared" si="12"/>
        <v>91.733651804731579</v>
      </c>
    </row>
    <row r="235" spans="6:17" x14ac:dyDescent="0.25">
      <c r="G235" s="239">
        <v>44427</v>
      </c>
      <c r="H235" s="47">
        <f t="shared" si="16"/>
        <v>33.793870989885747</v>
      </c>
      <c r="J235" s="15">
        <v>44792</v>
      </c>
      <c r="K235" s="47">
        <f t="shared" si="10"/>
        <v>47.244841862667982</v>
      </c>
      <c r="M235" s="15">
        <v>45157</v>
      </c>
      <c r="N235" s="47">
        <f t="shared" si="11"/>
        <v>65.918239629851684</v>
      </c>
      <c r="P235" s="15">
        <v>45522</v>
      </c>
      <c r="Q235" s="47">
        <f t="shared" si="12"/>
        <v>91.816974229642923</v>
      </c>
    </row>
    <row r="236" spans="6:17" x14ac:dyDescent="0.25">
      <c r="G236" s="239">
        <v>44428</v>
      </c>
      <c r="H236" s="47">
        <f t="shared" si="16"/>
        <v>33.82499275797116</v>
      </c>
      <c r="J236" s="15">
        <v>44793</v>
      </c>
      <c r="K236" s="47">
        <f t="shared" si="10"/>
        <v>47.288351024791552</v>
      </c>
      <c r="M236" s="15">
        <v>45158</v>
      </c>
      <c r="N236" s="47">
        <f t="shared" si="11"/>
        <v>65.978113705109664</v>
      </c>
      <c r="P236" s="15">
        <v>45523</v>
      </c>
      <c r="Q236" s="47">
        <f t="shared" si="12"/>
        <v>91.900372336993115</v>
      </c>
    </row>
    <row r="237" spans="6:17" x14ac:dyDescent="0.25">
      <c r="G237" s="239">
        <v>44429</v>
      </c>
      <c r="H237" s="47">
        <f t="shared" si="16"/>
        <v>33.85614318700663</v>
      </c>
      <c r="J237" s="15">
        <v>44794</v>
      </c>
      <c r="K237" s="47">
        <f t="shared" si="10"/>
        <v>47.331900255780084</v>
      </c>
      <c r="M237" s="15">
        <v>45159</v>
      </c>
      <c r="N237" s="47">
        <f t="shared" si="11"/>
        <v>66.038042164479052</v>
      </c>
      <c r="P237" s="15">
        <v>45524</v>
      </c>
      <c r="Q237" s="47">
        <f t="shared" si="12"/>
        <v>91.983846195525132</v>
      </c>
    </row>
    <row r="238" spans="6:17" x14ac:dyDescent="0.25">
      <c r="G238" s="239">
        <v>44430</v>
      </c>
      <c r="H238" s="47">
        <f t="shared" si="16"/>
        <v>33.887322303386874</v>
      </c>
      <c r="J238" s="15">
        <v>44795</v>
      </c>
      <c r="K238" s="47">
        <f t="shared" si="10"/>
        <v>47.375489592534173</v>
      </c>
      <c r="M238" s="15">
        <v>45160</v>
      </c>
      <c r="N238" s="47">
        <f t="shared" si="11"/>
        <v>66.09802505735739</v>
      </c>
      <c r="P238" s="15">
        <v>45525</v>
      </c>
      <c r="Q238" s="47">
        <f t="shared" si="12"/>
        <v>92.067395874044394</v>
      </c>
    </row>
    <row r="239" spans="6:17" x14ac:dyDescent="0.25">
      <c r="G239" s="239">
        <v>44431</v>
      </c>
      <c r="H239" s="47">
        <f t="shared" si="16"/>
        <v>33.918530133530908</v>
      </c>
      <c r="J239" s="15">
        <v>44796</v>
      </c>
      <c r="K239" s="47">
        <f t="shared" si="10"/>
        <v>47.419119071988391</v>
      </c>
      <c r="M239" s="15">
        <v>45161</v>
      </c>
      <c r="N239" s="47">
        <f t="shared" si="11"/>
        <v>66.158062433187069</v>
      </c>
      <c r="P239" s="15">
        <v>45526</v>
      </c>
      <c r="Q239" s="47">
        <f t="shared" si="12"/>
        <v>92.151021441418806</v>
      </c>
    </row>
    <row r="240" spans="6:17" x14ac:dyDescent="0.25">
      <c r="G240" s="239">
        <v>44432</v>
      </c>
      <c r="H240" s="47">
        <f t="shared" si="16"/>
        <v>33.949766703882077</v>
      </c>
      <c r="J240" s="15">
        <v>44797</v>
      </c>
      <c r="K240" s="47">
        <f t="shared" si="10"/>
        <v>47.462788731111331</v>
      </c>
      <c r="M240" s="15">
        <v>45162</v>
      </c>
      <c r="N240" s="47">
        <f t="shared" si="11"/>
        <v>66.218154341455403</v>
      </c>
      <c r="P240" s="15">
        <v>45527</v>
      </c>
      <c r="Q240" s="47">
        <f t="shared" si="12"/>
        <v>92.234722966578843</v>
      </c>
    </row>
    <row r="241" spans="7:17" x14ac:dyDescent="0.25">
      <c r="G241" s="239">
        <v>44433</v>
      </c>
      <c r="H241" s="47">
        <f t="shared" si="16"/>
        <v>33.981032040908083</v>
      </c>
      <c r="J241" s="15">
        <v>44798</v>
      </c>
      <c r="K241" s="47">
        <f t="shared" si="10"/>
        <v>47.50649860690563</v>
      </c>
      <c r="M241" s="15">
        <v>45163</v>
      </c>
      <c r="N241" s="47">
        <f t="shared" si="11"/>
        <v>66.278300831694651</v>
      </c>
      <c r="P241" s="15">
        <v>45528</v>
      </c>
      <c r="Q241" s="47">
        <f t="shared" si="12"/>
        <v>92.318500518517581</v>
      </c>
    </row>
    <row r="242" spans="7:17" x14ac:dyDescent="0.25">
      <c r="G242" s="239">
        <v>44434</v>
      </c>
      <c r="H242" s="47">
        <f t="shared" si="16"/>
        <v>34.012326171101002</v>
      </c>
      <c r="J242" s="15">
        <v>44799</v>
      </c>
      <c r="K242" s="47">
        <f t="shared" si="10"/>
        <v>47.550248736408008</v>
      </c>
      <c r="M242" s="15">
        <v>45164</v>
      </c>
      <c r="N242" s="47">
        <f t="shared" si="11"/>
        <v>66.338501953482051</v>
      </c>
      <c r="P242" s="15">
        <v>45529</v>
      </c>
      <c r="Q242" s="47">
        <f t="shared" si="12"/>
        <v>92.402354166290763</v>
      </c>
    </row>
    <row r="243" spans="7:17" x14ac:dyDescent="0.25">
      <c r="G243" s="239">
        <v>44435</v>
      </c>
      <c r="H243" s="47">
        <f t="shared" si="16"/>
        <v>34.043649120977307</v>
      </c>
      <c r="J243" s="15">
        <v>44800</v>
      </c>
      <c r="K243" s="47">
        <f t="shared" ref="K243:K306" si="17">K242*(1+$B$41)</f>
        <v>47.594039156689277</v>
      </c>
      <c r="M243" s="15">
        <v>45165</v>
      </c>
      <c r="N243" s="47">
        <f t="shared" si="11"/>
        <v>66.398757756439906</v>
      </c>
      <c r="P243" s="15">
        <v>45530</v>
      </c>
      <c r="Q243" s="47">
        <f t="shared" si="12"/>
        <v>92.486283979016861</v>
      </c>
    </row>
    <row r="244" spans="7:17" x14ac:dyDescent="0.25">
      <c r="G244" s="239">
        <v>44436</v>
      </c>
      <c r="H244" s="47">
        <f t="shared" si="16"/>
        <v>34.075000917077887</v>
      </c>
      <c r="J244" s="15">
        <v>44801</v>
      </c>
      <c r="K244" s="47">
        <f t="shared" si="17"/>
        <v>47.637869904854405</v>
      </c>
      <c r="M244" s="15">
        <v>45166</v>
      </c>
      <c r="N244" s="47">
        <f t="shared" si="11"/>
        <v>66.45906829023555</v>
      </c>
      <c r="P244" s="15">
        <v>45531</v>
      </c>
      <c r="Q244" s="47">
        <f t="shared" si="12"/>
        <v>92.570290025877114</v>
      </c>
    </row>
    <row r="245" spans="7:17" x14ac:dyDescent="0.25">
      <c r="G245" s="239">
        <v>44437</v>
      </c>
      <c r="H245" s="47">
        <f t="shared" si="16"/>
        <v>34.10638158596808</v>
      </c>
      <c r="J245" s="15">
        <v>44802</v>
      </c>
      <c r="K245" s="47">
        <f t="shared" si="17"/>
        <v>47.681741018042523</v>
      </c>
      <c r="M245" s="15">
        <v>45167</v>
      </c>
      <c r="N245" s="47">
        <f t="shared" si="11"/>
        <v>66.519433604581465</v>
      </c>
      <c r="P245" s="15">
        <v>45532</v>
      </c>
      <c r="Q245" s="47">
        <f t="shared" si="12"/>
        <v>92.654372376115617</v>
      </c>
    </row>
    <row r="246" spans="7:17" x14ac:dyDescent="0.25">
      <c r="G246" s="239">
        <v>44438</v>
      </c>
      <c r="H246" s="47">
        <f t="shared" si="16"/>
        <v>34.137791154237689</v>
      </c>
      <c r="J246" s="15">
        <v>44803</v>
      </c>
      <c r="K246" s="47">
        <f t="shared" si="17"/>
        <v>47.725652533426967</v>
      </c>
      <c r="M246" s="15">
        <v>45168</v>
      </c>
      <c r="N246" s="47">
        <f t="shared" si="11"/>
        <v>66.579853749235255</v>
      </c>
      <c r="P246" s="15">
        <v>45533</v>
      </c>
      <c r="Q246" s="47">
        <f t="shared" si="12"/>
        <v>92.738531099039349</v>
      </c>
    </row>
    <row r="247" spans="7:17" x14ac:dyDescent="0.25">
      <c r="G247" s="239">
        <v>44439</v>
      </c>
      <c r="H247" s="47">
        <f t="shared" si="16"/>
        <v>34.169229648500995</v>
      </c>
      <c r="J247" s="15">
        <v>44804</v>
      </c>
      <c r="K247" s="47">
        <f t="shared" si="17"/>
        <v>47.7696044882153</v>
      </c>
      <c r="M247" s="15">
        <v>45169</v>
      </c>
      <c r="N247" s="47">
        <f t="shared" si="11"/>
        <v>66.640328773999755</v>
      </c>
      <c r="P247" s="15">
        <v>45534</v>
      </c>
      <c r="Q247" s="47">
        <f t="shared" si="12"/>
        <v>92.822766264018242</v>
      </c>
    </row>
    <row r="248" spans="7:17" x14ac:dyDescent="0.25">
      <c r="G248" s="239">
        <v>44440</v>
      </c>
      <c r="H248" s="47">
        <f t="shared" si="16"/>
        <v>34.200697095396798</v>
      </c>
      <c r="J248" s="15">
        <v>44805</v>
      </c>
      <c r="K248" s="47">
        <f t="shared" si="17"/>
        <v>47.813596919649363</v>
      </c>
      <c r="M248" s="15">
        <v>45170</v>
      </c>
      <c r="N248" s="47">
        <f t="shared" si="11"/>
        <v>66.700858728723006</v>
      </c>
      <c r="P248" s="15">
        <v>45535</v>
      </c>
      <c r="Q248" s="47">
        <f t="shared" si="12"/>
        <v>92.907077940485237</v>
      </c>
    </row>
    <row r="249" spans="7:17" x14ac:dyDescent="0.25">
      <c r="G249" s="239">
        <v>44441</v>
      </c>
      <c r="H249" s="47">
        <f t="shared" si="16"/>
        <v>34.232193521588428</v>
      </c>
      <c r="J249" s="15">
        <v>44806</v>
      </c>
      <c r="K249" s="47">
        <f t="shared" si="17"/>
        <v>47.857629865005286</v>
      </c>
      <c r="M249" s="15">
        <v>45171</v>
      </c>
      <c r="N249" s="47">
        <f t="shared" si="11"/>
        <v>66.761443663298337</v>
      </c>
      <c r="P249" s="15">
        <v>45536</v>
      </c>
      <c r="Q249" s="47">
        <f t="shared" si="12"/>
        <v>92.991466197936347</v>
      </c>
    </row>
    <row r="250" spans="7:17" x14ac:dyDescent="0.25">
      <c r="G250" s="239">
        <v>44442</v>
      </c>
      <c r="H250" s="47">
        <f t="shared" si="16"/>
        <v>34.263718953763771</v>
      </c>
      <c r="J250" s="15">
        <v>44807</v>
      </c>
      <c r="K250" s="47">
        <f t="shared" si="17"/>
        <v>47.901703361593526</v>
      </c>
      <c r="M250" s="15">
        <v>45172</v>
      </c>
      <c r="N250" s="47">
        <f t="shared" si="11"/>
        <v>66.822083627664398</v>
      </c>
      <c r="P250" s="15">
        <v>45537</v>
      </c>
      <c r="Q250" s="47">
        <f t="shared" si="12"/>
        <v>93.075931105930707</v>
      </c>
    </row>
    <row r="251" spans="7:17" x14ac:dyDescent="0.25">
      <c r="G251" s="239">
        <v>44443</v>
      </c>
      <c r="H251" s="47">
        <f t="shared" si="16"/>
        <v>34.295273418635283</v>
      </c>
      <c r="J251" s="15">
        <v>44808</v>
      </c>
      <c r="K251" s="47">
        <f t="shared" si="17"/>
        <v>47.945817446758909</v>
      </c>
      <c r="M251" s="15">
        <v>45173</v>
      </c>
      <c r="N251" s="47">
        <f t="shared" si="11"/>
        <v>66.882778671805198</v>
      </c>
      <c r="P251" s="15">
        <v>45538</v>
      </c>
      <c r="Q251" s="47">
        <f t="shared" si="12"/>
        <v>93.160472734090632</v>
      </c>
    </row>
    <row r="252" spans="7:17" x14ac:dyDescent="0.25">
      <c r="G252" s="239">
        <v>44444</v>
      </c>
      <c r="H252" s="47">
        <f t="shared" si="16"/>
        <v>34.326856942940033</v>
      </c>
      <c r="J252" s="15">
        <v>44809</v>
      </c>
      <c r="K252" s="47">
        <f t="shared" si="17"/>
        <v>47.989972157880644</v>
      </c>
      <c r="M252" s="15">
        <v>45174</v>
      </c>
      <c r="N252" s="47">
        <f t="shared" si="11"/>
        <v>66.943528845750151</v>
      </c>
      <c r="P252" s="15">
        <v>45539</v>
      </c>
      <c r="Q252" s="47">
        <f t="shared" si="12"/>
        <v>93.245091152101665</v>
      </c>
    </row>
    <row r="253" spans="7:17" x14ac:dyDescent="0.25">
      <c r="G253" s="239">
        <v>44445</v>
      </c>
      <c r="H253" s="47">
        <f t="shared" si="16"/>
        <v>34.358469553439704</v>
      </c>
      <c r="J253" s="15">
        <v>44810</v>
      </c>
      <c r="K253" s="47">
        <f t="shared" si="17"/>
        <v>48.034167532372365</v>
      </c>
      <c r="M253" s="15">
        <v>45175</v>
      </c>
      <c r="N253" s="47">
        <f t="shared" si="11"/>
        <v>67.004334199574103</v>
      </c>
      <c r="P253" s="15">
        <v>45540</v>
      </c>
      <c r="Q253" s="47">
        <f t="shared" si="12"/>
        <v>93.329786429712669</v>
      </c>
    </row>
    <row r="254" spans="7:17" x14ac:dyDescent="0.25">
      <c r="G254" s="239">
        <v>44446</v>
      </c>
      <c r="H254" s="47">
        <f t="shared" si="16"/>
        <v>34.390111276920628</v>
      </c>
      <c r="J254" s="15">
        <v>44811</v>
      </c>
      <c r="K254" s="47">
        <f t="shared" si="17"/>
        <v>48.078403607682169</v>
      </c>
      <c r="M254" s="15">
        <v>45176</v>
      </c>
      <c r="N254" s="47">
        <f t="shared" si="11"/>
        <v>67.065194783397402</v>
      </c>
      <c r="P254" s="15">
        <v>45541</v>
      </c>
      <c r="Q254" s="47">
        <f t="shared" si="12"/>
        <v>93.414558636735833</v>
      </c>
    </row>
    <row r="255" spans="7:17" x14ac:dyDescent="0.25">
      <c r="G255" s="239">
        <v>44447</v>
      </c>
      <c r="H255" s="47">
        <f t="shared" si="16"/>
        <v>34.421782140193798</v>
      </c>
      <c r="J255" s="15">
        <v>44812</v>
      </c>
      <c r="K255" s="47">
        <f t="shared" si="17"/>
        <v>48.122680421292628</v>
      </c>
      <c r="M255" s="15">
        <v>45177</v>
      </c>
      <c r="N255" s="47">
        <f t="shared" si="11"/>
        <v>67.126110647385886</v>
      </c>
      <c r="P255" s="15">
        <v>45542</v>
      </c>
      <c r="Q255" s="47">
        <f t="shared" si="12"/>
        <v>93.499407843046768</v>
      </c>
    </row>
    <row r="256" spans="7:17" x14ac:dyDescent="0.25">
      <c r="G256" s="239">
        <v>44448</v>
      </c>
      <c r="H256" s="47">
        <f t="shared" si="16"/>
        <v>34.453482170094908</v>
      </c>
      <c r="J256" s="15">
        <v>44813</v>
      </c>
      <c r="K256" s="47">
        <f t="shared" si="17"/>
        <v>48.166998010720846</v>
      </c>
      <c r="M256" s="15">
        <v>45178</v>
      </c>
      <c r="N256" s="47">
        <f t="shared" si="11"/>
        <v>67.187081841750995</v>
      </c>
      <c r="P256" s="15">
        <v>45543</v>
      </c>
      <c r="Q256" s="47">
        <f t="shared" si="12"/>
        <v>93.584334118584565</v>
      </c>
    </row>
    <row r="257" spans="6:17" x14ac:dyDescent="0.25">
      <c r="G257" s="239">
        <v>44449</v>
      </c>
      <c r="H257" s="47">
        <f t="shared" si="16"/>
        <v>34.485211393484363</v>
      </c>
      <c r="J257" s="15">
        <v>44814</v>
      </c>
      <c r="K257" s="47">
        <f t="shared" si="17"/>
        <v>48.211356413518466</v>
      </c>
      <c r="M257" s="15">
        <v>45179</v>
      </c>
      <c r="N257" s="47">
        <f t="shared" si="11"/>
        <v>67.248108416749758</v>
      </c>
      <c r="P257" s="15">
        <v>45544</v>
      </c>
      <c r="Q257" s="47">
        <f t="shared" si="12"/>
        <v>93.669337533351836</v>
      </c>
    </row>
    <row r="258" spans="6:17" x14ac:dyDescent="0.25">
      <c r="G258" s="239">
        <v>44450</v>
      </c>
      <c r="H258" s="47">
        <f t="shared" si="16"/>
        <v>34.516969837247309</v>
      </c>
      <c r="J258" s="15">
        <v>44815</v>
      </c>
      <c r="K258" s="47">
        <f t="shared" si="17"/>
        <v>48.255755667271721</v>
      </c>
      <c r="M258" s="15">
        <v>45180</v>
      </c>
      <c r="N258" s="47">
        <f t="shared" si="11"/>
        <v>67.30919042268485</v>
      </c>
      <c r="P258" s="15">
        <v>45545</v>
      </c>
      <c r="Q258" s="47">
        <f t="shared" si="12"/>
        <v>93.754418157414761</v>
      </c>
    </row>
    <row r="259" spans="6:17" x14ac:dyDescent="0.25">
      <c r="G259" s="239">
        <v>44451</v>
      </c>
      <c r="H259" s="47">
        <f t="shared" si="16"/>
        <v>34.548757528293642</v>
      </c>
      <c r="J259" s="15">
        <v>44816</v>
      </c>
      <c r="K259" s="47">
        <f t="shared" si="17"/>
        <v>48.300195809601455</v>
      </c>
      <c r="M259" s="15">
        <v>45181</v>
      </c>
      <c r="N259" s="47">
        <f t="shared" si="11"/>
        <v>67.370327909904645</v>
      </c>
      <c r="P259" s="15">
        <v>45546</v>
      </c>
      <c r="Q259" s="47">
        <f t="shared" si="12"/>
        <v>93.839576060903184</v>
      </c>
    </row>
    <row r="260" spans="6:17" x14ac:dyDescent="0.25">
      <c r="G260" s="239">
        <v>44452</v>
      </c>
      <c r="H260" s="47">
        <f t="shared" si="16"/>
        <v>34.580574493558039</v>
      </c>
      <c r="J260" s="15">
        <v>44817</v>
      </c>
      <c r="K260" s="47">
        <f t="shared" si="17"/>
        <v>48.344676878163156</v>
      </c>
      <c r="M260" s="15">
        <v>45182</v>
      </c>
      <c r="N260" s="47">
        <f t="shared" si="11"/>
        <v>67.431520928803252</v>
      </c>
      <c r="P260" s="15">
        <v>45547</v>
      </c>
      <c r="Q260" s="47">
        <f t="shared" si="12"/>
        <v>93.924811314010626</v>
      </c>
    </row>
    <row r="261" spans="6:17" x14ac:dyDescent="0.25">
      <c r="G261" s="239">
        <v>44453</v>
      </c>
      <c r="H261" s="47">
        <f t="shared" si="16"/>
        <v>34.612420759999992</v>
      </c>
      <c r="J261" s="15">
        <v>44818</v>
      </c>
      <c r="K261" s="47">
        <f t="shared" si="17"/>
        <v>48.389198910646996</v>
      </c>
      <c r="M261" s="15">
        <v>45183</v>
      </c>
      <c r="N261" s="47">
        <f t="shared" si="11"/>
        <v>67.492769529820549</v>
      </c>
      <c r="P261" s="15">
        <v>45548</v>
      </c>
      <c r="Q261" s="47">
        <f t="shared" si="12"/>
        <v>94.010123986994387</v>
      </c>
    </row>
    <row r="262" spans="6:17" x14ac:dyDescent="0.25">
      <c r="G262" s="239">
        <v>44454</v>
      </c>
      <c r="H262" s="47">
        <f t="shared" si="16"/>
        <v>34.64429635460381</v>
      </c>
      <c r="J262" s="15">
        <v>44819</v>
      </c>
      <c r="K262" s="47">
        <f t="shared" si="17"/>
        <v>48.433761944777856</v>
      </c>
      <c r="M262" s="15">
        <v>45184</v>
      </c>
      <c r="N262" s="47">
        <f t="shared" ref="N262:N325" si="18">N261*(1+$B$43)</f>
        <v>67.554073763442233</v>
      </c>
      <c r="P262" s="15">
        <v>45549</v>
      </c>
      <c r="Q262" s="47">
        <f t="shared" ref="Q262:Q325" si="19">Q261*(1+$B$45)</f>
        <v>94.095514150175575</v>
      </c>
    </row>
    <row r="263" spans="6:17" x14ac:dyDescent="0.25">
      <c r="F263" t="s">
        <v>197</v>
      </c>
      <c r="G263" s="238">
        <v>44455</v>
      </c>
      <c r="H263" s="47">
        <f>H262*(1+$B$28)</f>
        <v>34.676201304378665</v>
      </c>
      <c r="J263" s="15">
        <v>44820</v>
      </c>
      <c r="K263" s="47">
        <f t="shared" si="17"/>
        <v>48.478366018315349</v>
      </c>
      <c r="M263" s="15">
        <v>45185</v>
      </c>
      <c r="N263" s="47">
        <f t="shared" si="18"/>
        <v>67.615433680199843</v>
      </c>
      <c r="P263" s="15">
        <v>45550</v>
      </c>
      <c r="Q263" s="47">
        <f t="shared" si="19"/>
        <v>94.18098187393916</v>
      </c>
    </row>
    <row r="264" spans="6:17" x14ac:dyDescent="0.25">
      <c r="G264" s="238">
        <v>44456</v>
      </c>
      <c r="H264" s="47">
        <f t="shared" ref="H264:H292" si="20">H263*(1+$B$28)</f>
        <v>34.708135636358598</v>
      </c>
      <c r="J264" s="15">
        <v>44821</v>
      </c>
      <c r="K264" s="47">
        <f t="shared" si="17"/>
        <v>48.523011169053873</v>
      </c>
      <c r="M264" s="15">
        <v>45186</v>
      </c>
      <c r="N264" s="47">
        <f t="shared" si="18"/>
        <v>67.676849330670834</v>
      </c>
      <c r="P264" s="15">
        <v>45551</v>
      </c>
      <c r="Q264" s="47">
        <f t="shared" si="19"/>
        <v>94.266527228734063</v>
      </c>
    </row>
    <row r="265" spans="6:17" x14ac:dyDescent="0.25">
      <c r="G265" s="238">
        <v>44457</v>
      </c>
      <c r="H265" s="47">
        <f t="shared" si="20"/>
        <v>34.74009937760254</v>
      </c>
      <c r="J265" s="15">
        <v>44822</v>
      </c>
      <c r="K265" s="47">
        <f t="shared" si="17"/>
        <v>48.567697434822634</v>
      </c>
      <c r="M265" s="15">
        <v>45187</v>
      </c>
      <c r="N265" s="47">
        <f t="shared" si="18"/>
        <v>67.738320765478576</v>
      </c>
      <c r="P265" s="15">
        <v>45552</v>
      </c>
      <c r="Q265" s="47">
        <f t="shared" si="19"/>
        <v>94.352150285073179</v>
      </c>
    </row>
    <row r="266" spans="6:17" x14ac:dyDescent="0.25">
      <c r="G266" s="238">
        <v>44458</v>
      </c>
      <c r="H266" s="47">
        <f t="shared" si="20"/>
        <v>34.772092555194341</v>
      </c>
      <c r="J266" s="15">
        <v>44823</v>
      </c>
      <c r="K266" s="47">
        <f t="shared" si="17"/>
        <v>48.612424853485663</v>
      </c>
      <c r="M266" s="15">
        <v>45188</v>
      </c>
      <c r="N266" s="47">
        <f t="shared" si="18"/>
        <v>67.799848035292456</v>
      </c>
      <c r="P266" s="15">
        <v>45553</v>
      </c>
      <c r="Q266" s="47">
        <f t="shared" si="19"/>
        <v>94.437851113533455</v>
      </c>
    </row>
    <row r="267" spans="6:17" x14ac:dyDescent="0.25">
      <c r="G267" s="238">
        <v>44459</v>
      </c>
      <c r="H267" s="47">
        <f t="shared" si="20"/>
        <v>34.804115196242805</v>
      </c>
      <c r="J267" s="15">
        <v>44824</v>
      </c>
      <c r="K267" s="47">
        <f t="shared" si="17"/>
        <v>48.657193462941876</v>
      </c>
      <c r="M267" s="15">
        <v>45189</v>
      </c>
      <c r="N267" s="47">
        <f t="shared" si="18"/>
        <v>67.861431190827858</v>
      </c>
      <c r="P267" s="15">
        <v>45554</v>
      </c>
      <c r="Q267" s="47">
        <f t="shared" si="19"/>
        <v>94.52362978475594</v>
      </c>
    </row>
    <row r="268" spans="6:17" x14ac:dyDescent="0.25">
      <c r="G268" s="238">
        <v>44460</v>
      </c>
      <c r="H268" s="47">
        <f t="shared" si="20"/>
        <v>34.836167327881697</v>
      </c>
      <c r="J268" s="15">
        <v>44825</v>
      </c>
      <c r="K268" s="47">
        <f t="shared" si="17"/>
        <v>48.702003301125075</v>
      </c>
      <c r="M268" s="15">
        <v>45190</v>
      </c>
      <c r="N268" s="47">
        <f t="shared" si="18"/>
        <v>67.92307028284624</v>
      </c>
      <c r="P268" s="15">
        <v>45555</v>
      </c>
      <c r="Q268" s="47">
        <f t="shared" si="19"/>
        <v>94.609486369445847</v>
      </c>
    </row>
    <row r="269" spans="6:17" x14ac:dyDescent="0.25">
      <c r="G269" s="238">
        <v>44461</v>
      </c>
      <c r="H269" s="47">
        <f t="shared" si="20"/>
        <v>34.868248977269758</v>
      </c>
      <c r="J269" s="15">
        <v>44826</v>
      </c>
      <c r="K269" s="47">
        <f t="shared" si="17"/>
        <v>48.746854406004012</v>
      </c>
      <c r="M269" s="15">
        <v>45191</v>
      </c>
      <c r="N269" s="47">
        <f t="shared" si="18"/>
        <v>67.984765362155173</v>
      </c>
      <c r="P269" s="15">
        <v>45556</v>
      </c>
      <c r="Q269" s="47">
        <f t="shared" si="19"/>
        <v>94.695420938372621</v>
      </c>
    </row>
    <row r="270" spans="6:17" x14ac:dyDescent="0.25">
      <c r="G270" s="238">
        <v>44462</v>
      </c>
      <c r="H270" s="47">
        <f t="shared" si="20"/>
        <v>34.900360171590755</v>
      </c>
      <c r="J270" s="15">
        <v>44827</v>
      </c>
      <c r="K270" s="47">
        <f t="shared" si="17"/>
        <v>48.7917468155824</v>
      </c>
      <c r="M270" s="15">
        <v>45192</v>
      </c>
      <c r="N270" s="47">
        <f t="shared" si="18"/>
        <v>68.046516479608357</v>
      </c>
      <c r="P270" s="15">
        <v>45557</v>
      </c>
      <c r="Q270" s="47">
        <f t="shared" si="19"/>
        <v>94.781433562369983</v>
      </c>
    </row>
    <row r="271" spans="6:17" x14ac:dyDescent="0.25">
      <c r="G271" s="238">
        <v>44463</v>
      </c>
      <c r="H271" s="47">
        <f t="shared" si="20"/>
        <v>34.932500938053487</v>
      </c>
      <c r="J271" s="15">
        <v>44828</v>
      </c>
      <c r="K271" s="47">
        <f t="shared" si="17"/>
        <v>48.836680567898945</v>
      </c>
      <c r="M271" s="15">
        <v>45193</v>
      </c>
      <c r="N271" s="47">
        <f t="shared" si="18"/>
        <v>68.108323686105706</v>
      </c>
      <c r="P271" s="15">
        <v>45558</v>
      </c>
      <c r="Q271" s="47">
        <f t="shared" si="19"/>
        <v>94.867524312335988</v>
      </c>
    </row>
    <row r="272" spans="6:17" x14ac:dyDescent="0.25">
      <c r="G272" s="238">
        <v>44464</v>
      </c>
      <c r="H272" s="47">
        <f t="shared" si="20"/>
        <v>34.964671303891805</v>
      </c>
      <c r="J272" s="15">
        <v>44829</v>
      </c>
      <c r="K272" s="47">
        <f t="shared" si="17"/>
        <v>48.881655701027391</v>
      </c>
      <c r="M272" s="15">
        <v>45194</v>
      </c>
      <c r="N272" s="47">
        <f t="shared" si="18"/>
        <v>68.170187032593347</v>
      </c>
      <c r="P272" s="15">
        <v>45559</v>
      </c>
      <c r="Q272" s="47">
        <f t="shared" si="19"/>
        <v>94.953693259233091</v>
      </c>
    </row>
    <row r="273" spans="7:17" x14ac:dyDescent="0.25">
      <c r="G273" s="238">
        <v>44465</v>
      </c>
      <c r="H273" s="47">
        <f t="shared" si="20"/>
        <v>34.996871296364645</v>
      </c>
      <c r="J273" s="15">
        <v>44830</v>
      </c>
      <c r="K273" s="47">
        <f t="shared" si="17"/>
        <v>48.926672253076539</v>
      </c>
      <c r="M273" s="15">
        <v>45195</v>
      </c>
      <c r="N273" s="47">
        <f t="shared" si="18"/>
        <v>68.232106570063706</v>
      </c>
      <c r="P273" s="15">
        <v>45560</v>
      </c>
      <c r="Q273" s="47">
        <f t="shared" si="19"/>
        <v>95.039940474088212</v>
      </c>
    </row>
    <row r="274" spans="7:17" x14ac:dyDescent="0.25">
      <c r="G274" s="238">
        <v>44466</v>
      </c>
      <c r="H274" s="47">
        <f t="shared" si="20"/>
        <v>35.029100942756045</v>
      </c>
      <c r="J274" s="15">
        <v>44831</v>
      </c>
      <c r="K274" s="47">
        <f t="shared" si="17"/>
        <v>48.971730262190292</v>
      </c>
      <c r="M274" s="15">
        <v>45196</v>
      </c>
      <c r="N274" s="47">
        <f t="shared" si="18"/>
        <v>68.294082349555495</v>
      </c>
      <c r="P274" s="15">
        <v>45561</v>
      </c>
      <c r="Q274" s="47">
        <f t="shared" si="19"/>
        <v>95.12626602799277</v>
      </c>
    </row>
    <row r="275" spans="7:17" x14ac:dyDescent="0.25">
      <c r="G275" s="238">
        <v>44467</v>
      </c>
      <c r="H275" s="47">
        <f t="shared" si="20"/>
        <v>35.061360270375161</v>
      </c>
      <c r="J275" s="15">
        <v>44832</v>
      </c>
      <c r="K275" s="47">
        <f t="shared" si="17"/>
        <v>49.01682976654768</v>
      </c>
      <c r="M275" s="15">
        <v>45197</v>
      </c>
      <c r="N275" s="47">
        <f t="shared" si="18"/>
        <v>68.356114422153809</v>
      </c>
      <c r="P275" s="15">
        <v>45562</v>
      </c>
      <c r="Q275" s="47">
        <f t="shared" si="19"/>
        <v>95.212669992102761</v>
      </c>
    </row>
    <row r="276" spans="7:17" x14ac:dyDescent="0.25">
      <c r="G276" s="238">
        <v>44468</v>
      </c>
      <c r="H276" s="47">
        <f t="shared" si="20"/>
        <v>35.093649306556316</v>
      </c>
      <c r="J276" s="15">
        <v>44833</v>
      </c>
      <c r="K276" s="47">
        <f t="shared" si="17"/>
        <v>49.061970804362886</v>
      </c>
      <c r="M276" s="15">
        <v>45198</v>
      </c>
      <c r="N276" s="47">
        <f t="shared" si="18"/>
        <v>68.41820283899014</v>
      </c>
      <c r="P276" s="15">
        <v>45563</v>
      </c>
      <c r="Q276" s="47">
        <f t="shared" si="19"/>
        <v>95.29915243763881</v>
      </c>
    </row>
    <row r="277" spans="7:17" x14ac:dyDescent="0.25">
      <c r="G277" s="238">
        <v>44469</v>
      </c>
      <c r="H277" s="47">
        <f t="shared" si="20"/>
        <v>35.125968078658993</v>
      </c>
      <c r="J277" s="15">
        <v>44834</v>
      </c>
      <c r="K277" s="47">
        <f t="shared" si="17"/>
        <v>49.107153413885293</v>
      </c>
      <c r="M277" s="15">
        <v>45199</v>
      </c>
      <c r="N277" s="47">
        <f t="shared" si="18"/>
        <v>68.480347651242411</v>
      </c>
      <c r="P277" s="15">
        <v>45564</v>
      </c>
      <c r="Q277" s="47">
        <f t="shared" si="19"/>
        <v>95.385713435886245</v>
      </c>
    </row>
    <row r="278" spans="7:17" x14ac:dyDescent="0.25">
      <c r="G278" s="238">
        <v>44470</v>
      </c>
      <c r="H278" s="47">
        <f t="shared" si="20"/>
        <v>35.158316614067878</v>
      </c>
      <c r="J278" s="15">
        <v>44835</v>
      </c>
      <c r="K278" s="47">
        <f t="shared" si="17"/>
        <v>49.15237763339951</v>
      </c>
      <c r="M278" s="15">
        <v>45200</v>
      </c>
      <c r="N278" s="47">
        <f t="shared" si="18"/>
        <v>68.542548910135054</v>
      </c>
      <c r="P278" s="15">
        <v>45565</v>
      </c>
      <c r="Q278" s="47">
        <f t="shared" si="19"/>
        <v>95.472353058195125</v>
      </c>
    </row>
    <row r="279" spans="7:17" x14ac:dyDescent="0.25">
      <c r="G279" s="238">
        <v>44471</v>
      </c>
      <c r="H279" s="47">
        <f t="shared" si="20"/>
        <v>35.190694940192877</v>
      </c>
      <c r="J279" s="15">
        <v>44836</v>
      </c>
      <c r="K279" s="47">
        <f t="shared" si="17"/>
        <v>49.1976435012254</v>
      </c>
      <c r="M279" s="15">
        <v>45201</v>
      </c>
      <c r="N279" s="47">
        <f t="shared" si="18"/>
        <v>68.604806666938998</v>
      </c>
      <c r="P279" s="15">
        <v>45566</v>
      </c>
      <c r="Q279" s="47">
        <f t="shared" si="19"/>
        <v>95.559071375980338</v>
      </c>
    </row>
    <row r="280" spans="7:17" x14ac:dyDescent="0.25">
      <c r="G280" s="238">
        <v>44472</v>
      </c>
      <c r="H280" s="47">
        <f t="shared" si="20"/>
        <v>35.223103084469123</v>
      </c>
      <c r="J280" s="15">
        <v>44837</v>
      </c>
      <c r="K280" s="47">
        <f t="shared" si="17"/>
        <v>49.242951055718116</v>
      </c>
      <c r="M280" s="15">
        <v>45202</v>
      </c>
      <c r="N280" s="47">
        <f t="shared" si="18"/>
        <v>68.667120972971759</v>
      </c>
      <c r="P280" s="15">
        <v>45567</v>
      </c>
      <c r="Q280" s="47">
        <f t="shared" si="19"/>
        <v>95.645868460721616</v>
      </c>
    </row>
    <row r="281" spans="7:17" x14ac:dyDescent="0.25">
      <c r="G281" s="238">
        <v>44473</v>
      </c>
      <c r="H281" s="47">
        <f t="shared" si="20"/>
        <v>35.255541074357041</v>
      </c>
      <c r="J281" s="15">
        <v>44838</v>
      </c>
      <c r="K281" s="47">
        <f t="shared" si="17"/>
        <v>49.288300335268126</v>
      </c>
      <c r="M281" s="15">
        <v>45203</v>
      </c>
      <c r="N281" s="47">
        <f t="shared" si="18"/>
        <v>68.729491879597475</v>
      </c>
      <c r="P281" s="15">
        <v>45568</v>
      </c>
      <c r="Q281" s="47">
        <f t="shared" si="19"/>
        <v>95.732744383963649</v>
      </c>
    </row>
    <row r="282" spans="7:17" x14ac:dyDescent="0.25">
      <c r="G282" s="238">
        <v>44474</v>
      </c>
      <c r="H282" s="47">
        <f t="shared" si="20"/>
        <v>35.288008937342319</v>
      </c>
      <c r="J282" s="15">
        <v>44839</v>
      </c>
      <c r="K282" s="47">
        <f t="shared" si="17"/>
        <v>49.333691378301268</v>
      </c>
      <c r="M282" s="15">
        <v>45204</v>
      </c>
      <c r="N282" s="47">
        <f t="shared" si="18"/>
        <v>68.791919438226913</v>
      </c>
      <c r="P282" s="15">
        <v>45569</v>
      </c>
      <c r="Q282" s="47">
        <f t="shared" si="19"/>
        <v>95.819699217316071</v>
      </c>
    </row>
    <row r="283" spans="7:17" x14ac:dyDescent="0.25">
      <c r="G283" s="238">
        <v>44475</v>
      </c>
      <c r="H283" s="47">
        <f t="shared" si="20"/>
        <v>35.320506700935979</v>
      </c>
      <c r="J283" s="15">
        <v>44840</v>
      </c>
      <c r="K283" s="47">
        <f t="shared" si="17"/>
        <v>49.379124223278758</v>
      </c>
      <c r="M283" s="15">
        <v>45205</v>
      </c>
      <c r="N283" s="47">
        <f t="shared" si="18"/>
        <v>68.854403700317562</v>
      </c>
      <c r="P283" s="15">
        <v>45570</v>
      </c>
      <c r="Q283" s="47">
        <f t="shared" si="19"/>
        <v>95.906733032453587</v>
      </c>
    </row>
    <row r="284" spans="7:17" x14ac:dyDescent="0.25">
      <c r="G284" s="238">
        <v>44476</v>
      </c>
      <c r="H284" s="47">
        <f t="shared" si="20"/>
        <v>35.353034392674367</v>
      </c>
      <c r="J284" s="15">
        <v>44841</v>
      </c>
      <c r="K284" s="47">
        <f t="shared" si="17"/>
        <v>49.424598908697234</v>
      </c>
      <c r="M284" s="15">
        <v>45206</v>
      </c>
      <c r="N284" s="47">
        <f t="shared" si="18"/>
        <v>68.916944717373624</v>
      </c>
      <c r="P284" s="15">
        <v>45571</v>
      </c>
      <c r="Q284" s="47">
        <f t="shared" si="19"/>
        <v>95.993845901116003</v>
      </c>
    </row>
    <row r="285" spans="7:17" x14ac:dyDescent="0.25">
      <c r="G285" s="238">
        <v>44477</v>
      </c>
      <c r="H285" s="47">
        <f t="shared" si="20"/>
        <v>35.385592040119185</v>
      </c>
      <c r="J285" s="15">
        <v>44842</v>
      </c>
      <c r="K285" s="47">
        <f t="shared" si="17"/>
        <v>49.470115473088789</v>
      </c>
      <c r="M285" s="15">
        <v>45207</v>
      </c>
      <c r="N285" s="47">
        <f t="shared" si="18"/>
        <v>68.979542540946113</v>
      </c>
      <c r="P285" s="15">
        <v>45572</v>
      </c>
      <c r="Q285" s="47">
        <f t="shared" si="19"/>
        <v>96.081037895108267</v>
      </c>
    </row>
    <row r="286" spans="7:17" x14ac:dyDescent="0.25">
      <c r="G286" s="238">
        <v>44478</v>
      </c>
      <c r="H286" s="47">
        <f t="shared" si="20"/>
        <v>35.418179670857526</v>
      </c>
      <c r="J286" s="15">
        <v>44843</v>
      </c>
      <c r="K286" s="47">
        <f t="shared" si="17"/>
        <v>49.515673955020993</v>
      </c>
      <c r="M286" s="15">
        <v>45208</v>
      </c>
      <c r="N286" s="47">
        <f t="shared" si="18"/>
        <v>69.042197222632836</v>
      </c>
      <c r="P286" s="15">
        <v>45573</v>
      </c>
      <c r="Q286" s="47">
        <f t="shared" si="19"/>
        <v>96.168309086300567</v>
      </c>
    </row>
    <row r="287" spans="7:17" x14ac:dyDescent="0.25">
      <c r="G287" s="238">
        <v>44479</v>
      </c>
      <c r="H287" s="47">
        <f t="shared" si="20"/>
        <v>35.450797312501891</v>
      </c>
      <c r="J287" s="15">
        <v>44844</v>
      </c>
      <c r="K287" s="47">
        <f t="shared" si="17"/>
        <v>49.561274393096944</v>
      </c>
      <c r="M287" s="15">
        <v>45209</v>
      </c>
      <c r="N287" s="47">
        <f t="shared" si="18"/>
        <v>69.104908814078499</v>
      </c>
      <c r="P287" s="15">
        <v>45574</v>
      </c>
      <c r="Q287" s="47">
        <f t="shared" si="19"/>
        <v>96.25565954662838</v>
      </c>
    </row>
    <row r="288" spans="7:17" x14ac:dyDescent="0.25">
      <c r="G288" s="238">
        <v>44480</v>
      </c>
      <c r="H288" s="47">
        <f t="shared" si="20"/>
        <v>35.483444992690195</v>
      </c>
      <c r="J288" s="15">
        <v>44845</v>
      </c>
      <c r="K288" s="47">
        <f t="shared" si="17"/>
        <v>49.606916825955288</v>
      </c>
      <c r="M288" s="15">
        <v>45210</v>
      </c>
      <c r="N288" s="47">
        <f t="shared" si="18"/>
        <v>69.167677366974686</v>
      </c>
      <c r="P288" s="15">
        <v>45575</v>
      </c>
      <c r="Q288" s="47">
        <f t="shared" si="19"/>
        <v>96.343089348092491</v>
      </c>
    </row>
    <row r="289" spans="6:17" x14ac:dyDescent="0.25">
      <c r="G289" s="238">
        <v>44481</v>
      </c>
      <c r="H289" s="47">
        <f t="shared" si="20"/>
        <v>35.516122739085823</v>
      </c>
      <c r="J289" s="15">
        <v>44846</v>
      </c>
      <c r="K289" s="47">
        <f t="shared" si="17"/>
        <v>49.652601292270255</v>
      </c>
      <c r="M289" s="15">
        <v>45211</v>
      </c>
      <c r="N289" s="47">
        <f t="shared" si="18"/>
        <v>69.230502933059967</v>
      </c>
      <c r="P289" s="15">
        <v>45576</v>
      </c>
      <c r="Q289" s="47">
        <f t="shared" si="19"/>
        <v>96.430598562759116</v>
      </c>
    </row>
    <row r="290" spans="6:17" x14ac:dyDescent="0.25">
      <c r="G290" s="238">
        <v>44482</v>
      </c>
      <c r="H290" s="47">
        <f t="shared" si="20"/>
        <v>35.548830579377622</v>
      </c>
      <c r="J290" s="15">
        <v>44847</v>
      </c>
      <c r="K290" s="47">
        <f t="shared" si="17"/>
        <v>49.698327830751687</v>
      </c>
      <c r="M290" s="15">
        <v>45212</v>
      </c>
      <c r="N290" s="47">
        <f t="shared" si="18"/>
        <v>69.293385564119873</v>
      </c>
      <c r="P290" s="15">
        <v>45577</v>
      </c>
      <c r="Q290" s="47">
        <f t="shared" si="19"/>
        <v>96.518187262759909</v>
      </c>
    </row>
    <row r="291" spans="6:17" x14ac:dyDescent="0.25">
      <c r="G291" s="238">
        <v>44483</v>
      </c>
      <c r="H291" s="47">
        <f t="shared" si="20"/>
        <v>35.58156854127995</v>
      </c>
      <c r="J291" s="15">
        <v>44848</v>
      </c>
      <c r="K291" s="47">
        <f t="shared" si="17"/>
        <v>49.744096480145075</v>
      </c>
      <c r="M291" s="15">
        <v>45213</v>
      </c>
      <c r="N291" s="47">
        <f t="shared" si="18"/>
        <v>69.356325311986978</v>
      </c>
      <c r="P291" s="15">
        <v>45578</v>
      </c>
      <c r="Q291" s="47">
        <f t="shared" si="19"/>
        <v>96.605855520292039</v>
      </c>
    </row>
    <row r="292" spans="6:17" x14ac:dyDescent="0.25">
      <c r="G292" s="238">
        <v>44484</v>
      </c>
      <c r="H292" s="47">
        <f t="shared" si="20"/>
        <v>35.614336652532678</v>
      </c>
      <c r="J292" s="15">
        <v>44849</v>
      </c>
      <c r="K292" s="47">
        <f t="shared" si="17"/>
        <v>49.789907279231599</v>
      </c>
      <c r="M292" s="15">
        <v>45214</v>
      </c>
      <c r="N292" s="47">
        <f t="shared" si="18"/>
        <v>69.419322228540963</v>
      </c>
      <c r="P292" s="15">
        <v>45579</v>
      </c>
      <c r="Q292" s="47">
        <f t="shared" si="19"/>
        <v>96.693603407618269</v>
      </c>
    </row>
    <row r="293" spans="6:17" x14ac:dyDescent="0.25">
      <c r="F293" t="s">
        <v>198</v>
      </c>
      <c r="G293" s="239">
        <v>44485</v>
      </c>
      <c r="H293" s="47">
        <f>H292*(1+$B$30)</f>
        <v>35.647134940901232</v>
      </c>
      <c r="J293" s="15">
        <v>44850</v>
      </c>
      <c r="K293" s="47">
        <f t="shared" si="17"/>
        <v>49.835760266828146</v>
      </c>
      <c r="M293" s="15">
        <v>45215</v>
      </c>
      <c r="N293" s="47">
        <f t="shared" si="18"/>
        <v>69.482376365708603</v>
      </c>
      <c r="P293" s="15">
        <v>45580</v>
      </c>
      <c r="Q293" s="47">
        <f t="shared" si="19"/>
        <v>96.781430997066991</v>
      </c>
    </row>
    <row r="294" spans="6:17" x14ac:dyDescent="0.25">
      <c r="G294" s="239">
        <v>44486</v>
      </c>
      <c r="H294" s="47">
        <f t="shared" ref="H294:H323" si="21">H293*(1+$B$30)</f>
        <v>35.679963434176599</v>
      </c>
      <c r="J294" s="15">
        <v>44851</v>
      </c>
      <c r="K294" s="47">
        <f t="shared" si="17"/>
        <v>49.881655481787348</v>
      </c>
      <c r="M294" s="15">
        <v>45216</v>
      </c>
      <c r="N294" s="47">
        <f t="shared" si="18"/>
        <v>69.545487775463855</v>
      </c>
      <c r="P294" s="15">
        <v>45581</v>
      </c>
      <c r="Q294" s="47">
        <f t="shared" si="19"/>
        <v>96.869338361032305</v>
      </c>
    </row>
    <row r="295" spans="6:17" x14ac:dyDescent="0.25">
      <c r="G295" s="239">
        <v>44487</v>
      </c>
      <c r="H295" s="47">
        <f t="shared" si="21"/>
        <v>35.712822160175371</v>
      </c>
      <c r="J295" s="15">
        <v>44852</v>
      </c>
      <c r="K295" s="47">
        <f t="shared" si="17"/>
        <v>49.927592962997629</v>
      </c>
      <c r="M295" s="15">
        <v>45217</v>
      </c>
      <c r="N295" s="47">
        <f t="shared" si="18"/>
        <v>69.608656509827867</v>
      </c>
      <c r="P295" s="15">
        <v>45582</v>
      </c>
      <c r="Q295" s="47">
        <f t="shared" si="19"/>
        <v>96.957325571974039</v>
      </c>
    </row>
    <row r="296" spans="6:17" x14ac:dyDescent="0.25">
      <c r="G296" s="239">
        <v>44488</v>
      </c>
      <c r="H296" s="47">
        <f t="shared" si="21"/>
        <v>35.745711146739744</v>
      </c>
      <c r="J296" s="15">
        <v>44853</v>
      </c>
      <c r="K296" s="47">
        <f t="shared" si="17"/>
        <v>49.973572749383223</v>
      </c>
      <c r="M296" s="15">
        <v>45218</v>
      </c>
      <c r="N296" s="47">
        <f t="shared" si="18"/>
        <v>69.671882620869056</v>
      </c>
      <c r="P296" s="15">
        <v>45583</v>
      </c>
      <c r="Q296" s="47">
        <f t="shared" si="19"/>
        <v>97.045392702417857</v>
      </c>
    </row>
    <row r="297" spans="6:17" x14ac:dyDescent="0.25">
      <c r="G297" s="239">
        <v>44489</v>
      </c>
      <c r="H297" s="47">
        <f t="shared" si="21"/>
        <v>35.778630421737567</v>
      </c>
      <c r="J297" s="15">
        <v>44854</v>
      </c>
      <c r="K297" s="47">
        <f t="shared" si="17"/>
        <v>50.019594879904204</v>
      </c>
      <c r="M297" s="15">
        <v>45219</v>
      </c>
      <c r="N297" s="47">
        <f t="shared" si="18"/>
        <v>69.73516616070313</v>
      </c>
      <c r="P297" s="15">
        <v>45584</v>
      </c>
      <c r="Q297" s="47">
        <f t="shared" si="19"/>
        <v>97.133539824955307</v>
      </c>
    </row>
    <row r="298" spans="6:17" x14ac:dyDescent="0.25">
      <c r="G298" s="239">
        <v>44490</v>
      </c>
      <c r="H298" s="47">
        <f t="shared" si="21"/>
        <v>35.811580013062347</v>
      </c>
      <c r="J298" s="15">
        <v>44855</v>
      </c>
      <c r="K298" s="47">
        <f t="shared" si="17"/>
        <v>50.065659393556537</v>
      </c>
      <c r="M298" s="15">
        <v>45220</v>
      </c>
      <c r="N298" s="47">
        <f t="shared" si="18"/>
        <v>69.798507181493122</v>
      </c>
      <c r="P298" s="15">
        <v>45585</v>
      </c>
      <c r="Q298" s="47">
        <f t="shared" si="19"/>
        <v>97.221767012243845</v>
      </c>
    </row>
    <row r="299" spans="6:17" x14ac:dyDescent="0.25">
      <c r="G299" s="239">
        <v>44491</v>
      </c>
      <c r="H299" s="47">
        <f t="shared" si="21"/>
        <v>35.844559948633275</v>
      </c>
      <c r="J299" s="15">
        <v>44856</v>
      </c>
      <c r="K299" s="47">
        <f t="shared" si="17"/>
        <v>50.111766329372081</v>
      </c>
      <c r="M299" s="15">
        <v>45221</v>
      </c>
      <c r="N299" s="47">
        <f t="shared" si="18"/>
        <v>69.861905735449454</v>
      </c>
      <c r="P299" s="15">
        <v>45586</v>
      </c>
      <c r="Q299" s="47">
        <f t="shared" si="19"/>
        <v>97.310074337006952</v>
      </c>
    </row>
    <row r="300" spans="6:17" x14ac:dyDescent="0.25">
      <c r="G300" s="239">
        <v>44492</v>
      </c>
      <c r="H300" s="47">
        <f t="shared" si="21"/>
        <v>35.877570256395266</v>
      </c>
      <c r="J300" s="15">
        <v>44857</v>
      </c>
      <c r="K300" s="47">
        <f t="shared" si="17"/>
        <v>50.157915726418658</v>
      </c>
      <c r="M300" s="15">
        <v>45222</v>
      </c>
      <c r="N300" s="47">
        <f t="shared" si="18"/>
        <v>69.925361874829974</v>
      </c>
      <c r="P300" s="15">
        <v>45587</v>
      </c>
      <c r="Q300" s="47">
        <f t="shared" si="19"/>
        <v>97.398461872034133</v>
      </c>
    </row>
    <row r="301" spans="6:17" x14ac:dyDescent="0.25">
      <c r="G301" s="239">
        <v>44493</v>
      </c>
      <c r="H301" s="47">
        <f t="shared" si="21"/>
        <v>35.910610964318955</v>
      </c>
      <c r="J301" s="15">
        <v>44858</v>
      </c>
      <c r="K301" s="47">
        <f t="shared" si="17"/>
        <v>50.204107623800063</v>
      </c>
      <c r="M301" s="15">
        <v>45223</v>
      </c>
      <c r="N301" s="47">
        <f t="shared" si="18"/>
        <v>69.988875651939992</v>
      </c>
      <c r="P301" s="15">
        <v>45588</v>
      </c>
      <c r="Q301" s="47">
        <f t="shared" si="19"/>
        <v>97.486929690181043</v>
      </c>
    </row>
    <row r="302" spans="6:17" x14ac:dyDescent="0.25">
      <c r="G302" s="239">
        <v>44494</v>
      </c>
      <c r="H302" s="47">
        <f t="shared" si="21"/>
        <v>35.94368210040075</v>
      </c>
      <c r="J302" s="15">
        <v>44859</v>
      </c>
      <c r="K302" s="47">
        <f t="shared" si="17"/>
        <v>50.250342060656102</v>
      </c>
      <c r="M302" s="15">
        <v>45224</v>
      </c>
      <c r="N302" s="47">
        <f t="shared" si="18"/>
        <v>70.052447119132339</v>
      </c>
      <c r="P302" s="15">
        <v>45589</v>
      </c>
      <c r="Q302" s="47">
        <f t="shared" si="19"/>
        <v>97.575477864369489</v>
      </c>
    </row>
    <row r="303" spans="6:17" x14ac:dyDescent="0.25">
      <c r="G303" s="239">
        <v>44495</v>
      </c>
      <c r="H303" s="47">
        <f t="shared" si="21"/>
        <v>35.976783692662828</v>
      </c>
      <c r="J303" s="15">
        <v>44860</v>
      </c>
      <c r="K303" s="47">
        <f t="shared" si="17"/>
        <v>50.296619076162628</v>
      </c>
      <c r="M303" s="15">
        <v>45225</v>
      </c>
      <c r="N303" s="47">
        <f t="shared" si="18"/>
        <v>70.116076328807367</v>
      </c>
      <c r="P303" s="15">
        <v>45590</v>
      </c>
      <c r="Q303" s="47">
        <f t="shared" si="19"/>
        <v>97.664106467587516</v>
      </c>
    </row>
    <row r="304" spans="6:17" x14ac:dyDescent="0.25">
      <c r="G304" s="239">
        <v>44496</v>
      </c>
      <c r="H304" s="47">
        <f t="shared" si="21"/>
        <v>36.009915769153181</v>
      </c>
      <c r="J304" s="15">
        <v>44861</v>
      </c>
      <c r="K304" s="47">
        <f t="shared" si="17"/>
        <v>50.342938709531566</v>
      </c>
      <c r="M304" s="15">
        <v>45226</v>
      </c>
      <c r="N304" s="47">
        <f t="shared" si="18"/>
        <v>70.179763333413064</v>
      </c>
      <c r="P304" s="15">
        <v>45591</v>
      </c>
      <c r="Q304" s="47">
        <f t="shared" si="19"/>
        <v>97.752815572889475</v>
      </c>
    </row>
    <row r="305" spans="5:17" x14ac:dyDescent="0.25">
      <c r="G305" s="239">
        <v>44497</v>
      </c>
      <c r="H305" s="47">
        <f t="shared" si="21"/>
        <v>36.043078357945639</v>
      </c>
      <c r="J305" s="15">
        <v>44862</v>
      </c>
      <c r="K305" s="47">
        <f t="shared" si="17"/>
        <v>50.38930100001096</v>
      </c>
      <c r="M305" s="15">
        <v>45227</v>
      </c>
      <c r="N305" s="47">
        <f t="shared" si="18"/>
        <v>70.243508185445023</v>
      </c>
      <c r="P305" s="15">
        <v>45592</v>
      </c>
      <c r="Q305" s="47">
        <f t="shared" si="19"/>
        <v>97.841605253396054</v>
      </c>
    </row>
    <row r="306" spans="5:17" x14ac:dyDescent="0.25">
      <c r="G306" s="239">
        <v>44498</v>
      </c>
      <c r="H306" s="47">
        <f t="shared" si="21"/>
        <v>36.07627148713987</v>
      </c>
      <c r="J306" s="15">
        <v>44863</v>
      </c>
      <c r="K306" s="47">
        <f t="shared" si="17"/>
        <v>50.43570598688499</v>
      </c>
      <c r="M306" s="15">
        <v>45228</v>
      </c>
      <c r="N306" s="47">
        <f t="shared" si="18"/>
        <v>70.307310937446545</v>
      </c>
      <c r="P306" s="15">
        <v>45593</v>
      </c>
      <c r="Q306" s="47">
        <f t="shared" si="19"/>
        <v>97.930475582294378</v>
      </c>
    </row>
    <row r="307" spans="5:17" x14ac:dyDescent="0.25">
      <c r="G307" s="239">
        <v>44499</v>
      </c>
      <c r="H307" s="47">
        <f t="shared" si="21"/>
        <v>36.109495184861423</v>
      </c>
      <c r="J307" s="15">
        <v>44864</v>
      </c>
      <c r="K307" s="47">
        <f t="shared" ref="K307:K369" si="22">K306*(1+$B$41)</f>
        <v>50.482153709474026</v>
      </c>
      <c r="M307" s="15">
        <v>45229</v>
      </c>
      <c r="N307" s="47">
        <f t="shared" si="18"/>
        <v>70.371171642008633</v>
      </c>
      <c r="P307" s="15">
        <v>45594</v>
      </c>
      <c r="Q307" s="47">
        <f t="shared" si="19"/>
        <v>98.019426632838048</v>
      </c>
    </row>
    <row r="308" spans="5:17" x14ac:dyDescent="0.25">
      <c r="G308" s="239">
        <v>44500</v>
      </c>
      <c r="H308" s="47">
        <f t="shared" si="21"/>
        <v>36.142749479261759</v>
      </c>
      <c r="J308" s="15">
        <v>44865</v>
      </c>
      <c r="K308" s="47">
        <f t="shared" si="22"/>
        <v>50.52864420713464</v>
      </c>
      <c r="M308" s="15">
        <v>45230</v>
      </c>
      <c r="N308" s="47">
        <f t="shared" si="18"/>
        <v>70.435090351770086</v>
      </c>
      <c r="P308" s="15">
        <v>45595</v>
      </c>
      <c r="Q308" s="47">
        <f t="shared" si="19"/>
        <v>98.108458478347188</v>
      </c>
    </row>
    <row r="309" spans="5:17" x14ac:dyDescent="0.25">
      <c r="G309" s="239">
        <v>44501</v>
      </c>
      <c r="H309" s="47">
        <f t="shared" si="21"/>
        <v>36.176034398518254</v>
      </c>
      <c r="J309" s="15">
        <v>44866</v>
      </c>
      <c r="K309" s="47">
        <f t="shared" si="22"/>
        <v>50.575177519259654</v>
      </c>
      <c r="M309" s="15">
        <v>45231</v>
      </c>
      <c r="N309" s="47">
        <f t="shared" si="18"/>
        <v>70.499067119417489</v>
      </c>
      <c r="P309" s="15">
        <v>45596</v>
      </c>
      <c r="Q309" s="47">
        <f t="shared" si="19"/>
        <v>98.197571192208514</v>
      </c>
    </row>
    <row r="310" spans="5:17" x14ac:dyDescent="0.25">
      <c r="G310" s="239">
        <v>44502</v>
      </c>
      <c r="H310" s="47">
        <f t="shared" si="21"/>
        <v>36.209349970834239</v>
      </c>
      <c r="J310" s="15">
        <v>44867</v>
      </c>
      <c r="K310" s="47">
        <f t="shared" si="22"/>
        <v>50.621753685278165</v>
      </c>
      <c r="M310" s="15">
        <v>45232</v>
      </c>
      <c r="N310" s="47">
        <f t="shared" si="18"/>
        <v>70.563101997685294</v>
      </c>
      <c r="P310" s="15">
        <v>45597</v>
      </c>
      <c r="Q310" s="47">
        <f t="shared" si="19"/>
        <v>98.286764847875418</v>
      </c>
    </row>
    <row r="311" spans="5:17" x14ac:dyDescent="0.25">
      <c r="G311" s="239">
        <v>44503</v>
      </c>
      <c r="H311" s="47">
        <f t="shared" si="21"/>
        <v>36.242696224439015</v>
      </c>
      <c r="J311" s="15">
        <v>44868</v>
      </c>
      <c r="K311" s="47">
        <f t="shared" si="22"/>
        <v>50.668372744655578</v>
      </c>
      <c r="M311" s="15">
        <v>45233</v>
      </c>
      <c r="N311" s="47">
        <f t="shared" si="18"/>
        <v>70.627195039355854</v>
      </c>
      <c r="P311" s="15">
        <v>45598</v>
      </c>
      <c r="Q311" s="47">
        <f t="shared" si="19"/>
        <v>98.376039518867998</v>
      </c>
    </row>
    <row r="312" spans="5:17" x14ac:dyDescent="0.25">
      <c r="G312" s="239">
        <v>44504</v>
      </c>
      <c r="H312" s="47">
        <f t="shared" si="21"/>
        <v>36.276073187587883</v>
      </c>
      <c r="J312" s="15">
        <v>44869</v>
      </c>
      <c r="K312" s="47">
        <f t="shared" si="22"/>
        <v>50.715034736893649</v>
      </c>
      <c r="M312" s="15">
        <v>45234</v>
      </c>
      <c r="N312" s="47">
        <f t="shared" si="18"/>
        <v>70.691346297259471</v>
      </c>
      <c r="P312" s="15">
        <v>45599</v>
      </c>
      <c r="Q312" s="47">
        <f t="shared" si="19"/>
        <v>98.465395278773144</v>
      </c>
    </row>
    <row r="313" spans="5:17" x14ac:dyDescent="0.25">
      <c r="G313" s="239">
        <v>44505</v>
      </c>
      <c r="H313" s="47">
        <f t="shared" si="21"/>
        <v>36.309480888562163</v>
      </c>
      <c r="J313" s="15">
        <v>44870</v>
      </c>
      <c r="K313" s="47">
        <f t="shared" si="22"/>
        <v>50.761739701530509</v>
      </c>
      <c r="M313" s="15">
        <v>45235</v>
      </c>
      <c r="N313" s="47">
        <f t="shared" si="18"/>
        <v>70.75555582427441</v>
      </c>
      <c r="P313" s="15">
        <v>45600</v>
      </c>
      <c r="Q313" s="47">
        <f t="shared" si="19"/>
        <v>98.554832201244579</v>
      </c>
    </row>
    <row r="314" spans="5:17" x14ac:dyDescent="0.25">
      <c r="G314" s="239">
        <v>44506</v>
      </c>
      <c r="H314" s="47">
        <f t="shared" si="21"/>
        <v>36.342919355669224</v>
      </c>
      <c r="J314" s="15">
        <v>44871</v>
      </c>
      <c r="K314" s="47">
        <f t="shared" si="22"/>
        <v>50.8084876781407</v>
      </c>
      <c r="M314" s="15">
        <v>45236</v>
      </c>
      <c r="N314" s="47">
        <f t="shared" si="18"/>
        <v>70.819823673326994</v>
      </c>
      <c r="P314" s="15">
        <v>45601</v>
      </c>
      <c r="Q314" s="47">
        <f t="shared" si="19"/>
        <v>98.644350360002917</v>
      </c>
    </row>
    <row r="315" spans="5:17" x14ac:dyDescent="0.25">
      <c r="G315" s="239">
        <v>44507</v>
      </c>
      <c r="H315" s="47">
        <f t="shared" si="21"/>
        <v>36.376388617242498</v>
      </c>
      <c r="J315" s="15">
        <v>44872</v>
      </c>
      <c r="K315" s="47">
        <f t="shared" si="22"/>
        <v>50.85527870633522</v>
      </c>
      <c r="M315" s="15">
        <v>45237</v>
      </c>
      <c r="N315" s="47">
        <f t="shared" si="18"/>
        <v>70.884149897391595</v>
      </c>
      <c r="P315" s="15">
        <v>45602</v>
      </c>
      <c r="Q315" s="47">
        <f t="shared" si="19"/>
        <v>98.733949828835748</v>
      </c>
    </row>
    <row r="316" spans="5:17" x14ac:dyDescent="0.25">
      <c r="G316" s="239">
        <v>44508</v>
      </c>
      <c r="H316" s="47">
        <f t="shared" si="21"/>
        <v>36.409888701641513</v>
      </c>
      <c r="J316" s="15">
        <v>44873</v>
      </c>
      <c r="K316" s="47">
        <f t="shared" si="22"/>
        <v>50.902112825761527</v>
      </c>
      <c r="M316" s="15">
        <v>45238</v>
      </c>
      <c r="N316" s="47">
        <f t="shared" si="18"/>
        <v>70.948534549490716</v>
      </c>
      <c r="P316" s="15">
        <v>45603</v>
      </c>
      <c r="Q316" s="47">
        <f t="shared" si="19"/>
        <v>98.823630681597663</v>
      </c>
    </row>
    <row r="317" spans="5:17" x14ac:dyDescent="0.25">
      <c r="G317" s="239">
        <v>44509</v>
      </c>
      <c r="H317" s="47">
        <f t="shared" si="21"/>
        <v>36.443419637251921</v>
      </c>
      <c r="J317" s="15">
        <v>44874</v>
      </c>
      <c r="K317" s="47">
        <f t="shared" si="22"/>
        <v>50.948990076103605</v>
      </c>
      <c r="M317" s="15">
        <v>45239</v>
      </c>
      <c r="N317" s="47">
        <f t="shared" si="18"/>
        <v>71.012977682695023</v>
      </c>
      <c r="P317" s="15">
        <v>45604</v>
      </c>
      <c r="Q317" s="47">
        <f t="shared" si="19"/>
        <v>98.913392992210362</v>
      </c>
    </row>
    <row r="318" spans="5:17" x14ac:dyDescent="0.25">
      <c r="G318" s="239">
        <v>44510</v>
      </c>
      <c r="H318" s="47">
        <f t="shared" si="21"/>
        <v>36.476981452485497</v>
      </c>
      <c r="J318" s="15">
        <v>44875</v>
      </c>
      <c r="K318" s="47">
        <f t="shared" si="22"/>
        <v>50.995910497081987</v>
      </c>
      <c r="M318" s="15">
        <v>45240</v>
      </c>
      <c r="N318" s="47">
        <f t="shared" si="18"/>
        <v>71.077479350123383</v>
      </c>
      <c r="P318" s="15">
        <v>45605</v>
      </c>
      <c r="Q318" s="47">
        <f t="shared" si="19"/>
        <v>99.003236834662673</v>
      </c>
    </row>
    <row r="319" spans="5:17" x14ac:dyDescent="0.25">
      <c r="E319" s="4"/>
      <c r="G319" s="239">
        <v>44511</v>
      </c>
      <c r="H319" s="47">
        <f t="shared" si="21"/>
        <v>36.510574175780199</v>
      </c>
      <c r="J319" s="15">
        <v>44876</v>
      </c>
      <c r="K319" s="47">
        <f t="shared" si="22"/>
        <v>51.042874128453768</v>
      </c>
      <c r="M319" s="15">
        <v>45241</v>
      </c>
      <c r="N319" s="47">
        <f t="shared" si="18"/>
        <v>71.142039604942894</v>
      </c>
      <c r="P319" s="15">
        <v>45606</v>
      </c>
      <c r="Q319" s="47">
        <f t="shared" si="19"/>
        <v>99.093162283010628</v>
      </c>
    </row>
    <row r="320" spans="5:17" x14ac:dyDescent="0.25">
      <c r="E320" s="2"/>
      <c r="G320" s="239">
        <v>44512</v>
      </c>
      <c r="H320" s="47">
        <f t="shared" si="21"/>
        <v>36.544197835600173</v>
      </c>
      <c r="J320" s="15">
        <v>44877</v>
      </c>
      <c r="K320" s="47">
        <f t="shared" si="22"/>
        <v>51.089881010012675</v>
      </c>
      <c r="M320" s="15">
        <v>45242</v>
      </c>
      <c r="N320" s="47">
        <f t="shared" si="18"/>
        <v>71.206658500368974</v>
      </c>
      <c r="P320" s="15">
        <v>45607</v>
      </c>
      <c r="Q320" s="47">
        <f t="shared" si="19"/>
        <v>99.183169411377534</v>
      </c>
    </row>
    <row r="321" spans="6:17" x14ac:dyDescent="0.25">
      <c r="G321" s="239">
        <v>44513</v>
      </c>
      <c r="H321" s="47">
        <f t="shared" si="21"/>
        <v>36.577852460435764</v>
      </c>
      <c r="J321" s="15">
        <v>44878</v>
      </c>
      <c r="K321" s="47">
        <f t="shared" si="22"/>
        <v>51.136931181589077</v>
      </c>
      <c r="M321" s="15">
        <v>45243</v>
      </c>
      <c r="N321" s="47">
        <f t="shared" si="18"/>
        <v>71.271336089665368</v>
      </c>
      <c r="P321" s="15">
        <v>45608</v>
      </c>
      <c r="Q321" s="47">
        <f t="shared" si="19"/>
        <v>99.273258293954015</v>
      </c>
    </row>
    <row r="322" spans="6:17" x14ac:dyDescent="0.25">
      <c r="G322" s="239">
        <v>44514</v>
      </c>
      <c r="H322" s="47">
        <f t="shared" si="21"/>
        <v>36.611538078803569</v>
      </c>
      <c r="J322" s="15">
        <v>44879</v>
      </c>
      <c r="K322" s="47">
        <f t="shared" si="22"/>
        <v>51.184024683050019</v>
      </c>
      <c r="M322" s="15">
        <v>45244</v>
      </c>
      <c r="N322" s="47">
        <f t="shared" si="18"/>
        <v>71.336072426144185</v>
      </c>
      <c r="P322" s="15">
        <v>45609</v>
      </c>
      <c r="Q322" s="47">
        <f t="shared" si="19"/>
        <v>99.363429004998096</v>
      </c>
    </row>
    <row r="323" spans="6:17" x14ac:dyDescent="0.25">
      <c r="G323" s="239">
        <v>44515</v>
      </c>
      <c r="H323" s="47">
        <f t="shared" si="21"/>
        <v>36.645254719246438</v>
      </c>
      <c r="J323" s="15">
        <v>44880</v>
      </c>
      <c r="K323" s="47">
        <f t="shared" si="22"/>
        <v>51.23116155429927</v>
      </c>
      <c r="M323" s="15">
        <v>45245</v>
      </c>
      <c r="N323" s="47">
        <f t="shared" si="18"/>
        <v>71.400867563165988</v>
      </c>
      <c r="P323" s="15">
        <v>45610</v>
      </c>
      <c r="Q323" s="47">
        <f t="shared" si="19"/>
        <v>99.453681618835233</v>
      </c>
    </row>
    <row r="324" spans="6:17" x14ac:dyDescent="0.25">
      <c r="F324" t="s">
        <v>199</v>
      </c>
      <c r="G324" s="238">
        <v>44516</v>
      </c>
      <c r="H324" s="47">
        <f>H323*(1+$B$32)</f>
        <v>36.679002410333517</v>
      </c>
      <c r="J324" s="15">
        <v>44881</v>
      </c>
      <c r="K324" s="47">
        <f t="shared" si="22"/>
        <v>51.278341835277331</v>
      </c>
      <c r="M324" s="15">
        <v>45246</v>
      </c>
      <c r="N324" s="47">
        <f t="shared" si="18"/>
        <v>71.465721554139776</v>
      </c>
      <c r="P324" s="15">
        <v>45611</v>
      </c>
      <c r="Q324" s="47">
        <f t="shared" si="19"/>
        <v>99.544016209858398</v>
      </c>
    </row>
    <row r="325" spans="6:17" x14ac:dyDescent="0.25">
      <c r="G325" s="238">
        <v>44517</v>
      </c>
      <c r="H325" s="47">
        <f t="shared" ref="H325:H353" si="23">H324*(1+$B$32)</f>
        <v>36.712781180660251</v>
      </c>
      <c r="J325" s="15">
        <v>44882</v>
      </c>
      <c r="K325" s="47">
        <f t="shared" si="22"/>
        <v>51.325565565961504</v>
      </c>
      <c r="M325" s="15">
        <v>45247</v>
      </c>
      <c r="N325" s="47">
        <f t="shared" si="18"/>
        <v>71.530634452523074</v>
      </c>
      <c r="P325" s="15">
        <v>45612</v>
      </c>
      <c r="Q325" s="47">
        <f t="shared" si="19"/>
        <v>99.63443285252815</v>
      </c>
    </row>
    <row r="326" spans="6:17" x14ac:dyDescent="0.25">
      <c r="G326" s="238">
        <v>44518</v>
      </c>
      <c r="H326" s="47">
        <f t="shared" si="23"/>
        <v>36.746591058848431</v>
      </c>
      <c r="J326" s="15">
        <v>44883</v>
      </c>
      <c r="K326" s="47">
        <f t="shared" si="22"/>
        <v>51.372832786365898</v>
      </c>
      <c r="M326" s="15">
        <v>45248</v>
      </c>
      <c r="N326" s="47">
        <f t="shared" ref="N326:N369" si="24">N325*(1+$B$43)</f>
        <v>71.595606311821967</v>
      </c>
      <c r="P326" s="15">
        <v>45613</v>
      </c>
      <c r="Q326" s="47">
        <f t="shared" ref="Q326:Q370" si="25">Q325*(1+$B$45)</f>
        <v>99.724931621372662</v>
      </c>
    </row>
    <row r="327" spans="6:17" x14ac:dyDescent="0.25">
      <c r="G327" s="238">
        <v>44519</v>
      </c>
      <c r="H327" s="47">
        <f t="shared" si="23"/>
        <v>36.780432073546194</v>
      </c>
      <c r="J327" s="15">
        <v>44884</v>
      </c>
      <c r="K327" s="47">
        <f t="shared" si="22"/>
        <v>51.420143536541467</v>
      </c>
      <c r="M327" s="15">
        <v>45249</v>
      </c>
      <c r="N327" s="47">
        <f t="shared" si="24"/>
        <v>71.660637185591142</v>
      </c>
      <c r="P327" s="15">
        <v>45614</v>
      </c>
      <c r="Q327" s="47">
        <f t="shared" si="25"/>
        <v>99.815512590987808</v>
      </c>
    </row>
    <row r="328" spans="6:17" x14ac:dyDescent="0.25">
      <c r="G328" s="238">
        <v>44520</v>
      </c>
      <c r="H328" s="47">
        <f t="shared" si="23"/>
        <v>36.81430425342807</v>
      </c>
      <c r="J328" s="15">
        <v>44885</v>
      </c>
      <c r="K328" s="47">
        <f t="shared" si="22"/>
        <v>51.46749785657606</v>
      </c>
      <c r="M328" s="15">
        <v>45250</v>
      </c>
      <c r="N328" s="47">
        <f t="shared" si="24"/>
        <v>71.725727127433913</v>
      </c>
      <c r="P328" s="15">
        <v>45615</v>
      </c>
      <c r="Q328" s="47">
        <f t="shared" si="25"/>
        <v>99.906175836037221</v>
      </c>
    </row>
    <row r="329" spans="6:17" x14ac:dyDescent="0.25">
      <c r="G329" s="238">
        <v>44521</v>
      </c>
      <c r="H329" s="47">
        <f t="shared" si="23"/>
        <v>36.848207627194988</v>
      </c>
      <c r="J329" s="15">
        <v>44886</v>
      </c>
      <c r="K329" s="47">
        <f t="shared" si="22"/>
        <v>51.514895786594444</v>
      </c>
      <c r="M329" s="15">
        <v>45251</v>
      </c>
      <c r="N329" s="47">
        <f t="shared" si="24"/>
        <v>71.790876191002297</v>
      </c>
      <c r="P329" s="15">
        <v>45616</v>
      </c>
      <c r="Q329" s="47">
        <f t="shared" si="25"/>
        <v>99.996921431252346</v>
      </c>
    </row>
    <row r="330" spans="6:17" x14ac:dyDescent="0.25">
      <c r="G330" s="238">
        <v>44522</v>
      </c>
      <c r="H330" s="47">
        <f t="shared" si="23"/>
        <v>36.882142223574313</v>
      </c>
      <c r="J330" s="15">
        <v>44887</v>
      </c>
      <c r="K330" s="47">
        <f t="shared" si="22"/>
        <v>51.562337366758328</v>
      </c>
      <c r="M330" s="15">
        <v>45252</v>
      </c>
      <c r="N330" s="47">
        <f t="shared" si="24"/>
        <v>71.856084429997054</v>
      </c>
      <c r="P330" s="15">
        <v>45617</v>
      </c>
      <c r="Q330" s="47">
        <f t="shared" si="25"/>
        <v>100.08774945143252</v>
      </c>
    </row>
    <row r="331" spans="6:17" x14ac:dyDescent="0.25">
      <c r="G331" s="238">
        <v>44523</v>
      </c>
      <c r="H331" s="47">
        <f t="shared" si="23"/>
        <v>36.916108071319861</v>
      </c>
      <c r="J331" s="15">
        <v>44888</v>
      </c>
      <c r="K331" s="47">
        <f t="shared" si="22"/>
        <v>51.609822637266412</v>
      </c>
      <c r="M331" s="15">
        <v>45253</v>
      </c>
      <c r="N331" s="47">
        <f t="shared" si="24"/>
        <v>71.921351898167686</v>
      </c>
      <c r="P331" s="15">
        <v>45618</v>
      </c>
      <c r="Q331" s="47">
        <f t="shared" si="25"/>
        <v>100.178659971445</v>
      </c>
    </row>
    <row r="332" spans="6:17" x14ac:dyDescent="0.25">
      <c r="G332" s="238">
        <v>44524</v>
      </c>
      <c r="H332" s="47">
        <f t="shared" si="23"/>
        <v>36.95010519921194</v>
      </c>
      <c r="J332" s="15">
        <v>44889</v>
      </c>
      <c r="K332" s="47">
        <f t="shared" si="22"/>
        <v>51.65735163835442</v>
      </c>
      <c r="M332" s="15">
        <v>45254</v>
      </c>
      <c r="N332" s="47">
        <f t="shared" si="24"/>
        <v>71.986678649312552</v>
      </c>
      <c r="P332" s="15">
        <v>45619</v>
      </c>
      <c r="Q332" s="47">
        <f t="shared" si="25"/>
        <v>100.26965306622508</v>
      </c>
    </row>
    <row r="333" spans="6:17" x14ac:dyDescent="0.25">
      <c r="G333" s="238">
        <v>44525</v>
      </c>
      <c r="H333" s="47">
        <f t="shared" si="23"/>
        <v>36.984133636057358</v>
      </c>
      <c r="J333" s="15">
        <v>44890</v>
      </c>
      <c r="K333" s="47">
        <f t="shared" si="22"/>
        <v>51.704924410295128</v>
      </c>
      <c r="M333" s="15">
        <v>45255</v>
      </c>
      <c r="N333" s="47">
        <f t="shared" si="24"/>
        <v>72.052064737278855</v>
      </c>
      <c r="P333" s="15">
        <v>45620</v>
      </c>
      <c r="Q333" s="47">
        <f t="shared" si="25"/>
        <v>100.36072881077607</v>
      </c>
    </row>
    <row r="334" spans="6:17" x14ac:dyDescent="0.25">
      <c r="G334" s="238">
        <v>44526</v>
      </c>
      <c r="H334" s="47">
        <f t="shared" si="23"/>
        <v>37.018193410689442</v>
      </c>
      <c r="J334" s="15">
        <v>44891</v>
      </c>
      <c r="K334" s="47">
        <f t="shared" si="22"/>
        <v>51.752540993398398</v>
      </c>
      <c r="M334" s="15">
        <v>45256</v>
      </c>
      <c r="N334" s="47">
        <f t="shared" si="24"/>
        <v>72.11751021596271</v>
      </c>
      <c r="P334" s="15">
        <v>45621</v>
      </c>
      <c r="Q334" s="47">
        <f t="shared" si="25"/>
        <v>100.45188728016943</v>
      </c>
    </row>
    <row r="335" spans="6:17" x14ac:dyDescent="0.25">
      <c r="G335" s="238">
        <v>44527</v>
      </c>
      <c r="H335" s="47">
        <f t="shared" si="23"/>
        <v>37.052284551968086</v>
      </c>
      <c r="J335" s="15">
        <v>44892</v>
      </c>
      <c r="K335" s="47">
        <f t="shared" si="22"/>
        <v>51.800201428011214</v>
      </c>
      <c r="M335" s="15">
        <v>45257</v>
      </c>
      <c r="N335" s="47">
        <f t="shared" si="24"/>
        <v>72.183015139309205</v>
      </c>
      <c r="P335" s="15">
        <v>45622</v>
      </c>
      <c r="Q335" s="47">
        <f t="shared" si="25"/>
        <v>100.54312854954483</v>
      </c>
    </row>
    <row r="336" spans="6:17" x14ac:dyDescent="0.25">
      <c r="G336" s="238">
        <v>44528</v>
      </c>
      <c r="H336" s="47">
        <f t="shared" si="23"/>
        <v>37.086407088779751</v>
      </c>
      <c r="J336" s="15">
        <v>44893</v>
      </c>
      <c r="K336" s="47">
        <f t="shared" si="22"/>
        <v>51.847905754517718</v>
      </c>
      <c r="M336" s="15">
        <v>45258</v>
      </c>
      <c r="N336" s="47">
        <f t="shared" si="24"/>
        <v>72.248579561312397</v>
      </c>
      <c r="P336" s="15">
        <v>45623</v>
      </c>
      <c r="Q336" s="47">
        <f t="shared" si="25"/>
        <v>100.63445269411017</v>
      </c>
    </row>
    <row r="337" spans="2:17" x14ac:dyDescent="0.25">
      <c r="G337" s="238">
        <v>44529</v>
      </c>
      <c r="H337" s="47">
        <f t="shared" si="23"/>
        <v>37.120561050037509</v>
      </c>
      <c r="J337" s="15">
        <v>44894</v>
      </c>
      <c r="K337" s="47">
        <f t="shared" si="22"/>
        <v>51.895654013339247</v>
      </c>
      <c r="M337" s="15">
        <v>45259</v>
      </c>
      <c r="N337" s="47">
        <f t="shared" si="24"/>
        <v>72.314203536015413</v>
      </c>
      <c r="P337" s="15">
        <v>45624</v>
      </c>
      <c r="Q337" s="47">
        <f t="shared" si="25"/>
        <v>100.72585978914164</v>
      </c>
    </row>
    <row r="338" spans="2:17" x14ac:dyDescent="0.25">
      <c r="G338" s="238">
        <v>44530</v>
      </c>
      <c r="H338" s="47">
        <f t="shared" si="23"/>
        <v>37.154746464681054</v>
      </c>
      <c r="J338" s="15">
        <v>44895</v>
      </c>
      <c r="K338" s="47">
        <f t="shared" si="22"/>
        <v>51.943446244934357</v>
      </c>
      <c r="M338" s="15">
        <v>45260</v>
      </c>
      <c r="N338" s="47">
        <f t="shared" si="24"/>
        <v>72.379887117510449</v>
      </c>
      <c r="P338" s="15">
        <v>45625</v>
      </c>
      <c r="Q338" s="47">
        <f t="shared" si="25"/>
        <v>100.81734990998383</v>
      </c>
    </row>
    <row r="339" spans="2:17" x14ac:dyDescent="0.25">
      <c r="G339" s="238">
        <v>44531</v>
      </c>
      <c r="H339" s="47">
        <f t="shared" si="23"/>
        <v>37.188963361676734</v>
      </c>
      <c r="J339" s="15">
        <v>44896</v>
      </c>
      <c r="K339" s="47">
        <f t="shared" si="22"/>
        <v>51.99128248979887</v>
      </c>
      <c r="M339" s="15">
        <v>45261</v>
      </c>
      <c r="N339" s="47">
        <f t="shared" si="24"/>
        <v>72.445630359938846</v>
      </c>
      <c r="P339" s="15">
        <v>45626</v>
      </c>
      <c r="Q339" s="47">
        <f t="shared" si="25"/>
        <v>100.90892313204978</v>
      </c>
    </row>
    <row r="340" spans="2:17" x14ac:dyDescent="0.25">
      <c r="G340" s="238">
        <v>44532</v>
      </c>
      <c r="H340" s="47">
        <f t="shared" si="23"/>
        <v>37.223211770017564</v>
      </c>
      <c r="J340" s="15">
        <v>44897</v>
      </c>
      <c r="K340" s="47">
        <f t="shared" si="22"/>
        <v>52.039162788465894</v>
      </c>
      <c r="M340" s="15">
        <v>45262</v>
      </c>
      <c r="N340" s="47">
        <f t="shared" si="24"/>
        <v>72.511433317491111</v>
      </c>
      <c r="P340" s="15">
        <v>45627</v>
      </c>
      <c r="Q340" s="47">
        <f t="shared" si="25"/>
        <v>101.000579530821</v>
      </c>
    </row>
    <row r="341" spans="2:17" x14ac:dyDescent="0.25">
      <c r="G341" s="238">
        <v>44533</v>
      </c>
      <c r="H341" s="47">
        <f t="shared" si="23"/>
        <v>37.257491718723273</v>
      </c>
      <c r="J341" s="15">
        <v>44898</v>
      </c>
      <c r="K341" s="47">
        <f t="shared" si="22"/>
        <v>52.087087181505872</v>
      </c>
      <c r="M341" s="15">
        <v>45263</v>
      </c>
      <c r="N341" s="47">
        <f t="shared" si="24"/>
        <v>72.577296044406978</v>
      </c>
      <c r="P341" s="15">
        <v>45628</v>
      </c>
      <c r="Q341" s="47">
        <f t="shared" si="25"/>
        <v>101.09231918184757</v>
      </c>
    </row>
    <row r="342" spans="2:17" x14ac:dyDescent="0.25">
      <c r="B342" s="3"/>
      <c r="G342" s="238">
        <v>44534</v>
      </c>
      <c r="H342" s="47">
        <f t="shared" si="23"/>
        <v>37.291803236840309</v>
      </c>
      <c r="J342" s="15">
        <v>44899</v>
      </c>
      <c r="K342" s="47">
        <f t="shared" si="22"/>
        <v>52.135055709526611</v>
      </c>
      <c r="M342" s="15">
        <v>45264</v>
      </c>
      <c r="N342" s="47">
        <f t="shared" si="24"/>
        <v>72.643218594975451</v>
      </c>
      <c r="P342" s="15">
        <v>45629</v>
      </c>
      <c r="Q342" s="47">
        <f t="shared" si="25"/>
        <v>101.18414216074819</v>
      </c>
    </row>
    <row r="343" spans="2:17" x14ac:dyDescent="0.25">
      <c r="B343" s="3"/>
      <c r="G343" s="238">
        <v>44535</v>
      </c>
      <c r="H343" s="47">
        <f t="shared" si="23"/>
        <v>37.326146353441871</v>
      </c>
      <c r="J343" s="15">
        <v>44900</v>
      </c>
      <c r="K343" s="47">
        <f t="shared" si="22"/>
        <v>52.183068413173302</v>
      </c>
      <c r="M343" s="15">
        <v>45265</v>
      </c>
      <c r="N343" s="47">
        <f t="shared" si="24"/>
        <v>72.709201023534845</v>
      </c>
      <c r="P343" s="15">
        <v>45630</v>
      </c>
      <c r="Q343" s="47">
        <f t="shared" si="25"/>
        <v>101.27604854321027</v>
      </c>
    </row>
    <row r="344" spans="2:17" x14ac:dyDescent="0.25">
      <c r="B344" s="3"/>
      <c r="G344" s="238">
        <v>44536</v>
      </c>
      <c r="H344" s="47">
        <f t="shared" si="23"/>
        <v>37.360521097627931</v>
      </c>
      <c r="J344" s="15">
        <v>44901</v>
      </c>
      <c r="K344" s="47">
        <f t="shared" si="22"/>
        <v>52.231125333128581</v>
      </c>
      <c r="M344" s="15">
        <v>45266</v>
      </c>
      <c r="N344" s="47">
        <f t="shared" si="24"/>
        <v>72.77524338447283</v>
      </c>
      <c r="P344" s="15">
        <v>45631</v>
      </c>
      <c r="Q344" s="47">
        <f t="shared" si="25"/>
        <v>101.3680384049899</v>
      </c>
    </row>
    <row r="345" spans="2:17" x14ac:dyDescent="0.25">
      <c r="G345" s="238">
        <v>44537</v>
      </c>
      <c r="H345" s="47">
        <f t="shared" si="23"/>
        <v>37.394927498525256</v>
      </c>
      <c r="J345" s="15">
        <v>44902</v>
      </c>
      <c r="K345" s="47">
        <f t="shared" si="22"/>
        <v>52.279226510112544</v>
      </c>
      <c r="M345" s="15">
        <v>45267</v>
      </c>
      <c r="N345" s="47">
        <f t="shared" si="24"/>
        <v>72.841345732226472</v>
      </c>
      <c r="P345" s="15">
        <v>45632</v>
      </c>
      <c r="Q345" s="47">
        <f t="shared" si="25"/>
        <v>101.46011182191207</v>
      </c>
    </row>
    <row r="346" spans="2:17" x14ac:dyDescent="0.25">
      <c r="B346" s="2"/>
      <c r="G346" s="238">
        <v>44538</v>
      </c>
      <c r="H346" s="47">
        <f t="shared" si="23"/>
        <v>37.429365585287442</v>
      </c>
      <c r="J346" s="15">
        <v>44903</v>
      </c>
      <c r="K346" s="47">
        <f t="shared" si="22"/>
        <v>52.327371984882788</v>
      </c>
      <c r="M346" s="15">
        <v>45268</v>
      </c>
      <c r="N346" s="47">
        <f t="shared" si="24"/>
        <v>72.907508121282277</v>
      </c>
      <c r="P346" s="15">
        <v>45633</v>
      </c>
      <c r="Q346" s="47">
        <f t="shared" si="25"/>
        <v>101.55226886987057</v>
      </c>
    </row>
    <row r="347" spans="2:17" x14ac:dyDescent="0.25">
      <c r="G347" s="238">
        <v>44539</v>
      </c>
      <c r="H347" s="47">
        <f t="shared" si="23"/>
        <v>37.463835387094939</v>
      </c>
      <c r="J347" s="15">
        <v>44904</v>
      </c>
      <c r="K347" s="47">
        <f t="shared" si="22"/>
        <v>52.37556179823445</v>
      </c>
      <c r="M347" s="15">
        <v>45269</v>
      </c>
      <c r="N347" s="47">
        <f t="shared" si="24"/>
        <v>72.973730606176261</v>
      </c>
      <c r="P347" s="15">
        <v>45634</v>
      </c>
      <c r="Q347" s="47">
        <f t="shared" si="25"/>
        <v>101.64450962482817</v>
      </c>
    </row>
    <row r="348" spans="2:17" x14ac:dyDescent="0.25">
      <c r="G348" s="238">
        <v>44540</v>
      </c>
      <c r="H348" s="47">
        <f t="shared" si="23"/>
        <v>37.498336933155059</v>
      </c>
      <c r="J348" s="15">
        <v>44905</v>
      </c>
      <c r="K348" s="47">
        <f t="shared" si="22"/>
        <v>52.423795991000226</v>
      </c>
      <c r="M348" s="15">
        <v>45270</v>
      </c>
      <c r="N348" s="47">
        <f t="shared" si="24"/>
        <v>73.040013241493952</v>
      </c>
      <c r="P348" s="15">
        <v>45635</v>
      </c>
      <c r="Q348" s="47">
        <f t="shared" si="25"/>
        <v>101.73683416281662</v>
      </c>
    </row>
    <row r="349" spans="2:17" x14ac:dyDescent="0.25">
      <c r="G349" s="238">
        <v>44541</v>
      </c>
      <c r="H349" s="47">
        <f t="shared" si="23"/>
        <v>37.532870252702011</v>
      </c>
      <c r="J349" s="15">
        <v>44906</v>
      </c>
      <c r="K349" s="47">
        <f t="shared" si="22"/>
        <v>52.47207460405042</v>
      </c>
      <c r="M349" s="15">
        <v>45271</v>
      </c>
      <c r="N349" s="47">
        <f t="shared" si="24"/>
        <v>73.106356081870487</v>
      </c>
      <c r="P349" s="15">
        <v>45636</v>
      </c>
      <c r="Q349" s="47">
        <f t="shared" si="25"/>
        <v>101.82924255993673</v>
      </c>
    </row>
    <row r="350" spans="2:17" x14ac:dyDescent="0.25">
      <c r="G350" s="238">
        <v>44542</v>
      </c>
      <c r="H350" s="47">
        <f t="shared" si="23"/>
        <v>37.56743537499694</v>
      </c>
      <c r="J350" s="15">
        <v>44907</v>
      </c>
      <c r="K350" s="47">
        <f t="shared" si="22"/>
        <v>52.52039767829298</v>
      </c>
      <c r="M350" s="15">
        <v>45272</v>
      </c>
      <c r="N350" s="47">
        <f t="shared" si="24"/>
        <v>73.1727591819906</v>
      </c>
      <c r="P350" s="15">
        <v>45637</v>
      </c>
      <c r="Q350" s="47">
        <f t="shared" si="25"/>
        <v>101.92173489235843</v>
      </c>
    </row>
    <row r="351" spans="2:17" x14ac:dyDescent="0.25">
      <c r="G351" s="238">
        <v>44543</v>
      </c>
      <c r="H351" s="47">
        <f t="shared" si="23"/>
        <v>37.602032329327926</v>
      </c>
      <c r="J351" s="15">
        <v>44908</v>
      </c>
      <c r="K351" s="47">
        <f t="shared" si="22"/>
        <v>52.568765254673522</v>
      </c>
      <c r="M351" s="15">
        <v>45273</v>
      </c>
      <c r="N351" s="47">
        <f t="shared" si="24"/>
        <v>73.239222596588718</v>
      </c>
      <c r="P351" s="15">
        <v>45638</v>
      </c>
      <c r="Q351" s="47">
        <f t="shared" si="25"/>
        <v>102.01431123632084</v>
      </c>
    </row>
    <row r="352" spans="2:17" x14ac:dyDescent="0.25">
      <c r="G352" s="238">
        <v>44544</v>
      </c>
      <c r="H352" s="47">
        <f t="shared" si="23"/>
        <v>37.636661145010031</v>
      </c>
      <c r="J352" s="15">
        <v>44909</v>
      </c>
      <c r="K352" s="47">
        <f t="shared" si="22"/>
        <v>52.61717737417537</v>
      </c>
      <c r="M352" s="15">
        <v>45274</v>
      </c>
      <c r="N352" s="47">
        <f t="shared" si="24"/>
        <v>73.305746380448966</v>
      </c>
      <c r="P352" s="15">
        <v>45639</v>
      </c>
      <c r="Q352" s="47">
        <f t="shared" si="25"/>
        <v>102.10697166813232</v>
      </c>
    </row>
    <row r="353" spans="6:17" x14ac:dyDescent="0.25">
      <c r="G353" s="238">
        <v>44545</v>
      </c>
      <c r="H353" s="47">
        <f t="shared" si="23"/>
        <v>37.671321851385301</v>
      </c>
      <c r="J353" s="15">
        <v>44910</v>
      </c>
      <c r="K353" s="47">
        <f t="shared" si="22"/>
        <v>52.665634077819597</v>
      </c>
      <c r="M353" s="15">
        <v>45275</v>
      </c>
      <c r="N353" s="47">
        <f t="shared" si="24"/>
        <v>73.372330588405248</v>
      </c>
      <c r="P353" s="15">
        <v>45640</v>
      </c>
      <c r="Q353" s="47">
        <f t="shared" si="25"/>
        <v>102.19971626417056</v>
      </c>
    </row>
    <row r="354" spans="6:17" x14ac:dyDescent="0.25">
      <c r="F354" t="s">
        <v>200</v>
      </c>
      <c r="G354" s="239">
        <v>44546</v>
      </c>
      <c r="H354" s="47">
        <f>H353*(1+$B$34)</f>
        <v>37.706014477822819</v>
      </c>
      <c r="J354" s="15">
        <v>44911</v>
      </c>
      <c r="K354" s="47">
        <f t="shared" si="22"/>
        <v>52.714135406665044</v>
      </c>
      <c r="M354" s="15">
        <v>45276</v>
      </c>
      <c r="N354" s="47">
        <f t="shared" si="24"/>
        <v>73.438975275341249</v>
      </c>
      <c r="P354" s="15">
        <v>45641</v>
      </c>
      <c r="Q354" s="47">
        <f t="shared" si="25"/>
        <v>102.29254510088262</v>
      </c>
    </row>
    <row r="355" spans="6:17" x14ac:dyDescent="0.25">
      <c r="G355" s="239">
        <v>44547</v>
      </c>
      <c r="H355" s="47">
        <f t="shared" ref="H355:H369" si="26">H354*(1+$B$34)</f>
        <v>37.740739053718706</v>
      </c>
      <c r="J355" s="15">
        <v>44912</v>
      </c>
      <c r="K355" s="47">
        <f t="shared" si="22"/>
        <v>52.762681401808372</v>
      </c>
      <c r="M355" s="15">
        <v>45277</v>
      </c>
      <c r="N355" s="47">
        <f t="shared" si="24"/>
        <v>73.505680496190536</v>
      </c>
      <c r="P355" s="15">
        <v>45642</v>
      </c>
      <c r="Q355" s="47">
        <f t="shared" si="25"/>
        <v>102.38545825478498</v>
      </c>
    </row>
    <row r="356" spans="6:17" x14ac:dyDescent="0.25">
      <c r="G356" s="239">
        <v>44548</v>
      </c>
      <c r="H356" s="47">
        <f t="shared" si="26"/>
        <v>37.775495608496151</v>
      </c>
      <c r="J356" s="15">
        <v>44913</v>
      </c>
      <c r="K356" s="47">
        <f t="shared" si="22"/>
        <v>52.811272104384088</v>
      </c>
      <c r="M356" s="15">
        <v>45278</v>
      </c>
      <c r="N356" s="47">
        <f t="shared" si="24"/>
        <v>73.572446305936538</v>
      </c>
      <c r="P356" s="15">
        <v>45643</v>
      </c>
      <c r="Q356" s="47">
        <f t="shared" si="25"/>
        <v>102.47845580246363</v>
      </c>
    </row>
    <row r="357" spans="6:17" x14ac:dyDescent="0.25">
      <c r="G357" s="239">
        <v>44549</v>
      </c>
      <c r="H357" s="47">
        <f t="shared" si="26"/>
        <v>37.810284171605453</v>
      </c>
      <c r="J357" s="15">
        <v>44914</v>
      </c>
      <c r="K357" s="47">
        <f t="shared" si="22"/>
        <v>52.859907555564575</v>
      </c>
      <c r="M357" s="15">
        <v>45279</v>
      </c>
      <c r="N357" s="47">
        <f t="shared" si="24"/>
        <v>73.639272759612652</v>
      </c>
      <c r="P357" s="15">
        <v>45644</v>
      </c>
      <c r="Q357" s="47">
        <f t="shared" si="25"/>
        <v>102.57153782057414</v>
      </c>
    </row>
    <row r="358" spans="6:17" x14ac:dyDescent="0.25">
      <c r="G358" s="239">
        <v>44550</v>
      </c>
      <c r="H358" s="47">
        <f t="shared" si="26"/>
        <v>37.845104772524017</v>
      </c>
      <c r="J358" s="15">
        <v>44915</v>
      </c>
      <c r="K358" s="47">
        <f t="shared" si="22"/>
        <v>52.908587796560141</v>
      </c>
      <c r="M358" s="15">
        <v>45280</v>
      </c>
      <c r="N358" s="47">
        <f t="shared" si="24"/>
        <v>73.706159912302269</v>
      </c>
      <c r="P358" s="15">
        <v>45645</v>
      </c>
      <c r="Q358" s="47">
        <f t="shared" si="25"/>
        <v>102.66470438584169</v>
      </c>
    </row>
    <row r="359" spans="6:17" x14ac:dyDescent="0.25">
      <c r="G359" s="239">
        <v>44551</v>
      </c>
      <c r="H359" s="47">
        <f t="shared" si="26"/>
        <v>37.879957440756407</v>
      </c>
      <c r="J359" s="15">
        <v>44916</v>
      </c>
      <c r="K359" s="47">
        <f t="shared" si="22"/>
        <v>52.957312868619034</v>
      </c>
      <c r="M359" s="15">
        <v>45281</v>
      </c>
      <c r="N359" s="47">
        <f t="shared" si="24"/>
        <v>73.773107819138787</v>
      </c>
      <c r="P359" s="15">
        <v>45646</v>
      </c>
      <c r="Q359" s="47">
        <f t="shared" si="25"/>
        <v>102.75795557506115</v>
      </c>
    </row>
    <row r="360" spans="6:17" x14ac:dyDescent="0.25">
      <c r="G360" s="239">
        <v>44552</v>
      </c>
      <c r="H360" s="47">
        <f t="shared" si="26"/>
        <v>37.914842205834354</v>
      </c>
      <c r="J360" s="15">
        <v>44917</v>
      </c>
      <c r="K360" s="47">
        <f t="shared" si="22"/>
        <v>53.006082813027504</v>
      </c>
      <c r="M360" s="15">
        <v>45282</v>
      </c>
      <c r="N360" s="47">
        <f t="shared" si="24"/>
        <v>73.840116535305683</v>
      </c>
      <c r="P360" s="15">
        <v>45647</v>
      </c>
      <c r="Q360" s="47">
        <f t="shared" si="25"/>
        <v>102.85129146509713</v>
      </c>
    </row>
    <row r="361" spans="6:17" x14ac:dyDescent="0.25">
      <c r="G361" s="239">
        <v>44553</v>
      </c>
      <c r="H361" s="47">
        <f t="shared" si="26"/>
        <v>37.949759097316779</v>
      </c>
      <c r="J361" s="15">
        <v>44918</v>
      </c>
      <c r="K361" s="47">
        <f t="shared" si="22"/>
        <v>53.054897671109813</v>
      </c>
      <c r="M361" s="15">
        <v>45283</v>
      </c>
      <c r="N361" s="47">
        <f t="shared" si="24"/>
        <v>73.907186116036584</v>
      </c>
      <c r="P361" s="15">
        <v>45648</v>
      </c>
      <c r="Q361" s="47">
        <f t="shared" si="25"/>
        <v>102.94471213288411</v>
      </c>
    </row>
    <row r="362" spans="6:17" x14ac:dyDescent="0.25">
      <c r="G362" s="239">
        <v>44554</v>
      </c>
      <c r="H362" s="47">
        <f t="shared" si="26"/>
        <v>37.984708144789842</v>
      </c>
      <c r="J362" s="15">
        <v>44919</v>
      </c>
      <c r="K362" s="47">
        <f t="shared" si="22"/>
        <v>53.103757484228289</v>
      </c>
      <c r="M362" s="15">
        <v>45284</v>
      </c>
      <c r="N362" s="47">
        <f t="shared" si="24"/>
        <v>73.974316616615269</v>
      </c>
      <c r="P362" s="15">
        <v>45649</v>
      </c>
      <c r="Q362" s="47">
        <f t="shared" si="25"/>
        <v>103.03821765542638</v>
      </c>
    </row>
    <row r="363" spans="6:17" x14ac:dyDescent="0.25">
      <c r="G363" s="239">
        <v>44555</v>
      </c>
      <c r="H363" s="47">
        <f t="shared" si="26"/>
        <v>38.019689377866932</v>
      </c>
      <c r="J363" s="15">
        <v>44920</v>
      </c>
      <c r="K363" s="47">
        <f t="shared" si="22"/>
        <v>53.152662293783337</v>
      </c>
      <c r="M363" s="15">
        <v>45285</v>
      </c>
      <c r="N363" s="47">
        <f t="shared" si="24"/>
        <v>74.041508092375722</v>
      </c>
      <c r="P363" s="15">
        <v>45650</v>
      </c>
      <c r="Q363" s="47">
        <f t="shared" si="25"/>
        <v>103.13180810979821</v>
      </c>
    </row>
    <row r="364" spans="6:17" x14ac:dyDescent="0.25">
      <c r="G364" s="239">
        <v>44556</v>
      </c>
      <c r="H364" s="47">
        <f t="shared" si="26"/>
        <v>38.054702826188716</v>
      </c>
      <c r="J364" s="15">
        <v>44921</v>
      </c>
      <c r="K364" s="47">
        <f t="shared" si="22"/>
        <v>53.201612141213495</v>
      </c>
      <c r="M364" s="15">
        <v>45286</v>
      </c>
      <c r="N364" s="47">
        <f t="shared" si="24"/>
        <v>74.108760598702204</v>
      </c>
      <c r="P364" s="15">
        <v>45651</v>
      </c>
      <c r="Q364" s="47">
        <f t="shared" si="25"/>
        <v>103.22548357314389</v>
      </c>
    </row>
    <row r="365" spans="6:17" x14ac:dyDescent="0.25">
      <c r="G365" s="239">
        <v>44557</v>
      </c>
      <c r="H365" s="47">
        <f t="shared" si="26"/>
        <v>38.089748519423161</v>
      </c>
      <c r="J365" s="15">
        <v>44922</v>
      </c>
      <c r="K365" s="47">
        <f t="shared" si="22"/>
        <v>53.250607067995468</v>
      </c>
      <c r="M365" s="15">
        <v>45287</v>
      </c>
      <c r="N365" s="47">
        <f t="shared" si="24"/>
        <v>74.176074191029286</v>
      </c>
      <c r="P365" s="15">
        <v>45652</v>
      </c>
      <c r="Q365" s="47">
        <f t="shared" si="25"/>
        <v>103.31924412267776</v>
      </c>
    </row>
    <row r="366" spans="6:17" x14ac:dyDescent="0.25">
      <c r="G366" s="239">
        <v>44558</v>
      </c>
      <c r="H366" s="47">
        <f t="shared" si="26"/>
        <v>38.124826487265551</v>
      </c>
      <c r="J366" s="15">
        <v>44923</v>
      </c>
      <c r="K366" s="47">
        <f t="shared" si="22"/>
        <v>53.299647115644156</v>
      </c>
      <c r="M366" s="15">
        <v>45288</v>
      </c>
      <c r="N366" s="47">
        <f t="shared" si="24"/>
        <v>74.243448924841871</v>
      </c>
      <c r="P366" s="15">
        <v>45653</v>
      </c>
      <c r="Q366" s="47">
        <f t="shared" si="25"/>
        <v>103.4130898356843</v>
      </c>
    </row>
    <row r="367" spans="6:17" x14ac:dyDescent="0.25">
      <c r="G367" s="239">
        <v>44559</v>
      </c>
      <c r="H367" s="47">
        <f t="shared" si="26"/>
        <v>38.159936759438523</v>
      </c>
      <c r="J367" s="15">
        <v>44924</v>
      </c>
      <c r="K367" s="47">
        <f t="shared" si="22"/>
        <v>53.348732325712689</v>
      </c>
      <c r="M367" s="15">
        <v>45289</v>
      </c>
      <c r="N367" s="47">
        <f t="shared" si="24"/>
        <v>74.310884855675269</v>
      </c>
      <c r="P367" s="15">
        <v>45654</v>
      </c>
      <c r="Q367" s="47">
        <f t="shared" si="25"/>
        <v>103.50702078951819</v>
      </c>
    </row>
    <row r="368" spans="6:17" x14ac:dyDescent="0.25">
      <c r="G368" s="239">
        <v>44560</v>
      </c>
      <c r="H368" s="47">
        <f t="shared" si="26"/>
        <v>38.195079365692088</v>
      </c>
      <c r="J368" s="15">
        <v>44925</v>
      </c>
      <c r="K368" s="47">
        <f t="shared" si="22"/>
        <v>53.397862739792465</v>
      </c>
      <c r="M368" s="15">
        <v>45290</v>
      </c>
      <c r="N368" s="47">
        <f t="shared" si="24"/>
        <v>74.378382039115237</v>
      </c>
      <c r="P368" s="15">
        <v>45655</v>
      </c>
      <c r="Q368" s="47">
        <f t="shared" si="25"/>
        <v>103.60103706160436</v>
      </c>
    </row>
    <row r="369" spans="7:17" x14ac:dyDescent="0.25">
      <c r="G369" s="239">
        <v>44561</v>
      </c>
      <c r="H369" s="47">
        <f t="shared" si="26"/>
        <v>38.230254335803643</v>
      </c>
      <c r="J369" s="15">
        <v>44926</v>
      </c>
      <c r="K369" s="47">
        <f t="shared" si="22"/>
        <v>53.447038399513183</v>
      </c>
      <c r="M369" s="15">
        <v>45291</v>
      </c>
      <c r="N369" s="47">
        <f t="shared" si="24"/>
        <v>74.445940530798026</v>
      </c>
      <c r="P369" s="15">
        <v>45656</v>
      </c>
      <c r="Q369" s="47">
        <f t="shared" si="25"/>
        <v>103.69513872943807</v>
      </c>
    </row>
    <row r="370" spans="7:17" x14ac:dyDescent="0.25">
      <c r="P370" s="15">
        <v>45657</v>
      </c>
      <c r="Q370" s="47">
        <f t="shared" si="25"/>
        <v>103.78932587058499</v>
      </c>
    </row>
    <row r="372" spans="7:17" x14ac:dyDescent="0.25">
      <c r="H372" s="22">
        <f>(H369/E143)-1</f>
        <v>0.49956085618368196</v>
      </c>
      <c r="I372" s="22"/>
      <c r="J372" s="22"/>
      <c r="K372" s="22">
        <f>K369/H369-1</f>
        <v>0.39802989355105134</v>
      </c>
      <c r="L372" s="22"/>
      <c r="M372" s="22"/>
      <c r="N372" s="22">
        <f>N369/K369-1</f>
        <v>0.39289178147382842</v>
      </c>
      <c r="Q372" s="22">
        <f>Q370/N369-1</f>
        <v>0.39415695645147641</v>
      </c>
    </row>
  </sheetData>
  <mergeCells count="5">
    <mergeCell ref="P3:Q3"/>
    <mergeCell ref="D3:E3"/>
    <mergeCell ref="G3:H3"/>
    <mergeCell ref="J3:K3"/>
    <mergeCell ref="M3:N3"/>
  </mergeCells>
  <pageMargins left="0.7" right="0.7" top="0.75" bottom="0.75" header="0.3" footer="0.3"/>
  <pageSetup orientation="portrait" r:id="rId1"/>
  <ignoredErrors>
    <ignoredError sqref="B42:B44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3:M355"/>
  <sheetViews>
    <sheetView topLeftCell="A297" workbookViewId="0">
      <selection activeCell="G320" sqref="A316:G320"/>
    </sheetView>
  </sheetViews>
  <sheetFormatPr baseColWidth="10" defaultRowHeight="15" x14ac:dyDescent="0.25"/>
  <sheetData>
    <row r="3" spans="2:3" x14ac:dyDescent="0.25">
      <c r="B3" s="11">
        <v>43832</v>
      </c>
      <c r="C3" s="165">
        <v>38.875</v>
      </c>
    </row>
    <row r="4" spans="2:3" x14ac:dyDescent="0.25">
      <c r="B4" s="11">
        <v>43833</v>
      </c>
      <c r="C4" s="165">
        <v>38.75</v>
      </c>
    </row>
    <row r="5" spans="2:3" x14ac:dyDescent="0.25">
      <c r="B5" s="11">
        <v>43836</v>
      </c>
      <c r="C5" s="165">
        <v>38.75</v>
      </c>
    </row>
    <row r="6" spans="2:3" x14ac:dyDescent="0.25">
      <c r="B6" s="11">
        <v>43837</v>
      </c>
      <c r="C6" s="165">
        <v>38.25</v>
      </c>
    </row>
    <row r="7" spans="2:3" x14ac:dyDescent="0.25">
      <c r="B7" s="11">
        <v>43838</v>
      </c>
      <c r="C7" s="165">
        <v>37.5625</v>
      </c>
    </row>
    <row r="8" spans="2:3" x14ac:dyDescent="0.25">
      <c r="B8" s="11">
        <v>43839</v>
      </c>
      <c r="C8" s="165">
        <v>38</v>
      </c>
    </row>
    <row r="9" spans="2:3" x14ac:dyDescent="0.25">
      <c r="B9" s="11">
        <v>43840</v>
      </c>
      <c r="C9" s="165">
        <v>37.5625</v>
      </c>
    </row>
    <row r="10" spans="2:3" x14ac:dyDescent="0.25">
      <c r="B10" s="11">
        <v>43843</v>
      </c>
      <c r="C10" s="165">
        <v>37.125</v>
      </c>
    </row>
    <row r="11" spans="2:3" x14ac:dyDescent="0.25">
      <c r="B11" s="11">
        <v>43844</v>
      </c>
      <c r="C11" s="165">
        <v>36.5</v>
      </c>
    </row>
    <row r="12" spans="2:3" x14ac:dyDescent="0.25">
      <c r="B12" s="11">
        <v>43845</v>
      </c>
      <c r="C12" s="165">
        <v>36.3125</v>
      </c>
    </row>
    <row r="13" spans="2:3" x14ac:dyDescent="0.25">
      <c r="B13" s="11">
        <v>43846</v>
      </c>
      <c r="C13" s="165">
        <v>36.125</v>
      </c>
    </row>
    <row r="14" spans="2:3" x14ac:dyDescent="0.25">
      <c r="B14" s="11">
        <v>43847</v>
      </c>
      <c r="C14" s="165">
        <v>35.375</v>
      </c>
    </row>
    <row r="15" spans="2:3" x14ac:dyDescent="0.25">
      <c r="B15" s="11">
        <v>43850</v>
      </c>
      <c r="C15" s="165">
        <v>35.375</v>
      </c>
    </row>
    <row r="16" spans="2:3" x14ac:dyDescent="0.25">
      <c r="B16" s="11">
        <v>43851</v>
      </c>
      <c r="C16" s="165">
        <v>34.9375</v>
      </c>
    </row>
    <row r="17" spans="2:3" x14ac:dyDescent="0.25">
      <c r="B17" s="11">
        <v>43852</v>
      </c>
      <c r="C17" s="165">
        <v>34.9375</v>
      </c>
    </row>
    <row r="18" spans="2:3" x14ac:dyDescent="0.25">
      <c r="B18" s="11">
        <v>43853</v>
      </c>
      <c r="C18" s="165">
        <v>34.5625</v>
      </c>
    </row>
    <row r="19" spans="2:3" x14ac:dyDescent="0.25">
      <c r="B19" s="11">
        <v>43854</v>
      </c>
      <c r="C19" s="165">
        <v>34.875</v>
      </c>
    </row>
    <row r="20" spans="2:3" x14ac:dyDescent="0.25">
      <c r="B20" s="11">
        <v>43857</v>
      </c>
      <c r="C20" s="165">
        <v>34.3125</v>
      </c>
    </row>
    <row r="21" spans="2:3" x14ac:dyDescent="0.25">
      <c r="B21" s="11">
        <v>43858</v>
      </c>
      <c r="C21" s="165">
        <v>34.5</v>
      </c>
    </row>
    <row r="22" spans="2:3" x14ac:dyDescent="0.25">
      <c r="B22" s="11">
        <v>43859</v>
      </c>
      <c r="C22" s="165">
        <v>34.3125</v>
      </c>
    </row>
    <row r="23" spans="2:3" x14ac:dyDescent="0.25">
      <c r="B23" s="11">
        <v>43860</v>
      </c>
      <c r="C23" s="165">
        <v>34.3125</v>
      </c>
    </row>
    <row r="24" spans="2:3" x14ac:dyDescent="0.25">
      <c r="B24" s="11">
        <v>43861</v>
      </c>
      <c r="C24" s="165">
        <v>34</v>
      </c>
    </row>
    <row r="25" spans="2:3" x14ac:dyDescent="0.25">
      <c r="B25" s="11">
        <v>43864</v>
      </c>
      <c r="C25" s="165">
        <v>34.3125</v>
      </c>
    </row>
    <row r="26" spans="2:3" x14ac:dyDescent="0.25">
      <c r="B26" s="11">
        <v>43865</v>
      </c>
      <c r="C26" s="165">
        <v>34.6875</v>
      </c>
    </row>
    <row r="27" spans="2:3" x14ac:dyDescent="0.25">
      <c r="B27" s="11">
        <v>43866</v>
      </c>
      <c r="C27" s="165">
        <v>34.25</v>
      </c>
    </row>
    <row r="28" spans="2:3" x14ac:dyDescent="0.25">
      <c r="B28" s="11">
        <v>43867</v>
      </c>
      <c r="C28" s="165">
        <v>34.6875</v>
      </c>
    </row>
    <row r="29" spans="2:3" x14ac:dyDescent="0.25">
      <c r="B29" s="11">
        <v>43868</v>
      </c>
      <c r="C29" s="165">
        <v>34.125</v>
      </c>
    </row>
    <row r="30" spans="2:3" x14ac:dyDescent="0.25">
      <c r="B30" s="11">
        <v>43871</v>
      </c>
      <c r="C30" s="165">
        <v>34.5</v>
      </c>
    </row>
    <row r="31" spans="2:3" x14ac:dyDescent="0.25">
      <c r="B31" s="11">
        <v>43872</v>
      </c>
      <c r="C31" s="165">
        <v>35.1875</v>
      </c>
    </row>
    <row r="32" spans="2:3" x14ac:dyDescent="0.25">
      <c r="B32" s="11">
        <v>43873</v>
      </c>
      <c r="C32" s="165">
        <v>34.375</v>
      </c>
    </row>
    <row r="33" spans="2:3" x14ac:dyDescent="0.25">
      <c r="B33" s="11">
        <v>43874</v>
      </c>
      <c r="C33" s="165">
        <v>35.25</v>
      </c>
    </row>
    <row r="34" spans="2:3" x14ac:dyDescent="0.25">
      <c r="B34" s="11">
        <v>43875</v>
      </c>
      <c r="C34" s="165">
        <v>34.0625</v>
      </c>
    </row>
    <row r="35" spans="2:3" x14ac:dyDescent="0.25">
      <c r="B35" s="11">
        <v>43878</v>
      </c>
      <c r="C35" s="165">
        <v>33.9375</v>
      </c>
    </row>
    <row r="36" spans="2:3" x14ac:dyDescent="0.25">
      <c r="B36" s="11">
        <v>43879</v>
      </c>
      <c r="C36" s="165">
        <v>32.875</v>
      </c>
    </row>
    <row r="37" spans="2:3" x14ac:dyDescent="0.25">
      <c r="B37" s="11">
        <v>43880</v>
      </c>
      <c r="C37" s="165">
        <v>33.4375</v>
      </c>
    </row>
    <row r="38" spans="2:3" x14ac:dyDescent="0.25">
      <c r="B38" s="11">
        <v>43881</v>
      </c>
      <c r="C38" s="165">
        <v>33</v>
      </c>
    </row>
    <row r="39" spans="2:3" x14ac:dyDescent="0.25">
      <c r="B39" s="11">
        <v>43882</v>
      </c>
      <c r="C39" s="165">
        <v>31.875</v>
      </c>
    </row>
    <row r="40" spans="2:3" x14ac:dyDescent="0.25">
      <c r="B40" s="11">
        <v>43887</v>
      </c>
      <c r="C40" s="165">
        <v>31.125</v>
      </c>
    </row>
    <row r="41" spans="2:3" x14ac:dyDescent="0.25">
      <c r="B41" s="11">
        <v>43888</v>
      </c>
      <c r="C41" s="165">
        <v>31.0625</v>
      </c>
    </row>
    <row r="42" spans="2:3" x14ac:dyDescent="0.25">
      <c r="B42" s="11">
        <v>43889</v>
      </c>
      <c r="C42" s="165">
        <v>31.8125</v>
      </c>
    </row>
    <row r="43" spans="2:3" x14ac:dyDescent="0.25">
      <c r="B43" s="11">
        <v>43892</v>
      </c>
      <c r="C43" s="165">
        <v>31</v>
      </c>
    </row>
    <row r="44" spans="2:3" x14ac:dyDescent="0.25">
      <c r="B44" s="11">
        <v>43893</v>
      </c>
      <c r="C44" s="165">
        <v>31.1875</v>
      </c>
    </row>
    <row r="45" spans="2:3" x14ac:dyDescent="0.25">
      <c r="B45" s="11">
        <v>43894</v>
      </c>
      <c r="C45" s="165">
        <v>30.5</v>
      </c>
    </row>
    <row r="46" spans="2:3" x14ac:dyDescent="0.25">
      <c r="B46" s="11">
        <v>43895</v>
      </c>
      <c r="C46" s="165">
        <v>30.4375</v>
      </c>
    </row>
    <row r="47" spans="2:3" x14ac:dyDescent="0.25">
      <c r="B47" s="11">
        <v>43896</v>
      </c>
      <c r="C47" s="165">
        <v>29.875</v>
      </c>
    </row>
    <row r="48" spans="2:3" x14ac:dyDescent="0.25">
      <c r="B48" s="11">
        <v>43899</v>
      </c>
      <c r="C48" s="165">
        <v>29.5625</v>
      </c>
    </row>
    <row r="49" spans="2:3" x14ac:dyDescent="0.25">
      <c r="B49" s="11">
        <v>43900</v>
      </c>
      <c r="C49" s="165">
        <v>29.75</v>
      </c>
    </row>
    <row r="50" spans="2:3" x14ac:dyDescent="0.25">
      <c r="B50" s="11">
        <v>43901</v>
      </c>
      <c r="C50" s="165">
        <v>29.8125</v>
      </c>
    </row>
    <row r="51" spans="2:3" x14ac:dyDescent="0.25">
      <c r="B51" s="11">
        <v>43902</v>
      </c>
      <c r="C51" s="165">
        <v>29.5</v>
      </c>
    </row>
    <row r="52" spans="2:3" x14ac:dyDescent="0.25">
      <c r="B52" s="11">
        <v>43903</v>
      </c>
      <c r="C52" s="165">
        <v>29.3125</v>
      </c>
    </row>
    <row r="53" spans="2:3" x14ac:dyDescent="0.25">
      <c r="B53" s="11">
        <v>43906</v>
      </c>
      <c r="C53" s="165">
        <v>29.5</v>
      </c>
    </row>
    <row r="54" spans="2:3" x14ac:dyDescent="0.25">
      <c r="B54" s="11">
        <v>43907</v>
      </c>
      <c r="C54" s="165">
        <v>29.5</v>
      </c>
    </row>
    <row r="55" spans="2:3" x14ac:dyDescent="0.25">
      <c r="B55" s="11">
        <v>43908</v>
      </c>
      <c r="C55" s="165">
        <v>29.5</v>
      </c>
    </row>
    <row r="56" spans="2:3" x14ac:dyDescent="0.25">
      <c r="B56" s="11">
        <v>43909</v>
      </c>
      <c r="C56" s="165">
        <v>29.3125</v>
      </c>
    </row>
    <row r="57" spans="2:3" x14ac:dyDescent="0.25">
      <c r="B57" s="11">
        <v>43910</v>
      </c>
      <c r="C57" s="165">
        <v>29</v>
      </c>
    </row>
    <row r="58" spans="2:3" x14ac:dyDescent="0.25">
      <c r="B58" s="11">
        <v>43915</v>
      </c>
      <c r="C58" s="165">
        <v>29.3125</v>
      </c>
    </row>
    <row r="59" spans="2:3" x14ac:dyDescent="0.25">
      <c r="B59" s="11">
        <v>43916</v>
      </c>
      <c r="C59" s="165">
        <v>29.375</v>
      </c>
    </row>
    <row r="60" spans="2:3" x14ac:dyDescent="0.25">
      <c r="B60" s="11">
        <v>43917</v>
      </c>
      <c r="C60" s="165">
        <v>27.75</v>
      </c>
    </row>
    <row r="61" spans="2:3" x14ac:dyDescent="0.25">
      <c r="B61" s="11">
        <v>43920</v>
      </c>
      <c r="C61" s="165">
        <v>27.5625</v>
      </c>
    </row>
    <row r="62" spans="2:3" x14ac:dyDescent="0.25">
      <c r="B62" s="11">
        <v>43922</v>
      </c>
      <c r="C62" s="165">
        <v>27</v>
      </c>
    </row>
    <row r="63" spans="2:3" x14ac:dyDescent="0.25">
      <c r="B63" s="11">
        <v>43923</v>
      </c>
      <c r="C63" s="165">
        <v>26.125</v>
      </c>
    </row>
    <row r="64" spans="2:3" x14ac:dyDescent="0.25">
      <c r="B64" s="11">
        <v>43924</v>
      </c>
      <c r="C64" s="165">
        <v>25.75</v>
      </c>
    </row>
    <row r="65" spans="2:3" x14ac:dyDescent="0.25">
      <c r="B65" s="11">
        <v>43927</v>
      </c>
      <c r="C65" s="165">
        <v>25.125</v>
      </c>
    </row>
    <row r="66" spans="2:3" x14ac:dyDescent="0.25">
      <c r="B66" s="11">
        <v>43928</v>
      </c>
      <c r="C66" s="165">
        <v>23.0625</v>
      </c>
    </row>
    <row r="67" spans="2:3" x14ac:dyDescent="0.25">
      <c r="B67" s="11">
        <v>43929</v>
      </c>
      <c r="C67" s="165">
        <v>21.9375</v>
      </c>
    </row>
    <row r="68" spans="2:3" x14ac:dyDescent="0.25">
      <c r="B68" s="11">
        <v>43934</v>
      </c>
      <c r="C68" s="165">
        <v>21</v>
      </c>
    </row>
    <row r="69" spans="2:3" x14ac:dyDescent="0.25">
      <c r="B69" s="11">
        <v>43935</v>
      </c>
      <c r="C69" s="165">
        <v>18.125</v>
      </c>
    </row>
    <row r="70" spans="2:3" x14ac:dyDescent="0.25">
      <c r="B70" s="11">
        <v>43936</v>
      </c>
      <c r="C70" s="165">
        <v>18.25</v>
      </c>
    </row>
    <row r="71" spans="2:3" x14ac:dyDescent="0.25">
      <c r="B71" s="11">
        <v>43937</v>
      </c>
      <c r="C71" s="165">
        <v>16.875</v>
      </c>
    </row>
    <row r="72" spans="2:3" x14ac:dyDescent="0.25">
      <c r="B72" s="11">
        <v>43938</v>
      </c>
      <c r="C72" s="165">
        <v>16.875</v>
      </c>
    </row>
    <row r="73" spans="2:3" x14ac:dyDescent="0.25">
      <c r="B73" s="11">
        <v>43941</v>
      </c>
      <c r="C73" s="165">
        <v>18.25</v>
      </c>
    </row>
    <row r="74" spans="2:3" x14ac:dyDescent="0.25">
      <c r="B74" s="11">
        <v>43942</v>
      </c>
      <c r="C74" s="165">
        <v>17.4375</v>
      </c>
    </row>
    <row r="75" spans="2:3" x14ac:dyDescent="0.25">
      <c r="B75" s="11">
        <v>43943</v>
      </c>
      <c r="C75" s="165">
        <v>16.1875</v>
      </c>
    </row>
    <row r="76" spans="2:3" x14ac:dyDescent="0.25">
      <c r="B76" s="11">
        <v>43944</v>
      </c>
      <c r="C76" s="165">
        <v>15.9375</v>
      </c>
    </row>
    <row r="77" spans="2:3" x14ac:dyDescent="0.25">
      <c r="B77" s="11">
        <v>43945</v>
      </c>
      <c r="C77" s="165">
        <v>18.3125</v>
      </c>
    </row>
    <row r="78" spans="2:3" x14ac:dyDescent="0.25">
      <c r="B78" s="11">
        <v>43948</v>
      </c>
      <c r="C78" s="165">
        <v>18.3125</v>
      </c>
    </row>
    <row r="79" spans="2:3" x14ac:dyDescent="0.25">
      <c r="B79" s="11">
        <v>43949</v>
      </c>
      <c r="C79" s="165">
        <v>18.375</v>
      </c>
    </row>
    <row r="80" spans="2:3" x14ac:dyDescent="0.25">
      <c r="B80" s="11">
        <v>43950</v>
      </c>
      <c r="C80" s="165">
        <v>18.3125</v>
      </c>
    </row>
    <row r="81" spans="2:3" x14ac:dyDescent="0.25">
      <c r="B81" s="11">
        <v>43951</v>
      </c>
      <c r="C81" s="165">
        <v>18.4375</v>
      </c>
    </row>
    <row r="82" spans="2:3" x14ac:dyDescent="0.25">
      <c r="B82" s="11">
        <v>43955</v>
      </c>
      <c r="C82" s="165">
        <v>21.0625</v>
      </c>
    </row>
    <row r="83" spans="2:3" x14ac:dyDescent="0.25">
      <c r="B83" s="11">
        <v>43956</v>
      </c>
      <c r="C83" s="165">
        <v>19.875</v>
      </c>
    </row>
    <row r="84" spans="2:3" x14ac:dyDescent="0.25">
      <c r="B84" s="11">
        <v>43957</v>
      </c>
      <c r="C84" s="165">
        <v>20.0625</v>
      </c>
    </row>
    <row r="85" spans="2:3" x14ac:dyDescent="0.25">
      <c r="B85" s="11">
        <v>43958</v>
      </c>
      <c r="C85" s="165">
        <v>19.8125</v>
      </c>
    </row>
    <row r="86" spans="2:3" x14ac:dyDescent="0.25">
      <c r="B86" s="11">
        <v>43959</v>
      </c>
      <c r="C86" s="165">
        <v>20.625</v>
      </c>
    </row>
    <row r="87" spans="2:3" x14ac:dyDescent="0.25">
      <c r="B87" s="11">
        <v>43962</v>
      </c>
      <c r="C87" s="165">
        <v>21.0625</v>
      </c>
    </row>
    <row r="88" spans="2:3" x14ac:dyDescent="0.25">
      <c r="B88" s="11">
        <v>43963</v>
      </c>
      <c r="C88" s="165">
        <v>20.5625</v>
      </c>
    </row>
    <row r="89" spans="2:3" x14ac:dyDescent="0.25">
      <c r="B89" s="11">
        <v>43964</v>
      </c>
      <c r="C89" s="165">
        <v>21.8125</v>
      </c>
    </row>
    <row r="90" spans="2:3" x14ac:dyDescent="0.25">
      <c r="B90" s="11">
        <v>43965</v>
      </c>
      <c r="C90" s="165">
        <v>20.75</v>
      </c>
    </row>
    <row r="91" spans="2:3" x14ac:dyDescent="0.25">
      <c r="B91" s="11">
        <v>43966</v>
      </c>
      <c r="C91" s="165">
        <v>22.625</v>
      </c>
    </row>
    <row r="92" spans="2:3" x14ac:dyDescent="0.25">
      <c r="B92" s="11">
        <v>43969</v>
      </c>
      <c r="C92" s="165">
        <v>26.4375</v>
      </c>
    </row>
    <row r="93" spans="2:3" x14ac:dyDescent="0.25">
      <c r="B93" s="11">
        <v>43970</v>
      </c>
      <c r="C93" s="165">
        <v>26.25</v>
      </c>
    </row>
    <row r="94" spans="2:3" x14ac:dyDescent="0.25">
      <c r="B94" s="11">
        <v>43971</v>
      </c>
      <c r="C94" s="165">
        <v>26.5</v>
      </c>
    </row>
    <row r="95" spans="2:3" x14ac:dyDescent="0.25">
      <c r="B95" s="11">
        <v>43972</v>
      </c>
      <c r="C95" s="165">
        <v>26.5</v>
      </c>
    </row>
    <row r="96" spans="2:3" x14ac:dyDescent="0.25">
      <c r="B96" s="11">
        <v>43973</v>
      </c>
      <c r="C96" s="165">
        <v>26.1875</v>
      </c>
    </row>
    <row r="97" spans="2:3" x14ac:dyDescent="0.25">
      <c r="B97" s="11">
        <v>43977</v>
      </c>
      <c r="C97" s="165">
        <v>25.6875</v>
      </c>
    </row>
    <row r="98" spans="2:3" x14ac:dyDescent="0.25">
      <c r="B98" s="11">
        <v>43978</v>
      </c>
      <c r="C98" s="165">
        <v>26.4375</v>
      </c>
    </row>
    <row r="99" spans="2:3" x14ac:dyDescent="0.25">
      <c r="B99" s="11">
        <v>43979</v>
      </c>
      <c r="C99" s="165">
        <v>26.5</v>
      </c>
    </row>
    <row r="100" spans="2:3" x14ac:dyDescent="0.25">
      <c r="B100" s="11">
        <v>43980</v>
      </c>
      <c r="C100" s="165">
        <v>26.5625</v>
      </c>
    </row>
    <row r="101" spans="2:3" x14ac:dyDescent="0.25">
      <c r="B101" s="11">
        <v>43983</v>
      </c>
      <c r="C101" s="165">
        <v>28.5</v>
      </c>
    </row>
    <row r="102" spans="2:3" x14ac:dyDescent="0.25">
      <c r="B102" s="11">
        <v>43984</v>
      </c>
      <c r="C102" s="165">
        <v>29</v>
      </c>
    </row>
    <row r="103" spans="2:3" x14ac:dyDescent="0.25">
      <c r="B103" s="11">
        <v>43985</v>
      </c>
      <c r="C103" s="165">
        <v>29.5625</v>
      </c>
    </row>
    <row r="104" spans="2:3" x14ac:dyDescent="0.25">
      <c r="B104" s="11">
        <v>43986</v>
      </c>
      <c r="C104" s="165">
        <v>29.75</v>
      </c>
    </row>
    <row r="105" spans="2:3" x14ac:dyDescent="0.25">
      <c r="B105" s="11">
        <v>43987</v>
      </c>
      <c r="C105" s="165">
        <v>29.5625</v>
      </c>
    </row>
    <row r="106" spans="2:3" x14ac:dyDescent="0.25">
      <c r="B106" s="11">
        <v>43990</v>
      </c>
      <c r="C106" s="165">
        <v>29.5625</v>
      </c>
    </row>
    <row r="107" spans="2:3" x14ac:dyDescent="0.25">
      <c r="B107" s="11">
        <v>43991</v>
      </c>
      <c r="C107" s="165">
        <v>29.875</v>
      </c>
    </row>
    <row r="108" spans="2:3" x14ac:dyDescent="0.25">
      <c r="B108" s="11">
        <v>43992</v>
      </c>
      <c r="C108" s="165">
        <v>29.5</v>
      </c>
    </row>
    <row r="109" spans="2:3" x14ac:dyDescent="0.25">
      <c r="B109" s="11">
        <v>43993</v>
      </c>
      <c r="C109" s="165">
        <v>29.6875</v>
      </c>
    </row>
    <row r="110" spans="2:3" x14ac:dyDescent="0.25">
      <c r="B110" s="11">
        <v>43994</v>
      </c>
      <c r="C110" s="165">
        <v>29.1875</v>
      </c>
    </row>
    <row r="111" spans="2:3" x14ac:dyDescent="0.25">
      <c r="B111" s="11">
        <v>43998</v>
      </c>
      <c r="C111" s="165">
        <v>29.75</v>
      </c>
    </row>
    <row r="112" spans="2:3" x14ac:dyDescent="0.25">
      <c r="B112" s="11">
        <v>43999</v>
      </c>
      <c r="C112" s="165">
        <v>29.8125</v>
      </c>
    </row>
    <row r="113" spans="2:3" x14ac:dyDescent="0.25">
      <c r="B113" s="11">
        <v>44000</v>
      </c>
      <c r="C113" s="165">
        <v>29.4375</v>
      </c>
    </row>
    <row r="114" spans="2:3" x14ac:dyDescent="0.25">
      <c r="B114" s="11">
        <v>44001</v>
      </c>
      <c r="C114" s="165">
        <v>29.8125</v>
      </c>
    </row>
    <row r="115" spans="2:3" x14ac:dyDescent="0.25">
      <c r="B115" s="11">
        <v>44004</v>
      </c>
      <c r="C115" s="165">
        <v>29.625</v>
      </c>
    </row>
    <row r="116" spans="2:3" x14ac:dyDescent="0.25">
      <c r="B116" s="11">
        <v>44005</v>
      </c>
      <c r="C116" s="165">
        <v>29.75</v>
      </c>
    </row>
    <row r="117" spans="2:3" x14ac:dyDescent="0.25">
      <c r="B117" s="11">
        <v>44006</v>
      </c>
      <c r="C117" s="165">
        <v>29.75</v>
      </c>
    </row>
    <row r="118" spans="2:3" x14ac:dyDescent="0.25">
      <c r="B118" s="11">
        <v>44007</v>
      </c>
      <c r="C118" s="165">
        <v>29.8125</v>
      </c>
    </row>
    <row r="119" spans="2:3" x14ac:dyDescent="0.25">
      <c r="B119" s="11">
        <v>44008</v>
      </c>
      <c r="C119" s="165">
        <v>29.625</v>
      </c>
    </row>
    <row r="120" spans="2:3" x14ac:dyDescent="0.25">
      <c r="B120" s="11">
        <v>44011</v>
      </c>
      <c r="C120" s="165">
        <v>29</v>
      </c>
    </row>
    <row r="121" spans="2:3" x14ac:dyDescent="0.25">
      <c r="B121" s="11">
        <v>44012</v>
      </c>
      <c r="C121" s="165">
        <v>29.6875</v>
      </c>
    </row>
    <row r="122" spans="2:3" x14ac:dyDescent="0.25">
      <c r="B122" s="11">
        <v>44013</v>
      </c>
      <c r="C122" s="165">
        <v>29.75</v>
      </c>
    </row>
    <row r="123" spans="2:3" x14ac:dyDescent="0.25">
      <c r="B123" s="11">
        <v>44014</v>
      </c>
      <c r="C123" s="165">
        <v>29.5625</v>
      </c>
    </row>
    <row r="124" spans="2:3" x14ac:dyDescent="0.25">
      <c r="B124" s="11">
        <v>44015</v>
      </c>
      <c r="C124" s="165">
        <v>29.5625</v>
      </c>
    </row>
    <row r="125" spans="2:3" x14ac:dyDescent="0.25">
      <c r="B125" s="11">
        <v>44018</v>
      </c>
      <c r="C125" s="165">
        <v>29.6875</v>
      </c>
    </row>
    <row r="126" spans="2:3" x14ac:dyDescent="0.25">
      <c r="B126" s="11">
        <v>44019</v>
      </c>
      <c r="C126" s="165">
        <v>29.75</v>
      </c>
    </row>
    <row r="127" spans="2:3" x14ac:dyDescent="0.25">
      <c r="B127" s="11">
        <v>44020</v>
      </c>
      <c r="C127" s="165">
        <v>29.5</v>
      </c>
    </row>
    <row r="128" spans="2:3" x14ac:dyDescent="0.25">
      <c r="B128" s="11">
        <v>44025</v>
      </c>
      <c r="C128" s="165">
        <v>29.6875</v>
      </c>
    </row>
    <row r="129" spans="2:3" x14ac:dyDescent="0.25">
      <c r="B129" s="11">
        <v>44026</v>
      </c>
      <c r="C129" s="165">
        <v>29.5625</v>
      </c>
    </row>
    <row r="130" spans="2:3" x14ac:dyDescent="0.25">
      <c r="B130" s="11">
        <v>44027</v>
      </c>
      <c r="C130" s="165">
        <v>29.625</v>
      </c>
    </row>
    <row r="131" spans="2:3" x14ac:dyDescent="0.25">
      <c r="B131" s="11">
        <v>44028</v>
      </c>
      <c r="C131" s="165">
        <v>29.5</v>
      </c>
    </row>
    <row r="132" spans="2:3" x14ac:dyDescent="0.25">
      <c r="B132" s="11">
        <v>44029</v>
      </c>
      <c r="C132" s="165">
        <v>29.5625</v>
      </c>
    </row>
    <row r="133" spans="2:3" x14ac:dyDescent="0.25">
      <c r="B133" s="11">
        <v>44032</v>
      </c>
      <c r="C133" s="165">
        <v>29.4375</v>
      </c>
    </row>
    <row r="134" spans="2:3" x14ac:dyDescent="0.25">
      <c r="B134" s="11">
        <v>44033</v>
      </c>
      <c r="C134" s="165">
        <v>29.5</v>
      </c>
    </row>
    <row r="135" spans="2:3" x14ac:dyDescent="0.25">
      <c r="B135" s="11">
        <v>44034</v>
      </c>
      <c r="C135" s="165">
        <v>29.6875</v>
      </c>
    </row>
    <row r="136" spans="2:3" x14ac:dyDescent="0.25">
      <c r="B136" s="11">
        <v>44035</v>
      </c>
      <c r="C136" s="165">
        <v>29.125</v>
      </c>
    </row>
    <row r="137" spans="2:3" x14ac:dyDescent="0.25">
      <c r="B137" s="11">
        <v>44036</v>
      </c>
      <c r="C137" s="165">
        <v>29.5625</v>
      </c>
    </row>
    <row r="138" spans="2:3" x14ac:dyDescent="0.25">
      <c r="B138" s="11">
        <v>44039</v>
      </c>
      <c r="C138" s="165">
        <v>29.375</v>
      </c>
    </row>
    <row r="139" spans="2:3" x14ac:dyDescent="0.25">
      <c r="B139" s="11">
        <v>44040</v>
      </c>
      <c r="C139" s="165">
        <v>29.1875</v>
      </c>
    </row>
    <row r="140" spans="2:3" x14ac:dyDescent="0.25">
      <c r="B140" s="11">
        <v>44041</v>
      </c>
      <c r="C140" s="165">
        <v>29.75</v>
      </c>
    </row>
    <row r="141" spans="2:3" x14ac:dyDescent="0.25">
      <c r="B141" s="11">
        <v>44042</v>
      </c>
      <c r="C141" s="165">
        <v>29.625</v>
      </c>
    </row>
    <row r="142" spans="2:3" x14ac:dyDescent="0.25">
      <c r="B142" s="11">
        <v>44043</v>
      </c>
      <c r="C142" s="165">
        <v>29.1875</v>
      </c>
    </row>
    <row r="143" spans="2:3" x14ac:dyDescent="0.25">
      <c r="B143" s="11">
        <v>44046</v>
      </c>
      <c r="C143" s="165">
        <v>29.875</v>
      </c>
    </row>
    <row r="144" spans="2:3" x14ac:dyDescent="0.25">
      <c r="B144" s="11">
        <v>44047</v>
      </c>
      <c r="C144" s="165">
        <v>29.25</v>
      </c>
    </row>
    <row r="145" spans="2:3" x14ac:dyDescent="0.25">
      <c r="B145" s="11">
        <v>44048</v>
      </c>
      <c r="C145" s="165">
        <v>29.4375</v>
      </c>
    </row>
    <row r="146" spans="2:3" x14ac:dyDescent="0.25">
      <c r="B146" s="11">
        <v>44049</v>
      </c>
      <c r="C146" s="165">
        <v>29.8125</v>
      </c>
    </row>
    <row r="147" spans="2:3" x14ac:dyDescent="0.25">
      <c r="B147" s="11">
        <v>44050</v>
      </c>
      <c r="C147" s="165">
        <v>29.625</v>
      </c>
    </row>
    <row r="148" spans="2:3" x14ac:dyDescent="0.25">
      <c r="B148" s="11">
        <v>44053</v>
      </c>
      <c r="C148" s="165">
        <v>30</v>
      </c>
    </row>
    <row r="149" spans="2:3" x14ac:dyDescent="0.25">
      <c r="B149" s="11">
        <v>44054</v>
      </c>
      <c r="C149" s="165">
        <v>29.6875</v>
      </c>
    </row>
    <row r="150" spans="2:3" x14ac:dyDescent="0.25">
      <c r="B150" s="11">
        <v>44055</v>
      </c>
      <c r="C150" s="165">
        <v>29.75</v>
      </c>
    </row>
    <row r="151" spans="2:3" x14ac:dyDescent="0.25">
      <c r="B151" s="11">
        <v>44056</v>
      </c>
      <c r="C151" s="165">
        <v>29.3125</v>
      </c>
    </row>
    <row r="152" spans="2:3" x14ac:dyDescent="0.25">
      <c r="B152" s="11">
        <v>44057</v>
      </c>
      <c r="C152" s="165">
        <v>29.875</v>
      </c>
    </row>
    <row r="153" spans="2:3" x14ac:dyDescent="0.25">
      <c r="B153" s="11">
        <v>44061</v>
      </c>
      <c r="C153" s="165">
        <v>29.9375</v>
      </c>
    </row>
    <row r="154" spans="2:3" x14ac:dyDescent="0.25">
      <c r="B154" s="11">
        <v>44062</v>
      </c>
      <c r="C154" s="165">
        <v>29.8125</v>
      </c>
    </row>
    <row r="155" spans="2:3" x14ac:dyDescent="0.25">
      <c r="B155" s="11">
        <v>44063</v>
      </c>
      <c r="C155" s="165">
        <v>30</v>
      </c>
    </row>
    <row r="156" spans="2:3" x14ac:dyDescent="0.25">
      <c r="B156" s="11">
        <v>44064</v>
      </c>
      <c r="C156" s="165">
        <v>29.5625</v>
      </c>
    </row>
    <row r="157" spans="2:3" x14ac:dyDescent="0.25">
      <c r="B157" s="11">
        <v>44067</v>
      </c>
      <c r="C157" s="165">
        <v>28.9375</v>
      </c>
    </row>
    <row r="158" spans="2:3" x14ac:dyDescent="0.25">
      <c r="B158" s="11">
        <v>44068</v>
      </c>
      <c r="C158" s="165">
        <v>29.5625</v>
      </c>
    </row>
    <row r="159" spans="2:3" x14ac:dyDescent="0.25">
      <c r="B159" s="11">
        <v>44069</v>
      </c>
      <c r="C159" s="198">
        <v>29.875</v>
      </c>
    </row>
    <row r="160" spans="2:3" x14ac:dyDescent="0.25">
      <c r="B160" s="11">
        <v>44070</v>
      </c>
      <c r="C160" s="165">
        <v>29.1875</v>
      </c>
    </row>
    <row r="161" spans="2:3" x14ac:dyDescent="0.25">
      <c r="B161" s="11">
        <v>44071</v>
      </c>
      <c r="C161" s="165">
        <v>29.9375</v>
      </c>
    </row>
    <row r="162" spans="2:3" x14ac:dyDescent="0.25">
      <c r="B162" s="11">
        <v>44074</v>
      </c>
      <c r="C162" s="165">
        <v>29.625</v>
      </c>
    </row>
    <row r="163" spans="2:3" x14ac:dyDescent="0.25">
      <c r="B163" s="11">
        <v>44075</v>
      </c>
      <c r="C163" s="165">
        <v>29.6875</v>
      </c>
    </row>
    <row r="164" spans="2:3" x14ac:dyDescent="0.25">
      <c r="B164" s="11">
        <v>44076</v>
      </c>
      <c r="C164" s="165">
        <v>29.75</v>
      </c>
    </row>
    <row r="165" spans="2:3" x14ac:dyDescent="0.25">
      <c r="B165" s="11">
        <v>44077</v>
      </c>
      <c r="C165" s="165">
        <v>30</v>
      </c>
    </row>
    <row r="166" spans="2:3" x14ac:dyDescent="0.25">
      <c r="B166" s="11">
        <v>44078</v>
      </c>
      <c r="C166" s="165">
        <v>29.8125</v>
      </c>
    </row>
    <row r="167" spans="2:3" x14ac:dyDescent="0.25">
      <c r="B167" s="11">
        <v>44081</v>
      </c>
      <c r="C167" s="165">
        <v>29.625</v>
      </c>
    </row>
    <row r="168" spans="2:3" x14ac:dyDescent="0.25">
      <c r="B168" s="11">
        <v>44082</v>
      </c>
      <c r="C168" s="165">
        <v>29.875</v>
      </c>
    </row>
    <row r="169" spans="2:3" x14ac:dyDescent="0.25">
      <c r="B169" s="11">
        <v>44083</v>
      </c>
      <c r="C169" s="165">
        <v>29.9375</v>
      </c>
    </row>
    <row r="170" spans="2:3" x14ac:dyDescent="0.25">
      <c r="B170" s="11">
        <v>44084</v>
      </c>
      <c r="C170" s="165">
        <v>29.6875</v>
      </c>
    </row>
    <row r="171" spans="2:3" x14ac:dyDescent="0.25">
      <c r="B171" s="11">
        <v>44085</v>
      </c>
      <c r="C171" s="165">
        <v>29.5</v>
      </c>
    </row>
    <row r="172" spans="2:3" x14ac:dyDescent="0.25">
      <c r="B172" s="11">
        <v>44088</v>
      </c>
      <c r="C172" s="165">
        <v>29.6875</v>
      </c>
    </row>
    <row r="173" spans="2:3" x14ac:dyDescent="0.25">
      <c r="B173" s="11">
        <v>44089</v>
      </c>
      <c r="C173" s="199">
        <v>29.5</v>
      </c>
    </row>
    <row r="174" spans="2:3" x14ac:dyDescent="0.25">
      <c r="B174" s="11">
        <v>44090</v>
      </c>
      <c r="C174" s="165">
        <v>29.875</v>
      </c>
    </row>
    <row r="175" spans="2:3" x14ac:dyDescent="0.25">
      <c r="B175" s="11">
        <v>44091</v>
      </c>
      <c r="C175" s="198">
        <v>29.875</v>
      </c>
    </row>
    <row r="176" spans="2:3" x14ac:dyDescent="0.25">
      <c r="B176" s="11">
        <v>44092</v>
      </c>
      <c r="C176" s="199">
        <v>29.875</v>
      </c>
    </row>
    <row r="177" spans="2:3" x14ac:dyDescent="0.25">
      <c r="B177" s="11">
        <v>44095</v>
      </c>
      <c r="C177" s="199">
        <v>30</v>
      </c>
    </row>
    <row r="178" spans="2:3" x14ac:dyDescent="0.25">
      <c r="B178" s="11">
        <v>44096</v>
      </c>
      <c r="C178" s="199">
        <v>29.75</v>
      </c>
    </row>
    <row r="179" spans="2:3" x14ac:dyDescent="0.25">
      <c r="B179" s="11">
        <v>44097</v>
      </c>
      <c r="C179" s="199">
        <v>29.25</v>
      </c>
    </row>
    <row r="180" spans="2:3" x14ac:dyDescent="0.25">
      <c r="B180" s="11">
        <v>44098</v>
      </c>
      <c r="C180" s="165">
        <v>29.5625</v>
      </c>
    </row>
    <row r="181" spans="2:3" x14ac:dyDescent="0.25">
      <c r="B181" s="11">
        <v>44099</v>
      </c>
      <c r="C181" s="165">
        <v>29.5625</v>
      </c>
    </row>
    <row r="182" spans="2:3" x14ac:dyDescent="0.25">
      <c r="B182" s="11">
        <v>44102</v>
      </c>
      <c r="C182" s="199">
        <v>29.8125</v>
      </c>
    </row>
    <row r="183" spans="2:3" x14ac:dyDescent="0.25">
      <c r="B183" s="11">
        <v>44103</v>
      </c>
      <c r="C183" s="165">
        <v>30.0625</v>
      </c>
    </row>
    <row r="184" spans="2:3" x14ac:dyDescent="0.25">
      <c r="B184" s="11">
        <v>44104</v>
      </c>
      <c r="C184" s="165">
        <v>29.6875</v>
      </c>
    </row>
    <row r="185" spans="2:3" x14ac:dyDescent="0.25">
      <c r="B185" s="11">
        <v>44105</v>
      </c>
      <c r="C185" s="165">
        <v>28.875</v>
      </c>
    </row>
    <row r="186" spans="2:3" x14ac:dyDescent="0.25">
      <c r="B186" s="11">
        <v>44106</v>
      </c>
      <c r="C186" s="165">
        <v>29.6875</v>
      </c>
    </row>
    <row r="187" spans="2:3" x14ac:dyDescent="0.25">
      <c r="B187" s="11">
        <v>44109</v>
      </c>
      <c r="C187" s="165">
        <v>29.875</v>
      </c>
    </row>
    <row r="188" spans="2:3" x14ac:dyDescent="0.25">
      <c r="B188" s="11">
        <v>44110</v>
      </c>
      <c r="C188" s="165">
        <v>29.9375</v>
      </c>
    </row>
    <row r="189" spans="2:3" x14ac:dyDescent="0.25">
      <c r="B189" s="11">
        <v>44111</v>
      </c>
      <c r="C189" s="199">
        <v>29.6875</v>
      </c>
    </row>
    <row r="190" spans="2:3" x14ac:dyDescent="0.25">
      <c r="B190" s="11">
        <v>44112</v>
      </c>
      <c r="C190" s="199">
        <v>29.5625</v>
      </c>
    </row>
    <row r="191" spans="2:3" x14ac:dyDescent="0.25">
      <c r="B191" s="11">
        <v>44113</v>
      </c>
      <c r="C191" s="199">
        <v>29.75</v>
      </c>
    </row>
    <row r="192" spans="2:3" x14ac:dyDescent="0.25">
      <c r="B192" s="11">
        <v>44117</v>
      </c>
      <c r="C192" s="199">
        <v>29.8125</v>
      </c>
    </row>
    <row r="193" spans="2:3" x14ac:dyDescent="0.25">
      <c r="B193" s="11">
        <v>44118</v>
      </c>
      <c r="C193" s="199">
        <v>29.625</v>
      </c>
    </row>
    <row r="194" spans="2:3" x14ac:dyDescent="0.25">
      <c r="B194" s="11">
        <v>44119</v>
      </c>
      <c r="C194" s="199">
        <v>30</v>
      </c>
    </row>
    <row r="195" spans="2:3" x14ac:dyDescent="0.25">
      <c r="B195" s="11">
        <v>44120</v>
      </c>
      <c r="C195" s="199">
        <v>31.6875</v>
      </c>
    </row>
    <row r="196" spans="2:3" x14ac:dyDescent="0.25">
      <c r="B196" s="11">
        <v>44123</v>
      </c>
      <c r="C196" s="199">
        <v>31.5625</v>
      </c>
    </row>
    <row r="197" spans="2:3" x14ac:dyDescent="0.25">
      <c r="B197" s="11">
        <v>44124</v>
      </c>
      <c r="C197" s="165">
        <v>31.875</v>
      </c>
    </row>
    <row r="198" spans="2:3" x14ac:dyDescent="0.25">
      <c r="B198" s="11">
        <v>44125</v>
      </c>
      <c r="C198" s="165">
        <v>31.75</v>
      </c>
    </row>
    <row r="199" spans="2:3" x14ac:dyDescent="0.25">
      <c r="B199" s="11">
        <v>44126</v>
      </c>
      <c r="C199" s="165">
        <v>31.125</v>
      </c>
    </row>
    <row r="200" spans="2:3" x14ac:dyDescent="0.25">
      <c r="B200" s="11">
        <v>44127</v>
      </c>
      <c r="C200" s="165">
        <v>31.5625</v>
      </c>
    </row>
    <row r="201" spans="2:3" x14ac:dyDescent="0.25">
      <c r="B201" s="11">
        <v>44130</v>
      </c>
      <c r="C201" s="165">
        <v>31.5625</v>
      </c>
    </row>
    <row r="202" spans="2:3" x14ac:dyDescent="0.25">
      <c r="B202" s="11">
        <v>44131</v>
      </c>
      <c r="C202" s="165">
        <v>31.5625</v>
      </c>
    </row>
    <row r="203" spans="2:3" x14ac:dyDescent="0.25">
      <c r="B203" s="11">
        <v>44132</v>
      </c>
      <c r="C203" s="165">
        <v>31.6875</v>
      </c>
    </row>
    <row r="204" spans="2:3" x14ac:dyDescent="0.25">
      <c r="B204" s="11">
        <v>44133</v>
      </c>
      <c r="C204" s="165">
        <v>31.6875</v>
      </c>
    </row>
    <row r="205" spans="2:3" x14ac:dyDescent="0.25">
      <c r="B205" s="11">
        <v>44134</v>
      </c>
      <c r="C205" s="165">
        <v>31.75</v>
      </c>
    </row>
    <row r="206" spans="2:3" x14ac:dyDescent="0.25">
      <c r="B206" s="11">
        <v>44137</v>
      </c>
      <c r="C206" s="165">
        <v>31.75</v>
      </c>
    </row>
    <row r="207" spans="2:3" x14ac:dyDescent="0.25">
      <c r="B207" s="11">
        <v>44138</v>
      </c>
      <c r="C207" s="165">
        <v>31.75</v>
      </c>
    </row>
    <row r="208" spans="2:3" x14ac:dyDescent="0.25">
      <c r="B208" s="11">
        <v>44139</v>
      </c>
      <c r="C208" s="165">
        <v>31.4375</v>
      </c>
    </row>
    <row r="209" spans="2:3" x14ac:dyDescent="0.25">
      <c r="B209" s="11">
        <v>44140</v>
      </c>
      <c r="C209" s="199">
        <v>31.8125</v>
      </c>
    </row>
    <row r="210" spans="2:3" x14ac:dyDescent="0.25">
      <c r="B210" s="11">
        <v>44144</v>
      </c>
      <c r="C210" s="199">
        <v>31.75</v>
      </c>
    </row>
    <row r="211" spans="2:3" x14ac:dyDescent="0.25">
      <c r="B211" s="11">
        <v>44145</v>
      </c>
      <c r="C211" s="199">
        <v>31.8125</v>
      </c>
    </row>
    <row r="212" spans="2:3" x14ac:dyDescent="0.25">
      <c r="B212" s="11">
        <v>44146</v>
      </c>
      <c r="C212" s="199">
        <v>31.5625</v>
      </c>
    </row>
    <row r="213" spans="2:3" x14ac:dyDescent="0.25">
      <c r="B213" s="11">
        <v>44147</v>
      </c>
      <c r="C213" s="199">
        <v>31.6875</v>
      </c>
    </row>
    <row r="214" spans="2:3" x14ac:dyDescent="0.25">
      <c r="B214" s="11">
        <v>44148</v>
      </c>
      <c r="C214" s="199">
        <v>33.625</v>
      </c>
    </row>
    <row r="215" spans="2:3" x14ac:dyDescent="0.25">
      <c r="B215" s="11">
        <v>44151</v>
      </c>
      <c r="C215" s="199">
        <v>33.875</v>
      </c>
    </row>
    <row r="216" spans="2:3" x14ac:dyDescent="0.25">
      <c r="B216" s="11">
        <v>44152</v>
      </c>
      <c r="C216" s="199">
        <v>33.9375</v>
      </c>
    </row>
    <row r="217" spans="2:3" x14ac:dyDescent="0.25">
      <c r="B217" s="11">
        <v>44153</v>
      </c>
      <c r="C217" s="165">
        <v>33.875</v>
      </c>
    </row>
    <row r="218" spans="2:3" x14ac:dyDescent="0.25">
      <c r="B218" s="11">
        <v>44154</v>
      </c>
      <c r="C218" s="165">
        <v>33.875</v>
      </c>
    </row>
    <row r="219" spans="2:3" x14ac:dyDescent="0.25">
      <c r="B219" s="11">
        <v>44155</v>
      </c>
      <c r="C219" s="217">
        <v>34.0625</v>
      </c>
    </row>
    <row r="220" spans="2:3" x14ac:dyDescent="0.25">
      <c r="B220" s="11">
        <v>44159</v>
      </c>
      <c r="C220" s="217">
        <v>33.875</v>
      </c>
    </row>
    <row r="221" spans="2:3" x14ac:dyDescent="0.25">
      <c r="B221" s="3">
        <v>44160</v>
      </c>
      <c r="C221" s="217">
        <v>33.625</v>
      </c>
    </row>
    <row r="222" spans="2:3" x14ac:dyDescent="0.25">
      <c r="B222" s="235">
        <v>44161</v>
      </c>
      <c r="C222" s="217">
        <v>34.0625</v>
      </c>
    </row>
    <row r="223" spans="2:3" x14ac:dyDescent="0.25">
      <c r="B223" s="11">
        <v>44162</v>
      </c>
      <c r="C223" s="217">
        <v>33.75</v>
      </c>
    </row>
    <row r="224" spans="2:3" x14ac:dyDescent="0.25">
      <c r="B224" s="11">
        <v>44165</v>
      </c>
      <c r="C224" s="217">
        <v>33.75</v>
      </c>
    </row>
    <row r="225" spans="2:4" x14ac:dyDescent="0.25">
      <c r="B225" s="246">
        <v>44166</v>
      </c>
      <c r="C225" s="199">
        <v>34.375</v>
      </c>
    </row>
    <row r="226" spans="2:4" x14ac:dyDescent="0.25">
      <c r="B226" s="11">
        <v>44167</v>
      </c>
      <c r="C226" s="199">
        <v>34.3125</v>
      </c>
    </row>
    <row r="227" spans="2:4" x14ac:dyDescent="0.25">
      <c r="B227" s="246">
        <v>44168</v>
      </c>
      <c r="C227" s="199">
        <v>34.1875</v>
      </c>
    </row>
    <row r="228" spans="2:4" x14ac:dyDescent="0.25">
      <c r="B228" s="246">
        <v>44169</v>
      </c>
      <c r="C228" s="199">
        <v>34.06</v>
      </c>
    </row>
    <row r="229" spans="2:4" x14ac:dyDescent="0.25">
      <c r="B229" s="11">
        <v>44174</v>
      </c>
      <c r="C229" s="199">
        <v>34.25</v>
      </c>
    </row>
    <row r="230" spans="2:4" x14ac:dyDescent="0.25">
      <c r="B230" s="11">
        <v>44175</v>
      </c>
      <c r="C230" s="199">
        <v>34.375</v>
      </c>
    </row>
    <row r="231" spans="2:4" x14ac:dyDescent="0.25">
      <c r="B231" s="11">
        <v>44176</v>
      </c>
      <c r="C231" s="199">
        <v>34.125</v>
      </c>
    </row>
    <row r="232" spans="2:4" x14ac:dyDescent="0.25">
      <c r="B232" s="11">
        <v>44179</v>
      </c>
      <c r="C232" s="199">
        <v>34.0625</v>
      </c>
    </row>
    <row r="233" spans="2:4" x14ac:dyDescent="0.25">
      <c r="B233" s="246">
        <v>44180</v>
      </c>
      <c r="C233" s="199">
        <v>34.5</v>
      </c>
    </row>
    <row r="234" spans="2:4" x14ac:dyDescent="0.25">
      <c r="B234" s="11">
        <v>44181</v>
      </c>
      <c r="C234" s="199">
        <v>34.1875</v>
      </c>
    </row>
    <row r="235" spans="2:4" x14ac:dyDescent="0.25">
      <c r="B235" s="246">
        <v>44182</v>
      </c>
      <c r="C235" s="199">
        <v>34.1875</v>
      </c>
      <c r="D235" s="51"/>
    </row>
    <row r="236" spans="2:4" x14ac:dyDescent="0.25">
      <c r="B236" s="11">
        <v>44183</v>
      </c>
      <c r="C236" s="199">
        <v>34.3125</v>
      </c>
    </row>
    <row r="237" spans="2:4" x14ac:dyDescent="0.25">
      <c r="B237" s="11">
        <v>44186</v>
      </c>
      <c r="C237" s="199">
        <v>34.25</v>
      </c>
    </row>
    <row r="238" spans="2:4" x14ac:dyDescent="0.25">
      <c r="B238" s="246">
        <v>44187</v>
      </c>
      <c r="C238" s="199">
        <v>34.0625</v>
      </c>
    </row>
    <row r="239" spans="2:4" x14ac:dyDescent="0.25">
      <c r="B239" s="11">
        <v>44188</v>
      </c>
      <c r="C239" s="199">
        <v>34.0625</v>
      </c>
    </row>
    <row r="240" spans="2:4" x14ac:dyDescent="0.25">
      <c r="B240" s="11">
        <v>44193</v>
      </c>
      <c r="C240" s="199">
        <v>34.125</v>
      </c>
    </row>
    <row r="241" spans="2:9" x14ac:dyDescent="0.25">
      <c r="B241" s="11">
        <v>44194</v>
      </c>
      <c r="C241" s="165">
        <v>34.1875</v>
      </c>
    </row>
    <row r="242" spans="2:9" x14ac:dyDescent="0.25">
      <c r="B242" s="11">
        <v>44195</v>
      </c>
      <c r="C242" s="165">
        <v>34.25</v>
      </c>
    </row>
    <row r="243" spans="2:9" x14ac:dyDescent="0.25">
      <c r="B243" s="11">
        <v>44200</v>
      </c>
      <c r="C243" s="165">
        <v>34.0625</v>
      </c>
    </row>
    <row r="244" spans="2:9" x14ac:dyDescent="0.25">
      <c r="B244" s="11">
        <v>44201</v>
      </c>
      <c r="C244" s="165">
        <v>34.3125</v>
      </c>
    </row>
    <row r="245" spans="2:9" x14ac:dyDescent="0.25">
      <c r="B245" s="11">
        <v>44202</v>
      </c>
      <c r="C245" s="165">
        <v>33.9375</v>
      </c>
    </row>
    <row r="246" spans="2:9" x14ac:dyDescent="0.25">
      <c r="B246" s="246">
        <v>44203</v>
      </c>
      <c r="C246" s="199">
        <v>33.8125</v>
      </c>
    </row>
    <row r="247" spans="2:9" x14ac:dyDescent="0.25">
      <c r="B247" s="11">
        <v>44204</v>
      </c>
      <c r="C247" s="199">
        <v>34.125</v>
      </c>
    </row>
    <row r="248" spans="2:9" x14ac:dyDescent="0.25">
      <c r="B248" s="11">
        <v>44207</v>
      </c>
      <c r="C248" s="199">
        <v>34.3125</v>
      </c>
    </row>
    <row r="249" spans="2:9" x14ac:dyDescent="0.25">
      <c r="B249" s="11">
        <v>44208</v>
      </c>
      <c r="C249" s="199">
        <v>34.125</v>
      </c>
    </row>
    <row r="250" spans="2:9" x14ac:dyDescent="0.25">
      <c r="B250" s="11">
        <v>44209</v>
      </c>
      <c r="C250" s="199">
        <v>34</v>
      </c>
    </row>
    <row r="251" spans="2:9" x14ac:dyDescent="0.25">
      <c r="B251" s="11">
        <v>44210</v>
      </c>
      <c r="C251" s="199">
        <v>34.375</v>
      </c>
    </row>
    <row r="252" spans="2:9" x14ac:dyDescent="0.25">
      <c r="B252" s="246">
        <v>44211</v>
      </c>
      <c r="C252" s="199">
        <v>34.5625</v>
      </c>
    </row>
    <row r="253" spans="2:9" x14ac:dyDescent="0.25">
      <c r="B253" s="11">
        <v>44214</v>
      </c>
      <c r="C253" s="199">
        <v>34.1875</v>
      </c>
    </row>
    <row r="254" spans="2:9" x14ac:dyDescent="0.25">
      <c r="B254" s="11">
        <v>44215</v>
      </c>
      <c r="C254" s="199">
        <v>34.1875</v>
      </c>
      <c r="F254" s="3"/>
    </row>
    <row r="255" spans="2:9" x14ac:dyDescent="0.25">
      <c r="B255" s="11">
        <v>44216</v>
      </c>
      <c r="C255" s="199">
        <v>34.3125</v>
      </c>
      <c r="F255" s="3"/>
      <c r="I255" s="3"/>
    </row>
    <row r="256" spans="2:9" x14ac:dyDescent="0.25">
      <c r="B256" s="11">
        <v>44217</v>
      </c>
      <c r="C256" s="199">
        <v>34</v>
      </c>
      <c r="F256" s="3"/>
      <c r="I256" s="3"/>
    </row>
    <row r="257" spans="2:13" x14ac:dyDescent="0.25">
      <c r="B257" s="11">
        <v>44218</v>
      </c>
      <c r="C257" s="199">
        <v>34</v>
      </c>
      <c r="F257" s="3"/>
      <c r="I257" s="3"/>
    </row>
    <row r="258" spans="2:13" x14ac:dyDescent="0.25">
      <c r="B258" s="11">
        <v>44221</v>
      </c>
      <c r="C258" s="199">
        <v>33.8125</v>
      </c>
      <c r="F258" s="3"/>
      <c r="I258" s="3"/>
      <c r="M258" s="2"/>
    </row>
    <row r="259" spans="2:13" x14ac:dyDescent="0.25">
      <c r="B259" s="11">
        <v>44222</v>
      </c>
      <c r="C259" s="199">
        <v>33.875</v>
      </c>
      <c r="F259" s="3"/>
      <c r="I259" s="3"/>
    </row>
    <row r="260" spans="2:13" x14ac:dyDescent="0.25">
      <c r="B260" s="11">
        <v>44223</v>
      </c>
      <c r="C260" s="199">
        <v>34.0625</v>
      </c>
      <c r="F260" s="3"/>
      <c r="I260" s="3"/>
    </row>
    <row r="261" spans="2:13" x14ac:dyDescent="0.25">
      <c r="B261" s="11">
        <v>44224</v>
      </c>
      <c r="C261" s="165">
        <v>34.1875</v>
      </c>
      <c r="I261" s="3"/>
    </row>
    <row r="262" spans="2:13" x14ac:dyDescent="0.25">
      <c r="B262" s="11">
        <v>44225</v>
      </c>
      <c r="C262" s="165">
        <v>34.1875</v>
      </c>
      <c r="I262" s="3"/>
    </row>
    <row r="263" spans="2:13" x14ac:dyDescent="0.25">
      <c r="B263" s="11">
        <v>44228</v>
      </c>
      <c r="C263" s="165">
        <v>34.1875</v>
      </c>
      <c r="I263" s="3"/>
      <c r="J263" s="3"/>
      <c r="M263" s="2"/>
    </row>
    <row r="264" spans="2:13" x14ac:dyDescent="0.25">
      <c r="B264" s="11">
        <v>44229</v>
      </c>
      <c r="C264" s="165">
        <v>34.1875</v>
      </c>
      <c r="I264" s="3"/>
      <c r="J264" s="3"/>
    </row>
    <row r="265" spans="2:13" x14ac:dyDescent="0.25">
      <c r="B265" s="11">
        <v>44230</v>
      </c>
      <c r="C265" s="165">
        <v>34</v>
      </c>
      <c r="I265" s="3"/>
      <c r="J265" s="3"/>
    </row>
    <row r="266" spans="2:13" x14ac:dyDescent="0.25">
      <c r="B266" s="246">
        <v>44231</v>
      </c>
      <c r="C266" s="199">
        <v>34.1875</v>
      </c>
      <c r="I266" s="3"/>
      <c r="J266" s="3"/>
    </row>
    <row r="267" spans="2:13" x14ac:dyDescent="0.25">
      <c r="B267" s="11">
        <v>44232</v>
      </c>
      <c r="C267" s="199">
        <v>34.0625</v>
      </c>
      <c r="I267" s="3"/>
      <c r="J267" s="3"/>
    </row>
    <row r="268" spans="2:13" x14ac:dyDescent="0.25">
      <c r="B268" s="11">
        <v>44235</v>
      </c>
      <c r="C268" s="199">
        <v>34.125</v>
      </c>
      <c r="I268" s="3"/>
      <c r="J268" s="3"/>
    </row>
    <row r="269" spans="2:13" x14ac:dyDescent="0.25">
      <c r="B269" s="11">
        <v>44236</v>
      </c>
      <c r="C269" s="199">
        <v>34.25</v>
      </c>
      <c r="I269" s="3"/>
    </row>
    <row r="270" spans="2:13" x14ac:dyDescent="0.25">
      <c r="B270" s="246">
        <v>44237</v>
      </c>
      <c r="C270" s="199">
        <v>34.1875</v>
      </c>
    </row>
    <row r="271" spans="2:13" x14ac:dyDescent="0.25">
      <c r="B271" s="246">
        <v>44238</v>
      </c>
      <c r="C271" s="199">
        <v>34.125</v>
      </c>
    </row>
    <row r="272" spans="2:13" x14ac:dyDescent="0.25">
      <c r="B272" s="11">
        <v>44239</v>
      </c>
      <c r="C272" s="199">
        <v>34</v>
      </c>
    </row>
    <row r="273" spans="2:4" x14ac:dyDescent="0.25">
      <c r="B273" s="246">
        <v>44244</v>
      </c>
      <c r="C273" s="199">
        <v>34.25</v>
      </c>
    </row>
    <row r="274" spans="2:4" x14ac:dyDescent="0.25">
      <c r="B274" s="246">
        <v>44245</v>
      </c>
      <c r="C274" s="199">
        <v>34.25</v>
      </c>
    </row>
    <row r="275" spans="2:4" x14ac:dyDescent="0.25">
      <c r="B275" s="246">
        <v>44246</v>
      </c>
      <c r="C275" s="199">
        <v>33.75</v>
      </c>
    </row>
    <row r="276" spans="2:4" x14ac:dyDescent="0.25">
      <c r="B276" s="246">
        <v>44249</v>
      </c>
      <c r="C276" s="199">
        <v>34.125</v>
      </c>
      <c r="D276" s="51"/>
    </row>
    <row r="277" spans="2:4" x14ac:dyDescent="0.25">
      <c r="B277" s="246">
        <v>44250</v>
      </c>
      <c r="C277" s="199">
        <v>34.125</v>
      </c>
      <c r="D277" s="51"/>
    </row>
    <row r="278" spans="2:4" x14ac:dyDescent="0.25">
      <c r="B278" s="246">
        <v>44251</v>
      </c>
      <c r="C278" s="199">
        <v>34.1875</v>
      </c>
      <c r="D278" s="51"/>
    </row>
    <row r="279" spans="2:4" x14ac:dyDescent="0.25">
      <c r="B279" s="246">
        <v>44252</v>
      </c>
      <c r="C279" s="199">
        <v>34.1875</v>
      </c>
      <c r="D279" s="51"/>
    </row>
    <row r="280" spans="2:4" x14ac:dyDescent="0.25">
      <c r="B280" s="246">
        <v>44253</v>
      </c>
      <c r="C280" s="199">
        <f>+C279</f>
        <v>34.1875</v>
      </c>
      <c r="D280" s="51"/>
    </row>
    <row r="281" spans="2:4" x14ac:dyDescent="0.25">
      <c r="B281" s="246">
        <v>44256</v>
      </c>
      <c r="C281" s="199">
        <f>+C280</f>
        <v>34.1875</v>
      </c>
      <c r="D281" s="51"/>
    </row>
    <row r="282" spans="2:4" x14ac:dyDescent="0.25">
      <c r="B282" s="246">
        <v>44257</v>
      </c>
      <c r="C282" s="199">
        <f>+C281</f>
        <v>34.1875</v>
      </c>
      <c r="D282" s="51"/>
    </row>
    <row r="283" spans="2:4" x14ac:dyDescent="0.25">
      <c r="B283" s="246">
        <v>44258</v>
      </c>
      <c r="C283" s="199">
        <f t="shared" ref="C283:C337" si="0">+C282</f>
        <v>34.1875</v>
      </c>
      <c r="D283" s="51"/>
    </row>
    <row r="284" spans="2:4" x14ac:dyDescent="0.25">
      <c r="B284" s="11">
        <v>44259</v>
      </c>
      <c r="C284" s="165">
        <f t="shared" si="0"/>
        <v>34.1875</v>
      </c>
    </row>
    <row r="285" spans="2:4" x14ac:dyDescent="0.25">
      <c r="B285" s="11">
        <v>44260</v>
      </c>
      <c r="C285" s="165">
        <f t="shared" si="0"/>
        <v>34.1875</v>
      </c>
    </row>
    <row r="286" spans="2:4" x14ac:dyDescent="0.25">
      <c r="B286" s="11">
        <v>44263</v>
      </c>
      <c r="C286" s="165">
        <f t="shared" si="0"/>
        <v>34.1875</v>
      </c>
    </row>
    <row r="287" spans="2:4" x14ac:dyDescent="0.25">
      <c r="B287" s="11">
        <v>44264</v>
      </c>
      <c r="C287" s="165">
        <f t="shared" si="0"/>
        <v>34.1875</v>
      </c>
    </row>
    <row r="288" spans="2:4" x14ac:dyDescent="0.25">
      <c r="B288" s="11">
        <v>44265</v>
      </c>
      <c r="C288" s="165">
        <f t="shared" si="0"/>
        <v>34.1875</v>
      </c>
    </row>
    <row r="289" spans="2:3" x14ac:dyDescent="0.25">
      <c r="B289" s="11">
        <v>44266</v>
      </c>
      <c r="C289" s="199">
        <f t="shared" si="0"/>
        <v>34.1875</v>
      </c>
    </row>
    <row r="290" spans="2:3" x14ac:dyDescent="0.25">
      <c r="B290" s="11">
        <v>44267</v>
      </c>
      <c r="C290" s="199">
        <f t="shared" si="0"/>
        <v>34.1875</v>
      </c>
    </row>
    <row r="291" spans="2:3" x14ac:dyDescent="0.25">
      <c r="B291" s="11">
        <v>44270</v>
      </c>
      <c r="C291" s="199">
        <f t="shared" si="0"/>
        <v>34.1875</v>
      </c>
    </row>
    <row r="292" spans="2:3" x14ac:dyDescent="0.25">
      <c r="B292" s="11">
        <v>44271</v>
      </c>
      <c r="C292" s="199">
        <f t="shared" si="0"/>
        <v>34.1875</v>
      </c>
    </row>
    <row r="293" spans="2:3" x14ac:dyDescent="0.25">
      <c r="B293" s="11">
        <v>44272</v>
      </c>
      <c r="C293" s="199">
        <f t="shared" si="0"/>
        <v>34.1875</v>
      </c>
    </row>
    <row r="294" spans="2:3" x14ac:dyDescent="0.25">
      <c r="B294" s="187">
        <v>44273</v>
      </c>
      <c r="C294" s="234">
        <f t="shared" si="0"/>
        <v>34.1875</v>
      </c>
    </row>
    <row r="295" spans="2:3" x14ac:dyDescent="0.25">
      <c r="B295" s="11">
        <v>44274</v>
      </c>
      <c r="C295" s="199">
        <f t="shared" si="0"/>
        <v>34.1875</v>
      </c>
    </row>
    <row r="296" spans="2:3" x14ac:dyDescent="0.25">
      <c r="B296" s="11">
        <v>44277</v>
      </c>
      <c r="C296" s="199">
        <f t="shared" si="0"/>
        <v>34.1875</v>
      </c>
    </row>
    <row r="297" spans="2:3" x14ac:dyDescent="0.25">
      <c r="B297" s="11">
        <v>44278</v>
      </c>
      <c r="C297" s="199">
        <f t="shared" si="0"/>
        <v>34.1875</v>
      </c>
    </row>
    <row r="298" spans="2:3" x14ac:dyDescent="0.25">
      <c r="B298" s="11">
        <v>44280</v>
      </c>
      <c r="C298" s="199">
        <f t="shared" si="0"/>
        <v>34.1875</v>
      </c>
    </row>
    <row r="299" spans="2:3" x14ac:dyDescent="0.25">
      <c r="B299" s="11">
        <v>44281</v>
      </c>
      <c r="C299" s="199">
        <f t="shared" si="0"/>
        <v>34.1875</v>
      </c>
    </row>
    <row r="300" spans="2:3" x14ac:dyDescent="0.25">
      <c r="B300" s="11">
        <v>44284</v>
      </c>
      <c r="C300" s="199">
        <f t="shared" si="0"/>
        <v>34.1875</v>
      </c>
    </row>
    <row r="301" spans="2:3" x14ac:dyDescent="0.25">
      <c r="B301" s="11">
        <v>44285</v>
      </c>
      <c r="C301" s="199">
        <f t="shared" si="0"/>
        <v>34.1875</v>
      </c>
    </row>
    <row r="302" spans="2:3" x14ac:dyDescent="0.25">
      <c r="B302" s="11">
        <v>44286</v>
      </c>
      <c r="C302" s="165">
        <f t="shared" si="0"/>
        <v>34.1875</v>
      </c>
    </row>
    <row r="303" spans="2:3" x14ac:dyDescent="0.25">
      <c r="B303" s="11">
        <v>44287</v>
      </c>
      <c r="C303" s="165">
        <f t="shared" si="0"/>
        <v>34.1875</v>
      </c>
    </row>
    <row r="304" spans="2:3" x14ac:dyDescent="0.25">
      <c r="B304" s="11">
        <v>44291</v>
      </c>
      <c r="C304" s="165">
        <f t="shared" si="0"/>
        <v>34.1875</v>
      </c>
    </row>
    <row r="305" spans="2:3" x14ac:dyDescent="0.25">
      <c r="B305" s="11">
        <v>44292</v>
      </c>
      <c r="C305" s="199">
        <f t="shared" si="0"/>
        <v>34.1875</v>
      </c>
    </row>
    <row r="306" spans="2:3" x14ac:dyDescent="0.25">
      <c r="B306" s="11">
        <v>44293</v>
      </c>
      <c r="C306" s="199">
        <f t="shared" si="0"/>
        <v>34.1875</v>
      </c>
    </row>
    <row r="307" spans="2:3" x14ac:dyDescent="0.25">
      <c r="B307" s="11">
        <v>44294</v>
      </c>
      <c r="C307" s="199">
        <f t="shared" si="0"/>
        <v>34.1875</v>
      </c>
    </row>
    <row r="308" spans="2:3" x14ac:dyDescent="0.25">
      <c r="B308" s="11">
        <v>44295</v>
      </c>
      <c r="C308" s="199">
        <f t="shared" si="0"/>
        <v>34.1875</v>
      </c>
    </row>
    <row r="309" spans="2:3" x14ac:dyDescent="0.25">
      <c r="B309" s="11">
        <v>44298</v>
      </c>
      <c r="C309" s="199">
        <f t="shared" si="0"/>
        <v>34.1875</v>
      </c>
    </row>
    <row r="310" spans="2:3" x14ac:dyDescent="0.25">
      <c r="B310" s="11">
        <v>44299</v>
      </c>
      <c r="C310" s="199">
        <f t="shared" si="0"/>
        <v>34.1875</v>
      </c>
    </row>
    <row r="311" spans="2:3" x14ac:dyDescent="0.25">
      <c r="B311" s="11">
        <v>44300</v>
      </c>
      <c r="C311" s="199">
        <f t="shared" si="0"/>
        <v>34.1875</v>
      </c>
    </row>
    <row r="312" spans="2:3" x14ac:dyDescent="0.25">
      <c r="B312" s="11">
        <v>44301</v>
      </c>
      <c r="C312" s="199">
        <f t="shared" si="0"/>
        <v>34.1875</v>
      </c>
    </row>
    <row r="313" spans="2:3" x14ac:dyDescent="0.25">
      <c r="B313" s="11">
        <v>44302</v>
      </c>
      <c r="C313" s="199">
        <f t="shared" si="0"/>
        <v>34.1875</v>
      </c>
    </row>
    <row r="314" spans="2:3" x14ac:dyDescent="0.25">
      <c r="B314" s="11">
        <v>44305</v>
      </c>
      <c r="C314" s="199">
        <f t="shared" si="0"/>
        <v>34.1875</v>
      </c>
    </row>
    <row r="315" spans="2:3" x14ac:dyDescent="0.25">
      <c r="B315" s="11">
        <v>44306</v>
      </c>
      <c r="C315" s="199">
        <f t="shared" si="0"/>
        <v>34.1875</v>
      </c>
    </row>
    <row r="316" spans="2:3" x14ac:dyDescent="0.25">
      <c r="B316" s="11">
        <v>44307</v>
      </c>
      <c r="C316" s="199">
        <f t="shared" si="0"/>
        <v>34.1875</v>
      </c>
    </row>
    <row r="317" spans="2:3" x14ac:dyDescent="0.25">
      <c r="B317" s="11">
        <v>44308</v>
      </c>
      <c r="C317" s="199">
        <f t="shared" si="0"/>
        <v>34.1875</v>
      </c>
    </row>
    <row r="318" spans="2:3" x14ac:dyDescent="0.25">
      <c r="B318" s="11">
        <v>44309</v>
      </c>
      <c r="C318" s="199">
        <f t="shared" si="0"/>
        <v>34.1875</v>
      </c>
    </row>
    <row r="319" spans="2:3" x14ac:dyDescent="0.25">
      <c r="B319" s="11">
        <v>44312</v>
      </c>
      <c r="C319" s="165">
        <f t="shared" si="0"/>
        <v>34.1875</v>
      </c>
    </row>
    <row r="320" spans="2:3" x14ac:dyDescent="0.25">
      <c r="B320" s="11">
        <v>44313</v>
      </c>
      <c r="C320" s="165">
        <f t="shared" si="0"/>
        <v>34.1875</v>
      </c>
    </row>
    <row r="321" spans="2:3" x14ac:dyDescent="0.25">
      <c r="B321" s="11">
        <v>44314</v>
      </c>
      <c r="C321" s="165">
        <f t="shared" si="0"/>
        <v>34.1875</v>
      </c>
    </row>
    <row r="322" spans="2:3" x14ac:dyDescent="0.25">
      <c r="B322" s="11">
        <v>44315</v>
      </c>
      <c r="C322" s="165">
        <f t="shared" si="0"/>
        <v>34.1875</v>
      </c>
    </row>
    <row r="323" spans="2:3" x14ac:dyDescent="0.25">
      <c r="B323" s="11">
        <v>44319</v>
      </c>
      <c r="C323" s="165">
        <f t="shared" si="0"/>
        <v>34.1875</v>
      </c>
    </row>
    <row r="324" spans="2:3" x14ac:dyDescent="0.25">
      <c r="B324" s="11">
        <v>44320</v>
      </c>
      <c r="C324" s="165">
        <f t="shared" si="0"/>
        <v>34.1875</v>
      </c>
    </row>
    <row r="325" spans="2:3" x14ac:dyDescent="0.25">
      <c r="B325" s="11">
        <v>44321</v>
      </c>
      <c r="C325" s="165">
        <f t="shared" si="0"/>
        <v>34.1875</v>
      </c>
    </row>
    <row r="326" spans="2:3" x14ac:dyDescent="0.25">
      <c r="B326" s="11">
        <v>44322</v>
      </c>
      <c r="C326" s="199">
        <f t="shared" si="0"/>
        <v>34.1875</v>
      </c>
    </row>
    <row r="327" spans="2:3" x14ac:dyDescent="0.25">
      <c r="B327" s="11">
        <v>44323</v>
      </c>
      <c r="C327" s="199">
        <f t="shared" si="0"/>
        <v>34.1875</v>
      </c>
    </row>
    <row r="328" spans="2:3" x14ac:dyDescent="0.25">
      <c r="B328" s="11">
        <v>44326</v>
      </c>
      <c r="C328" s="199">
        <f t="shared" si="0"/>
        <v>34.1875</v>
      </c>
    </row>
    <row r="329" spans="2:3" x14ac:dyDescent="0.25">
      <c r="B329" s="11">
        <v>44327</v>
      </c>
      <c r="C329" s="199">
        <f t="shared" si="0"/>
        <v>34.1875</v>
      </c>
    </row>
    <row r="330" spans="2:3" x14ac:dyDescent="0.25">
      <c r="B330" s="11">
        <v>44328</v>
      </c>
      <c r="C330" s="199">
        <f t="shared" si="0"/>
        <v>34.1875</v>
      </c>
    </row>
    <row r="331" spans="2:3" x14ac:dyDescent="0.25">
      <c r="B331" s="11">
        <v>44329</v>
      </c>
      <c r="C331" s="199">
        <f t="shared" si="0"/>
        <v>34.1875</v>
      </c>
    </row>
    <row r="332" spans="2:3" x14ac:dyDescent="0.25">
      <c r="B332" s="11">
        <v>44330</v>
      </c>
      <c r="C332" s="199">
        <f t="shared" si="0"/>
        <v>34.1875</v>
      </c>
    </row>
    <row r="333" spans="2:3" x14ac:dyDescent="0.25">
      <c r="B333" s="11">
        <v>44333</v>
      </c>
      <c r="C333" s="199">
        <f t="shared" si="0"/>
        <v>34.1875</v>
      </c>
    </row>
    <row r="334" spans="2:3" x14ac:dyDescent="0.25">
      <c r="B334" s="11">
        <v>44334</v>
      </c>
      <c r="C334" s="199">
        <f t="shared" si="0"/>
        <v>34.1875</v>
      </c>
    </row>
    <row r="335" spans="2:3" x14ac:dyDescent="0.25">
      <c r="B335" s="11">
        <v>44335</v>
      </c>
      <c r="C335" s="165">
        <f t="shared" si="0"/>
        <v>34.1875</v>
      </c>
    </row>
    <row r="336" spans="2:3" x14ac:dyDescent="0.25">
      <c r="B336" s="11">
        <v>44336</v>
      </c>
      <c r="C336" s="165">
        <f t="shared" si="0"/>
        <v>34.1875</v>
      </c>
    </row>
    <row r="337" spans="2:7" x14ac:dyDescent="0.25">
      <c r="B337" s="11">
        <v>44337</v>
      </c>
      <c r="C337" s="165">
        <f t="shared" si="0"/>
        <v>34.1875</v>
      </c>
    </row>
    <row r="338" spans="2:7" x14ac:dyDescent="0.25">
      <c r="B338" s="11">
        <v>44340</v>
      </c>
      <c r="C338" s="165">
        <f>+C337</f>
        <v>34.1875</v>
      </c>
    </row>
    <row r="339" spans="2:7" x14ac:dyDescent="0.25">
      <c r="B339" s="11">
        <v>44341</v>
      </c>
      <c r="C339" s="165">
        <f>+C338</f>
        <v>34.1875</v>
      </c>
    </row>
    <row r="340" spans="2:7" x14ac:dyDescent="0.25">
      <c r="B340" s="11">
        <v>44342</v>
      </c>
      <c r="C340" s="165">
        <f>+C339</f>
        <v>34.1875</v>
      </c>
    </row>
    <row r="341" spans="2:7" x14ac:dyDescent="0.25">
      <c r="B341" s="11">
        <v>44343</v>
      </c>
      <c r="C341" s="165">
        <f>+C340</f>
        <v>34.1875</v>
      </c>
    </row>
    <row r="342" spans="2:7" x14ac:dyDescent="0.25">
      <c r="B342" s="11">
        <v>44344</v>
      </c>
      <c r="C342" s="165">
        <v>34.0625</v>
      </c>
      <c r="G342" s="3"/>
    </row>
    <row r="343" spans="2:7" x14ac:dyDescent="0.25">
      <c r="B343" s="11">
        <v>44347</v>
      </c>
      <c r="C343" s="199">
        <v>34.125</v>
      </c>
      <c r="G343" s="3"/>
    </row>
    <row r="344" spans="2:7" x14ac:dyDescent="0.25">
      <c r="B344" s="11">
        <v>44348</v>
      </c>
      <c r="C344" s="199">
        <v>34.0625</v>
      </c>
      <c r="G344" s="3"/>
    </row>
    <row r="345" spans="2:7" x14ac:dyDescent="0.25">
      <c r="B345" s="11">
        <v>44349</v>
      </c>
      <c r="C345" s="199">
        <v>34.1875</v>
      </c>
      <c r="G345" s="3"/>
    </row>
    <row r="346" spans="2:7" x14ac:dyDescent="0.25">
      <c r="B346" s="11">
        <v>44350</v>
      </c>
      <c r="C346" s="165">
        <v>34.125</v>
      </c>
      <c r="G346" s="3"/>
    </row>
    <row r="347" spans="2:7" x14ac:dyDescent="0.25">
      <c r="B347" s="11">
        <v>44351</v>
      </c>
      <c r="C347" s="199">
        <v>33.875</v>
      </c>
      <c r="G347" s="3"/>
    </row>
    <row r="348" spans="2:7" x14ac:dyDescent="0.25">
      <c r="B348" s="11">
        <v>44354</v>
      </c>
      <c r="C348" s="199">
        <v>34.25</v>
      </c>
      <c r="G348" s="3"/>
    </row>
    <row r="349" spans="2:7" x14ac:dyDescent="0.25">
      <c r="B349" s="11">
        <v>44355</v>
      </c>
      <c r="C349" s="199">
        <v>34.1875</v>
      </c>
      <c r="G349" s="3"/>
    </row>
    <row r="350" spans="2:7" x14ac:dyDescent="0.25">
      <c r="B350" s="11">
        <v>44356</v>
      </c>
      <c r="C350" s="165">
        <v>34</v>
      </c>
      <c r="G350" s="3"/>
    </row>
    <row r="351" spans="2:7" x14ac:dyDescent="0.25">
      <c r="B351" s="11">
        <v>44357</v>
      </c>
      <c r="C351" s="199">
        <v>34.25</v>
      </c>
      <c r="G351" s="3"/>
    </row>
    <row r="352" spans="2:7" x14ac:dyDescent="0.25">
      <c r="B352" s="11">
        <v>44358</v>
      </c>
      <c r="C352" s="199">
        <v>34.125</v>
      </c>
      <c r="G352" s="3"/>
    </row>
    <row r="353" spans="2:7" x14ac:dyDescent="0.25">
      <c r="B353" s="11">
        <v>44361</v>
      </c>
      <c r="C353" s="199">
        <v>34.125</v>
      </c>
      <c r="G353" s="3"/>
    </row>
    <row r="354" spans="2:7" x14ac:dyDescent="0.25">
      <c r="B354" s="11">
        <v>44362</v>
      </c>
      <c r="C354" s="165">
        <v>34.1875</v>
      </c>
      <c r="G354" s="3"/>
    </row>
    <row r="355" spans="2:7" x14ac:dyDescent="0.25">
      <c r="B355" s="11">
        <v>44363</v>
      </c>
      <c r="C355" s="199">
        <v>34.125</v>
      </c>
      <c r="G355" s="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85"/>
  <sheetViews>
    <sheetView showGridLines="0" zoomScale="90" zoomScaleNormal="90" workbookViewId="0">
      <selection activeCell="G33" sqref="G33"/>
    </sheetView>
  </sheetViews>
  <sheetFormatPr baseColWidth="10" defaultRowHeight="15" x14ac:dyDescent="0.25"/>
  <cols>
    <col min="2" max="2" width="17.42578125" customWidth="1"/>
    <col min="3" max="3" width="13.42578125" customWidth="1"/>
    <col min="4" max="4" width="4" customWidth="1"/>
    <col min="5" max="5" width="12.140625" bestFit="1" customWidth="1"/>
    <col min="7" max="7" width="9.140625" customWidth="1"/>
    <col min="8" max="8" width="10" customWidth="1"/>
    <col min="9" max="9" width="14.42578125" bestFit="1" customWidth="1"/>
    <col min="11" max="11" width="6.140625" customWidth="1"/>
    <col min="12" max="12" width="12.140625" bestFit="1" customWidth="1"/>
    <col min="14" max="14" width="9.140625" customWidth="1"/>
    <col min="15" max="15" width="10" customWidth="1"/>
    <col min="16" max="16" width="13.42578125" customWidth="1"/>
    <col min="17" max="17" width="16.28515625" bestFit="1" customWidth="1"/>
    <col min="19" max="19" width="13.28515625" bestFit="1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373" t="s">
        <v>31</v>
      </c>
      <c r="C4" s="374"/>
      <c r="D4" s="12"/>
      <c r="E4" s="398" t="s">
        <v>32</v>
      </c>
      <c r="F4" s="398"/>
      <c r="G4" s="398"/>
      <c r="H4" s="398"/>
      <c r="I4" s="398"/>
      <c r="J4" s="398"/>
      <c r="K4" s="12"/>
      <c r="L4" s="398" t="s">
        <v>32</v>
      </c>
      <c r="M4" s="398"/>
      <c r="N4" s="398"/>
      <c r="O4" s="398"/>
      <c r="P4" s="398"/>
      <c r="Q4" s="398"/>
      <c r="R4" s="12"/>
    </row>
    <row r="5" spans="1:18" x14ac:dyDescent="0.25">
      <c r="A5" s="12"/>
      <c r="B5" s="122" t="s">
        <v>0</v>
      </c>
      <c r="C5" s="123">
        <v>42886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15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15</v>
      </c>
      <c r="Q5" s="68" t="s">
        <v>9</v>
      </c>
      <c r="R5" s="12"/>
    </row>
    <row r="6" spans="1:18" x14ac:dyDescent="0.25">
      <c r="A6" s="12"/>
      <c r="B6" s="122" t="s">
        <v>1</v>
      </c>
      <c r="C6" s="123">
        <v>44712</v>
      </c>
      <c r="D6" s="12"/>
      <c r="E6" s="97">
        <f>'Planilla de datos'!D3</f>
        <v>44384</v>
      </c>
      <c r="F6" s="94">
        <v>100</v>
      </c>
      <c r="G6" s="94"/>
      <c r="H6" s="95"/>
      <c r="I6" s="95"/>
      <c r="J6" s="98">
        <f>-'Planilla de datos'!C27</f>
        <v>-99.5</v>
      </c>
      <c r="K6" s="12"/>
      <c r="L6" s="97">
        <f>+E6</f>
        <v>44384</v>
      </c>
      <c r="M6" s="94">
        <v>100</v>
      </c>
      <c r="N6" s="94"/>
      <c r="O6" s="96"/>
      <c r="P6" s="95"/>
      <c r="Q6" s="127">
        <v>0</v>
      </c>
      <c r="R6" s="12"/>
    </row>
    <row r="7" spans="1:18" x14ac:dyDescent="0.25">
      <c r="A7" s="12"/>
      <c r="B7" s="122" t="s">
        <v>157</v>
      </c>
      <c r="C7" s="124">
        <v>3.8300000000000001E-2</v>
      </c>
      <c r="D7" s="12"/>
      <c r="E7" s="97">
        <v>44439</v>
      </c>
      <c r="F7" s="94">
        <v>100</v>
      </c>
      <c r="G7" s="94">
        <f>E7-C10</f>
        <v>92</v>
      </c>
      <c r="H7" s="96">
        <f>F6*($C$12)/365*G7</f>
        <v>9.5605878801950315</v>
      </c>
      <c r="I7" s="96">
        <v>0</v>
      </c>
      <c r="J7" s="127">
        <f>SUM(H7:I7)</f>
        <v>9.5605878801950315</v>
      </c>
      <c r="K7" s="12"/>
      <c r="L7" s="97">
        <v>44439</v>
      </c>
      <c r="M7" s="94">
        <v>100</v>
      </c>
      <c r="N7" s="94">
        <f>+G7</f>
        <v>92</v>
      </c>
      <c r="O7" s="96">
        <f>H7</f>
        <v>9.5605878801950315</v>
      </c>
      <c r="P7" s="95">
        <v>0</v>
      </c>
      <c r="Q7" s="127">
        <f>SUM(O7:P7)</f>
        <v>9.5605878801950315</v>
      </c>
      <c r="R7" s="12"/>
    </row>
    <row r="8" spans="1:18" x14ac:dyDescent="0.25">
      <c r="A8" s="12"/>
      <c r="B8" s="122" t="s">
        <v>162</v>
      </c>
      <c r="C8" s="124">
        <f>AVERAGE('Serie BADLAR'!C214:C272)/100</f>
        <v>0.34100593220338982</v>
      </c>
      <c r="D8" s="12"/>
      <c r="E8" s="97">
        <v>44530</v>
      </c>
      <c r="F8" s="94">
        <v>100</v>
      </c>
      <c r="G8" s="94">
        <f>E8-E7</f>
        <v>91</v>
      </c>
      <c r="H8" s="96">
        <f>F7*($C$12)/365*G8</f>
        <v>9.4566684467146516</v>
      </c>
      <c r="I8" s="96">
        <v>0</v>
      </c>
      <c r="J8" s="127">
        <f>SUM(H8:I8)</f>
        <v>9.4566684467146516</v>
      </c>
      <c r="K8" s="12"/>
      <c r="L8" s="97">
        <v>44530</v>
      </c>
      <c r="M8" s="94">
        <v>100</v>
      </c>
      <c r="N8" s="94">
        <f>+G8</f>
        <v>91</v>
      </c>
      <c r="O8" s="96">
        <f>H8</f>
        <v>9.4566684467146516</v>
      </c>
      <c r="P8" s="95">
        <v>0</v>
      </c>
      <c r="Q8" s="127">
        <f>SUM(O8:P8)</f>
        <v>9.4566684467146516</v>
      </c>
      <c r="R8" s="12"/>
    </row>
    <row r="9" spans="1:18" x14ac:dyDescent="0.25">
      <c r="A9" s="12"/>
      <c r="B9" s="122" t="s">
        <v>163</v>
      </c>
      <c r="C9" s="124">
        <f>+C8+C7</f>
        <v>0.37930593220338982</v>
      </c>
      <c r="D9" s="12"/>
      <c r="E9" s="97">
        <v>44620</v>
      </c>
      <c r="F9" s="94">
        <v>100</v>
      </c>
      <c r="G9" s="94">
        <f>E9-E8</f>
        <v>90</v>
      </c>
      <c r="H9" s="96">
        <f>F8*($C$12)/365*G9</f>
        <v>9.3527490132342699</v>
      </c>
      <c r="I9" s="96">
        <v>0</v>
      </c>
      <c r="J9" s="127">
        <f>SUM(H9:I9)</f>
        <v>9.3527490132342699</v>
      </c>
      <c r="K9" s="12"/>
      <c r="L9" s="97">
        <v>44620</v>
      </c>
      <c r="M9" s="94">
        <v>100</v>
      </c>
      <c r="N9" s="94">
        <f>+G9</f>
        <v>90</v>
      </c>
      <c r="O9" s="96">
        <f>H9</f>
        <v>9.3527490132342699</v>
      </c>
      <c r="P9" s="95">
        <v>0</v>
      </c>
      <c r="Q9" s="127">
        <f>SUM(O9:P9)</f>
        <v>9.3527490132342699</v>
      </c>
      <c r="R9" s="12"/>
    </row>
    <row r="10" spans="1:18" x14ac:dyDescent="0.25">
      <c r="A10" s="12"/>
      <c r="B10" s="122" t="s">
        <v>27</v>
      </c>
      <c r="C10" s="262">
        <v>44347</v>
      </c>
      <c r="D10" s="12"/>
      <c r="E10" s="97">
        <v>44712</v>
      </c>
      <c r="F10" s="94">
        <v>100</v>
      </c>
      <c r="G10" s="94">
        <f>E10-E9</f>
        <v>92</v>
      </c>
      <c r="H10" s="96">
        <f>F9*($C$12)/365*G10</f>
        <v>9.5605878801950315</v>
      </c>
      <c r="I10" s="96">
        <f>F10</f>
        <v>100</v>
      </c>
      <c r="J10" s="127">
        <f>SUM(H10:I10)</f>
        <v>109.56058788019503</v>
      </c>
      <c r="K10" s="12"/>
      <c r="L10" s="97">
        <v>44712</v>
      </c>
      <c r="M10" s="94">
        <v>100</v>
      </c>
      <c r="N10" s="94">
        <f>+G10</f>
        <v>92</v>
      </c>
      <c r="O10" s="96">
        <f>H10</f>
        <v>9.5605878801950315</v>
      </c>
      <c r="P10" s="95">
        <f>M10</f>
        <v>100</v>
      </c>
      <c r="Q10" s="127">
        <f>SUM(O10:P10)</f>
        <v>109.56058788019503</v>
      </c>
      <c r="R10" s="12"/>
    </row>
    <row r="11" spans="1:18" x14ac:dyDescent="0.25">
      <c r="A11" s="12"/>
      <c r="B11" s="122" t="s">
        <v>161</v>
      </c>
      <c r="C11" s="124">
        <f>+C8</f>
        <v>0.34100593220338982</v>
      </c>
      <c r="D11" s="12"/>
      <c r="E11" s="12"/>
      <c r="F11" s="12"/>
      <c r="G11" s="12"/>
      <c r="H11" s="12"/>
      <c r="I11" s="12"/>
      <c r="J11" s="12"/>
      <c r="K11" s="12"/>
      <c r="R11" s="12"/>
    </row>
    <row r="12" spans="1:18" x14ac:dyDescent="0.25">
      <c r="A12" s="12"/>
      <c r="B12" s="167" t="s">
        <v>164</v>
      </c>
      <c r="C12" s="263">
        <f>+C11+C7</f>
        <v>0.37930593220338982</v>
      </c>
      <c r="D12" s="12"/>
      <c r="E12" s="12"/>
      <c r="F12" s="12"/>
      <c r="G12" s="12"/>
      <c r="H12" s="12"/>
      <c r="I12" s="92" t="s">
        <v>10</v>
      </c>
      <c r="J12" s="86">
        <f>XIRR(J6:J10,E6:E10,0)</f>
        <v>0.5163133691406252</v>
      </c>
      <c r="K12" s="12"/>
      <c r="R12" s="12"/>
    </row>
    <row r="13" spans="1:18" x14ac:dyDescent="0.25">
      <c r="A13" s="12"/>
      <c r="B13" s="12"/>
      <c r="C13" s="12"/>
      <c r="D13" s="12"/>
      <c r="E13" s="12"/>
      <c r="F13" s="12"/>
      <c r="G13" s="12"/>
      <c r="H13" s="12"/>
      <c r="I13" s="92" t="s">
        <v>29</v>
      </c>
      <c r="J13" s="71">
        <f>MDURATION(E6,E10,C9,J12,4)</f>
        <v>0.67958930149478336</v>
      </c>
      <c r="K13" s="12"/>
      <c r="R13" s="12"/>
    </row>
    <row r="14" spans="1:18" x14ac:dyDescent="0.25">
      <c r="A14" s="12"/>
      <c r="B14" s="12"/>
      <c r="C14" s="12"/>
      <c r="D14" s="12"/>
      <c r="K14" s="12"/>
      <c r="R14" s="12"/>
    </row>
    <row r="15" spans="1:18" x14ac:dyDescent="0.25">
      <c r="A15" s="12"/>
      <c r="B15" s="12"/>
      <c r="C15" s="12"/>
      <c r="D15" s="12"/>
      <c r="J15" s="18"/>
      <c r="K15" s="12"/>
      <c r="R15" s="12"/>
    </row>
    <row r="16" spans="1:18" ht="30" x14ac:dyDescent="0.25">
      <c r="A16" s="12"/>
      <c r="B16" s="12"/>
      <c r="C16" s="12"/>
      <c r="D16" s="12"/>
      <c r="E16" s="332" t="s">
        <v>92</v>
      </c>
      <c r="F16" s="332"/>
      <c r="G16" s="129"/>
      <c r="H16" s="61">
        <v>0.35</v>
      </c>
      <c r="I16" s="62">
        <f>XNPV(H16,Q6:Q10,L6:L10)</f>
        <v>108.89081390893884</v>
      </c>
      <c r="J16" s="61">
        <f>(I16/-$J$6)-1</f>
        <v>9.4380039285817396E-2</v>
      </c>
      <c r="K16" s="12"/>
      <c r="L16" s="12"/>
      <c r="M16" s="12"/>
      <c r="N16" s="12"/>
      <c r="O16" s="12"/>
      <c r="P16" s="12"/>
      <c r="Q16" s="22"/>
      <c r="R16" s="12"/>
    </row>
    <row r="17" spans="1:22" ht="14.45" customHeight="1" x14ac:dyDescent="0.25">
      <c r="A17" s="12"/>
      <c r="B17" s="12"/>
      <c r="C17" s="12"/>
      <c r="D17" s="12"/>
      <c r="E17" s="334"/>
      <c r="F17" s="334"/>
      <c r="G17" s="27"/>
      <c r="H17" s="18">
        <v>0.4</v>
      </c>
      <c r="I17" s="49">
        <f>XNPV(H17,Q6:Q10,L6:L10)</f>
        <v>105.85073570870705</v>
      </c>
      <c r="J17" s="18">
        <f>(I17/-$J$6)-1</f>
        <v>6.3826489534744235E-2</v>
      </c>
      <c r="K17" s="12"/>
      <c r="L17" s="12"/>
      <c r="M17" s="12"/>
      <c r="N17" s="12"/>
      <c r="O17" s="12"/>
      <c r="P17" s="12"/>
      <c r="Q17" s="12"/>
      <c r="R17" s="12"/>
    </row>
    <row r="18" spans="1:22" x14ac:dyDescent="0.25">
      <c r="A18" s="12"/>
      <c r="B18" s="12"/>
      <c r="C18" s="12"/>
      <c r="D18" s="12"/>
      <c r="E18" s="333"/>
      <c r="F18" s="333"/>
      <c r="G18" s="130"/>
      <c r="H18" s="63">
        <v>0.45</v>
      </c>
      <c r="I18" s="64">
        <f>XNPV(H18,Q6:Q10,L6:L10)</f>
        <v>103.00523369115314</v>
      </c>
      <c r="J18" s="63">
        <f>(I18/-J6)-1</f>
        <v>3.5228479308071714E-2</v>
      </c>
      <c r="K18" s="12"/>
      <c r="L18" s="12"/>
      <c r="M18" s="12"/>
      <c r="N18" s="12"/>
      <c r="O18" s="12"/>
      <c r="P18" s="12"/>
      <c r="Q18" s="12"/>
      <c r="R18" s="12"/>
    </row>
    <row r="19" spans="1:22" ht="15" customHeight="1" x14ac:dyDescent="0.25">
      <c r="A19" s="12"/>
      <c r="B19" s="12"/>
      <c r="C19" s="12"/>
      <c r="D19" s="12"/>
      <c r="K19" s="12"/>
      <c r="L19" s="12"/>
      <c r="M19" s="12"/>
      <c r="N19" s="12"/>
      <c r="O19" s="12"/>
      <c r="P19" s="12"/>
      <c r="Q19" s="12"/>
      <c r="R19" s="12"/>
    </row>
    <row r="20" spans="1:22" ht="15" customHeight="1" x14ac:dyDescent="0.25">
      <c r="A20" s="12"/>
      <c r="B20" s="12"/>
      <c r="C20" s="16"/>
      <c r="D20" s="12"/>
      <c r="K20" s="12"/>
      <c r="L20" s="12"/>
      <c r="M20" s="12"/>
      <c r="N20" s="12"/>
      <c r="O20" s="12"/>
      <c r="P20" s="12"/>
      <c r="Q20" s="12"/>
      <c r="R20" s="12"/>
    </row>
    <row r="21" spans="1:22" x14ac:dyDescent="0.25">
      <c r="A21" s="12"/>
      <c r="B21" s="12"/>
      <c r="C21" s="12"/>
      <c r="D21" s="12"/>
      <c r="K21" s="12"/>
      <c r="L21" s="12"/>
      <c r="M21" s="12"/>
      <c r="N21" s="12"/>
      <c r="O21" s="12"/>
      <c r="P21" s="12"/>
      <c r="Q21" s="12"/>
      <c r="R21" s="12"/>
    </row>
    <row r="22" spans="1:2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T23" s="11"/>
      <c r="V23" s="11"/>
    </row>
    <row r="24" spans="1:2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T24" s="11"/>
      <c r="V24" s="11"/>
    </row>
    <row r="25" spans="1:2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2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2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4"/>
    </row>
    <row r="28" spans="1:2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4"/>
    </row>
    <row r="29" spans="1:2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  <c r="T29" s="4"/>
    </row>
    <row r="30" spans="1:2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4"/>
    </row>
    <row r="31" spans="1:2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4"/>
    </row>
    <row r="32" spans="1:2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4"/>
    </row>
    <row r="33" spans="1:2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4"/>
    </row>
    <row r="34" spans="1:2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  <c r="T34" s="4"/>
    </row>
    <row r="35" spans="1:2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  <c r="T35" s="4"/>
    </row>
    <row r="36" spans="1:2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1"/>
      <c r="T36" s="4"/>
    </row>
    <row r="37" spans="1:2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4"/>
    </row>
    <row r="38" spans="1:2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4"/>
    </row>
    <row r="39" spans="1:20" x14ac:dyDescent="0.25">
      <c r="S39" s="11"/>
      <c r="T39" s="4"/>
    </row>
    <row r="40" spans="1:20" x14ac:dyDescent="0.25">
      <c r="S40" s="11"/>
      <c r="T40" s="4"/>
    </row>
    <row r="41" spans="1:20" x14ac:dyDescent="0.25">
      <c r="S41" s="11"/>
      <c r="T41" s="4"/>
    </row>
    <row r="42" spans="1:20" x14ac:dyDescent="0.25">
      <c r="S42" s="11"/>
      <c r="T42" s="4"/>
    </row>
    <row r="43" spans="1:20" x14ac:dyDescent="0.25">
      <c r="S43" s="11"/>
      <c r="T43" s="4"/>
    </row>
    <row r="44" spans="1:20" x14ac:dyDescent="0.25">
      <c r="S44" s="11"/>
      <c r="T44" s="4"/>
    </row>
    <row r="45" spans="1:20" x14ac:dyDescent="0.25">
      <c r="S45" s="11"/>
      <c r="T45" s="4"/>
    </row>
    <row r="46" spans="1:20" x14ac:dyDescent="0.25">
      <c r="S46" s="11"/>
      <c r="T46" s="4"/>
    </row>
    <row r="47" spans="1:20" x14ac:dyDescent="0.25">
      <c r="S47" s="11"/>
      <c r="T47" s="4"/>
    </row>
    <row r="48" spans="1:20" x14ac:dyDescent="0.25">
      <c r="S48" s="11"/>
      <c r="T48" s="4"/>
    </row>
    <row r="49" spans="19:20" x14ac:dyDescent="0.25">
      <c r="S49" s="11"/>
      <c r="T49" s="4"/>
    </row>
    <row r="50" spans="19:20" x14ac:dyDescent="0.25">
      <c r="S50" s="11"/>
      <c r="T50" s="4"/>
    </row>
    <row r="51" spans="19:20" x14ac:dyDescent="0.25">
      <c r="S51" s="11"/>
      <c r="T51" s="4"/>
    </row>
    <row r="52" spans="19:20" x14ac:dyDescent="0.25">
      <c r="S52" s="11"/>
      <c r="T52" s="4"/>
    </row>
    <row r="53" spans="19:20" x14ac:dyDescent="0.25">
      <c r="S53" s="11"/>
      <c r="T53" s="4"/>
    </row>
    <row r="54" spans="19:20" x14ac:dyDescent="0.25">
      <c r="S54" s="11"/>
      <c r="T54" s="4"/>
    </row>
    <row r="55" spans="19:20" x14ac:dyDescent="0.25">
      <c r="S55" s="11"/>
      <c r="T55" s="4"/>
    </row>
    <row r="56" spans="19:20" x14ac:dyDescent="0.25">
      <c r="S56" s="11"/>
      <c r="T56" s="4"/>
    </row>
    <row r="57" spans="19:20" x14ac:dyDescent="0.25">
      <c r="S57" s="11"/>
      <c r="T57" s="4"/>
    </row>
    <row r="58" spans="19:20" x14ac:dyDescent="0.25">
      <c r="S58" s="11"/>
      <c r="T58" s="4"/>
    </row>
    <row r="59" spans="19:20" x14ac:dyDescent="0.25">
      <c r="S59" s="11"/>
      <c r="T59" s="4"/>
    </row>
    <row r="60" spans="19:20" x14ac:dyDescent="0.25">
      <c r="S60" s="11"/>
      <c r="T60" s="4"/>
    </row>
    <row r="61" spans="19:20" x14ac:dyDescent="0.25">
      <c r="S61" s="11"/>
      <c r="T61" s="4"/>
    </row>
    <row r="62" spans="19:20" x14ac:dyDescent="0.25">
      <c r="S62" s="11"/>
      <c r="T62" s="4"/>
    </row>
    <row r="63" spans="19:20" x14ac:dyDescent="0.25">
      <c r="S63" s="11"/>
      <c r="T63" s="4"/>
    </row>
    <row r="64" spans="19:20" x14ac:dyDescent="0.25">
      <c r="S64" s="11"/>
      <c r="T64" s="4"/>
    </row>
    <row r="65" spans="19:20" x14ac:dyDescent="0.25">
      <c r="S65" s="11"/>
      <c r="T65" s="4"/>
    </row>
    <row r="66" spans="19:20" x14ac:dyDescent="0.25">
      <c r="S66" s="3"/>
      <c r="T66" s="4"/>
    </row>
    <row r="67" spans="19:20" x14ac:dyDescent="0.25">
      <c r="S67" s="3"/>
      <c r="T67" s="4"/>
    </row>
    <row r="68" spans="19:20" x14ac:dyDescent="0.25">
      <c r="S68" s="3"/>
      <c r="T68" s="4"/>
    </row>
    <row r="69" spans="19:20" x14ac:dyDescent="0.25">
      <c r="S69" s="3"/>
      <c r="T69" s="4"/>
    </row>
    <row r="70" spans="19:20" x14ac:dyDescent="0.25">
      <c r="S70" s="3"/>
      <c r="T70" s="4"/>
    </row>
    <row r="71" spans="19:20" x14ac:dyDescent="0.25">
      <c r="S71" s="3"/>
      <c r="T71" s="4"/>
    </row>
    <row r="72" spans="19:20" x14ac:dyDescent="0.25">
      <c r="S72" s="3"/>
      <c r="T72" s="4"/>
    </row>
    <row r="73" spans="19:20" x14ac:dyDescent="0.25">
      <c r="S73" s="3"/>
      <c r="T73" s="4"/>
    </row>
    <row r="74" spans="19:20" x14ac:dyDescent="0.25">
      <c r="S74" s="3"/>
      <c r="T74" s="4"/>
    </row>
    <row r="75" spans="19:20" x14ac:dyDescent="0.25">
      <c r="S75" s="3"/>
      <c r="T75" s="4"/>
    </row>
    <row r="76" spans="19:20" x14ac:dyDescent="0.25">
      <c r="S76" s="3"/>
      <c r="T76" s="4"/>
    </row>
    <row r="77" spans="19:20" x14ac:dyDescent="0.25">
      <c r="S77" s="3"/>
      <c r="T77" s="4"/>
    </row>
    <row r="78" spans="19:20" x14ac:dyDescent="0.25">
      <c r="S78" s="3"/>
      <c r="T78" s="4"/>
    </row>
    <row r="79" spans="19:20" x14ac:dyDescent="0.25">
      <c r="S79" s="11"/>
      <c r="T79" s="4"/>
    </row>
    <row r="80" spans="19:20" x14ac:dyDescent="0.25">
      <c r="S80" s="11"/>
      <c r="T80" s="4"/>
    </row>
    <row r="81" spans="19:20" x14ac:dyDescent="0.25">
      <c r="S81" s="11"/>
      <c r="T81" s="4"/>
    </row>
    <row r="82" spans="19:20" x14ac:dyDescent="0.25">
      <c r="S82" s="11"/>
      <c r="T82" s="4"/>
    </row>
    <row r="83" spans="19:20" x14ac:dyDescent="0.25">
      <c r="S83" s="11"/>
      <c r="T83" s="4"/>
    </row>
    <row r="85" spans="19:20" x14ac:dyDescent="0.25">
      <c r="T85" s="2"/>
    </row>
  </sheetData>
  <mergeCells count="3">
    <mergeCell ref="B4:C4"/>
    <mergeCell ref="E4:J4"/>
    <mergeCell ref="L4:Q4"/>
  </mergeCells>
  <pageMargins left="0.7" right="0.7" top="0.75" bottom="0.75" header="0.3" footer="0.3"/>
  <pageSetup orientation="portrait" r:id="rId1"/>
  <ignoredErrors>
    <ignoredError sqref="C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K159"/>
  <sheetViews>
    <sheetView showGridLines="0" tabSelected="1" topLeftCell="A24" zoomScale="90" zoomScaleNormal="90" zoomScaleSheetLayoutView="50" workbookViewId="0">
      <selection activeCell="F43" sqref="F43"/>
    </sheetView>
  </sheetViews>
  <sheetFormatPr baseColWidth="10" defaultColWidth="11.5703125" defaultRowHeight="14.25" x14ac:dyDescent="0.2"/>
  <cols>
    <col min="1" max="1" width="4.85546875" style="12" customWidth="1"/>
    <col min="2" max="2" width="8.85546875" style="12" customWidth="1"/>
    <col min="3" max="3" width="11.28515625" style="12" bestFit="1" customWidth="1"/>
    <col min="4" max="4" width="13" style="12" bestFit="1" customWidth="1"/>
    <col min="5" max="5" width="9.28515625" style="12" customWidth="1"/>
    <col min="6" max="6" width="9.7109375" style="12" customWidth="1"/>
    <col min="7" max="7" width="10.140625" style="12" customWidth="1"/>
    <col min="8" max="8" width="10.42578125" style="12" customWidth="1"/>
    <col min="9" max="9" width="10.140625" style="12" customWidth="1"/>
    <col min="10" max="10" width="10.28515625" style="12" customWidth="1"/>
    <col min="11" max="11" width="10" style="12" customWidth="1"/>
    <col min="12" max="12" width="8.7109375" style="12" customWidth="1"/>
    <col min="13" max="13" width="12.28515625" style="12" bestFit="1" customWidth="1"/>
    <col min="14" max="14" width="8" style="12" bestFit="1" customWidth="1"/>
    <col min="15" max="15" width="10" style="12" bestFit="1" customWidth="1"/>
    <col min="16" max="16" width="8.28515625" style="12" customWidth="1"/>
    <col min="17" max="17" width="9.5703125" style="12" customWidth="1"/>
    <col min="18" max="18" width="1.5703125" style="12" customWidth="1"/>
    <col min="19" max="19" width="10.28515625" style="12" customWidth="1"/>
    <col min="20" max="20" width="9.7109375" style="12" customWidth="1"/>
    <col min="21" max="21" width="11" style="12" customWidth="1"/>
    <col min="22" max="22" width="11.5703125" style="12"/>
    <col min="23" max="23" width="9.140625" style="12" customWidth="1"/>
    <col min="24" max="24" width="9.28515625" style="12" bestFit="1" customWidth="1"/>
    <col min="25" max="25" width="12.7109375" style="12" bestFit="1" customWidth="1"/>
    <col min="26" max="26" width="14.85546875" style="12" bestFit="1" customWidth="1"/>
    <col min="27" max="27" width="10.140625" style="12" bestFit="1" customWidth="1"/>
    <col min="28" max="28" width="13.28515625" style="12" bestFit="1" customWidth="1"/>
    <col min="29" max="29" width="11.28515625" style="12" bestFit="1" customWidth="1"/>
    <col min="30" max="30" width="8.85546875" style="12" customWidth="1"/>
    <col min="31" max="31" width="9.28515625" style="12" customWidth="1"/>
    <col min="32" max="32" width="8.140625" style="12" customWidth="1"/>
    <col min="33" max="33" width="7.42578125" style="12" bestFit="1" customWidth="1"/>
    <col min="34" max="34" width="10" style="12" customWidth="1"/>
    <col min="35" max="16384" width="11.5703125" style="12"/>
  </cols>
  <sheetData>
    <row r="2" spans="2:37" ht="15.75" x14ac:dyDescent="0.25">
      <c r="B2" s="251" t="s">
        <v>153</v>
      </c>
      <c r="C2" s="252"/>
      <c r="D2" s="177">
        <v>44382</v>
      </c>
      <c r="K2" s="250"/>
      <c r="L2" s="250"/>
      <c r="M2" s="250"/>
      <c r="N2" s="250"/>
      <c r="O2" s="250"/>
      <c r="P2" s="250"/>
      <c r="Q2" s="250"/>
      <c r="R2" s="250"/>
      <c r="S2" s="250"/>
      <c r="T2" s="250"/>
    </row>
    <row r="3" spans="2:37" ht="15" x14ac:dyDescent="0.25">
      <c r="B3" s="253" t="s">
        <v>152</v>
      </c>
      <c r="C3" s="254"/>
      <c r="D3" s="176">
        <v>44384</v>
      </c>
      <c r="E3" s="17"/>
      <c r="G3" s="22"/>
      <c r="K3" s="221"/>
      <c r="L3" s="220"/>
      <c r="M3" s="28"/>
      <c r="N3" s="28"/>
      <c r="O3" s="28"/>
      <c r="P3" s="17"/>
    </row>
    <row r="4" spans="2:37" ht="15" x14ac:dyDescent="0.25">
      <c r="B4" s="253" t="s">
        <v>28</v>
      </c>
      <c r="C4" s="254"/>
      <c r="D4" s="13">
        <v>0.34060000000000001</v>
      </c>
      <c r="E4" s="18"/>
      <c r="G4" s="22"/>
      <c r="H4" s="16"/>
      <c r="K4" s="27"/>
      <c r="L4" s="27"/>
      <c r="M4" s="27"/>
      <c r="N4" s="18"/>
      <c r="O4" s="18"/>
      <c r="P4" s="18"/>
      <c r="AA4" s="110"/>
      <c r="AB4" s="110"/>
      <c r="AC4" s="110"/>
      <c r="AD4" s="110"/>
      <c r="AE4" s="110"/>
      <c r="AF4" s="110"/>
      <c r="AG4" s="110"/>
    </row>
    <row r="5" spans="2:37" ht="15.75" x14ac:dyDescent="0.25">
      <c r="B5" s="255" t="s">
        <v>61</v>
      </c>
      <c r="C5" s="256"/>
      <c r="D5" s="23">
        <v>0.46500000000000002</v>
      </c>
      <c r="E5" s="18"/>
      <c r="F5" s="22"/>
      <c r="H5" s="16"/>
      <c r="N5" s="18"/>
      <c r="O5" s="18"/>
      <c r="P5" s="18"/>
      <c r="AA5" s="147"/>
      <c r="AB5" s="147"/>
      <c r="AC5" s="110"/>
      <c r="AD5" s="110"/>
      <c r="AE5" s="110"/>
      <c r="AF5" s="110"/>
      <c r="AG5" s="110"/>
    </row>
    <row r="6" spans="2:37" x14ac:dyDescent="0.2">
      <c r="G6" s="260"/>
      <c r="H6" s="260"/>
      <c r="I6" s="388" t="s">
        <v>101</v>
      </c>
      <c r="J6" s="389"/>
      <c r="AA6" s="231"/>
      <c r="AB6" s="231"/>
      <c r="AC6" s="231"/>
      <c r="AD6" s="110"/>
      <c r="AE6" s="110"/>
      <c r="AF6" s="110"/>
      <c r="AG6" s="110"/>
    </row>
    <row r="7" spans="2:37" ht="30.75" customHeight="1" x14ac:dyDescent="0.2">
      <c r="B7" s="257" t="s">
        <v>46</v>
      </c>
      <c r="C7" s="257" t="s">
        <v>40</v>
      </c>
      <c r="D7" s="257" t="s">
        <v>23</v>
      </c>
      <c r="E7" s="257" t="s">
        <v>19</v>
      </c>
      <c r="F7" s="257" t="s">
        <v>11</v>
      </c>
      <c r="G7" s="257" t="s">
        <v>64</v>
      </c>
      <c r="H7" s="257" t="s">
        <v>10</v>
      </c>
      <c r="I7" s="258" t="s">
        <v>62</v>
      </c>
      <c r="J7" s="259" t="s">
        <v>169</v>
      </c>
      <c r="AA7" s="14"/>
      <c r="AB7" s="231"/>
      <c r="AC7" s="231"/>
    </row>
    <row r="8" spans="2:37" ht="15" customHeight="1" x14ac:dyDescent="0.25">
      <c r="B8" s="150" t="s">
        <v>154</v>
      </c>
      <c r="G8" s="22"/>
      <c r="I8" s="222"/>
      <c r="J8" s="27"/>
      <c r="AA8" s="14"/>
      <c r="AB8" s="148"/>
      <c r="AC8" s="231"/>
      <c r="AF8" s="150" t="s">
        <v>229</v>
      </c>
    </row>
    <row r="9" spans="2:37" x14ac:dyDescent="0.2">
      <c r="B9" s="145" t="s">
        <v>20</v>
      </c>
      <c r="C9" s="142">
        <v>100.5</v>
      </c>
      <c r="D9" s="143">
        <v>44472</v>
      </c>
      <c r="E9" s="142">
        <v>103.89</v>
      </c>
      <c r="F9" s="144">
        <f t="shared" ref="F9:F20" si="0">+C9/E9</f>
        <v>0.96736933294831073</v>
      </c>
      <c r="G9" s="226">
        <f>+'TO21'!I10</f>
        <v>0.24383561643835616</v>
      </c>
      <c r="H9" s="225">
        <f>+'TO21'!I9</f>
        <v>0.40036319824218758</v>
      </c>
      <c r="I9" s="223">
        <f>+'TO21'!I13</f>
        <v>6.3252109299158818E-5</v>
      </c>
      <c r="J9" s="224">
        <f>+'TO21'!I14</f>
        <v>-8.457297621059276E-3</v>
      </c>
      <c r="AA9" s="14"/>
      <c r="AB9" s="231"/>
      <c r="AC9" s="231"/>
    </row>
    <row r="10" spans="2:37" x14ac:dyDescent="0.2">
      <c r="B10" s="145" t="s">
        <v>52</v>
      </c>
      <c r="C10" s="142">
        <v>105.75</v>
      </c>
      <c r="D10" s="143">
        <v>44413</v>
      </c>
      <c r="E10" s="142">
        <v>104.44</v>
      </c>
      <c r="F10" s="144">
        <f t="shared" si="0"/>
        <v>1.0125430869398697</v>
      </c>
      <c r="G10" s="226">
        <f>+'TB21'!J11</f>
        <v>7.0064631637754615E-2</v>
      </c>
      <c r="H10" s="225">
        <f>+'TB21'!J10</f>
        <v>0.44034463378906252</v>
      </c>
      <c r="I10" s="223">
        <f>+'TB21'!J16</f>
        <v>2.2597966154178639E-3</v>
      </c>
      <c r="J10" s="224">
        <f>+'TB21'!J17</f>
        <v>-5.3068948372836378E-4</v>
      </c>
      <c r="AA10" s="14"/>
      <c r="AB10" s="231"/>
      <c r="AC10" s="231"/>
    </row>
    <row r="11" spans="2:37" x14ac:dyDescent="0.2">
      <c r="B11" s="145" t="s">
        <v>42</v>
      </c>
      <c r="C11" s="142">
        <v>166.8</v>
      </c>
      <c r="D11" s="143">
        <v>44413</v>
      </c>
      <c r="E11" s="142">
        <v>129.07</v>
      </c>
      <c r="F11" s="144">
        <f t="shared" si="0"/>
        <v>1.292321995816224</v>
      </c>
      <c r="G11" s="226">
        <f>+'TX21'!O10</f>
        <v>6.3299857416121805E-2</v>
      </c>
      <c r="H11" s="225">
        <f>+'TX21'!O9</f>
        <v>0.45743927246093752</v>
      </c>
      <c r="I11" s="223">
        <f>+'TX21'!I20</f>
        <v>3.1997752635397614E-3</v>
      </c>
      <c r="J11" s="224">
        <f>+'TX21'!I21</f>
        <v>4.0667208111822006E-4</v>
      </c>
      <c r="AA11" s="22"/>
      <c r="AB11" s="231"/>
      <c r="AC11" s="231"/>
      <c r="AF11" s="12" t="s">
        <v>45</v>
      </c>
      <c r="AG11" s="16">
        <f>+E71</f>
        <v>2.4951860351562501E-2</v>
      </c>
      <c r="AH11" s="14">
        <f>+F71</f>
        <v>0.69425779534475174</v>
      </c>
      <c r="AI11" s="22">
        <v>0.33</v>
      </c>
      <c r="AJ11" s="22">
        <f>+AG11*AI11</f>
        <v>8.2341139160156257E-3</v>
      </c>
      <c r="AK11" s="14">
        <f>+AI11*AH11</f>
        <v>0.22910507246376807</v>
      </c>
    </row>
    <row r="12" spans="2:37" x14ac:dyDescent="0.2">
      <c r="B12" s="145" t="s">
        <v>41</v>
      </c>
      <c r="C12" s="142">
        <v>525.1</v>
      </c>
      <c r="D12" s="143">
        <v>44399</v>
      </c>
      <c r="E12" s="142">
        <v>406.28</v>
      </c>
      <c r="F12" s="144">
        <f t="shared" si="0"/>
        <v>1.2924584030717734</v>
      </c>
      <c r="G12" s="226">
        <f>+'TC21'!O11</f>
        <v>4.1666666666666637E-2</v>
      </c>
      <c r="H12" s="225">
        <f>+'TC21'!O10</f>
        <v>0.40642046386718755</v>
      </c>
      <c r="I12" s="223">
        <f>+'TC21'!I15</f>
        <v>1.8805453990859372E-4</v>
      </c>
      <c r="J12" s="224">
        <f>+'TC21'!I14</f>
        <v>-1.2532861535711497E-3</v>
      </c>
      <c r="AA12" s="14"/>
      <c r="AB12" s="231"/>
      <c r="AC12" s="115"/>
      <c r="AF12" s="12" t="s">
        <v>73</v>
      </c>
      <c r="AG12" s="16">
        <f>+E80</f>
        <v>8.8107535243034357E-2</v>
      </c>
      <c r="AH12" s="14">
        <f>+F80</f>
        <v>5.646842021814459</v>
      </c>
      <c r="AI12" s="22">
        <v>0.67</v>
      </c>
      <c r="AJ12" s="22">
        <f>+AG12*AI12</f>
        <v>5.9032048612833024E-2</v>
      </c>
      <c r="AK12" s="14">
        <f>+AH12*AI12</f>
        <v>3.7833841546156877</v>
      </c>
    </row>
    <row r="13" spans="2:37" x14ac:dyDescent="0.2">
      <c r="B13" s="145" t="s">
        <v>55</v>
      </c>
      <c r="C13" s="142">
        <v>69.400000000000006</v>
      </c>
      <c r="D13" s="143">
        <v>44838</v>
      </c>
      <c r="E13" s="142">
        <v>115.72</v>
      </c>
      <c r="F13" s="144">
        <f t="shared" si="0"/>
        <v>0.59972347044590391</v>
      </c>
      <c r="G13" s="226">
        <v>0.52</v>
      </c>
      <c r="H13" s="225">
        <f>+'PR15'!J13</f>
        <v>0.46197354980468763</v>
      </c>
      <c r="I13" s="223">
        <f>+'PR15'!J16</f>
        <v>3.1806789143138614E-2</v>
      </c>
      <c r="J13" s="224">
        <f>+'PR15'!J17</f>
        <v>5.9424509643468681E-3</v>
      </c>
      <c r="AA13" s="14"/>
      <c r="AB13" s="231"/>
      <c r="AC13" s="231"/>
      <c r="AJ13" s="22">
        <f>+AJ12+AJ11</f>
        <v>6.726616252884865E-2</v>
      </c>
      <c r="AK13" s="14">
        <f>+AK12+AK11</f>
        <v>4.0124892270794561</v>
      </c>
    </row>
    <row r="14" spans="2:37" x14ac:dyDescent="0.2">
      <c r="B14" s="145" t="s">
        <v>120</v>
      </c>
      <c r="C14" s="142">
        <v>98.5</v>
      </c>
      <c r="D14" s="143">
        <v>44654</v>
      </c>
      <c r="E14" s="142">
        <v>107.25</v>
      </c>
      <c r="F14" s="144">
        <f t="shared" si="0"/>
        <v>0.9184149184149184</v>
      </c>
      <c r="G14" s="226">
        <f>+'AA22'!J12</f>
        <v>0.61112411737225436</v>
      </c>
      <c r="H14" s="225">
        <f>+'AA22'!J11</f>
        <v>0.44950780761718756</v>
      </c>
      <c r="I14" s="223">
        <f>+'AA22'!J17</f>
        <v>2.3907073287951608E-2</v>
      </c>
      <c r="J14" s="224">
        <f>+'AA22'!J18</f>
        <v>-2.3065189422966093E-4</v>
      </c>
      <c r="AA14" s="231"/>
      <c r="AB14" s="231"/>
      <c r="AC14" s="231"/>
    </row>
    <row r="15" spans="2:37" x14ac:dyDescent="0.2">
      <c r="B15" s="145" t="s">
        <v>45</v>
      </c>
      <c r="C15" s="142">
        <v>158.19999999999999</v>
      </c>
      <c r="D15" s="143">
        <v>44638</v>
      </c>
      <c r="E15" s="142">
        <v>123.65</v>
      </c>
      <c r="F15" s="144">
        <f t="shared" si="0"/>
        <v>1.2794177112818437</v>
      </c>
      <c r="G15" s="226">
        <f>+'TX22'!O11</f>
        <v>0.56810214221987676</v>
      </c>
      <c r="H15" s="225">
        <f>+'TX22'!O10</f>
        <v>0.44184126464843754</v>
      </c>
      <c r="I15" s="223">
        <f>+'TX22'!I18</f>
        <v>2.0615386806476454E-2</v>
      </c>
      <c r="J15" s="224">
        <f>+'TX22'!I19</f>
        <v>-3.9021256093016987E-3</v>
      </c>
      <c r="AA15" s="231"/>
      <c r="AB15" s="231"/>
      <c r="AC15" s="231"/>
      <c r="AF15" s="12" t="s">
        <v>124</v>
      </c>
      <c r="AG15" s="16">
        <f>+E78</f>
        <v>7.0981059570312532E-2</v>
      </c>
      <c r="AH15" s="14">
        <f>+F78</f>
        <v>3.9728324794626375</v>
      </c>
    </row>
    <row r="16" spans="2:37" x14ac:dyDescent="0.2">
      <c r="B16" s="145" t="s">
        <v>102</v>
      </c>
      <c r="C16" s="142">
        <v>149.4</v>
      </c>
      <c r="D16" s="143">
        <v>44824</v>
      </c>
      <c r="E16" s="142">
        <v>117.5</v>
      </c>
      <c r="F16" s="144">
        <f t="shared" si="0"/>
        <v>1.2714893617021277</v>
      </c>
      <c r="G16" s="226">
        <f>+T2X2!P12</f>
        <v>0.97454711260100635</v>
      </c>
      <c r="H16" s="225">
        <f>+T2X2!P11</f>
        <v>0.44103077636718746</v>
      </c>
      <c r="I16" s="223">
        <f>+T2X2!I25</f>
        <v>3.5144867945140046E-2</v>
      </c>
      <c r="J16" s="224">
        <f>+T2X2!I26</f>
        <v>-7.3912505548732188E-3</v>
      </c>
      <c r="AA16" s="231"/>
      <c r="AB16" s="231"/>
      <c r="AC16" s="231"/>
    </row>
    <row r="17" spans="2:33" x14ac:dyDescent="0.2">
      <c r="B17" s="142" t="s">
        <v>79</v>
      </c>
      <c r="C17" s="142">
        <v>65.7</v>
      </c>
      <c r="D17" s="143">
        <v>45216</v>
      </c>
      <c r="E17" s="142">
        <v>102.76</v>
      </c>
      <c r="F17" s="144">
        <f t="shared" si="0"/>
        <v>0.63935383417672242</v>
      </c>
      <c r="G17" s="226">
        <f>+'TO23'!I14</f>
        <v>1.4501605438826666</v>
      </c>
      <c r="H17" s="225">
        <f>+'TO23'!I13</f>
        <v>0.4845732714843749</v>
      </c>
      <c r="I17" s="223">
        <f>+'TO23'!I17</f>
        <v>0.11390502506381771</v>
      </c>
      <c r="J17" s="224">
        <f>+'TO23'!I18</f>
        <v>4.4070878885670739E-2</v>
      </c>
      <c r="AA17" s="231"/>
      <c r="AB17" s="231"/>
      <c r="AC17" s="231"/>
    </row>
    <row r="18" spans="2:33" x14ac:dyDescent="0.2">
      <c r="B18" s="145" t="s">
        <v>78</v>
      </c>
      <c r="C18" s="142">
        <v>371</v>
      </c>
      <c r="D18" s="143">
        <v>44991</v>
      </c>
      <c r="E18" s="142">
        <v>286.68</v>
      </c>
      <c r="F18" s="144">
        <f t="shared" si="0"/>
        <v>1.2941258546114134</v>
      </c>
      <c r="G18" s="226">
        <f>+'TC23'!O13</f>
        <v>1.2814860717615904</v>
      </c>
      <c r="H18" s="225">
        <f>+'TC23'!O12</f>
        <v>0.45888144042968759</v>
      </c>
      <c r="I18" s="223">
        <f>+'TC23'!I33</f>
        <v>6.8415400734889442E-2</v>
      </c>
      <c r="J18" s="224">
        <f>+'TC23'!I32</f>
        <v>9.8502950940644839E-3</v>
      </c>
      <c r="AA18" s="231"/>
      <c r="AB18" s="231"/>
      <c r="AC18" s="231"/>
    </row>
    <row r="19" spans="2:33" x14ac:dyDescent="0.2">
      <c r="B19" s="145" t="s">
        <v>80</v>
      </c>
      <c r="C19" s="142">
        <v>44.25</v>
      </c>
      <c r="D19" s="143">
        <v>46313</v>
      </c>
      <c r="E19" s="142">
        <v>102.67</v>
      </c>
      <c r="F19" s="146">
        <f t="shared" si="0"/>
        <v>0.43099250024349856</v>
      </c>
      <c r="G19" s="226">
        <f>+'TO26'!I21</f>
        <v>2.0219816030327333</v>
      </c>
      <c r="H19" s="225">
        <f>+'TO26'!I20</f>
        <v>0.51385975585937493</v>
      </c>
      <c r="I19" s="223">
        <f>+'TO26'!I25</f>
        <v>0.24917079740477269</v>
      </c>
      <c r="J19" s="224">
        <f>+'TO26'!I26</f>
        <v>0.12725082254256176</v>
      </c>
      <c r="X19" s="132"/>
      <c r="Y19" s="132"/>
      <c r="Z19" s="132"/>
      <c r="AA19" s="132"/>
      <c r="AB19" s="132"/>
      <c r="AC19" s="110"/>
      <c r="AD19" s="110"/>
      <c r="AE19" s="110"/>
      <c r="AF19" s="110"/>
      <c r="AG19" s="110"/>
    </row>
    <row r="20" spans="2:33" x14ac:dyDescent="0.2">
      <c r="B20" s="145" t="s">
        <v>65</v>
      </c>
      <c r="C20" s="142">
        <v>152.35</v>
      </c>
      <c r="D20" s="143">
        <v>45010</v>
      </c>
      <c r="E20" s="142">
        <v>123.19</v>
      </c>
      <c r="F20" s="144">
        <f t="shared" si="0"/>
        <v>1.2367075249614417</v>
      </c>
      <c r="G20" s="226">
        <f>+'TX23'!O13</f>
        <v>1.3700269150760365</v>
      </c>
      <c r="H20" s="225">
        <f>+'TX23'!O12</f>
        <v>0.45776694824218767</v>
      </c>
      <c r="I20" s="223">
        <f>+'TX23'!I29</f>
        <v>7.0902361523055291E-2</v>
      </c>
      <c r="J20" s="224">
        <f>+'TX23'!I30</f>
        <v>9.0894806854180388E-3</v>
      </c>
      <c r="X20" s="132"/>
      <c r="Y20" s="132"/>
      <c r="Z20" s="132"/>
      <c r="AA20" s="132"/>
      <c r="AB20" s="132"/>
      <c r="AC20" s="110"/>
      <c r="AD20" s="110"/>
      <c r="AE20" s="110"/>
      <c r="AF20" s="110"/>
      <c r="AG20" s="110"/>
    </row>
    <row r="21" spans="2:33" x14ac:dyDescent="0.2">
      <c r="B21" s="12" t="s">
        <v>179</v>
      </c>
      <c r="C21" s="142">
        <v>137</v>
      </c>
      <c r="D21" s="143">
        <v>45151</v>
      </c>
      <c r="E21" s="142"/>
      <c r="F21" s="146"/>
      <c r="G21" s="226">
        <f>+T2X3!O14</f>
        <v>1.6583446230787371</v>
      </c>
      <c r="H21" s="225">
        <f>+T2X3!O13</f>
        <v>0.4576792919921876</v>
      </c>
      <c r="I21" s="223">
        <f>+T2X3!I29</f>
        <v>8.7075925495296636E-2</v>
      </c>
      <c r="J21" s="224">
        <f>+T2X3!I30</f>
        <v>1.0978123369581816E-2</v>
      </c>
      <c r="X21" s="132"/>
      <c r="Y21" s="132"/>
      <c r="Z21" s="132"/>
      <c r="AA21" s="132"/>
      <c r="AB21" s="132"/>
      <c r="AC21" s="110"/>
      <c r="AD21" s="110"/>
      <c r="AE21" s="110"/>
      <c r="AF21" s="110"/>
      <c r="AG21" s="110"/>
    </row>
    <row r="22" spans="2:33" x14ac:dyDescent="0.2">
      <c r="B22" s="145" t="s">
        <v>81</v>
      </c>
      <c r="C22" s="142">
        <v>143.6</v>
      </c>
      <c r="D22" s="143">
        <v>45376</v>
      </c>
      <c r="E22" s="142">
        <v>123.22</v>
      </c>
      <c r="F22" s="146">
        <f>+C22/E22</f>
        <v>1.1653952280473949</v>
      </c>
      <c r="G22" s="226">
        <f>+'TX24'!O15</f>
        <v>2.1078160559770431</v>
      </c>
      <c r="H22" s="225">
        <f>+'TX24'!O14</f>
        <v>0.4734328662109375</v>
      </c>
      <c r="I22" s="223">
        <f>+'TX24'!I32</f>
        <v>0.14594238667463877</v>
      </c>
      <c r="J22" s="224">
        <f>+'TX24'!I33</f>
        <v>4.3616583336660408E-2</v>
      </c>
      <c r="X22" s="110"/>
      <c r="Y22" s="110"/>
      <c r="Z22" s="110"/>
      <c r="AA22" s="110"/>
      <c r="AB22" s="110"/>
      <c r="AC22" s="115"/>
      <c r="AD22" s="110"/>
      <c r="AE22" s="110"/>
      <c r="AF22" s="110"/>
      <c r="AG22" s="110"/>
    </row>
    <row r="23" spans="2:33" x14ac:dyDescent="0.2">
      <c r="G23" s="196"/>
      <c r="H23" s="196"/>
      <c r="I23" s="222"/>
      <c r="J23" s="27"/>
    </row>
    <row r="24" spans="2:33" ht="15" x14ac:dyDescent="0.25">
      <c r="B24" s="150" t="s">
        <v>156</v>
      </c>
      <c r="G24" s="196"/>
      <c r="H24" s="196"/>
      <c r="I24" s="222"/>
      <c r="J24" s="27"/>
    </row>
    <row r="25" spans="2:33" x14ac:dyDescent="0.2">
      <c r="B25" s="12" t="s">
        <v>248</v>
      </c>
      <c r="C25" s="142">
        <v>78.7</v>
      </c>
      <c r="D25" s="143">
        <v>44707</v>
      </c>
      <c r="E25" s="142"/>
      <c r="F25" s="144"/>
      <c r="G25" s="226">
        <f>+'BNY22'!J13</f>
        <v>0.39896972284751209</v>
      </c>
      <c r="H25" s="225">
        <f>+'BNY22'!J12</f>
        <v>0.55874186523437519</v>
      </c>
      <c r="I25" s="223"/>
      <c r="J25" s="224"/>
    </row>
    <row r="26" spans="2:33" x14ac:dyDescent="0.2">
      <c r="B26" s="12" t="s">
        <v>171</v>
      </c>
      <c r="C26" s="142">
        <v>108</v>
      </c>
      <c r="D26" s="143">
        <v>44584</v>
      </c>
      <c r="E26" s="142">
        <v>106.26</v>
      </c>
      <c r="F26" s="144">
        <f>+C26/E26</f>
        <v>1.0163749294184077</v>
      </c>
      <c r="G26" s="226">
        <f>+'BDC22'!J12</f>
        <v>0.42851042011354146</v>
      </c>
      <c r="H26" s="225">
        <f>+'BDC22'!J11</f>
        <v>0.46249353027343754</v>
      </c>
      <c r="I26" s="223">
        <f>+'BDC22'!J15</f>
        <v>2.1279070259648813E-2</v>
      </c>
      <c r="J26" s="224">
        <f>+'BDC22'!J16</f>
        <v>4.1415218013201027E-3</v>
      </c>
    </row>
    <row r="27" spans="2:33" x14ac:dyDescent="0.2">
      <c r="B27" s="145" t="s">
        <v>32</v>
      </c>
      <c r="C27" s="142">
        <v>99.5</v>
      </c>
      <c r="D27" s="143">
        <v>44712</v>
      </c>
      <c r="E27" s="142">
        <v>102.29</v>
      </c>
      <c r="F27" s="144">
        <f>+C27/E27</f>
        <v>0.97272460651090031</v>
      </c>
      <c r="G27" s="226">
        <f>+'PBY22'!J13</f>
        <v>0.67958930149478336</v>
      </c>
      <c r="H27" s="225">
        <f>+'PBY22'!J12</f>
        <v>0.5163133691406252</v>
      </c>
      <c r="I27" s="223">
        <f>+'PBY22'!J17</f>
        <v>6.3826489534744235E-2</v>
      </c>
      <c r="J27" s="224">
        <f>+'PBY22'!J18</f>
        <v>3.5228479308071714E-2</v>
      </c>
    </row>
    <row r="28" spans="2:33" x14ac:dyDescent="0.2">
      <c r="B28" s="145" t="s">
        <v>26</v>
      </c>
      <c r="C28" s="142">
        <v>94.2</v>
      </c>
      <c r="D28" s="143">
        <v>45759</v>
      </c>
      <c r="E28" s="142">
        <v>107.02</v>
      </c>
      <c r="F28" s="144">
        <f>+C28/E28</f>
        <v>0.8802093066716502</v>
      </c>
      <c r="G28" s="226">
        <f>+'PBA25'!J25</f>
        <v>1.4838918753142651</v>
      </c>
      <c r="H28" s="225">
        <f>+'PBA25'!J24</f>
        <v>0.55006807617187503</v>
      </c>
      <c r="I28" s="223">
        <f>+'PBA25'!I37</f>
        <v>0.21681715732431825</v>
      </c>
      <c r="J28" s="224">
        <f>+'PBA25'!I36</f>
        <v>0.13472424177426209</v>
      </c>
    </row>
    <row r="29" spans="2:33" x14ac:dyDescent="0.2">
      <c r="B29" s="12" t="s">
        <v>172</v>
      </c>
      <c r="C29" s="142">
        <v>89.75</v>
      </c>
      <c r="D29" s="143">
        <v>45380</v>
      </c>
      <c r="E29" s="142">
        <v>108.05</v>
      </c>
      <c r="F29" s="144">
        <f>+C29/E29</f>
        <v>0.83063396575659421</v>
      </c>
      <c r="G29" s="226">
        <f>+'BDC24'!J22</f>
        <v>1.4809380541084258</v>
      </c>
      <c r="H29" s="225">
        <f>+'BDC24'!J21</f>
        <v>0.53399448242187497</v>
      </c>
      <c r="I29" s="223">
        <f>+'BDC24'!J25</f>
        <v>0.17686966850511943</v>
      </c>
      <c r="J29" s="224">
        <f>+'BDC24'!J26</f>
        <v>0.10457290471183178</v>
      </c>
    </row>
    <row r="30" spans="2:33" x14ac:dyDescent="0.2">
      <c r="B30" s="12" t="s">
        <v>155</v>
      </c>
      <c r="C30" s="142">
        <v>90.5</v>
      </c>
      <c r="D30" s="143">
        <v>46805</v>
      </c>
      <c r="E30" s="142">
        <v>103</v>
      </c>
      <c r="F30" s="144">
        <f>+C30/E30</f>
        <v>0.87864077669902918</v>
      </c>
      <c r="G30" s="226">
        <f>+'BDC28'!J36</f>
        <v>1.7806235968856483</v>
      </c>
      <c r="H30" s="225">
        <f>+'BDC28'!J35</f>
        <v>0.52549883789062513</v>
      </c>
      <c r="I30" s="223">
        <f>+'BDC28'!J39</f>
        <v>0.23376217343591943</v>
      </c>
      <c r="J30" s="224">
        <f>+'BDC28'!J40</f>
        <v>0.12807752639523229</v>
      </c>
    </row>
    <row r="31" spans="2:33" x14ac:dyDescent="0.2">
      <c r="K31" s="195"/>
      <c r="L31" s="195"/>
      <c r="M31" s="195"/>
      <c r="N31" s="195"/>
      <c r="O31" s="195"/>
      <c r="T31" s="195"/>
    </row>
    <row r="32" spans="2:33" x14ac:dyDescent="0.2">
      <c r="K32" s="195"/>
      <c r="L32" s="195"/>
      <c r="M32" s="195"/>
      <c r="N32" s="195"/>
      <c r="O32" s="195"/>
      <c r="T32" s="195"/>
    </row>
    <row r="33" spans="2:29" x14ac:dyDescent="0.2">
      <c r="C33" s="14"/>
      <c r="D33" s="22"/>
      <c r="E33" s="19"/>
    </row>
    <row r="34" spans="2:29" x14ac:dyDescent="0.2">
      <c r="C34" s="14"/>
      <c r="D34" s="15"/>
      <c r="E34" s="19"/>
      <c r="H34" s="16"/>
      <c r="I34" s="27"/>
    </row>
    <row r="35" spans="2:29" ht="30" x14ac:dyDescent="0.25">
      <c r="B35" s="257" t="s">
        <v>46</v>
      </c>
      <c r="C35" s="257" t="s">
        <v>40</v>
      </c>
      <c r="D35" s="257" t="s">
        <v>23</v>
      </c>
      <c r="E35" s="257" t="s">
        <v>56</v>
      </c>
      <c r="F35" s="257" t="s">
        <v>57</v>
      </c>
      <c r="G35" s="257" t="s">
        <v>224</v>
      </c>
      <c r="H35" s="257" t="s">
        <v>17</v>
      </c>
      <c r="I35" s="257" t="s">
        <v>10</v>
      </c>
      <c r="J35" s="257" t="s">
        <v>64</v>
      </c>
      <c r="W35" s="387"/>
      <c r="X35" s="387"/>
      <c r="Y35" s="387"/>
      <c r="Z35" s="387"/>
      <c r="AA35" s="387"/>
    </row>
    <row r="36" spans="2:29" ht="15" customHeight="1" x14ac:dyDescent="0.25">
      <c r="B36" s="20" t="s">
        <v>70</v>
      </c>
      <c r="C36" s="145"/>
      <c r="D36" s="145"/>
      <c r="E36" s="145"/>
      <c r="F36" s="145"/>
      <c r="G36" s="145"/>
      <c r="H36" s="145"/>
      <c r="I36" s="145"/>
      <c r="J36" s="70"/>
      <c r="W36" s="194"/>
      <c r="X36" s="194"/>
      <c r="Y36" s="194"/>
      <c r="Z36" s="194"/>
      <c r="AA36" s="194"/>
    </row>
    <row r="37" spans="2:29" x14ac:dyDescent="0.2">
      <c r="B37" s="12" t="s">
        <v>175</v>
      </c>
      <c r="C37" s="166">
        <v>131.4</v>
      </c>
      <c r="D37" s="15">
        <v>44452</v>
      </c>
      <c r="E37" s="337">
        <f>D37-$D$3</f>
        <v>68</v>
      </c>
      <c r="F37" s="227">
        <f>+LECER!M7</f>
        <v>6.978077984574349E-2</v>
      </c>
      <c r="G37" s="225">
        <f>H37/365*30</f>
        <v>3.0785638167239778E-2</v>
      </c>
      <c r="H37" s="16">
        <f>+LECER!N7</f>
        <v>0.37455859770141731</v>
      </c>
      <c r="I37" s="227">
        <f>+LECER!O7</f>
        <v>0.43629648693281164</v>
      </c>
      <c r="J37" s="288">
        <f>E37/365</f>
        <v>0.18630136986301371</v>
      </c>
      <c r="K37" s="227">
        <f>+LECER!S25</f>
        <v>1.4953225851058961E-3</v>
      </c>
    </row>
    <row r="38" spans="2:29" x14ac:dyDescent="0.2">
      <c r="B38" s="12" t="s">
        <v>216</v>
      </c>
      <c r="C38" s="166">
        <v>113.76</v>
      </c>
      <c r="D38" s="15">
        <v>44620</v>
      </c>
      <c r="E38" s="310">
        <f>+LECER!I8</f>
        <v>236</v>
      </c>
      <c r="F38" s="227">
        <f>+LECER!M8</f>
        <v>0.26935196561880437</v>
      </c>
      <c r="G38" s="225">
        <f>I38/365*30</f>
        <v>3.6666503596298666E-2</v>
      </c>
      <c r="H38" s="16">
        <f>+LECER!N8</f>
        <v>0.41658248919857449</v>
      </c>
      <c r="I38" s="227">
        <f>+LECER!O8</f>
        <v>0.44610912708830042</v>
      </c>
      <c r="J38" s="288">
        <f>E38/365</f>
        <v>0.64657534246575343</v>
      </c>
      <c r="K38" s="227">
        <f>+LECER!S33</f>
        <v>2.7557656168937687E-2</v>
      </c>
    </row>
    <row r="39" spans="2:29" x14ac:dyDescent="0.2">
      <c r="B39" s="12" t="s">
        <v>217</v>
      </c>
      <c r="C39" s="166">
        <v>111.45</v>
      </c>
      <c r="D39" s="15">
        <v>44651</v>
      </c>
      <c r="E39" s="310">
        <f>+LECER!I9</f>
        <v>267</v>
      </c>
      <c r="F39" s="227">
        <f>+LECER!M9</f>
        <v>0.31004279662815781</v>
      </c>
      <c r="G39" s="225">
        <f>I39/365*30</f>
        <v>3.6702914458394895E-2</v>
      </c>
      <c r="H39" s="16">
        <f>+LECER!N9</f>
        <v>0.42384127628942919</v>
      </c>
      <c r="I39" s="227">
        <f>+LECER!O9</f>
        <v>0.44655212591047122</v>
      </c>
      <c r="J39" s="288">
        <f>E39/365</f>
        <v>0.73150684931506849</v>
      </c>
      <c r="K39" s="227">
        <f>+LECER!S41</f>
        <v>2.989069521427154E-2</v>
      </c>
    </row>
    <row r="40" spans="2:29" x14ac:dyDescent="0.2">
      <c r="B40" s="12" t="s">
        <v>218</v>
      </c>
      <c r="C40" s="166">
        <v>108.75</v>
      </c>
      <c r="D40" s="15">
        <v>44669</v>
      </c>
      <c r="E40" s="316">
        <f>+LECER!I10</f>
        <v>285</v>
      </c>
      <c r="F40" s="227">
        <f>+LECER!M10</f>
        <v>0.33052726599226356</v>
      </c>
      <c r="G40" s="225">
        <f>I40/365*30</f>
        <v>3.629389809458098E-2</v>
      </c>
      <c r="H40" s="16">
        <f>+LECER!N10</f>
        <v>0.4233068494286884</v>
      </c>
      <c r="I40" s="227">
        <f>+LECER!O10</f>
        <v>0.4415757601507353</v>
      </c>
      <c r="J40" s="288">
        <f>E40/365</f>
        <v>0.78082191780821919</v>
      </c>
      <c r="K40" s="227">
        <f>+LECER!S49</f>
        <v>3.022768795490265E-2</v>
      </c>
    </row>
    <row r="41" spans="2:29" x14ac:dyDescent="0.2">
      <c r="B41" s="12" t="s">
        <v>236</v>
      </c>
      <c r="C41" s="166">
        <v>103.9</v>
      </c>
      <c r="D41" s="15">
        <v>44704</v>
      </c>
      <c r="E41" s="328">
        <f>+LECER!I11</f>
        <v>320</v>
      </c>
      <c r="F41" s="227">
        <f>+LECER!M11</f>
        <v>0.37892754716247401</v>
      </c>
      <c r="G41" s="225">
        <f>I41/365*30</f>
        <v>3.638314292352246E-2</v>
      </c>
      <c r="H41" s="16">
        <f>+LECER!N11</f>
        <v>0.43221423348219695</v>
      </c>
      <c r="I41" s="227">
        <f>+LECER!O11</f>
        <v>0.44266157223618996</v>
      </c>
      <c r="J41" s="288">
        <f>E41/365</f>
        <v>0.87671232876712324</v>
      </c>
      <c r="K41" s="227">
        <f>+LECER!S57</f>
        <v>2.6679638028144836E-2</v>
      </c>
    </row>
    <row r="42" spans="2:29" ht="15" x14ac:dyDescent="0.2">
      <c r="B42" s="20" t="s">
        <v>113</v>
      </c>
      <c r="C42" s="110"/>
      <c r="E42" s="236"/>
      <c r="F42" s="227"/>
      <c r="G42" s="225"/>
      <c r="H42" s="236"/>
      <c r="I42" s="236"/>
      <c r="J42" s="288"/>
      <c r="K42" s="22"/>
    </row>
    <row r="43" spans="2:29" x14ac:dyDescent="0.2">
      <c r="B43" s="12" t="s">
        <v>188</v>
      </c>
      <c r="C43" s="166">
        <v>97.63</v>
      </c>
      <c r="D43" s="15">
        <v>44407</v>
      </c>
      <c r="E43" s="327">
        <f>D43-$D$2</f>
        <v>25</v>
      </c>
      <c r="F43" s="227">
        <f>100/C43-1</f>
        <v>2.427532520741571E-2</v>
      </c>
      <c r="G43" s="225">
        <f>H43/365*30</f>
        <v>2.9130390248898852E-2</v>
      </c>
      <c r="H43" s="227">
        <f>F43/E43*365</f>
        <v>0.35441974802826937</v>
      </c>
      <c r="I43" s="227">
        <f>(1+F43)^(365/E43)-1</f>
        <v>0.41933194005153318</v>
      </c>
      <c r="J43" s="288">
        <f>E43/365</f>
        <v>6.8493150684931503E-2</v>
      </c>
      <c r="K43" s="22"/>
    </row>
    <row r="44" spans="2:29" x14ac:dyDescent="0.2">
      <c r="B44" s="12" t="s">
        <v>204</v>
      </c>
      <c r="C44" s="166">
        <v>94.65</v>
      </c>
      <c r="D44" s="15">
        <v>44439</v>
      </c>
      <c r="E44" s="327">
        <f>D44-$D$2</f>
        <v>57</v>
      </c>
      <c r="F44" s="227">
        <f>100/C44-1</f>
        <v>5.6524035921817095E-2</v>
      </c>
      <c r="G44" s="225">
        <f>H44/365*30</f>
        <v>2.9749492590430048E-2</v>
      </c>
      <c r="H44" s="227">
        <f>F44/E44*365</f>
        <v>0.36195215985023227</v>
      </c>
      <c r="I44" s="227">
        <f>(1+F44)^(365/E44)-1</f>
        <v>0.42204005737458794</v>
      </c>
      <c r="J44" s="288">
        <f>E44/365</f>
        <v>0.15616438356164383</v>
      </c>
      <c r="K44" s="22"/>
    </row>
    <row r="45" spans="2:29" x14ac:dyDescent="0.2">
      <c r="B45" s="12" t="s">
        <v>212</v>
      </c>
      <c r="C45" s="166">
        <v>92.18</v>
      </c>
      <c r="D45" s="15">
        <v>44469</v>
      </c>
      <c r="E45" s="327">
        <f>D45-$D$3</f>
        <v>85</v>
      </c>
      <c r="F45" s="227">
        <f>100/C45-1</f>
        <v>8.4834020394879417E-2</v>
      </c>
      <c r="G45" s="225">
        <f>H45/365*30</f>
        <v>2.9941418962898619E-2</v>
      </c>
      <c r="H45" s="227">
        <f>F45/E45*365</f>
        <v>0.36428726404859985</v>
      </c>
      <c r="I45" s="227">
        <f>(1+F45)^(365/E45)-1</f>
        <v>0.41858105083732777</v>
      </c>
      <c r="J45" s="288">
        <f>E45/365</f>
        <v>0.23287671232876711</v>
      </c>
      <c r="K45" s="22"/>
      <c r="X45" s="12" t="s">
        <v>203</v>
      </c>
      <c r="Y45" s="16">
        <f>+[1]T2V1!$U$9</f>
        <v>0.5541558691406252</v>
      </c>
      <c r="Z45" s="282">
        <f>+[1]T2V1!$U$10</f>
        <v>0.4</v>
      </c>
    </row>
    <row r="46" spans="2:29" x14ac:dyDescent="0.2">
      <c r="B46" s="12" t="s">
        <v>219</v>
      </c>
      <c r="C46" s="166">
        <v>89.03</v>
      </c>
      <c r="D46" s="15">
        <v>44498</v>
      </c>
      <c r="E46" s="327">
        <f>D46-$D$2</f>
        <v>116</v>
      </c>
      <c r="F46" s="227">
        <f>100/C46-1</f>
        <v>0.12321689318207341</v>
      </c>
      <c r="G46" s="225">
        <f>H46/365*30</f>
        <v>3.1866437891915539E-2</v>
      </c>
      <c r="H46" s="227">
        <f>F46/E46*365</f>
        <v>0.38770832768497238</v>
      </c>
      <c r="I46" s="227">
        <f>(1+F46)^(365/E46)-1</f>
        <v>0.44140628489004374</v>
      </c>
      <c r="J46" s="288">
        <f>E46/365</f>
        <v>0.31780821917808222</v>
      </c>
      <c r="K46" s="22"/>
    </row>
    <row r="47" spans="2:29" x14ac:dyDescent="0.2">
      <c r="B47" s="12" t="s">
        <v>235</v>
      </c>
      <c r="C47" s="166">
        <v>86.5</v>
      </c>
      <c r="D47" s="15">
        <v>44530</v>
      </c>
      <c r="E47" s="328">
        <f>D47-$D$3</f>
        <v>146</v>
      </c>
      <c r="F47" s="227">
        <f>100/C47-1</f>
        <v>0.1560693641618498</v>
      </c>
      <c r="G47" s="225">
        <f>H47/365*30</f>
        <v>3.2069047430517084E-2</v>
      </c>
      <c r="H47" s="227">
        <f>F47/E47*365</f>
        <v>0.3901734104046245</v>
      </c>
      <c r="I47" s="227">
        <f>(1+F47)^(365/E47)-1</f>
        <v>0.43700980472577222</v>
      </c>
      <c r="J47" s="288">
        <f>E47/365</f>
        <v>0.4</v>
      </c>
      <c r="K47" s="16"/>
      <c r="V47" s="144"/>
      <c r="W47" s="144"/>
      <c r="Y47" s="16"/>
      <c r="Z47" s="14"/>
      <c r="AB47" s="16"/>
      <c r="AC47" s="14"/>
    </row>
    <row r="48" spans="2:29" ht="15" x14ac:dyDescent="0.25">
      <c r="B48" s="150" t="s">
        <v>146</v>
      </c>
      <c r="E48" s="236"/>
      <c r="F48" s="236"/>
      <c r="G48" s="225"/>
      <c r="H48" s="236"/>
      <c r="I48" s="236"/>
      <c r="J48" s="288"/>
      <c r="V48" s="144"/>
      <c r="W48" s="144"/>
      <c r="Y48" s="16"/>
      <c r="Z48" s="14"/>
      <c r="AB48" s="22"/>
      <c r="AC48" s="14"/>
    </row>
    <row r="49" spans="2:30" x14ac:dyDescent="0.2">
      <c r="B49" s="12" t="s">
        <v>195</v>
      </c>
      <c r="C49" s="166">
        <v>112.53</v>
      </c>
      <c r="D49" s="15">
        <v>44407</v>
      </c>
      <c r="E49" s="278">
        <f>+Lepase!O6</f>
        <v>23</v>
      </c>
      <c r="F49" s="227">
        <f>+Lepase!P6</f>
        <v>3.3940416497761965E-2</v>
      </c>
      <c r="G49" s="225">
        <f>H49/365*30</f>
        <v>4.4270108475341692E-2</v>
      </c>
      <c r="H49" s="227">
        <f>+Lepase!P8</f>
        <v>0.53861965311665727</v>
      </c>
      <c r="I49" s="227">
        <f>+Lepase!P9</f>
        <v>0.69839019967331306</v>
      </c>
      <c r="J49" s="288">
        <f>E49/365</f>
        <v>6.3013698630136991E-2</v>
      </c>
      <c r="V49" s="144"/>
      <c r="W49" s="144"/>
      <c r="AB49" s="22"/>
      <c r="AC49" s="14"/>
    </row>
    <row r="50" spans="2:30" x14ac:dyDescent="0.2">
      <c r="B50" s="12" t="s">
        <v>206</v>
      </c>
      <c r="C50" s="166">
        <v>109</v>
      </c>
      <c r="D50" s="15">
        <v>44439</v>
      </c>
      <c r="E50" s="287">
        <f>+Lepase!U6</f>
        <v>55</v>
      </c>
      <c r="F50" s="227">
        <f>+Lepase!V6</f>
        <v>7.0296594193791598E-2</v>
      </c>
      <c r="G50" s="225">
        <f>H50/365*30</f>
        <v>3.8343596832977236E-2</v>
      </c>
      <c r="H50" s="227">
        <f>+Lepase!V8</f>
        <v>0.4665137614678897</v>
      </c>
      <c r="I50" s="227">
        <f>+Lepase!V9</f>
        <v>0.56964060429321828</v>
      </c>
      <c r="J50" s="288">
        <f>E50/365</f>
        <v>0.15068493150684931</v>
      </c>
      <c r="V50" s="144"/>
      <c r="W50" s="144"/>
      <c r="Y50" s="16"/>
      <c r="Z50" s="14"/>
    </row>
    <row r="51" spans="2:30" x14ac:dyDescent="0.2">
      <c r="B51" s="12" t="s">
        <v>214</v>
      </c>
      <c r="C51" s="166">
        <v>108.3</v>
      </c>
      <c r="D51" s="15">
        <f>+Lepase!Y5</f>
        <v>44469</v>
      </c>
      <c r="E51" s="315">
        <f>+Lepase!AA6</f>
        <v>85</v>
      </c>
      <c r="F51" s="227">
        <f>+Lepase!AB6</f>
        <v>0.10159501132065928</v>
      </c>
      <c r="G51" s="225">
        <f>H51/365*30</f>
        <v>3.5857062819056214E-2</v>
      </c>
      <c r="H51" s="227">
        <f>+Lepase!AB8</f>
        <v>0.43626093096518392</v>
      </c>
      <c r="I51" s="227">
        <f>+Lepase!AB9</f>
        <v>0.51512073662388014</v>
      </c>
      <c r="J51" s="288">
        <f>E51/365</f>
        <v>0.23287671232876711</v>
      </c>
      <c r="V51" s="144"/>
      <c r="W51" s="144"/>
      <c r="Y51" s="16"/>
      <c r="Z51" s="14"/>
    </row>
    <row r="52" spans="2:30" x14ac:dyDescent="0.2">
      <c r="B52" s="12" t="s">
        <v>220</v>
      </c>
      <c r="C52" s="166">
        <v>106.25</v>
      </c>
      <c r="D52" s="15">
        <v>44498</v>
      </c>
      <c r="E52" s="317">
        <f>+Lepase!AG6</f>
        <v>114</v>
      </c>
      <c r="F52" s="227">
        <f>+Lepase!AH6</f>
        <v>0.13650926672038677</v>
      </c>
      <c r="G52" s="225">
        <f>H52/365*30</f>
        <v>3.5923491242207041E-2</v>
      </c>
      <c r="H52" s="227">
        <f>+Lepase!AH8</f>
        <v>0.43706914344685233</v>
      </c>
      <c r="I52" s="227">
        <f>+Lepase!AH9</f>
        <v>0.50636784348019859</v>
      </c>
      <c r="J52" s="288">
        <f>E52/365</f>
        <v>0.31232876712328766</v>
      </c>
      <c r="V52" s="144"/>
      <c r="W52" s="144"/>
      <c r="Y52" s="16"/>
      <c r="Z52" s="14"/>
    </row>
    <row r="53" spans="2:30" ht="15" x14ac:dyDescent="0.25">
      <c r="B53" s="150" t="s">
        <v>226</v>
      </c>
      <c r="E53" s="267"/>
      <c r="G53" s="225"/>
      <c r="J53" s="288"/>
    </row>
    <row r="54" spans="2:30" x14ac:dyDescent="0.2">
      <c r="B54" s="12" t="s">
        <v>41</v>
      </c>
      <c r="C54" s="142">
        <f>+C12</f>
        <v>525.1</v>
      </c>
      <c r="D54" s="15">
        <f>+D12</f>
        <v>44399</v>
      </c>
      <c r="E54" s="275">
        <f>D54-D3</f>
        <v>15</v>
      </c>
      <c r="F54" s="227">
        <f>+'TC21'!O20</f>
        <v>1.4114342909751257E-2</v>
      </c>
      <c r="G54" s="225">
        <f>H54/365*30</f>
        <v>2.8228685819502511E-2</v>
      </c>
      <c r="H54" s="227">
        <f>+'TC21'!O21</f>
        <v>0.34344901080394724</v>
      </c>
      <c r="I54" s="227">
        <f>+'TC21'!O22</f>
        <v>0.40642046645105223</v>
      </c>
      <c r="J54" s="288">
        <f>E54/365</f>
        <v>4.1095890410958902E-2</v>
      </c>
      <c r="K54" s="22"/>
      <c r="M54" s="22"/>
      <c r="AB54" s="12" t="s">
        <v>244</v>
      </c>
      <c r="AC54" s="31">
        <f>+D2</f>
        <v>44382</v>
      </c>
    </row>
    <row r="55" spans="2:30" x14ac:dyDescent="0.2">
      <c r="B55" s="12" t="s">
        <v>42</v>
      </c>
      <c r="C55" s="142">
        <f>+C11</f>
        <v>166.8</v>
      </c>
      <c r="D55" s="15">
        <f>+D11</f>
        <v>44413</v>
      </c>
      <c r="E55" s="275">
        <f>D55-D3</f>
        <v>29</v>
      </c>
      <c r="F55" s="227">
        <f>+'TX21'!O18</f>
        <v>3.0380423708902742E-2</v>
      </c>
      <c r="G55" s="225">
        <f>H55/365*30</f>
        <v>3.1428024526451111E-2</v>
      </c>
      <c r="H55" s="227">
        <f>+'TX21'!O19</f>
        <v>0.38237429840515524</v>
      </c>
      <c r="I55" s="227">
        <f>+'TX21'!O20</f>
        <v>0.45743927548493835</v>
      </c>
      <c r="J55" s="288">
        <f>E55/365</f>
        <v>7.9452054794520555E-2</v>
      </c>
      <c r="AB55" s="12" t="s">
        <v>147</v>
      </c>
      <c r="AC55" s="31">
        <v>44498</v>
      </c>
      <c r="AD55" s="31"/>
    </row>
    <row r="56" spans="2:30" x14ac:dyDescent="0.2">
      <c r="B56" s="12" t="s">
        <v>52</v>
      </c>
      <c r="C56" s="142">
        <f>+C10</f>
        <v>105.75</v>
      </c>
      <c r="D56" s="15">
        <f>+D10</f>
        <v>44413</v>
      </c>
      <c r="E56" s="338">
        <f>+'TB21'!E8</f>
        <v>29</v>
      </c>
      <c r="F56" s="227">
        <f>+'TB21'!J20</f>
        <v>2.9414977322638803E-2</v>
      </c>
      <c r="G56" s="225">
        <f>H56/365*30</f>
        <v>3.0429286885488415E-2</v>
      </c>
      <c r="H56" s="227">
        <f>+'TB21'!J21</f>
        <v>0.37022299044010903</v>
      </c>
      <c r="I56" s="227">
        <f>+'TB21'!J10</f>
        <v>0.44034463378906252</v>
      </c>
      <c r="J56" s="288">
        <f>+'TB21'!J11</f>
        <v>7.0064631637754615E-2</v>
      </c>
      <c r="M56" s="16"/>
      <c r="Y56" s="16"/>
      <c r="Z56" s="14"/>
      <c r="AB56" s="12" t="s">
        <v>237</v>
      </c>
      <c r="AC56" s="31">
        <v>44407</v>
      </c>
      <c r="AD56" s="12">
        <f>AC56-AC54</f>
        <v>25</v>
      </c>
    </row>
    <row r="57" spans="2:30" x14ac:dyDescent="0.2">
      <c r="B57" s="12" t="s">
        <v>20</v>
      </c>
      <c r="C57" s="142">
        <f>+C9</f>
        <v>100.5</v>
      </c>
      <c r="D57" s="15">
        <v>44473</v>
      </c>
      <c r="E57" s="329">
        <f>+'TO21'!E8</f>
        <v>89</v>
      </c>
      <c r="F57" s="227">
        <f>+'TO21'!I8</f>
        <v>8.5572139303482536E-2</v>
      </c>
      <c r="G57" s="225">
        <f>H57/365*30</f>
        <v>2.8844541338252545E-2</v>
      </c>
      <c r="H57" s="227">
        <f>+'TO21'!U10</f>
        <v>0.35094191961540594</v>
      </c>
      <c r="I57" s="227">
        <f>+'TO21'!I9</f>
        <v>0.40036319824218758</v>
      </c>
      <c r="J57" s="288">
        <f>+'TO21'!I10</f>
        <v>0.24383561643835616</v>
      </c>
      <c r="V57" s="144"/>
      <c r="W57" s="144"/>
      <c r="Y57" s="16"/>
      <c r="Z57" s="14"/>
      <c r="AB57" s="12" t="s">
        <v>238</v>
      </c>
      <c r="AC57" s="12">
        <f>AC55-AC56</f>
        <v>91</v>
      </c>
    </row>
    <row r="58" spans="2:30" x14ac:dyDescent="0.2">
      <c r="Z58" s="14"/>
      <c r="AB58" s="12" t="s">
        <v>239</v>
      </c>
      <c r="AC58" s="22">
        <v>0.43</v>
      </c>
    </row>
    <row r="59" spans="2:30" x14ac:dyDescent="0.2">
      <c r="M59" s="16"/>
      <c r="Z59" s="14"/>
      <c r="AB59" s="12" t="s">
        <v>183</v>
      </c>
      <c r="AC59" s="22">
        <f>AC58/365*AC57</f>
        <v>0.10720547945205479</v>
      </c>
    </row>
    <row r="60" spans="2:30" x14ac:dyDescent="0.2">
      <c r="M60" s="22"/>
      <c r="Y60" s="157"/>
      <c r="Z60" s="14"/>
      <c r="AB60" s="12" t="s">
        <v>240</v>
      </c>
      <c r="AC60" s="14">
        <f>100/(1+AC59)</f>
        <v>90.317472100561702</v>
      </c>
    </row>
    <row r="61" spans="2:30" x14ac:dyDescent="0.2">
      <c r="D61" s="15"/>
      <c r="E61" s="339">
        <f>+E55</f>
        <v>29</v>
      </c>
      <c r="F61" s="227">
        <f>(1+(0.33/365))^(E61)-1</f>
        <v>2.6553764591114914E-2</v>
      </c>
      <c r="G61" s="225">
        <f>(1+F55)/(1+F61)-1</f>
        <v>3.7276753052597478E-3</v>
      </c>
      <c r="H61" s="227"/>
      <c r="I61" s="227"/>
      <c r="J61" s="288"/>
      <c r="M61" s="22"/>
      <c r="Y61" s="22"/>
      <c r="Z61" s="14"/>
      <c r="AB61" s="12" t="s">
        <v>107</v>
      </c>
      <c r="AC61" s="14">
        <f>+C46</f>
        <v>89.03</v>
      </c>
    </row>
    <row r="62" spans="2:30" x14ac:dyDescent="0.2">
      <c r="M62" s="22"/>
      <c r="Y62" s="14"/>
      <c r="Z62" s="14"/>
      <c r="AB62" s="12" t="s">
        <v>241</v>
      </c>
      <c r="AC62" s="22">
        <f>(AC60-AC61)/AC61</f>
        <v>1.4461104128515112E-2</v>
      </c>
    </row>
    <row r="63" spans="2:30" x14ac:dyDescent="0.2">
      <c r="M63" s="22"/>
      <c r="Z63" s="14"/>
      <c r="AB63" s="12" t="s">
        <v>242</v>
      </c>
      <c r="AC63" s="22">
        <v>0.33</v>
      </c>
    </row>
    <row r="64" spans="2:30" ht="15" x14ac:dyDescent="0.25">
      <c r="B64" s="390" t="s">
        <v>24</v>
      </c>
      <c r="C64" s="391"/>
      <c r="D64" s="50">
        <f>+'Serie CER'!H178</f>
        <v>31.919899999999998</v>
      </c>
      <c r="M64" s="16"/>
      <c r="AB64" s="12" t="s">
        <v>243</v>
      </c>
      <c r="AC64" s="22">
        <f>(1+(AC63/365))^AD56-1</f>
        <v>2.2849672228752116E-2</v>
      </c>
    </row>
    <row r="65" spans="2:29" x14ac:dyDescent="0.2">
      <c r="U65" s="16"/>
    </row>
    <row r="66" spans="2:29" ht="15" x14ac:dyDescent="0.25">
      <c r="B66" s="150" t="s">
        <v>63</v>
      </c>
      <c r="G66" s="305"/>
      <c r="M66" s="22"/>
      <c r="U66" s="16"/>
    </row>
    <row r="67" spans="2:29" ht="15" x14ac:dyDescent="0.25">
      <c r="B67" s="150"/>
      <c r="G67" s="305"/>
      <c r="AA67" s="280"/>
      <c r="AB67" s="280"/>
      <c r="AC67" s="280"/>
    </row>
    <row r="68" spans="2:29" ht="15" x14ac:dyDescent="0.2">
      <c r="B68" s="229" t="s">
        <v>46</v>
      </c>
      <c r="C68" s="229" t="s">
        <v>40</v>
      </c>
      <c r="D68" s="229" t="s">
        <v>147</v>
      </c>
      <c r="E68" s="229" t="s">
        <v>10</v>
      </c>
      <c r="F68" s="229" t="s">
        <v>29</v>
      </c>
      <c r="G68" s="306" t="s">
        <v>11</v>
      </c>
      <c r="AA68" s="110"/>
      <c r="AB68" s="281"/>
      <c r="AC68" s="171"/>
    </row>
    <row r="69" spans="2:29" x14ac:dyDescent="0.2">
      <c r="B69" s="12" t="s">
        <v>41</v>
      </c>
      <c r="C69" s="148">
        <f t="shared" ref="C69:C76" si="1">VLOOKUP(B69,$B$9:$C$22,2,FALSE)</f>
        <v>525.1</v>
      </c>
      <c r="D69" s="15">
        <f>+D12</f>
        <v>44399</v>
      </c>
      <c r="E69" s="227">
        <f>'TC21'!I9</f>
        <v>-2.724795131947845E-2</v>
      </c>
      <c r="F69" s="128">
        <f>+'TC21'!I10</f>
        <v>4.1666666666666623E-2</v>
      </c>
      <c r="G69" s="307">
        <f>+F12</f>
        <v>1.2924584030717734</v>
      </c>
      <c r="AA69" s="110"/>
      <c r="AB69" s="281"/>
      <c r="AC69" s="171"/>
    </row>
    <row r="70" spans="2:29" x14ac:dyDescent="0.2">
      <c r="B70" s="12" t="s">
        <v>42</v>
      </c>
      <c r="C70" s="148">
        <f t="shared" si="1"/>
        <v>166.8</v>
      </c>
      <c r="D70" s="15">
        <f>+D11</f>
        <v>44413</v>
      </c>
      <c r="E70" s="227">
        <f>'TX21'!I9</f>
        <v>-6.9670180949196209E-3</v>
      </c>
      <c r="F70" s="128">
        <f>+'TX21'!I10</f>
        <v>7.7777777777777724E-2</v>
      </c>
      <c r="G70" s="307">
        <f>+F11</f>
        <v>1.292321995816224</v>
      </c>
      <c r="AA70" s="110"/>
      <c r="AB70" s="281"/>
      <c r="AC70" s="171"/>
    </row>
    <row r="71" spans="2:29" x14ac:dyDescent="0.2">
      <c r="B71" s="12" t="s">
        <v>45</v>
      </c>
      <c r="C71" s="148">
        <f t="shared" si="1"/>
        <v>158.19999999999999</v>
      </c>
      <c r="D71" s="15">
        <f>+D15</f>
        <v>44638</v>
      </c>
      <c r="E71" s="227">
        <f>'TX22'!I10</f>
        <v>2.4951860351562501E-2</v>
      </c>
      <c r="F71" s="128">
        <f>+'TX22'!I11</f>
        <v>0.69425779534475174</v>
      </c>
      <c r="G71" s="307">
        <f>+F15</f>
        <v>1.2794177112818437</v>
      </c>
      <c r="Y71" s="14"/>
      <c r="Z71" s="16"/>
      <c r="AA71" s="14"/>
      <c r="AB71" s="110"/>
      <c r="AC71" s="110"/>
    </row>
    <row r="72" spans="2:29" x14ac:dyDescent="0.2">
      <c r="B72" s="12" t="s">
        <v>102</v>
      </c>
      <c r="C72" s="148">
        <f t="shared" si="1"/>
        <v>149.4</v>
      </c>
      <c r="D72" s="15">
        <f>+D16</f>
        <v>44824</v>
      </c>
      <c r="E72" s="227">
        <f>+T2X2!I11</f>
        <v>2.5866645507812508E-2</v>
      </c>
      <c r="F72" s="228">
        <f>+T2X2!I12</f>
        <v>1.1932142662525203</v>
      </c>
      <c r="G72" s="307">
        <f>+F16</f>
        <v>1.2714893617021277</v>
      </c>
      <c r="Y72" s="14" t="str">
        <f>+B13</f>
        <v>PR15</v>
      </c>
      <c r="Z72" s="16">
        <f>+H13</f>
        <v>0.46197354980468763</v>
      </c>
      <c r="AA72" s="14">
        <f>+G13</f>
        <v>0.52</v>
      </c>
      <c r="AB72" s="110"/>
      <c r="AC72" s="171"/>
    </row>
    <row r="73" spans="2:29" x14ac:dyDescent="0.2">
      <c r="B73" s="12" t="s">
        <v>78</v>
      </c>
      <c r="C73" s="148">
        <f t="shared" si="1"/>
        <v>371</v>
      </c>
      <c r="D73" s="15">
        <f>+D18</f>
        <v>44991</v>
      </c>
      <c r="E73" s="227">
        <f>+'TC23'!I12</f>
        <v>3.9441540837287917E-2</v>
      </c>
      <c r="F73" s="128">
        <f>+'TC23'!I13</f>
        <v>1.6083333333333332</v>
      </c>
      <c r="G73" s="307">
        <f>+F18</f>
        <v>1.2941258546114134</v>
      </c>
      <c r="Y73" s="14" t="str">
        <f>+B9</f>
        <v>TO21</v>
      </c>
      <c r="Z73" s="16">
        <f>+H9</f>
        <v>0.40036319824218758</v>
      </c>
      <c r="AA73" s="14">
        <f>+G9</f>
        <v>0.24383561643835616</v>
      </c>
      <c r="AB73" s="281"/>
      <c r="AC73" s="171"/>
    </row>
    <row r="74" spans="2:29" x14ac:dyDescent="0.2">
      <c r="B74" s="12" t="s">
        <v>65</v>
      </c>
      <c r="C74" s="148">
        <f t="shared" si="1"/>
        <v>152.35</v>
      </c>
      <c r="D74" s="15">
        <f>+D20</f>
        <v>45010</v>
      </c>
      <c r="E74" s="227">
        <f>'TX23'!I12</f>
        <v>4.0047280273437499E-2</v>
      </c>
      <c r="F74" s="128">
        <f>+'TX23'!I13</f>
        <v>1.662007405906285</v>
      </c>
      <c r="G74" s="307">
        <f>+F20</f>
        <v>1.2367075249614417</v>
      </c>
      <c r="I74" s="31"/>
      <c r="Y74" s="14" t="str">
        <f>+B10</f>
        <v>TB21</v>
      </c>
      <c r="Z74" s="16">
        <f>+H10</f>
        <v>0.44034463378906252</v>
      </c>
      <c r="AA74" s="14">
        <f>+G10</f>
        <v>7.0064631637754615E-2</v>
      </c>
      <c r="AB74" s="281"/>
      <c r="AC74" s="171"/>
    </row>
    <row r="75" spans="2:29" x14ac:dyDescent="0.2">
      <c r="B75" s="12" t="s">
        <v>179</v>
      </c>
      <c r="C75" s="148">
        <f t="shared" si="1"/>
        <v>137</v>
      </c>
      <c r="D75" s="15">
        <f>+D21</f>
        <v>45151</v>
      </c>
      <c r="E75" s="227">
        <f>+T2X3!I13</f>
        <v>4.11685205078125E-2</v>
      </c>
      <c r="F75" s="128">
        <f>+T2X3!I14</f>
        <v>2.0239757381520938</v>
      </c>
      <c r="G75" s="305"/>
      <c r="I75" s="31"/>
      <c r="T75" s="22"/>
      <c r="Y75" s="14" t="str">
        <f>+B11</f>
        <v>TX21</v>
      </c>
      <c r="Z75" s="16">
        <f>+H11</f>
        <v>0.45743927246093752</v>
      </c>
      <c r="AA75" s="14">
        <f>+F70</f>
        <v>7.7777777777777724E-2</v>
      </c>
      <c r="AB75" s="281"/>
      <c r="AC75" s="171"/>
    </row>
    <row r="76" spans="2:29" x14ac:dyDescent="0.2">
      <c r="B76" s="12" t="s">
        <v>81</v>
      </c>
      <c r="C76" s="148">
        <f t="shared" si="1"/>
        <v>143.6</v>
      </c>
      <c r="D76" s="15">
        <f>+D22</f>
        <v>45376</v>
      </c>
      <c r="E76" s="227">
        <f>+'TX24'!I14</f>
        <v>5.3621752929687502E-2</v>
      </c>
      <c r="F76" s="128">
        <f>+'TX24'!I15</f>
        <v>2.5917870041663953</v>
      </c>
      <c r="G76" s="307">
        <f>+F22</f>
        <v>1.1653952280473949</v>
      </c>
      <c r="Y76" s="12" t="str">
        <f>+B12</f>
        <v>TC21</v>
      </c>
      <c r="Z76" s="16">
        <f>+H12</f>
        <v>0.40642046386718755</v>
      </c>
      <c r="AA76" s="14">
        <f>+F69</f>
        <v>4.1666666666666623E-2</v>
      </c>
    </row>
    <row r="77" spans="2:29" x14ac:dyDescent="0.2">
      <c r="B77" s="12" t="s">
        <v>90</v>
      </c>
      <c r="C77" s="371">
        <v>342</v>
      </c>
      <c r="D77" s="15">
        <v>45772</v>
      </c>
      <c r="E77" s="227">
        <f>+TC25P!I21</f>
        <v>5.1355245709419253E-2</v>
      </c>
      <c r="F77" s="128">
        <f>+TC25P!I22</f>
        <v>3.4463314448936377</v>
      </c>
      <c r="G77" s="307">
        <f>+TC25P!C15</f>
        <v>0</v>
      </c>
      <c r="Q77" s="16"/>
      <c r="Y77" s="12" t="s">
        <v>120</v>
      </c>
      <c r="Z77" s="16">
        <f>+H14</f>
        <v>0.44950780761718756</v>
      </c>
      <c r="AA77" s="14">
        <f>+G14</f>
        <v>0.61112411737225436</v>
      </c>
    </row>
    <row r="78" spans="2:29" x14ac:dyDescent="0.2">
      <c r="B78" s="12" t="s">
        <v>124</v>
      </c>
      <c r="C78" s="371">
        <v>116.1</v>
      </c>
      <c r="D78" s="15">
        <f>+'TX26'!E17</f>
        <v>46335</v>
      </c>
      <c r="E78" s="227">
        <f>+'TX26'!J19</f>
        <v>7.0981059570312532E-2</v>
      </c>
      <c r="F78" s="128">
        <f>+'TX26'!J20</f>
        <v>3.9728324794626375</v>
      </c>
      <c r="G78" s="307">
        <v>0.8085</v>
      </c>
      <c r="Y78" s="12" t="s">
        <v>102</v>
      </c>
      <c r="Z78" s="16">
        <f>+H16</f>
        <v>0.44103077636718746</v>
      </c>
      <c r="AA78" s="14">
        <f>+F72</f>
        <v>1.1932142662525203</v>
      </c>
    </row>
    <row r="79" spans="2:29" x14ac:dyDescent="0.2">
      <c r="B79" s="12" t="s">
        <v>129</v>
      </c>
      <c r="C79" s="371">
        <v>108.6</v>
      </c>
      <c r="D79" s="15">
        <f>+'TX28'!E21</f>
        <v>47066</v>
      </c>
      <c r="E79" s="227">
        <f>+'TX28'!J23</f>
        <v>8.2448557019233717E-2</v>
      </c>
      <c r="F79" s="128">
        <f>+'TX28'!J24</f>
        <v>4.4621243930737826</v>
      </c>
      <c r="G79" s="307">
        <v>0.81820000000000004</v>
      </c>
      <c r="Y79" s="14" t="str">
        <f>+B15</f>
        <v>TX22</v>
      </c>
      <c r="Z79" s="16">
        <f>+H15</f>
        <v>0.44184126464843754</v>
      </c>
      <c r="AA79" s="14">
        <f>+F71</f>
        <v>0.69425779534475174</v>
      </c>
    </row>
    <row r="80" spans="2:29" x14ac:dyDescent="0.2">
      <c r="B80" s="12" t="s">
        <v>73</v>
      </c>
      <c r="C80" s="371">
        <v>2369</v>
      </c>
      <c r="D80" s="15">
        <v>48944</v>
      </c>
      <c r="E80" s="227">
        <f>+DICP!I34</f>
        <v>8.8107535243034357E-2</v>
      </c>
      <c r="F80" s="128">
        <f>+DICP!I35</f>
        <v>5.646842021814459</v>
      </c>
      <c r="G80" s="308">
        <v>0.84109999999999996</v>
      </c>
      <c r="Y80" s="14" t="str">
        <f>+B17</f>
        <v>TO23</v>
      </c>
      <c r="Z80" s="16">
        <f>+H17</f>
        <v>0.4845732714843749</v>
      </c>
      <c r="AA80" s="14">
        <f>+G17</f>
        <v>1.4501605438826666</v>
      </c>
    </row>
    <row r="81" spans="2:30" x14ac:dyDescent="0.2">
      <c r="B81" s="12" t="s">
        <v>75</v>
      </c>
      <c r="C81" s="371">
        <v>887</v>
      </c>
      <c r="D81" s="15">
        <v>50770</v>
      </c>
      <c r="E81" s="227">
        <f>+PARP!I44</f>
        <v>0.1106548249721527</v>
      </c>
      <c r="F81" s="128">
        <f>+PARP!I45</f>
        <v>9.4100466851743203</v>
      </c>
      <c r="G81" s="308">
        <v>0.437</v>
      </c>
      <c r="Y81" s="14" t="str">
        <f>+B18</f>
        <v>TC23</v>
      </c>
      <c r="Z81" s="16">
        <f>+H18</f>
        <v>0.45888144042968759</v>
      </c>
      <c r="AA81" s="14">
        <f>+G18</f>
        <v>1.2814860717615904</v>
      </c>
    </row>
    <row r="82" spans="2:30" x14ac:dyDescent="0.2">
      <c r="B82" s="12" t="s">
        <v>74</v>
      </c>
      <c r="C82" s="371">
        <v>1345</v>
      </c>
      <c r="D82" s="15">
        <v>53327</v>
      </c>
      <c r="E82" s="227">
        <f>+CUAP!I57</f>
        <v>0.10052410960197447</v>
      </c>
      <c r="F82" s="128">
        <f>+CUAP!I58</f>
        <v>10.797128450908575</v>
      </c>
      <c r="G82" s="308">
        <v>0.4461</v>
      </c>
      <c r="Y82" s="14" t="str">
        <f>+B20</f>
        <v>TX23</v>
      </c>
      <c r="Z82" s="16">
        <f>+H20</f>
        <v>0.45776694824218767</v>
      </c>
      <c r="AA82" s="14">
        <f>+G20</f>
        <v>1.3700269150760365</v>
      </c>
    </row>
    <row r="83" spans="2:30" x14ac:dyDescent="0.2">
      <c r="G83" s="305"/>
      <c r="Y83" s="14" t="str">
        <f>+B19</f>
        <v>TO26</v>
      </c>
      <c r="Z83" s="16">
        <f>+H19</f>
        <v>0.51385975585937493</v>
      </c>
      <c r="AA83" s="14">
        <f>+G19</f>
        <v>2.0219816030327333</v>
      </c>
    </row>
    <row r="84" spans="2:30" x14ac:dyDescent="0.2">
      <c r="G84" s="305"/>
      <c r="Y84" s="12" t="s">
        <v>81</v>
      </c>
      <c r="Z84" s="16">
        <f>+H22</f>
        <v>0.4734328662109375</v>
      </c>
      <c r="AA84" s="14">
        <f>+G22</f>
        <v>2.1078160559770431</v>
      </c>
    </row>
    <row r="85" spans="2:30" x14ac:dyDescent="0.2">
      <c r="D85" s="16"/>
      <c r="E85" s="14"/>
      <c r="Y85" s="110" t="s">
        <v>179</v>
      </c>
      <c r="Z85" s="132">
        <f>+H21</f>
        <v>0.4576792919921876</v>
      </c>
      <c r="AA85" s="139">
        <f>+G21</f>
        <v>1.6583446230787371</v>
      </c>
    </row>
    <row r="86" spans="2:30" x14ac:dyDescent="0.2">
      <c r="D86" s="16"/>
      <c r="E86" s="148"/>
    </row>
    <row r="87" spans="2:30" ht="15" x14ac:dyDescent="0.2">
      <c r="B87" s="230" t="s">
        <v>46</v>
      </c>
      <c r="C87" s="230" t="s">
        <v>107</v>
      </c>
      <c r="D87" s="230" t="s">
        <v>10</v>
      </c>
      <c r="E87" s="230" t="s">
        <v>108</v>
      </c>
      <c r="F87" s="230" t="s">
        <v>10</v>
      </c>
      <c r="G87" s="230" t="s">
        <v>29</v>
      </c>
      <c r="H87" s="230" t="s">
        <v>18</v>
      </c>
      <c r="Y87" s="22"/>
    </row>
    <row r="88" spans="2:30" x14ac:dyDescent="0.2">
      <c r="B88" s="175" t="s">
        <v>41</v>
      </c>
      <c r="C88" s="142">
        <f t="shared" ref="C88:C94" si="2">VLOOKUP(B88,$B$9:$C$29,2,FALSE)</f>
        <v>525.1</v>
      </c>
      <c r="D88" s="146">
        <f t="shared" ref="D88:D93" si="3">+E69</f>
        <v>-2.724795131947845E-2</v>
      </c>
      <c r="E88" s="142">
        <f>+'TC21'!X40</f>
        <v>524.07751170193831</v>
      </c>
      <c r="F88" s="146">
        <v>0.02</v>
      </c>
      <c r="G88" s="142">
        <f>+'TC21'!I10</f>
        <v>4.1666666666666623E-2</v>
      </c>
      <c r="H88" s="22">
        <f t="shared" ref="H88:H97" si="4">(E88-C88)/C88</f>
        <v>-1.9472258580493557E-3</v>
      </c>
      <c r="Y88" s="22"/>
    </row>
    <row r="89" spans="2:30" x14ac:dyDescent="0.2">
      <c r="B89" s="175" t="s">
        <v>42</v>
      </c>
      <c r="C89" s="142">
        <f t="shared" si="2"/>
        <v>166.8</v>
      </c>
      <c r="D89" s="146">
        <f t="shared" si="3"/>
        <v>-6.9670180949196209E-3</v>
      </c>
      <c r="E89" s="142">
        <f>+'TX21'!X39</f>
        <v>166.44528712739842</v>
      </c>
      <c r="F89" s="146">
        <v>0.02</v>
      </c>
      <c r="G89" s="142">
        <f>+'TX21'!AG10</f>
        <v>7.7007700701908391E-2</v>
      </c>
      <c r="H89" s="22">
        <f t="shared" si="4"/>
        <v>-2.1265759748297095E-3</v>
      </c>
    </row>
    <row r="90" spans="2:30" x14ac:dyDescent="0.2">
      <c r="B90" s="175" t="s">
        <v>45</v>
      </c>
      <c r="C90" s="142">
        <f t="shared" si="2"/>
        <v>158.19999999999999</v>
      </c>
      <c r="D90" s="146">
        <f t="shared" si="3"/>
        <v>2.4951860351562501E-2</v>
      </c>
      <c r="E90" s="142">
        <f>+'TX22'!X39</f>
        <v>158.19485171255269</v>
      </c>
      <c r="F90" s="146">
        <v>2.5000000000000001E-2</v>
      </c>
      <c r="G90" s="142">
        <f>+'TX22'!AG11</f>
        <v>0.68565033428173039</v>
      </c>
      <c r="H90" s="22">
        <f t="shared" si="4"/>
        <v>-3.2542904218066478E-5</v>
      </c>
      <c r="Y90" s="22"/>
      <c r="AB90" s="22"/>
      <c r="AD90" s="14"/>
    </row>
    <row r="91" spans="2:30" x14ac:dyDescent="0.2">
      <c r="B91" s="175" t="s">
        <v>102</v>
      </c>
      <c r="C91" s="142">
        <f t="shared" si="2"/>
        <v>149.4</v>
      </c>
      <c r="D91" s="146">
        <f t="shared" si="3"/>
        <v>2.5866645507812508E-2</v>
      </c>
      <c r="E91" s="142">
        <f>+T2X2!Y39</f>
        <v>148.68343396958585</v>
      </c>
      <c r="F91" s="146">
        <v>0.03</v>
      </c>
      <c r="G91" s="142">
        <f>+T2X2!AH12</f>
        <v>1.175346375449996</v>
      </c>
      <c r="H91" s="22">
        <f>+T2X2!Z37</f>
        <v>-2.1851549616461415E-2</v>
      </c>
      <c r="AA91" s="12" t="s">
        <v>41</v>
      </c>
      <c r="AB91" s="22">
        <v>-4.1099999999999998E-2</v>
      </c>
      <c r="AC91" s="12">
        <v>0.4</v>
      </c>
      <c r="AD91" s="14">
        <f t="shared" ref="AD91:AD96" si="5">(E69*10000)-(AB91*10000)</f>
        <v>138.52048680521551</v>
      </c>
    </row>
    <row r="92" spans="2:30" x14ac:dyDescent="0.2">
      <c r="B92" s="175" t="s">
        <v>78</v>
      </c>
      <c r="C92" s="142">
        <f t="shared" si="2"/>
        <v>371</v>
      </c>
      <c r="D92" s="146">
        <f t="shared" si="3"/>
        <v>3.9441540837287917E-2</v>
      </c>
      <c r="E92" s="142">
        <f>+'TC23'!X37</f>
        <v>373.55912328778714</v>
      </c>
      <c r="F92" s="146">
        <v>3.5000000000000003E-2</v>
      </c>
      <c r="G92" s="142">
        <f>+'TC23'!AG13</f>
        <v>1.5785229146975543</v>
      </c>
      <c r="H92" s="22">
        <f t="shared" si="4"/>
        <v>6.8979064360839481E-3</v>
      </c>
      <c r="AA92" s="12" t="s">
        <v>42</v>
      </c>
      <c r="AB92" s="22">
        <v>-4.58E-2</v>
      </c>
      <c r="AC92" s="12">
        <v>0.44</v>
      </c>
      <c r="AD92" s="14">
        <f t="shared" si="5"/>
        <v>388.32981905080379</v>
      </c>
    </row>
    <row r="93" spans="2:30" x14ac:dyDescent="0.2">
      <c r="B93" s="175" t="s">
        <v>65</v>
      </c>
      <c r="C93" s="142">
        <f t="shared" si="2"/>
        <v>152.35</v>
      </c>
      <c r="D93" s="146">
        <f t="shared" si="3"/>
        <v>4.0047280273437499E-2</v>
      </c>
      <c r="E93" s="142">
        <f>+'TX23'!X38</f>
        <v>153.61055037237338</v>
      </c>
      <c r="F93" s="146">
        <v>3.5000000000000003E-2</v>
      </c>
      <c r="G93" s="142">
        <f>+'TX23'!AG13</f>
        <v>1.6662490032436152</v>
      </c>
      <c r="H93" s="22">
        <f t="shared" si="4"/>
        <v>8.274042483579833E-3</v>
      </c>
      <c r="AA93" s="12" t="s">
        <v>45</v>
      </c>
      <c r="AB93" s="22">
        <v>1E-3</v>
      </c>
      <c r="AC93" s="12">
        <v>1.05</v>
      </c>
      <c r="AD93" s="14">
        <f t="shared" si="5"/>
        <v>239.51860351562502</v>
      </c>
    </row>
    <row r="94" spans="2:30" x14ac:dyDescent="0.2">
      <c r="B94" s="175" t="s">
        <v>81</v>
      </c>
      <c r="C94" s="142">
        <f t="shared" si="2"/>
        <v>143.6</v>
      </c>
      <c r="D94" s="146">
        <f>+E76</f>
        <v>5.3621752929687502E-2</v>
      </c>
      <c r="E94" s="142">
        <f>+'TX24'!X39</f>
        <v>148.66363254930923</v>
      </c>
      <c r="F94" s="146">
        <v>0.04</v>
      </c>
      <c r="G94" s="142">
        <f>+'TX24'!AG15</f>
        <v>2.6103763180329902</v>
      </c>
      <c r="H94" s="22">
        <f t="shared" si="4"/>
        <v>3.5262065106610258E-2</v>
      </c>
      <c r="AA94" s="12" t="s">
        <v>102</v>
      </c>
      <c r="AB94" s="22">
        <v>8.0999999999999996E-3</v>
      </c>
      <c r="AC94" s="12">
        <v>1.55</v>
      </c>
      <c r="AD94" s="14">
        <f t="shared" si="5"/>
        <v>177.66645507812507</v>
      </c>
    </row>
    <row r="95" spans="2:30" x14ac:dyDescent="0.2">
      <c r="B95" s="175" t="s">
        <v>73</v>
      </c>
      <c r="C95" s="142">
        <f>+C80</f>
        <v>2369</v>
      </c>
      <c r="D95" s="146">
        <f>+E80</f>
        <v>8.8107535243034357E-2</v>
      </c>
      <c r="E95" s="142">
        <v>2072</v>
      </c>
      <c r="F95" s="146">
        <v>0.06</v>
      </c>
      <c r="G95" s="142">
        <v>6.37</v>
      </c>
      <c r="H95" s="22">
        <f t="shared" si="4"/>
        <v>-0.12536935415787251</v>
      </c>
      <c r="AA95" s="12" t="s">
        <v>78</v>
      </c>
      <c r="AB95" s="22">
        <v>2.23E-2</v>
      </c>
      <c r="AC95" s="12">
        <v>1.91</v>
      </c>
      <c r="AD95" s="14">
        <f t="shared" si="5"/>
        <v>171.41540837287914</v>
      </c>
    </row>
    <row r="96" spans="2:30" x14ac:dyDescent="0.2">
      <c r="B96" s="175" t="s">
        <v>75</v>
      </c>
      <c r="C96" s="142">
        <f>+C81</f>
        <v>887</v>
      </c>
      <c r="D96" s="146">
        <f>+E81</f>
        <v>0.1106548249721527</v>
      </c>
      <c r="E96" s="142">
        <v>925</v>
      </c>
      <c r="F96" s="146">
        <v>7.0000000000000007E-2</v>
      </c>
      <c r="G96" s="142">
        <v>10.83</v>
      </c>
      <c r="H96" s="22">
        <f t="shared" si="4"/>
        <v>4.2841037204058623E-2</v>
      </c>
      <c r="AA96" s="12" t="s">
        <v>65</v>
      </c>
      <c r="AB96" s="22">
        <v>4.8899999999999999E-2</v>
      </c>
      <c r="AC96" s="12">
        <v>2.02</v>
      </c>
      <c r="AD96" s="14">
        <f t="shared" si="5"/>
        <v>-88.527197265625034</v>
      </c>
    </row>
    <row r="97" spans="2:30" x14ac:dyDescent="0.2">
      <c r="B97" s="175" t="s">
        <v>74</v>
      </c>
      <c r="C97" s="142">
        <f>+C82</f>
        <v>1345</v>
      </c>
      <c r="D97" s="146">
        <f>+E82</f>
        <v>0.10052410960197447</v>
      </c>
      <c r="E97" s="142">
        <v>1392</v>
      </c>
      <c r="F97" s="146">
        <v>7.0000000000000007E-2</v>
      </c>
      <c r="G97" s="142">
        <v>11.87</v>
      </c>
      <c r="H97" s="22">
        <f t="shared" si="4"/>
        <v>3.4944237918215611E-2</v>
      </c>
      <c r="AA97" s="12" t="s">
        <v>81</v>
      </c>
      <c r="AB97" s="22">
        <v>3.1399999999999997E-2</v>
      </c>
      <c r="AC97" s="12">
        <v>2.93</v>
      </c>
      <c r="AD97" s="14">
        <f>(E76*10000)-(AB97*10000)</f>
        <v>222.217529296875</v>
      </c>
    </row>
    <row r="98" spans="2:30" x14ac:dyDescent="0.2">
      <c r="AA98" s="12" t="s">
        <v>124</v>
      </c>
      <c r="AB98" s="22">
        <v>6.8099999999999994E-2</v>
      </c>
      <c r="AC98" s="12">
        <v>4.29</v>
      </c>
      <c r="AD98" s="14">
        <f>(E78*10000)-(AB98*10000)</f>
        <v>28.810595703125387</v>
      </c>
    </row>
    <row r="99" spans="2:30" x14ac:dyDescent="0.2">
      <c r="AA99" s="12" t="s">
        <v>129</v>
      </c>
      <c r="AB99" s="22">
        <v>7.6999999999999999E-2</v>
      </c>
      <c r="AC99" s="12">
        <v>4.83</v>
      </c>
      <c r="AD99" s="14">
        <f>(E79*10000)-(AB99*10000)</f>
        <v>54.48557019233715</v>
      </c>
    </row>
    <row r="100" spans="2:30" x14ac:dyDescent="0.2">
      <c r="AA100" s="12" t="s">
        <v>73</v>
      </c>
      <c r="AB100" s="22">
        <v>9.8100000000000007E-2</v>
      </c>
      <c r="AC100" s="12">
        <v>5.9</v>
      </c>
      <c r="AD100" s="14">
        <f>(E80*10000)-(AB100*10000)</f>
        <v>-99.924647569656486</v>
      </c>
    </row>
    <row r="101" spans="2:30" x14ac:dyDescent="0.2">
      <c r="AA101" s="12" t="s">
        <v>75</v>
      </c>
      <c r="AB101" s="22">
        <v>0.1072</v>
      </c>
      <c r="AC101" s="12">
        <v>9.82</v>
      </c>
      <c r="AD101" s="14">
        <f>(E81*10000)-(AB101*10000)</f>
        <v>34.5482497215271</v>
      </c>
    </row>
    <row r="102" spans="2:30" x14ac:dyDescent="0.2">
      <c r="AA102" s="12" t="s">
        <v>74</v>
      </c>
      <c r="AB102" s="22">
        <v>0.1056</v>
      </c>
      <c r="AC102" s="12">
        <v>11.03</v>
      </c>
      <c r="AD102" s="14">
        <f>(E82*10000)-(AB102*10000)</f>
        <v>-50.758903980255241</v>
      </c>
    </row>
    <row r="104" spans="2:30" x14ac:dyDescent="0.2">
      <c r="AD104" s="14">
        <f>AVERAGE(AD90:AD99)</f>
        <v>148.04858563881785</v>
      </c>
    </row>
    <row r="107" spans="2:30" x14ac:dyDescent="0.2">
      <c r="D107" s="22"/>
    </row>
    <row r="110" spans="2:30" x14ac:dyDescent="0.2">
      <c r="F110" s="22"/>
    </row>
    <row r="118" spans="4:29" x14ac:dyDescent="0.2">
      <c r="D118" s="31"/>
    </row>
    <row r="119" spans="4:29" x14ac:dyDescent="0.2">
      <c r="D119" s="31"/>
    </row>
    <row r="120" spans="4:29" x14ac:dyDescent="0.2">
      <c r="D120" s="19"/>
      <c r="G120" s="22"/>
    </row>
    <row r="122" spans="4:29" x14ac:dyDescent="0.2">
      <c r="G122" s="22"/>
    </row>
    <row r="123" spans="4:29" ht="15.75" x14ac:dyDescent="0.25">
      <c r="H123" s="22"/>
      <c r="AC123" s="149"/>
    </row>
    <row r="127" spans="4:29" x14ac:dyDescent="0.2">
      <c r="N127" s="347"/>
    </row>
    <row r="132" spans="3:8" x14ac:dyDescent="0.2">
      <c r="H132" s="22"/>
    </row>
    <row r="133" spans="3:8" x14ac:dyDescent="0.2">
      <c r="H133" s="22"/>
    </row>
    <row r="137" spans="3:8" x14ac:dyDescent="0.2">
      <c r="C137" s="107"/>
    </row>
    <row r="138" spans="3:8" x14ac:dyDescent="0.2">
      <c r="C138" s="31"/>
    </row>
    <row r="139" spans="3:8" x14ac:dyDescent="0.2">
      <c r="D139" s="22"/>
    </row>
    <row r="141" spans="3:8" x14ac:dyDescent="0.2">
      <c r="C141" s="14"/>
    </row>
    <row r="145" spans="3:25" x14ac:dyDescent="0.2">
      <c r="C145" s="107"/>
    </row>
    <row r="146" spans="3:25" x14ac:dyDescent="0.2">
      <c r="C146" s="31"/>
    </row>
    <row r="147" spans="3:25" x14ac:dyDescent="0.2">
      <c r="C147" s="19"/>
      <c r="D147" s="22"/>
    </row>
    <row r="148" spans="3:25" x14ac:dyDescent="0.2">
      <c r="D148" s="22"/>
    </row>
    <row r="149" spans="3:25" x14ac:dyDescent="0.2">
      <c r="C149" s="282"/>
      <c r="D149" s="22"/>
    </row>
    <row r="151" spans="3:25" x14ac:dyDescent="0.2">
      <c r="Y151" s="19"/>
    </row>
    <row r="152" spans="3:25" x14ac:dyDescent="0.2">
      <c r="Y152" s="19"/>
    </row>
    <row r="154" spans="3:25" x14ac:dyDescent="0.2">
      <c r="Y154" s="14"/>
    </row>
    <row r="156" spans="3:25" x14ac:dyDescent="0.2">
      <c r="Y156" s="19"/>
    </row>
    <row r="157" spans="3:25" x14ac:dyDescent="0.2">
      <c r="Y157" s="19"/>
    </row>
    <row r="159" spans="3:25" x14ac:dyDescent="0.2">
      <c r="Y159" s="19"/>
    </row>
  </sheetData>
  <sortState xmlns:xlrd2="http://schemas.microsoft.com/office/spreadsheetml/2017/richdata2" ref="K64:T76">
    <sortCondition ref="P64:P76"/>
  </sortState>
  <mergeCells count="3">
    <mergeCell ref="W35:AA35"/>
    <mergeCell ref="I6:J6"/>
    <mergeCell ref="B64:C64"/>
  </mergeCells>
  <conditionalFormatting sqref="H88:H9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D90:AD10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{E8CFE384-DF14-40BC-9E71-D4EF5AFD4427}</x14:id>
        </ext>
      </extLst>
    </cfRule>
  </conditionalFormatting>
  <conditionalFormatting sqref="I9:J24 I26:J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H91 Z83:AA83 Z84:AA84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CFE384-DF14-40BC-9E71-D4EF5AFD44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AD90:AD102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X103"/>
  <sheetViews>
    <sheetView showGridLines="0" zoomScale="90" zoomScaleNormal="90" workbookViewId="0">
      <selection activeCell="O34" sqref="O34"/>
    </sheetView>
  </sheetViews>
  <sheetFormatPr baseColWidth="10" defaultRowHeight="15" x14ac:dyDescent="0.25"/>
  <cols>
    <col min="2" max="2" width="18.140625" customWidth="1"/>
    <col min="3" max="3" width="13.42578125" customWidth="1"/>
    <col min="4" max="4" width="4" customWidth="1"/>
    <col min="5" max="5" width="12.140625" bestFit="1" customWidth="1"/>
    <col min="7" max="7" width="9.7109375" customWidth="1"/>
    <col min="8" max="8" width="9" customWidth="1"/>
    <col min="9" max="9" width="8.7109375" customWidth="1"/>
    <col min="10" max="10" width="11" customWidth="1"/>
    <col min="14" max="14" width="10.28515625" customWidth="1"/>
    <col min="15" max="15" width="10.140625" customWidth="1"/>
    <col min="16" max="16" width="14.42578125" bestFit="1" customWidth="1"/>
    <col min="21" max="21" width="10" customWidth="1"/>
  </cols>
  <sheetData>
    <row r="2" spans="1:2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5">
      <c r="A4" s="12"/>
      <c r="B4" s="373" t="s">
        <v>25</v>
      </c>
      <c r="C4" s="374"/>
      <c r="D4" s="12"/>
      <c r="E4" s="398" t="s">
        <v>26</v>
      </c>
      <c r="F4" s="398"/>
      <c r="G4" s="398"/>
      <c r="H4" s="398"/>
      <c r="I4" s="398"/>
      <c r="J4" s="398"/>
      <c r="K4" s="12"/>
      <c r="L4" s="398" t="s">
        <v>26</v>
      </c>
      <c r="M4" s="398"/>
      <c r="N4" s="398"/>
      <c r="O4" s="398"/>
      <c r="P4" s="398"/>
      <c r="Q4" s="398"/>
      <c r="R4" s="12"/>
      <c r="S4" s="398" t="s">
        <v>26</v>
      </c>
      <c r="T4" s="398"/>
      <c r="U4" s="398"/>
      <c r="V4" s="398"/>
      <c r="W4" s="398"/>
      <c r="X4" s="398"/>
    </row>
    <row r="5" spans="1:24" x14ac:dyDescent="0.25">
      <c r="A5" s="12"/>
      <c r="B5" s="122" t="s">
        <v>0</v>
      </c>
      <c r="C5" s="123">
        <v>43202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15</v>
      </c>
      <c r="Q5" s="68" t="s">
        <v>9</v>
      </c>
      <c r="R5" s="12"/>
      <c r="S5" s="68" t="s">
        <v>14</v>
      </c>
      <c r="T5" s="68" t="s">
        <v>7</v>
      </c>
      <c r="U5" s="68" t="s">
        <v>21</v>
      </c>
      <c r="V5" s="68" t="s">
        <v>8</v>
      </c>
      <c r="W5" s="68" t="s">
        <v>33</v>
      </c>
      <c r="X5" s="68" t="s">
        <v>9</v>
      </c>
    </row>
    <row r="6" spans="1:24" x14ac:dyDescent="0.25">
      <c r="A6" s="12"/>
      <c r="B6" s="122" t="s">
        <v>1</v>
      </c>
      <c r="C6" s="123">
        <v>45759</v>
      </c>
      <c r="D6" s="12"/>
      <c r="E6" s="69">
        <f>'Planilla de datos'!D3</f>
        <v>44384</v>
      </c>
      <c r="F6" s="70">
        <v>100</v>
      </c>
      <c r="G6" s="70"/>
      <c r="H6" s="26"/>
      <c r="I6" s="26"/>
      <c r="J6" s="71">
        <f>-'Planilla de datos'!C28</f>
        <v>-94.2</v>
      </c>
      <c r="K6" s="12"/>
      <c r="L6" s="97">
        <f>+E6</f>
        <v>44384</v>
      </c>
      <c r="M6" s="94"/>
      <c r="N6" s="94"/>
      <c r="O6" s="96"/>
      <c r="P6" s="95"/>
      <c r="Q6" s="98">
        <v>0</v>
      </c>
      <c r="R6" s="12"/>
      <c r="S6" s="97">
        <f>E6</f>
        <v>44384</v>
      </c>
      <c r="T6" s="94">
        <v>100</v>
      </c>
      <c r="U6" s="94"/>
      <c r="V6" s="96"/>
      <c r="W6" s="95"/>
      <c r="X6" s="98">
        <v>0</v>
      </c>
    </row>
    <row r="7" spans="1:24" x14ac:dyDescent="0.25">
      <c r="A7" s="12"/>
      <c r="B7" s="122" t="s">
        <v>157</v>
      </c>
      <c r="C7" s="124">
        <v>3.7499999999999999E-2</v>
      </c>
      <c r="D7" s="12"/>
      <c r="E7" s="69">
        <v>44389</v>
      </c>
      <c r="F7" s="70">
        <v>100</v>
      </c>
      <c r="G7" s="70">
        <f>E7-C12</f>
        <v>91</v>
      </c>
      <c r="H7" s="74">
        <f>F6*($C$11)/365*G7</f>
        <v>9.4484280260498554</v>
      </c>
      <c r="I7" s="26"/>
      <c r="J7" s="73">
        <f t="shared" ref="J7:J22" si="0">SUM(H7:I7)</f>
        <v>9.4484280260498554</v>
      </c>
      <c r="K7" s="12"/>
      <c r="L7" s="97">
        <v>44389</v>
      </c>
      <c r="M7" s="94">
        <v>100</v>
      </c>
      <c r="N7" s="94">
        <v>91</v>
      </c>
      <c r="O7" s="96">
        <f t="shared" ref="O7:O22" si="1">H7</f>
        <v>9.4484280260498554</v>
      </c>
      <c r="P7" s="95">
        <v>0</v>
      </c>
      <c r="Q7" s="127">
        <f t="shared" ref="Q7:Q22" si="2">O7+P7</f>
        <v>9.4484280260498554</v>
      </c>
      <c r="R7" s="12"/>
      <c r="S7" s="97">
        <v>44298</v>
      </c>
      <c r="T7" s="94">
        <v>100</v>
      </c>
      <c r="U7" s="94">
        <f t="shared" ref="U7:U23" si="3">+N7</f>
        <v>91</v>
      </c>
      <c r="V7" s="96">
        <f t="shared" ref="V7:V23" si="4">+O7</f>
        <v>9.4484280260498554</v>
      </c>
      <c r="W7" s="95">
        <v>0</v>
      </c>
      <c r="X7" s="127">
        <f t="shared" ref="X7:X23" si="5">SUM(V7:W7)</f>
        <v>9.4484280260498554</v>
      </c>
    </row>
    <row r="8" spans="1:24" x14ac:dyDescent="0.25">
      <c r="A8" s="12"/>
      <c r="B8" s="122" t="s">
        <v>162</v>
      </c>
      <c r="C8" s="124">
        <f>AVERAGE('Serie BADLAR'!C239:C299)/100</f>
        <v>0.34147540983606561</v>
      </c>
      <c r="D8" s="12"/>
      <c r="E8" s="69">
        <v>44481</v>
      </c>
      <c r="F8" s="70">
        <v>100</v>
      </c>
      <c r="G8" s="70">
        <f t="shared" ref="G8:G22" si="6">E8-E7</f>
        <v>92</v>
      </c>
      <c r="H8" s="74">
        <f t="shared" ref="H8:H22" si="7">F7*($C$11)/365*G8</f>
        <v>9.5522569054569963</v>
      </c>
      <c r="I8" s="26"/>
      <c r="J8" s="73">
        <f t="shared" si="0"/>
        <v>9.5522569054569963</v>
      </c>
      <c r="K8" s="12"/>
      <c r="L8" s="97">
        <v>44481</v>
      </c>
      <c r="M8" s="94">
        <v>100</v>
      </c>
      <c r="N8" s="94">
        <v>92</v>
      </c>
      <c r="O8" s="96">
        <f t="shared" si="1"/>
        <v>9.5522569054569963</v>
      </c>
      <c r="P8" s="95">
        <v>0</v>
      </c>
      <c r="Q8" s="127">
        <f t="shared" si="2"/>
        <v>9.5522569054569963</v>
      </c>
      <c r="R8" s="12"/>
      <c r="S8" s="97">
        <v>44389</v>
      </c>
      <c r="T8" s="94">
        <v>100</v>
      </c>
      <c r="U8" s="94">
        <f t="shared" si="3"/>
        <v>92</v>
      </c>
      <c r="V8" s="96">
        <f t="shared" si="4"/>
        <v>9.5522569054569963</v>
      </c>
      <c r="W8" s="95">
        <v>0</v>
      </c>
      <c r="X8" s="127">
        <f t="shared" si="5"/>
        <v>9.5522569054569963</v>
      </c>
    </row>
    <row r="9" spans="1:24" x14ac:dyDescent="0.25">
      <c r="A9" s="12"/>
      <c r="B9" s="122" t="s">
        <v>163</v>
      </c>
      <c r="C9" s="124">
        <f>C8+C7</f>
        <v>0.37897540983606559</v>
      </c>
      <c r="D9" s="12"/>
      <c r="E9" s="69">
        <v>44573</v>
      </c>
      <c r="F9" s="70">
        <v>100</v>
      </c>
      <c r="G9" s="70">
        <f t="shared" si="6"/>
        <v>92</v>
      </c>
      <c r="H9" s="74">
        <f t="shared" si="7"/>
        <v>9.5522569054569963</v>
      </c>
      <c r="I9" s="26"/>
      <c r="J9" s="73">
        <f t="shared" si="0"/>
        <v>9.5522569054569963</v>
      </c>
      <c r="K9" s="12"/>
      <c r="L9" s="97">
        <v>44573</v>
      </c>
      <c r="M9" s="94">
        <v>100</v>
      </c>
      <c r="N9" s="94">
        <v>92</v>
      </c>
      <c r="O9" s="96">
        <f t="shared" si="1"/>
        <v>9.5522569054569963</v>
      </c>
      <c r="P9" s="95">
        <v>0</v>
      </c>
      <c r="Q9" s="127">
        <f t="shared" si="2"/>
        <v>9.5522569054569963</v>
      </c>
      <c r="R9" s="12"/>
      <c r="S9" s="97">
        <v>44481</v>
      </c>
      <c r="T9" s="94">
        <v>100</v>
      </c>
      <c r="U9" s="94">
        <f t="shared" si="3"/>
        <v>92</v>
      </c>
      <c r="V9" s="96">
        <f t="shared" si="4"/>
        <v>9.5522569054569963</v>
      </c>
      <c r="W9" s="95">
        <v>0</v>
      </c>
      <c r="X9" s="127">
        <f t="shared" si="5"/>
        <v>9.5522569054569963</v>
      </c>
    </row>
    <row r="10" spans="1:24" x14ac:dyDescent="0.25">
      <c r="A10" s="12"/>
      <c r="B10" s="122" t="s">
        <v>161</v>
      </c>
      <c r="C10" s="124">
        <f>+C8</f>
        <v>0.34147540983606561</v>
      </c>
      <c r="D10" s="12"/>
      <c r="E10" s="69">
        <v>44663</v>
      </c>
      <c r="F10" s="70">
        <v>100</v>
      </c>
      <c r="G10" s="70">
        <f t="shared" si="6"/>
        <v>90</v>
      </c>
      <c r="H10" s="74">
        <f t="shared" si="7"/>
        <v>9.3445991466427145</v>
      </c>
      <c r="I10" s="26"/>
      <c r="J10" s="73">
        <f t="shared" si="0"/>
        <v>9.3445991466427145</v>
      </c>
      <c r="K10" s="12"/>
      <c r="L10" s="97">
        <v>44663</v>
      </c>
      <c r="M10" s="94">
        <v>100</v>
      </c>
      <c r="N10" s="94">
        <v>90</v>
      </c>
      <c r="O10" s="96">
        <f t="shared" si="1"/>
        <v>9.3445991466427145</v>
      </c>
      <c r="P10" s="95">
        <v>0</v>
      </c>
      <c r="Q10" s="127">
        <f t="shared" si="2"/>
        <v>9.3445991466427145</v>
      </c>
      <c r="R10" s="12"/>
      <c r="S10" s="97">
        <v>44573</v>
      </c>
      <c r="T10" s="94">
        <v>100</v>
      </c>
      <c r="U10" s="94">
        <f t="shared" si="3"/>
        <v>90</v>
      </c>
      <c r="V10" s="96">
        <f t="shared" si="4"/>
        <v>9.3445991466427145</v>
      </c>
      <c r="W10" s="95">
        <v>0</v>
      </c>
      <c r="X10" s="127">
        <f t="shared" si="5"/>
        <v>9.3445991466427145</v>
      </c>
    </row>
    <row r="11" spans="1:24" x14ac:dyDescent="0.25">
      <c r="A11" s="12"/>
      <c r="B11" s="122" t="s">
        <v>164</v>
      </c>
      <c r="C11" s="124">
        <f>+C10+C7</f>
        <v>0.37897540983606559</v>
      </c>
      <c r="D11" s="12"/>
      <c r="E11" s="69">
        <v>44754</v>
      </c>
      <c r="F11" s="70">
        <v>100</v>
      </c>
      <c r="G11" s="70">
        <f t="shared" si="6"/>
        <v>91</v>
      </c>
      <c r="H11" s="74">
        <f t="shared" si="7"/>
        <v>9.4484280260498554</v>
      </c>
      <c r="I11" s="26"/>
      <c r="J11" s="73">
        <f t="shared" si="0"/>
        <v>9.4484280260498554</v>
      </c>
      <c r="K11" s="12"/>
      <c r="L11" s="97">
        <v>44754</v>
      </c>
      <c r="M11" s="94">
        <v>100</v>
      </c>
      <c r="N11" s="94">
        <v>91</v>
      </c>
      <c r="O11" s="96">
        <f t="shared" si="1"/>
        <v>9.4484280260498554</v>
      </c>
      <c r="P11" s="95">
        <v>0</v>
      </c>
      <c r="Q11" s="127">
        <f t="shared" si="2"/>
        <v>9.4484280260498554</v>
      </c>
      <c r="R11" s="12"/>
      <c r="S11" s="97">
        <v>44663</v>
      </c>
      <c r="T11" s="94">
        <v>100</v>
      </c>
      <c r="U11" s="94">
        <f t="shared" si="3"/>
        <v>91</v>
      </c>
      <c r="V11" s="96">
        <f t="shared" si="4"/>
        <v>9.4484280260498554</v>
      </c>
      <c r="W11" s="95">
        <v>0</v>
      </c>
      <c r="X11" s="127">
        <f t="shared" si="5"/>
        <v>9.4484280260498554</v>
      </c>
    </row>
    <row r="12" spans="1:24" x14ac:dyDescent="0.25">
      <c r="A12" s="12"/>
      <c r="B12" s="125" t="s">
        <v>27</v>
      </c>
      <c r="C12" s="200">
        <v>44298</v>
      </c>
      <c r="D12" s="12"/>
      <c r="E12" s="69">
        <v>44846</v>
      </c>
      <c r="F12" s="70">
        <v>100</v>
      </c>
      <c r="G12" s="70">
        <f t="shared" si="6"/>
        <v>92</v>
      </c>
      <c r="H12" s="74">
        <f t="shared" si="7"/>
        <v>9.5522569054569963</v>
      </c>
      <c r="I12" s="26"/>
      <c r="J12" s="73">
        <f t="shared" si="0"/>
        <v>9.5522569054569963</v>
      </c>
      <c r="K12" s="12"/>
      <c r="L12" s="97">
        <v>44846</v>
      </c>
      <c r="M12" s="94">
        <v>100</v>
      </c>
      <c r="N12" s="94">
        <v>92</v>
      </c>
      <c r="O12" s="96">
        <f t="shared" si="1"/>
        <v>9.5522569054569963</v>
      </c>
      <c r="P12" s="95">
        <v>0</v>
      </c>
      <c r="Q12" s="127">
        <f t="shared" si="2"/>
        <v>9.5522569054569963</v>
      </c>
      <c r="R12" s="12"/>
      <c r="S12" s="97">
        <v>44754</v>
      </c>
      <c r="T12" s="94">
        <v>100</v>
      </c>
      <c r="U12" s="94">
        <f t="shared" si="3"/>
        <v>92</v>
      </c>
      <c r="V12" s="96">
        <f t="shared" si="4"/>
        <v>9.5522569054569963</v>
      </c>
      <c r="W12" s="95">
        <v>0</v>
      </c>
      <c r="X12" s="127">
        <f t="shared" si="5"/>
        <v>9.5522569054569963</v>
      </c>
    </row>
    <row r="13" spans="1:24" x14ac:dyDescent="0.25">
      <c r="A13" s="12"/>
      <c r="B13" s="95"/>
      <c r="C13" s="97"/>
      <c r="D13" s="12"/>
      <c r="E13" s="69">
        <v>44938</v>
      </c>
      <c r="F13" s="70">
        <v>100</v>
      </c>
      <c r="G13" s="70">
        <f t="shared" si="6"/>
        <v>92</v>
      </c>
      <c r="H13" s="74">
        <f t="shared" si="7"/>
        <v>9.5522569054569963</v>
      </c>
      <c r="I13" s="26"/>
      <c r="J13" s="73">
        <f t="shared" si="0"/>
        <v>9.5522569054569963</v>
      </c>
      <c r="K13" s="12"/>
      <c r="L13" s="97">
        <v>44938</v>
      </c>
      <c r="M13" s="94">
        <v>100</v>
      </c>
      <c r="N13" s="94">
        <v>92</v>
      </c>
      <c r="O13" s="96">
        <f t="shared" si="1"/>
        <v>9.5522569054569963</v>
      </c>
      <c r="P13" s="95">
        <v>0</v>
      </c>
      <c r="Q13" s="127">
        <f t="shared" si="2"/>
        <v>9.5522569054569963</v>
      </c>
      <c r="R13" s="12"/>
      <c r="S13" s="97">
        <v>44846</v>
      </c>
      <c r="T13" s="94">
        <v>100</v>
      </c>
      <c r="U13" s="94">
        <f t="shared" si="3"/>
        <v>92</v>
      </c>
      <c r="V13" s="96">
        <f t="shared" si="4"/>
        <v>9.5522569054569963</v>
      </c>
      <c r="W13" s="95">
        <v>0</v>
      </c>
      <c r="X13" s="127">
        <f t="shared" si="5"/>
        <v>9.5522569054569963</v>
      </c>
    </row>
    <row r="14" spans="1:24" x14ac:dyDescent="0.25">
      <c r="A14" s="12"/>
      <c r="B14" s="95"/>
      <c r="C14" s="97"/>
      <c r="D14" s="12"/>
      <c r="E14" s="69">
        <v>45028</v>
      </c>
      <c r="F14" s="70">
        <v>100</v>
      </c>
      <c r="G14" s="70">
        <f t="shared" si="6"/>
        <v>90</v>
      </c>
      <c r="H14" s="74">
        <f t="shared" si="7"/>
        <v>9.3445991466427145</v>
      </c>
      <c r="I14" s="26"/>
      <c r="J14" s="73">
        <f t="shared" si="0"/>
        <v>9.3445991466427145</v>
      </c>
      <c r="K14" s="12"/>
      <c r="L14" s="97">
        <v>45028</v>
      </c>
      <c r="M14" s="94">
        <v>100</v>
      </c>
      <c r="N14" s="94">
        <v>90</v>
      </c>
      <c r="O14" s="96">
        <f t="shared" si="1"/>
        <v>9.3445991466427145</v>
      </c>
      <c r="P14" s="95">
        <v>0</v>
      </c>
      <c r="Q14" s="127">
        <f t="shared" si="2"/>
        <v>9.3445991466427145</v>
      </c>
      <c r="R14" s="12"/>
      <c r="S14" s="97">
        <v>44938</v>
      </c>
      <c r="T14" s="94">
        <v>100</v>
      </c>
      <c r="U14" s="94">
        <f t="shared" si="3"/>
        <v>90</v>
      </c>
      <c r="V14" s="96">
        <f t="shared" si="4"/>
        <v>9.3445991466427145</v>
      </c>
      <c r="W14" s="95">
        <v>0</v>
      </c>
      <c r="X14" s="127">
        <f t="shared" si="5"/>
        <v>9.3445991466427145</v>
      </c>
    </row>
    <row r="15" spans="1:24" x14ac:dyDescent="0.25">
      <c r="A15" s="12"/>
      <c r="D15" s="12"/>
      <c r="E15" s="69">
        <v>45119</v>
      </c>
      <c r="F15" s="70">
        <v>100</v>
      </c>
      <c r="G15" s="70">
        <f t="shared" si="6"/>
        <v>91</v>
      </c>
      <c r="H15" s="74">
        <f t="shared" si="7"/>
        <v>9.4484280260498554</v>
      </c>
      <c r="I15" s="26"/>
      <c r="J15" s="73">
        <f t="shared" si="0"/>
        <v>9.4484280260498554</v>
      </c>
      <c r="K15" s="12"/>
      <c r="L15" s="97">
        <v>45119</v>
      </c>
      <c r="M15" s="94">
        <v>100</v>
      </c>
      <c r="N15" s="94">
        <v>91</v>
      </c>
      <c r="O15" s="96">
        <f t="shared" si="1"/>
        <v>9.4484280260498554</v>
      </c>
      <c r="P15" s="95">
        <v>0</v>
      </c>
      <c r="Q15" s="127">
        <f t="shared" si="2"/>
        <v>9.4484280260498554</v>
      </c>
      <c r="R15" s="12"/>
      <c r="S15" s="97">
        <v>45028</v>
      </c>
      <c r="T15" s="94">
        <v>100</v>
      </c>
      <c r="U15" s="94">
        <f t="shared" si="3"/>
        <v>91</v>
      </c>
      <c r="V15" s="96">
        <f t="shared" si="4"/>
        <v>9.4484280260498554</v>
      </c>
      <c r="W15" s="95">
        <v>0</v>
      </c>
      <c r="X15" s="127">
        <f t="shared" si="5"/>
        <v>9.4484280260498554</v>
      </c>
    </row>
    <row r="16" spans="1:24" x14ac:dyDescent="0.25">
      <c r="A16" s="12"/>
      <c r="B16" s="15"/>
      <c r="C16" s="14"/>
      <c r="D16" s="12"/>
      <c r="E16" s="69">
        <v>45211</v>
      </c>
      <c r="F16" s="70">
        <v>100</v>
      </c>
      <c r="G16" s="70">
        <f t="shared" si="6"/>
        <v>92</v>
      </c>
      <c r="H16" s="74">
        <f t="shared" si="7"/>
        <v>9.5522569054569963</v>
      </c>
      <c r="I16" s="26"/>
      <c r="J16" s="73">
        <f t="shared" si="0"/>
        <v>9.5522569054569963</v>
      </c>
      <c r="K16" s="12"/>
      <c r="L16" s="97">
        <v>45211</v>
      </c>
      <c r="M16" s="94">
        <v>100</v>
      </c>
      <c r="N16" s="94">
        <v>92</v>
      </c>
      <c r="O16" s="96">
        <f t="shared" si="1"/>
        <v>9.5522569054569963</v>
      </c>
      <c r="P16" s="95">
        <v>0</v>
      </c>
      <c r="Q16" s="127">
        <f t="shared" si="2"/>
        <v>9.5522569054569963</v>
      </c>
      <c r="R16" s="12"/>
      <c r="S16" s="97">
        <v>45119</v>
      </c>
      <c r="T16" s="94">
        <v>100</v>
      </c>
      <c r="U16" s="94">
        <f t="shared" si="3"/>
        <v>92</v>
      </c>
      <c r="V16" s="96">
        <f t="shared" si="4"/>
        <v>9.5522569054569963</v>
      </c>
      <c r="W16" s="95">
        <v>0</v>
      </c>
      <c r="X16" s="127">
        <f t="shared" si="5"/>
        <v>9.5522569054569963</v>
      </c>
    </row>
    <row r="17" spans="1:24" x14ac:dyDescent="0.25">
      <c r="A17" s="12"/>
      <c r="B17" s="15"/>
      <c r="C17" s="14"/>
      <c r="D17" s="12"/>
      <c r="E17" s="69">
        <v>45303</v>
      </c>
      <c r="F17" s="70">
        <v>100</v>
      </c>
      <c r="G17" s="70">
        <f t="shared" si="6"/>
        <v>92</v>
      </c>
      <c r="H17" s="74">
        <f t="shared" si="7"/>
        <v>9.5522569054569963</v>
      </c>
      <c r="I17" s="26"/>
      <c r="J17" s="73">
        <f t="shared" si="0"/>
        <v>9.5522569054569963</v>
      </c>
      <c r="K17" s="12"/>
      <c r="L17" s="97">
        <v>45303</v>
      </c>
      <c r="M17" s="94">
        <v>100</v>
      </c>
      <c r="N17" s="94">
        <v>92</v>
      </c>
      <c r="O17" s="96">
        <f t="shared" si="1"/>
        <v>9.5522569054569963</v>
      </c>
      <c r="P17" s="95">
        <v>0</v>
      </c>
      <c r="Q17" s="127">
        <f t="shared" si="2"/>
        <v>9.5522569054569963</v>
      </c>
      <c r="R17" s="12"/>
      <c r="S17" s="97">
        <v>45211</v>
      </c>
      <c r="T17" s="94">
        <v>100</v>
      </c>
      <c r="U17" s="94">
        <f t="shared" si="3"/>
        <v>92</v>
      </c>
      <c r="V17" s="96">
        <f t="shared" si="4"/>
        <v>9.5522569054569963</v>
      </c>
      <c r="W17" s="95">
        <v>0</v>
      </c>
      <c r="X17" s="127">
        <f t="shared" si="5"/>
        <v>9.5522569054569963</v>
      </c>
    </row>
    <row r="18" spans="1:24" x14ac:dyDescent="0.25">
      <c r="A18" s="12"/>
      <c r="B18" s="15"/>
      <c r="C18" s="14"/>
      <c r="D18" s="12"/>
      <c r="E18" s="69">
        <v>45394</v>
      </c>
      <c r="F18" s="70">
        <v>100</v>
      </c>
      <c r="G18" s="70">
        <f t="shared" si="6"/>
        <v>91</v>
      </c>
      <c r="H18" s="74">
        <f t="shared" si="7"/>
        <v>9.4484280260498554</v>
      </c>
      <c r="I18" s="26"/>
      <c r="J18" s="73">
        <f t="shared" si="0"/>
        <v>9.4484280260498554</v>
      </c>
      <c r="K18" s="12"/>
      <c r="L18" s="97">
        <v>45394</v>
      </c>
      <c r="M18" s="94">
        <v>100</v>
      </c>
      <c r="N18" s="94">
        <v>91</v>
      </c>
      <c r="O18" s="96">
        <f t="shared" si="1"/>
        <v>9.4484280260498554</v>
      </c>
      <c r="P18" s="95">
        <v>0</v>
      </c>
      <c r="Q18" s="127">
        <f t="shared" si="2"/>
        <v>9.4484280260498554</v>
      </c>
      <c r="R18" s="12"/>
      <c r="S18" s="97">
        <v>45303</v>
      </c>
      <c r="T18" s="94">
        <v>100</v>
      </c>
      <c r="U18" s="94">
        <f t="shared" si="3"/>
        <v>91</v>
      </c>
      <c r="V18" s="96">
        <f t="shared" si="4"/>
        <v>9.4484280260498554</v>
      </c>
      <c r="W18" s="95">
        <v>0</v>
      </c>
      <c r="X18" s="127">
        <f t="shared" si="5"/>
        <v>9.4484280260498554</v>
      </c>
    </row>
    <row r="19" spans="1:24" x14ac:dyDescent="0.25">
      <c r="A19" s="12"/>
      <c r="B19" s="15"/>
      <c r="C19" s="14"/>
      <c r="D19" s="12"/>
      <c r="E19" s="69">
        <v>45485</v>
      </c>
      <c r="F19" s="70">
        <v>100</v>
      </c>
      <c r="G19" s="70">
        <f t="shared" si="6"/>
        <v>91</v>
      </c>
      <c r="H19" s="74">
        <f t="shared" si="7"/>
        <v>9.4484280260498554</v>
      </c>
      <c r="I19" s="26"/>
      <c r="J19" s="73">
        <f t="shared" si="0"/>
        <v>9.4484280260498554</v>
      </c>
      <c r="K19" s="12"/>
      <c r="L19" s="97">
        <v>45485</v>
      </c>
      <c r="M19" s="94">
        <v>100</v>
      </c>
      <c r="N19" s="94">
        <v>91</v>
      </c>
      <c r="O19" s="96">
        <f t="shared" si="1"/>
        <v>9.4484280260498554</v>
      </c>
      <c r="P19" s="95">
        <v>0</v>
      </c>
      <c r="Q19" s="127">
        <f t="shared" si="2"/>
        <v>9.4484280260498554</v>
      </c>
      <c r="R19" s="12"/>
      <c r="S19" s="97">
        <v>45394</v>
      </c>
      <c r="T19" s="94">
        <v>100</v>
      </c>
      <c r="U19" s="94">
        <f t="shared" si="3"/>
        <v>91</v>
      </c>
      <c r="V19" s="96">
        <f t="shared" si="4"/>
        <v>9.4484280260498554</v>
      </c>
      <c r="W19" s="95">
        <v>0</v>
      </c>
      <c r="X19" s="127">
        <f t="shared" si="5"/>
        <v>9.4484280260498554</v>
      </c>
    </row>
    <row r="20" spans="1:24" x14ac:dyDescent="0.25">
      <c r="A20" s="12"/>
      <c r="B20" s="15"/>
      <c r="C20" s="14"/>
      <c r="D20" s="12"/>
      <c r="E20" s="69">
        <v>45577</v>
      </c>
      <c r="F20" s="70">
        <v>100</v>
      </c>
      <c r="G20" s="70">
        <f t="shared" si="6"/>
        <v>92</v>
      </c>
      <c r="H20" s="74">
        <f t="shared" si="7"/>
        <v>9.5522569054569963</v>
      </c>
      <c r="I20" s="26"/>
      <c r="J20" s="73">
        <f t="shared" si="0"/>
        <v>9.5522569054569963</v>
      </c>
      <c r="K20" s="12"/>
      <c r="L20" s="97">
        <v>45577</v>
      </c>
      <c r="M20" s="94">
        <v>100</v>
      </c>
      <c r="N20" s="94">
        <v>92</v>
      </c>
      <c r="O20" s="96">
        <f t="shared" si="1"/>
        <v>9.5522569054569963</v>
      </c>
      <c r="P20" s="95">
        <v>0</v>
      </c>
      <c r="Q20" s="127">
        <f t="shared" si="2"/>
        <v>9.5522569054569963</v>
      </c>
      <c r="R20" s="12"/>
      <c r="S20" s="97">
        <v>45485</v>
      </c>
      <c r="T20" s="94">
        <v>100</v>
      </c>
      <c r="U20" s="94">
        <f t="shared" si="3"/>
        <v>92</v>
      </c>
      <c r="V20" s="96">
        <f t="shared" si="4"/>
        <v>9.5522569054569963</v>
      </c>
      <c r="W20" s="95">
        <v>0</v>
      </c>
      <c r="X20" s="127">
        <f t="shared" si="5"/>
        <v>9.5522569054569963</v>
      </c>
    </row>
    <row r="21" spans="1:24" x14ac:dyDescent="0.25">
      <c r="A21" s="12"/>
      <c r="B21" s="15"/>
      <c r="C21" s="14"/>
      <c r="D21" s="12"/>
      <c r="E21" s="69">
        <v>45669</v>
      </c>
      <c r="F21" s="70">
        <v>100</v>
      </c>
      <c r="G21" s="70">
        <f t="shared" si="6"/>
        <v>92</v>
      </c>
      <c r="H21" s="74">
        <f t="shared" si="7"/>
        <v>9.5522569054569963</v>
      </c>
      <c r="I21" s="26"/>
      <c r="J21" s="73">
        <f t="shared" si="0"/>
        <v>9.5522569054569963</v>
      </c>
      <c r="K21" s="12"/>
      <c r="L21" s="97">
        <v>45669</v>
      </c>
      <c r="M21" s="94">
        <v>100</v>
      </c>
      <c r="N21" s="94">
        <v>92</v>
      </c>
      <c r="O21" s="96">
        <f t="shared" si="1"/>
        <v>9.5522569054569963</v>
      </c>
      <c r="P21" s="95">
        <v>0</v>
      </c>
      <c r="Q21" s="127">
        <f t="shared" si="2"/>
        <v>9.5522569054569963</v>
      </c>
      <c r="R21" s="12"/>
      <c r="S21" s="97">
        <v>45577</v>
      </c>
      <c r="T21" s="94">
        <v>100</v>
      </c>
      <c r="U21" s="94">
        <f t="shared" si="3"/>
        <v>92</v>
      </c>
      <c r="V21" s="96">
        <f t="shared" si="4"/>
        <v>9.5522569054569963</v>
      </c>
      <c r="W21" s="95">
        <v>0</v>
      </c>
      <c r="X21" s="127">
        <f t="shared" si="5"/>
        <v>9.5522569054569963</v>
      </c>
    </row>
    <row r="22" spans="1:24" x14ac:dyDescent="0.25">
      <c r="A22" s="12"/>
      <c r="B22" s="15"/>
      <c r="C22" s="14"/>
      <c r="D22" s="12"/>
      <c r="E22" s="69">
        <v>45759</v>
      </c>
      <c r="F22" s="70">
        <v>100</v>
      </c>
      <c r="G22" s="70">
        <f t="shared" si="6"/>
        <v>90</v>
      </c>
      <c r="H22" s="74">
        <f t="shared" si="7"/>
        <v>9.3445991466427145</v>
      </c>
      <c r="I22" s="74">
        <v>100</v>
      </c>
      <c r="J22" s="73">
        <f t="shared" si="0"/>
        <v>109.34459914664271</v>
      </c>
      <c r="K22" s="12"/>
      <c r="L22" s="97">
        <v>45759</v>
      </c>
      <c r="M22" s="94">
        <v>100</v>
      </c>
      <c r="N22" s="94">
        <v>90</v>
      </c>
      <c r="O22" s="96">
        <f t="shared" si="1"/>
        <v>9.3445991466427145</v>
      </c>
      <c r="P22" s="96">
        <v>100</v>
      </c>
      <c r="Q22" s="127">
        <f t="shared" si="2"/>
        <v>109.34459914664271</v>
      </c>
      <c r="R22" s="12"/>
      <c r="S22" s="97">
        <v>45669</v>
      </c>
      <c r="T22" s="94">
        <v>100</v>
      </c>
      <c r="U22" s="94">
        <f t="shared" si="3"/>
        <v>90</v>
      </c>
      <c r="V22" s="96">
        <f t="shared" si="4"/>
        <v>9.3445991466427145</v>
      </c>
      <c r="W22" s="95">
        <v>0</v>
      </c>
      <c r="X22" s="127">
        <f t="shared" si="5"/>
        <v>9.3445991466427145</v>
      </c>
    </row>
    <row r="23" spans="1:24" x14ac:dyDescent="0.25">
      <c r="A23" s="12"/>
      <c r="B23" s="15"/>
      <c r="C23" s="14"/>
      <c r="D23" s="12"/>
      <c r="E23" s="12"/>
      <c r="F23" s="12"/>
      <c r="G23" s="12"/>
      <c r="H23" s="12"/>
      <c r="I23" s="12"/>
      <c r="J23" s="12"/>
      <c r="K23" s="12"/>
      <c r="R23" s="12"/>
      <c r="S23" s="97">
        <v>45759</v>
      </c>
      <c r="T23" s="94">
        <v>100</v>
      </c>
      <c r="U23" s="94">
        <f t="shared" si="3"/>
        <v>0</v>
      </c>
      <c r="V23" s="96">
        <f t="shared" si="4"/>
        <v>0</v>
      </c>
      <c r="W23" s="96">
        <v>100</v>
      </c>
      <c r="X23" s="127">
        <f t="shared" si="5"/>
        <v>100</v>
      </c>
    </row>
    <row r="24" spans="1:24" x14ac:dyDescent="0.25">
      <c r="A24" s="12"/>
      <c r="B24" s="15"/>
      <c r="C24" s="14"/>
      <c r="D24" s="12"/>
      <c r="E24" s="12"/>
      <c r="F24" s="12"/>
      <c r="G24" s="12"/>
      <c r="H24" s="12"/>
      <c r="I24" s="92" t="s">
        <v>10</v>
      </c>
      <c r="J24" s="86">
        <f>XIRR(J6:J22,E6:E22,0)</f>
        <v>0.55006807617187503</v>
      </c>
      <c r="K24" s="12"/>
    </row>
    <row r="25" spans="1:24" x14ac:dyDescent="0.25">
      <c r="A25" s="12"/>
      <c r="B25" s="15"/>
      <c r="C25" s="14"/>
      <c r="D25" s="12"/>
      <c r="E25" s="12"/>
      <c r="F25" s="12"/>
      <c r="G25" s="12"/>
      <c r="H25" s="12"/>
      <c r="I25" s="92" t="s">
        <v>29</v>
      </c>
      <c r="J25" s="71">
        <f>MDURATION(E6,E22,C9,J24,4)</f>
        <v>1.4838918753142651</v>
      </c>
      <c r="K25" s="12"/>
    </row>
    <row r="26" spans="1:24" x14ac:dyDescent="0.25">
      <c r="A26" s="12"/>
      <c r="B26" s="15"/>
      <c r="C26" s="14"/>
      <c r="D26" s="12"/>
      <c r="K26" s="12"/>
      <c r="R26" s="12"/>
    </row>
    <row r="27" spans="1:24" x14ac:dyDescent="0.25">
      <c r="A27" s="12"/>
      <c r="B27" s="15"/>
      <c r="C27" s="14"/>
      <c r="D27" s="12"/>
      <c r="K27" s="12"/>
      <c r="R27" s="12"/>
      <c r="S27" s="12"/>
      <c r="T27" s="12"/>
      <c r="U27" s="12"/>
      <c r="V27" s="12"/>
      <c r="W27" s="12"/>
      <c r="X27" s="12"/>
    </row>
    <row r="28" spans="1:24" x14ac:dyDescent="0.25">
      <c r="A28" s="12"/>
      <c r="B28" s="15"/>
      <c r="C28" s="14"/>
      <c r="D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48"/>
      <c r="X28" s="22"/>
    </row>
    <row r="29" spans="1:24" x14ac:dyDescent="0.25">
      <c r="A29" s="12"/>
      <c r="B29" s="15"/>
      <c r="C29" s="14"/>
      <c r="D29" s="12"/>
      <c r="K29" s="12"/>
      <c r="L29" s="12"/>
      <c r="M29" s="12"/>
      <c r="N29" s="12"/>
      <c r="O29" s="12"/>
      <c r="P29" s="12"/>
      <c r="Q29" s="22"/>
      <c r="R29" s="12"/>
      <c r="S29" s="12"/>
      <c r="T29" s="12"/>
      <c r="U29" s="12"/>
      <c r="V29" s="12"/>
      <c r="W29" s="48"/>
      <c r="X29" s="30"/>
    </row>
    <row r="30" spans="1:24" x14ac:dyDescent="0.25">
      <c r="A30" s="12"/>
      <c r="B30" s="15"/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x14ac:dyDescent="0.25">
      <c r="A31" s="12"/>
      <c r="B31" s="15"/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5">
      <c r="A32" s="12"/>
      <c r="B32" s="15"/>
      <c r="C32" s="14"/>
      <c r="D32" s="12"/>
      <c r="E32" s="12"/>
      <c r="F32" s="12"/>
      <c r="G32" s="12"/>
      <c r="H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x14ac:dyDescent="0.25">
      <c r="A33" s="12"/>
      <c r="B33" s="15"/>
      <c r="C33" s="14"/>
      <c r="D33" s="12"/>
      <c r="E33" s="12"/>
      <c r="F33" s="12"/>
      <c r="G33" s="12"/>
      <c r="H33" s="12"/>
      <c r="I33" s="26"/>
      <c r="J33" s="86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12"/>
      <c r="B34" s="15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2"/>
      <c r="B35" s="15"/>
      <c r="C35" s="14"/>
      <c r="D35" s="12"/>
      <c r="E35" s="376" t="s">
        <v>92</v>
      </c>
      <c r="F35" s="376"/>
      <c r="G35" s="76">
        <v>0.35</v>
      </c>
      <c r="H35" s="62">
        <f>XNPV(G35,Q6:Q22,L6:L22)</f>
        <v>123.53517265988967</v>
      </c>
      <c r="I35" s="76">
        <f>(H35+$J$6)/(-$J$6)</f>
        <v>0.31141372250413657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ht="15" customHeight="1" x14ac:dyDescent="0.25">
      <c r="A36" s="12"/>
      <c r="B36" s="15"/>
      <c r="C36" s="14"/>
      <c r="D36" s="12"/>
      <c r="E36" s="396"/>
      <c r="F36" s="396"/>
      <c r="G36" s="42">
        <v>0.45</v>
      </c>
      <c r="H36" s="109">
        <f>XNPV(G36,Q6:Q22,L6:L22)</f>
        <v>106.89102357513549</v>
      </c>
      <c r="I36" s="42">
        <f>(H36+$J$6)/(-$J$6)</f>
        <v>0.13472424177426209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25">
      <c r="A37" s="12"/>
      <c r="B37" s="15"/>
      <c r="C37" s="14"/>
      <c r="D37" s="12"/>
      <c r="E37" s="377"/>
      <c r="F37" s="377"/>
      <c r="G37" s="78">
        <v>0.4</v>
      </c>
      <c r="H37" s="79">
        <f>XNPV(G37,Q6:Q22,L6:L22)</f>
        <v>114.62417621995078</v>
      </c>
      <c r="I37" s="78">
        <f>(H37+J6)/(-J6)</f>
        <v>0.21681715732431825</v>
      </c>
      <c r="J37" s="12"/>
      <c r="K37" s="12"/>
      <c r="L37" s="12"/>
      <c r="M37" s="12"/>
      <c r="N37" s="12"/>
      <c r="O37" s="12"/>
      <c r="P37" s="12"/>
      <c r="Q37" s="12"/>
      <c r="R37" s="110"/>
      <c r="S37" s="110"/>
      <c r="T37" s="110"/>
      <c r="U37" s="110"/>
      <c r="V37" s="110"/>
      <c r="W37" s="12"/>
      <c r="X37" s="12"/>
    </row>
    <row r="38" spans="1:24" x14ac:dyDescent="0.25">
      <c r="A38" s="12"/>
      <c r="B38" s="15"/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10"/>
      <c r="S38" s="110"/>
      <c r="T38" s="110"/>
      <c r="U38" s="110"/>
      <c r="V38" s="110"/>
      <c r="W38" s="12"/>
      <c r="X38" s="12"/>
    </row>
    <row r="39" spans="1:24" x14ac:dyDescent="0.25">
      <c r="A39" s="12"/>
      <c r="B39" s="15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10"/>
      <c r="S39" s="410"/>
      <c r="T39" s="410"/>
      <c r="U39" s="410"/>
      <c r="V39" s="110"/>
      <c r="W39" s="12"/>
      <c r="X39" s="12"/>
    </row>
    <row r="40" spans="1:24" x14ac:dyDescent="0.25">
      <c r="A40" s="12"/>
      <c r="B40" s="15"/>
      <c r="C40" s="1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10"/>
      <c r="S40" s="170"/>
      <c r="T40" s="170"/>
      <c r="U40" s="170"/>
      <c r="V40" s="110"/>
      <c r="W40" s="12"/>
      <c r="X40" s="12"/>
    </row>
    <row r="41" spans="1:24" x14ac:dyDescent="0.25">
      <c r="A41" s="12"/>
      <c r="B41" s="15"/>
      <c r="C41" s="1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10"/>
      <c r="S41" s="115"/>
      <c r="T41" s="171"/>
      <c r="U41" s="115"/>
      <c r="V41" s="110"/>
      <c r="W41" s="12"/>
      <c r="X41" s="12"/>
    </row>
    <row r="42" spans="1:24" x14ac:dyDescent="0.25">
      <c r="A42" s="12"/>
      <c r="B42" s="15"/>
      <c r="C42" s="1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10"/>
      <c r="S42" s="115"/>
      <c r="T42" s="171"/>
      <c r="U42" s="115"/>
      <c r="V42" s="110"/>
      <c r="W42" s="12"/>
      <c r="X42" s="12"/>
    </row>
    <row r="43" spans="1:24" x14ac:dyDescent="0.25">
      <c r="A43" s="12"/>
      <c r="B43" s="15"/>
      <c r="C43" s="1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10"/>
      <c r="S43" s="115"/>
      <c r="T43" s="171"/>
      <c r="U43" s="115"/>
      <c r="V43" s="110"/>
      <c r="W43" s="12"/>
      <c r="X43" s="12"/>
    </row>
    <row r="44" spans="1:24" x14ac:dyDescent="0.25">
      <c r="A44" s="12"/>
      <c r="B44" s="15"/>
      <c r="C44" s="1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10"/>
      <c r="S44" s="115"/>
      <c r="T44" s="171"/>
      <c r="U44" s="115"/>
      <c r="V44" s="110"/>
      <c r="W44" s="12"/>
      <c r="X44" s="12"/>
    </row>
    <row r="45" spans="1:24" x14ac:dyDescent="0.25">
      <c r="A45" s="12"/>
      <c r="B45" s="15"/>
      <c r="C45" s="1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10"/>
      <c r="S45" s="115"/>
      <c r="T45" s="171"/>
      <c r="U45" s="115"/>
      <c r="V45" s="110"/>
      <c r="W45" s="12"/>
      <c r="X45" s="12"/>
    </row>
    <row r="46" spans="1:24" x14ac:dyDescent="0.25">
      <c r="A46" s="12"/>
      <c r="B46" s="15"/>
      <c r="C46" s="1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22"/>
      <c r="T46" s="128"/>
      <c r="U46" s="22"/>
      <c r="V46" s="12"/>
      <c r="W46" s="12"/>
      <c r="X46" s="12"/>
    </row>
    <row r="47" spans="1:24" x14ac:dyDescent="0.25">
      <c r="A47" s="12"/>
      <c r="B47" s="15"/>
      <c r="C47" s="1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22"/>
      <c r="T47" s="128"/>
      <c r="U47" s="22"/>
      <c r="V47" s="12"/>
      <c r="W47" s="12"/>
      <c r="X47" s="12"/>
    </row>
    <row r="48" spans="1:24" x14ac:dyDescent="0.25">
      <c r="A48" s="12"/>
      <c r="B48" s="15"/>
      <c r="C48" s="1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22"/>
      <c r="T48" s="128"/>
      <c r="U48" s="22"/>
      <c r="V48" s="12"/>
      <c r="W48" s="12"/>
      <c r="X48" s="12"/>
    </row>
    <row r="49" spans="1:24" x14ac:dyDescent="0.25">
      <c r="A49" s="12"/>
      <c r="B49" s="15"/>
      <c r="C49" s="1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22"/>
      <c r="T49" s="128"/>
      <c r="U49" s="22"/>
      <c r="V49" s="12"/>
      <c r="W49" s="12"/>
      <c r="X49" s="12"/>
    </row>
    <row r="50" spans="1:24" x14ac:dyDescent="0.25">
      <c r="A50" s="12"/>
      <c r="B50" s="15"/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22"/>
      <c r="T50" s="128"/>
      <c r="U50" s="22"/>
      <c r="V50" s="12"/>
      <c r="W50" s="12"/>
      <c r="X50" s="12"/>
    </row>
    <row r="51" spans="1:24" x14ac:dyDescent="0.25">
      <c r="A51" s="12"/>
      <c r="B51" s="15"/>
      <c r="C51" s="1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22"/>
      <c r="T51" s="128"/>
      <c r="U51" s="22"/>
      <c r="V51" s="12"/>
      <c r="W51" s="12"/>
      <c r="X51" s="12"/>
    </row>
    <row r="52" spans="1:24" x14ac:dyDescent="0.25">
      <c r="A52" s="12"/>
      <c r="B52" s="15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22"/>
      <c r="T52" s="128"/>
      <c r="U52" s="22"/>
      <c r="V52" s="12"/>
      <c r="W52" s="12"/>
      <c r="X52" s="12"/>
    </row>
    <row r="53" spans="1:24" x14ac:dyDescent="0.25">
      <c r="A53" s="12"/>
      <c r="B53" s="15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22"/>
      <c r="T53" s="128"/>
      <c r="U53" s="22"/>
      <c r="V53" s="12"/>
      <c r="W53" s="12"/>
      <c r="X53" s="12"/>
    </row>
    <row r="54" spans="1:24" x14ac:dyDescent="0.25">
      <c r="A54" s="12"/>
      <c r="B54" s="15"/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22"/>
      <c r="T54" s="128"/>
      <c r="U54" s="22"/>
      <c r="V54" s="12"/>
      <c r="W54" s="12"/>
      <c r="X54" s="12"/>
    </row>
    <row r="55" spans="1:24" x14ac:dyDescent="0.25">
      <c r="A55" s="12"/>
      <c r="B55" s="15"/>
      <c r="C55" s="1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22"/>
      <c r="T55" s="128"/>
      <c r="U55" s="22"/>
      <c r="V55" s="12"/>
      <c r="W55" s="12"/>
      <c r="X55" s="12"/>
    </row>
    <row r="56" spans="1:24" x14ac:dyDescent="0.25">
      <c r="A56" s="12"/>
      <c r="B56" s="15"/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x14ac:dyDescent="0.25">
      <c r="A57" s="12"/>
      <c r="B57" s="15"/>
      <c r="C57" s="1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x14ac:dyDescent="0.25">
      <c r="A58" s="12"/>
      <c r="B58" s="15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x14ac:dyDescent="0.25">
      <c r="A59" s="12"/>
      <c r="B59" s="15"/>
      <c r="C59" s="1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x14ac:dyDescent="0.25">
      <c r="A60" s="12"/>
      <c r="B60" s="15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x14ac:dyDescent="0.25">
      <c r="A61" s="12"/>
      <c r="B61" s="15"/>
      <c r="C61" s="1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x14ac:dyDescent="0.25">
      <c r="A62" s="12"/>
      <c r="B62" s="15"/>
      <c r="C62" s="1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x14ac:dyDescent="0.25">
      <c r="A63" s="12"/>
      <c r="B63" s="15"/>
      <c r="C63" s="1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x14ac:dyDescent="0.25">
      <c r="A64" s="12"/>
      <c r="B64" s="15"/>
      <c r="C64" s="1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25">
      <c r="A65" s="12"/>
      <c r="B65" s="15"/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25">
      <c r="A66" s="12"/>
      <c r="B66" s="15"/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25">
      <c r="A67" s="12"/>
      <c r="B67" s="15"/>
      <c r="C67" s="1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25">
      <c r="A68" s="12"/>
      <c r="B68" s="15"/>
      <c r="C68" s="1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25">
      <c r="A69" s="12"/>
      <c r="B69" s="15"/>
      <c r="C69" s="1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25">
      <c r="A70" s="12"/>
      <c r="B70" s="15"/>
      <c r="C70" s="1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25">
      <c r="A71" s="12"/>
      <c r="B71" s="15"/>
      <c r="C71" s="1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25">
      <c r="A72" s="12"/>
      <c r="B72" s="15"/>
      <c r="C72" s="1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25">
      <c r="A73" s="12"/>
      <c r="B73" s="15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25">
      <c r="A74" s="12"/>
      <c r="B74" s="15"/>
      <c r="C74" s="1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25">
      <c r="A75" s="12"/>
      <c r="B75" s="15"/>
      <c r="C75" s="1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25">
      <c r="A76" s="12"/>
      <c r="B76" s="15"/>
      <c r="C76" s="1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25">
      <c r="A77" s="12"/>
      <c r="B77" s="15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25">
      <c r="A78" s="12"/>
      <c r="B78" s="15"/>
      <c r="C78" s="1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25">
      <c r="A79" s="12"/>
      <c r="B79" s="15"/>
      <c r="C79" s="2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25">
      <c r="A80" s="12"/>
      <c r="B80" s="15"/>
      <c r="C80" s="1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25">
      <c r="A81" s="12"/>
      <c r="B81" s="15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25">
      <c r="A82" s="12"/>
      <c r="B82" s="15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25">
      <c r="A83" s="12"/>
      <c r="B83" s="15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25">
      <c r="A84" s="12"/>
      <c r="B84" s="15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25">
      <c r="A85" s="12"/>
      <c r="B85" s="15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25">
      <c r="A86" s="12"/>
      <c r="B86" s="15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25">
      <c r="A87" s="12"/>
      <c r="B87" s="15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25">
      <c r="A88" s="12"/>
      <c r="B88" s="15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25">
      <c r="A89" s="12"/>
      <c r="B89" s="15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25">
      <c r="A90" s="12"/>
      <c r="B90" s="15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25">
      <c r="A91" s="12"/>
      <c r="B91" s="15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25">
      <c r="A92" s="12"/>
      <c r="B92" s="15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25">
      <c r="A93" s="12"/>
      <c r="B93" s="15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25">
      <c r="A94" s="12"/>
      <c r="B94" s="15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25">
      <c r="A95" s="12"/>
      <c r="B95" s="15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25">
      <c r="A96" s="12"/>
      <c r="B96" s="15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25">
      <c r="A97" s="12"/>
      <c r="B97" s="15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25">
      <c r="A98" s="12"/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25">
      <c r="A99" s="12"/>
      <c r="B99" s="15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25">
      <c r="A100" s="12"/>
      <c r="B100" s="15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25">
      <c r="A101" s="12"/>
      <c r="B101" s="15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25">
      <c r="A102" s="12"/>
      <c r="B102" s="15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25">
      <c r="B103" s="11"/>
    </row>
  </sheetData>
  <mergeCells count="6">
    <mergeCell ref="S39:U39"/>
    <mergeCell ref="L4:Q4"/>
    <mergeCell ref="B4:C4"/>
    <mergeCell ref="E4:J4"/>
    <mergeCell ref="S4:X4"/>
    <mergeCell ref="E35:F37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34"/>
  <sheetViews>
    <sheetView showGridLines="0" zoomScale="90" zoomScaleNormal="90" workbookViewId="0">
      <selection activeCell="Q22" sqref="Q22"/>
    </sheetView>
  </sheetViews>
  <sheetFormatPr baseColWidth="10" defaultRowHeight="15" x14ac:dyDescent="0.25"/>
  <cols>
    <col min="2" max="2" width="17.7109375" customWidth="1"/>
    <col min="3" max="3" width="13.42578125" customWidth="1"/>
    <col min="4" max="4" width="4" customWidth="1"/>
    <col min="5" max="5" width="12.140625" bestFit="1" customWidth="1"/>
    <col min="6" max="6" width="9.140625" customWidth="1"/>
    <col min="7" max="7" width="7.5703125" customWidth="1"/>
    <col min="8" max="8" width="8.28515625" customWidth="1"/>
    <col min="9" max="9" width="11.5703125" customWidth="1"/>
    <col min="10" max="10" width="10.85546875" customWidth="1"/>
    <col min="11" max="11" width="6.140625" customWidth="1"/>
    <col min="12" max="12" width="12.140625" bestFit="1" customWidth="1"/>
    <col min="13" max="13" width="8.5703125" customWidth="1"/>
    <col min="14" max="14" width="7.7109375" customWidth="1"/>
    <col min="15" max="15" width="9.140625" customWidth="1"/>
    <col min="16" max="16" width="10.7109375" customWidth="1"/>
    <col min="17" max="17" width="9.28515625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373" t="s">
        <v>116</v>
      </c>
      <c r="C4" s="374"/>
      <c r="D4" s="12"/>
      <c r="E4" s="398" t="s">
        <v>118</v>
      </c>
      <c r="F4" s="398"/>
      <c r="G4" s="398"/>
      <c r="H4" s="398"/>
      <c r="I4" s="398"/>
      <c r="J4" s="398"/>
      <c r="K4" s="12"/>
      <c r="L4" s="398" t="s">
        <v>117</v>
      </c>
      <c r="M4" s="398"/>
      <c r="N4" s="398"/>
      <c r="O4" s="398"/>
      <c r="P4" s="398"/>
      <c r="Q4" s="398"/>
      <c r="R4" s="12"/>
    </row>
    <row r="5" spans="1:18" x14ac:dyDescent="0.25">
      <c r="A5" s="12"/>
      <c r="B5" s="122" t="s">
        <v>0</v>
      </c>
      <c r="C5" s="123">
        <v>42895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33</v>
      </c>
      <c r="Q5" s="68" t="s">
        <v>9</v>
      </c>
      <c r="R5" s="12"/>
    </row>
    <row r="6" spans="1:18" x14ac:dyDescent="0.25">
      <c r="A6" s="12"/>
      <c r="B6" s="122" t="s">
        <v>1</v>
      </c>
      <c r="C6" s="123">
        <v>44356</v>
      </c>
      <c r="D6" s="12"/>
      <c r="E6" s="97">
        <f>'Planilla de datos'!D3</f>
        <v>44384</v>
      </c>
      <c r="F6" s="94">
        <v>100</v>
      </c>
      <c r="G6" s="208"/>
      <c r="H6" s="208"/>
      <c r="I6" s="208"/>
      <c r="J6" s="204" t="e">
        <f>-'Planilla de datos'!#REF!</f>
        <v>#REF!</v>
      </c>
      <c r="K6" s="12"/>
      <c r="L6" s="97">
        <f>+E6</f>
        <v>44384</v>
      </c>
      <c r="M6" s="94">
        <v>100</v>
      </c>
      <c r="N6" s="94"/>
      <c r="O6" s="202"/>
      <c r="P6" s="94"/>
      <c r="Q6" s="203">
        <v>0</v>
      </c>
      <c r="R6" s="12"/>
    </row>
    <row r="7" spans="1:18" x14ac:dyDescent="0.25">
      <c r="A7" s="12"/>
      <c r="B7" s="122" t="s">
        <v>157</v>
      </c>
      <c r="C7" s="124">
        <v>4.3749999999999997E-2</v>
      </c>
      <c r="D7" s="12"/>
      <c r="E7" s="97">
        <v>44356</v>
      </c>
      <c r="F7" s="94">
        <v>100</v>
      </c>
      <c r="G7" s="208">
        <f>DAYS360(C12,E7)</f>
        <v>90</v>
      </c>
      <c r="H7" s="209">
        <f>F7*(($C$11)/360*G7)</f>
        <v>9.6290582191780807</v>
      </c>
      <c r="I7" s="209">
        <v>100</v>
      </c>
      <c r="J7" s="204">
        <f>SUM(H7:I7)</f>
        <v>109.62905821917808</v>
      </c>
      <c r="K7" s="12"/>
      <c r="L7" s="97">
        <f>+E7</f>
        <v>44356</v>
      </c>
      <c r="M7" s="94">
        <v>100</v>
      </c>
      <c r="N7" s="94">
        <f>+G7</f>
        <v>90</v>
      </c>
      <c r="O7" s="202">
        <f>H7</f>
        <v>9.6290582191780807</v>
      </c>
      <c r="P7" s="202">
        <f>+I7</f>
        <v>100</v>
      </c>
      <c r="Q7" s="203">
        <f>+J7</f>
        <v>109.62905821917808</v>
      </c>
      <c r="R7" s="12"/>
    </row>
    <row r="8" spans="1:18" x14ac:dyDescent="0.25">
      <c r="A8" s="12"/>
      <c r="B8" s="122" t="s">
        <v>168</v>
      </c>
      <c r="C8" s="124">
        <f>AVERAGE('Serie BADLAR'!C159:C221)/100</f>
        <v>0.30824404761904761</v>
      </c>
      <c r="D8" s="12"/>
      <c r="E8" s="97"/>
      <c r="F8" s="94"/>
      <c r="G8" s="208"/>
      <c r="H8" s="209"/>
      <c r="I8" s="208"/>
      <c r="J8" s="205"/>
      <c r="K8" s="12"/>
      <c r="R8" s="12"/>
    </row>
    <row r="9" spans="1:18" x14ac:dyDescent="0.25">
      <c r="A9" s="12"/>
      <c r="B9" s="122" t="s">
        <v>163</v>
      </c>
      <c r="C9" s="124">
        <f>+C8+C7</f>
        <v>0.35199404761904762</v>
      </c>
      <c r="D9" s="12"/>
      <c r="E9" s="97"/>
      <c r="F9" s="94"/>
      <c r="G9" s="94"/>
      <c r="H9" s="96"/>
      <c r="I9" s="92" t="s">
        <v>10</v>
      </c>
      <c r="J9" s="206" t="e">
        <f>XIRR(J6:J7,E6:E7,0)</f>
        <v>#REF!</v>
      </c>
      <c r="K9" s="12"/>
      <c r="R9" s="12"/>
    </row>
    <row r="10" spans="1:18" x14ac:dyDescent="0.25">
      <c r="A10" s="12"/>
      <c r="B10" s="122" t="s">
        <v>161</v>
      </c>
      <c r="C10" s="124">
        <f>AVERAGE('Serie BADLAR'!C221:C293)/100</f>
        <v>0.3414123287671233</v>
      </c>
      <c r="D10" s="12"/>
      <c r="E10" s="97"/>
      <c r="F10" s="94"/>
      <c r="G10" s="94"/>
      <c r="H10" s="96"/>
      <c r="I10" s="92" t="s">
        <v>29</v>
      </c>
      <c r="J10" s="207" t="e">
        <f>MDURATION(E6,E7,C9,J9,4)</f>
        <v>#REF!</v>
      </c>
      <c r="K10" s="12"/>
      <c r="R10" s="12"/>
    </row>
    <row r="11" spans="1:18" x14ac:dyDescent="0.25">
      <c r="A11" s="12"/>
      <c r="B11" s="122" t="s">
        <v>167</v>
      </c>
      <c r="C11" s="124">
        <f>+C10+C7</f>
        <v>0.38516232876712331</v>
      </c>
      <c r="D11" s="12"/>
      <c r="K11" s="12"/>
      <c r="L11" s="97"/>
      <c r="M11" s="94"/>
      <c r="N11" s="94"/>
      <c r="O11" s="96"/>
      <c r="P11" s="95"/>
      <c r="Q11" s="127"/>
      <c r="R11" s="12"/>
    </row>
    <row r="12" spans="1:18" x14ac:dyDescent="0.25">
      <c r="A12" s="12"/>
      <c r="B12" s="125" t="s">
        <v>27</v>
      </c>
      <c r="C12" s="126">
        <v>44264</v>
      </c>
      <c r="D12" s="12"/>
      <c r="E12" s="12"/>
      <c r="F12" s="12"/>
      <c r="G12" s="12"/>
      <c r="H12" s="12"/>
      <c r="I12" s="12"/>
      <c r="J12" s="12"/>
      <c r="K12" s="12"/>
      <c r="L12" s="97"/>
      <c r="M12" s="94"/>
      <c r="N12" s="94"/>
      <c r="O12" s="96"/>
      <c r="P12" s="95"/>
      <c r="Q12" s="127"/>
      <c r="R12" s="12"/>
    </row>
    <row r="13" spans="1:18" ht="30" customHeight="1" x14ac:dyDescent="0.25">
      <c r="A13" s="12"/>
      <c r="B13" s="12"/>
      <c r="C13" s="12"/>
      <c r="D13" s="12"/>
      <c r="E13" s="376" t="s">
        <v>92</v>
      </c>
      <c r="F13" s="232"/>
      <c r="G13" s="129"/>
      <c r="H13" s="61">
        <v>0.4</v>
      </c>
      <c r="I13" s="62" t="e">
        <f>XNPV(H13,Q6:Q7,L6:L7)</f>
        <v>#NUM!</v>
      </c>
      <c r="J13" s="61" t="e">
        <f>(I13/-J6)-1</f>
        <v>#NUM!</v>
      </c>
      <c r="K13" s="12"/>
      <c r="L13" s="97"/>
      <c r="M13" s="94"/>
      <c r="N13" s="94"/>
      <c r="O13" s="96"/>
      <c r="P13" s="95"/>
      <c r="Q13" s="127"/>
      <c r="R13" s="12"/>
    </row>
    <row r="14" spans="1:18" x14ac:dyDescent="0.25">
      <c r="A14" s="12"/>
      <c r="B14" s="12"/>
      <c r="C14" s="12"/>
      <c r="D14" s="12"/>
      <c r="E14" s="377"/>
      <c r="F14" s="233"/>
      <c r="G14" s="130"/>
      <c r="H14" s="63">
        <v>0.45</v>
      </c>
      <c r="I14" s="64" t="e">
        <f>XNPV(H14,Q6:Q7,L6:L7)</f>
        <v>#NUM!</v>
      </c>
      <c r="J14" s="63" t="e">
        <f>(I14/-J6)-1</f>
        <v>#NUM!</v>
      </c>
      <c r="K14" s="12"/>
      <c r="L14" s="12"/>
      <c r="M14" s="12"/>
      <c r="N14" s="12"/>
      <c r="O14" s="12"/>
      <c r="P14" s="12"/>
      <c r="Q14" s="12"/>
      <c r="R14" s="12"/>
    </row>
    <row r="15" spans="1:18" ht="15" customHeight="1" x14ac:dyDescent="0.25">
      <c r="A15" s="12"/>
      <c r="B15" s="12"/>
      <c r="C15" s="12"/>
      <c r="D15" s="12"/>
      <c r="K15" s="12"/>
      <c r="L15" s="12"/>
      <c r="M15" s="12"/>
      <c r="N15" s="12"/>
      <c r="O15" s="12"/>
      <c r="P15" s="12"/>
      <c r="Q15" s="12"/>
      <c r="R15" s="12"/>
    </row>
    <row r="16" spans="1:18" ht="15" customHeight="1" x14ac:dyDescent="0.25">
      <c r="A16" s="12"/>
      <c r="B16" s="12"/>
      <c r="C16" s="16"/>
      <c r="D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12"/>
      <c r="B17" s="12"/>
      <c r="C17" s="12"/>
      <c r="D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</sheetData>
  <mergeCells count="4">
    <mergeCell ref="B4:C4"/>
    <mergeCell ref="E4:J4"/>
    <mergeCell ref="L4:Q4"/>
    <mergeCell ref="E13:E14"/>
  </mergeCells>
  <pageMargins left="0.7" right="0.7" top="0.75" bottom="0.75" header="0.3" footer="0.3"/>
  <pageSetup orientation="portrait" r:id="rId1"/>
  <ignoredErrors>
    <ignoredError sqref="C8" formulaRange="1"/>
  </ignoredError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58"/>
  <sheetViews>
    <sheetView showGridLines="0" topLeftCell="A3" zoomScale="90" zoomScaleNormal="90" workbookViewId="0">
      <selection activeCell="H7" sqref="H7"/>
    </sheetView>
  </sheetViews>
  <sheetFormatPr baseColWidth="10" defaultRowHeight="15" x14ac:dyDescent="0.25"/>
  <cols>
    <col min="2" max="2" width="17.5703125" customWidth="1"/>
    <col min="3" max="3" width="12.42578125" bestFit="1" customWidth="1"/>
    <col min="4" max="4" width="3.42578125" customWidth="1"/>
    <col min="5" max="5" width="12.28515625" bestFit="1" customWidth="1"/>
    <col min="6" max="6" width="8.5703125" customWidth="1"/>
    <col min="7" max="7" width="6.85546875" customWidth="1"/>
    <col min="8" max="8" width="9.85546875" customWidth="1"/>
    <col min="9" max="9" width="8.28515625" customWidth="1"/>
    <col min="10" max="10" width="9.85546875" customWidth="1"/>
    <col min="16" max="16" width="13.42578125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2"/>
      <c r="B2" s="372" t="s">
        <v>111</v>
      </c>
      <c r="C2" s="372"/>
      <c r="D2" s="372"/>
      <c r="E2" s="372"/>
      <c r="F2" s="372"/>
      <c r="G2" s="372"/>
      <c r="H2" s="372"/>
      <c r="I2" s="372"/>
      <c r="J2" s="37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373" t="s">
        <v>34</v>
      </c>
      <c r="C4" s="374"/>
      <c r="D4" s="12"/>
      <c r="E4" s="395" t="s">
        <v>112</v>
      </c>
      <c r="F4" s="395"/>
      <c r="G4" s="395"/>
      <c r="H4" s="395"/>
      <c r="I4" s="395"/>
      <c r="J4" s="395"/>
      <c r="K4" s="12"/>
      <c r="L4" s="395" t="s">
        <v>112</v>
      </c>
      <c r="M4" s="395"/>
      <c r="N4" s="395"/>
      <c r="O4" s="395"/>
      <c r="P4" s="395"/>
      <c r="Q4" s="395"/>
      <c r="R4" s="12"/>
    </row>
    <row r="5" spans="1:18" x14ac:dyDescent="0.25">
      <c r="A5" s="12"/>
      <c r="B5" s="24" t="s">
        <v>0</v>
      </c>
      <c r="C5" s="32">
        <v>43061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14</v>
      </c>
      <c r="M5" s="29" t="s">
        <v>7</v>
      </c>
      <c r="N5" s="29" t="s">
        <v>21</v>
      </c>
      <c r="O5" s="29" t="s">
        <v>8</v>
      </c>
      <c r="P5" s="29" t="s">
        <v>33</v>
      </c>
      <c r="Q5" s="29" t="s">
        <v>9</v>
      </c>
      <c r="R5" s="12"/>
    </row>
    <row r="6" spans="1:18" x14ac:dyDescent="0.25">
      <c r="A6" s="12"/>
      <c r="B6" s="24" t="s">
        <v>1</v>
      </c>
      <c r="C6" s="33">
        <v>46805</v>
      </c>
      <c r="D6" s="12"/>
      <c r="E6" s="15">
        <f>'Planilla de datos'!D3</f>
        <v>44384</v>
      </c>
      <c r="F6" s="14">
        <v>100</v>
      </c>
      <c r="G6" s="12"/>
      <c r="H6" s="14"/>
      <c r="I6" s="12"/>
      <c r="J6" s="14">
        <f>-'Planilla de datos'!C30</f>
        <v>-90.5</v>
      </c>
      <c r="K6" s="12"/>
      <c r="L6" s="15">
        <f>+E6</f>
        <v>44384</v>
      </c>
      <c r="M6" s="14">
        <f>+F6</f>
        <v>100</v>
      </c>
      <c r="N6" s="12">
        <f>+G6</f>
        <v>0</v>
      </c>
      <c r="O6" s="14">
        <f>+H6</f>
        <v>0</v>
      </c>
      <c r="P6" s="12">
        <f>+I6</f>
        <v>0</v>
      </c>
      <c r="Q6" s="14">
        <v>0</v>
      </c>
      <c r="R6" s="12"/>
    </row>
    <row r="7" spans="1:18" x14ac:dyDescent="0.25">
      <c r="A7" s="12"/>
      <c r="B7" s="24" t="s">
        <v>157</v>
      </c>
      <c r="C7" s="35">
        <v>3.7499999999999999E-2</v>
      </c>
      <c r="D7" s="12"/>
      <c r="E7" s="15">
        <v>44430</v>
      </c>
      <c r="F7" s="14">
        <v>100</v>
      </c>
      <c r="G7" s="12">
        <f>E7-C12</f>
        <v>90</v>
      </c>
      <c r="H7" s="14">
        <f t="shared" ref="H7:H33" si="0">($C$11)/365*G7*$F$6</f>
        <v>9.3519256680889278</v>
      </c>
      <c r="I7" s="14"/>
      <c r="J7" s="14">
        <f t="shared" ref="J7:J33" si="1">SUM(H7:I7)</f>
        <v>9.3519256680889278</v>
      </c>
      <c r="K7" s="12"/>
      <c r="L7" s="15">
        <f t="shared" ref="L7:L33" si="2">+E7</f>
        <v>44430</v>
      </c>
      <c r="M7" s="14">
        <f t="shared" ref="M7:M33" si="3">+F7</f>
        <v>100</v>
      </c>
      <c r="N7" s="12">
        <f t="shared" ref="N7:N33" si="4">+G7</f>
        <v>90</v>
      </c>
      <c r="O7" s="14">
        <f t="shared" ref="O7:O33" si="5">+H7</f>
        <v>9.3519256680889278</v>
      </c>
      <c r="P7" s="12">
        <f t="shared" ref="P7:P33" si="6">+I7</f>
        <v>0</v>
      </c>
      <c r="Q7" s="14">
        <f t="shared" ref="Q7:Q33" si="7">+J7</f>
        <v>9.3519256680889278</v>
      </c>
      <c r="R7" s="12"/>
    </row>
    <row r="8" spans="1:18" x14ac:dyDescent="0.25">
      <c r="A8" s="12"/>
      <c r="B8" s="24" t="s">
        <v>28</v>
      </c>
      <c r="C8" s="35">
        <f>AVERAGE('Serie BADLAR'!C269:C329)/100</f>
        <v>0.34177254098360654</v>
      </c>
      <c r="D8" s="12"/>
      <c r="E8" s="15">
        <v>44522</v>
      </c>
      <c r="F8" s="14">
        <v>100</v>
      </c>
      <c r="G8" s="12">
        <f t="shared" ref="G8:G33" si="8">E8-E7</f>
        <v>92</v>
      </c>
      <c r="H8" s="14">
        <f t="shared" si="0"/>
        <v>9.559746238490904</v>
      </c>
      <c r="I8" s="12"/>
      <c r="J8" s="14">
        <f t="shared" si="1"/>
        <v>9.559746238490904</v>
      </c>
      <c r="K8" s="12"/>
      <c r="L8" s="15">
        <f t="shared" si="2"/>
        <v>44522</v>
      </c>
      <c r="M8" s="14">
        <f t="shared" si="3"/>
        <v>100</v>
      </c>
      <c r="N8" s="12">
        <f t="shared" si="4"/>
        <v>92</v>
      </c>
      <c r="O8" s="14">
        <f t="shared" si="5"/>
        <v>9.559746238490904</v>
      </c>
      <c r="P8" s="12">
        <f t="shared" si="6"/>
        <v>0</v>
      </c>
      <c r="Q8" s="14">
        <f t="shared" si="7"/>
        <v>9.559746238490904</v>
      </c>
      <c r="R8" s="12"/>
    </row>
    <row r="9" spans="1:18" x14ac:dyDescent="0.25">
      <c r="A9" s="12"/>
      <c r="B9" s="24" t="s">
        <v>163</v>
      </c>
      <c r="C9" s="35">
        <f>C7+C8</f>
        <v>0.37927254098360652</v>
      </c>
      <c r="D9" s="12"/>
      <c r="E9" s="15">
        <v>44614</v>
      </c>
      <c r="F9" s="14">
        <v>100</v>
      </c>
      <c r="G9" s="12">
        <f t="shared" si="8"/>
        <v>92</v>
      </c>
      <c r="H9" s="14">
        <f t="shared" si="0"/>
        <v>9.559746238490904</v>
      </c>
      <c r="I9" s="12"/>
      <c r="J9" s="14">
        <f t="shared" si="1"/>
        <v>9.559746238490904</v>
      </c>
      <c r="K9" s="12"/>
      <c r="L9" s="15">
        <f t="shared" si="2"/>
        <v>44614</v>
      </c>
      <c r="M9" s="14">
        <f t="shared" si="3"/>
        <v>100</v>
      </c>
      <c r="N9" s="12">
        <f t="shared" si="4"/>
        <v>92</v>
      </c>
      <c r="O9" s="14">
        <f t="shared" si="5"/>
        <v>9.559746238490904</v>
      </c>
      <c r="P9" s="12">
        <f t="shared" si="6"/>
        <v>0</v>
      </c>
      <c r="Q9" s="14">
        <f t="shared" si="7"/>
        <v>9.559746238490904</v>
      </c>
      <c r="R9" s="12"/>
    </row>
    <row r="10" spans="1:18" x14ac:dyDescent="0.25">
      <c r="A10" s="12"/>
      <c r="B10" s="122" t="s">
        <v>161</v>
      </c>
      <c r="C10" s="35">
        <f>+C8</f>
        <v>0.34177254098360654</v>
      </c>
      <c r="D10" s="12"/>
      <c r="E10" s="15">
        <v>44703</v>
      </c>
      <c r="F10" s="14">
        <v>100</v>
      </c>
      <c r="G10" s="12">
        <f t="shared" si="8"/>
        <v>89</v>
      </c>
      <c r="H10" s="14">
        <f t="shared" si="0"/>
        <v>9.2480153828879406</v>
      </c>
      <c r="J10" s="14">
        <f t="shared" si="1"/>
        <v>9.2480153828879406</v>
      </c>
      <c r="K10" s="12"/>
      <c r="L10" s="15">
        <f t="shared" si="2"/>
        <v>44703</v>
      </c>
      <c r="M10" s="14">
        <f t="shared" si="3"/>
        <v>100</v>
      </c>
      <c r="N10" s="12">
        <f t="shared" si="4"/>
        <v>89</v>
      </c>
      <c r="O10" s="14">
        <f t="shared" si="5"/>
        <v>9.2480153828879406</v>
      </c>
      <c r="P10" s="12">
        <f t="shared" si="6"/>
        <v>0</v>
      </c>
      <c r="Q10" s="14">
        <f t="shared" si="7"/>
        <v>9.2480153828879406</v>
      </c>
      <c r="R10" s="12"/>
    </row>
    <row r="11" spans="1:18" x14ac:dyDescent="0.25">
      <c r="A11" s="12"/>
      <c r="B11" s="122" t="s">
        <v>167</v>
      </c>
      <c r="C11" s="35">
        <f>+C10+C7</f>
        <v>0.37927254098360652</v>
      </c>
      <c r="D11" s="12"/>
      <c r="E11" s="15">
        <v>44795</v>
      </c>
      <c r="F11" s="14">
        <v>100</v>
      </c>
      <c r="G11" s="12">
        <f t="shared" si="8"/>
        <v>92</v>
      </c>
      <c r="H11" s="14">
        <f t="shared" si="0"/>
        <v>9.559746238490904</v>
      </c>
      <c r="J11" s="14">
        <f t="shared" si="1"/>
        <v>9.559746238490904</v>
      </c>
      <c r="K11" s="12"/>
      <c r="L11" s="15">
        <f t="shared" si="2"/>
        <v>44795</v>
      </c>
      <c r="M11" s="14">
        <f t="shared" si="3"/>
        <v>100</v>
      </c>
      <c r="N11" s="12">
        <f t="shared" si="4"/>
        <v>92</v>
      </c>
      <c r="O11" s="14">
        <f t="shared" si="5"/>
        <v>9.559746238490904</v>
      </c>
      <c r="P11" s="12">
        <f t="shared" si="6"/>
        <v>0</v>
      </c>
      <c r="Q11" s="14">
        <f t="shared" si="7"/>
        <v>9.559746238490904</v>
      </c>
      <c r="R11" s="12"/>
    </row>
    <row r="12" spans="1:18" x14ac:dyDescent="0.25">
      <c r="A12" s="12"/>
      <c r="B12" s="24" t="s">
        <v>27</v>
      </c>
      <c r="C12" s="33">
        <v>44340</v>
      </c>
      <c r="D12" s="12"/>
      <c r="E12" s="15">
        <v>44887</v>
      </c>
      <c r="F12" s="14">
        <v>100</v>
      </c>
      <c r="G12" s="12">
        <f t="shared" si="8"/>
        <v>92</v>
      </c>
      <c r="H12" s="14">
        <f t="shared" si="0"/>
        <v>9.559746238490904</v>
      </c>
      <c r="I12" s="12"/>
      <c r="J12" s="14">
        <f t="shared" si="1"/>
        <v>9.559746238490904</v>
      </c>
      <c r="K12" s="12"/>
      <c r="L12" s="15">
        <f t="shared" si="2"/>
        <v>44887</v>
      </c>
      <c r="M12" s="14">
        <f t="shared" si="3"/>
        <v>100</v>
      </c>
      <c r="N12" s="12">
        <f t="shared" si="4"/>
        <v>92</v>
      </c>
      <c r="O12" s="14">
        <f t="shared" si="5"/>
        <v>9.559746238490904</v>
      </c>
      <c r="P12" s="12">
        <f t="shared" si="6"/>
        <v>0</v>
      </c>
      <c r="Q12" s="14">
        <f t="shared" si="7"/>
        <v>9.559746238490904</v>
      </c>
      <c r="R12" s="110"/>
    </row>
    <row r="13" spans="1:18" x14ac:dyDescent="0.25">
      <c r="A13" s="12"/>
      <c r="B13" s="218"/>
      <c r="C13" s="219"/>
      <c r="D13" s="12"/>
      <c r="E13" s="15">
        <v>44979</v>
      </c>
      <c r="F13" s="14">
        <v>100</v>
      </c>
      <c r="G13" s="12">
        <f t="shared" si="8"/>
        <v>92</v>
      </c>
      <c r="H13" s="14">
        <f t="shared" si="0"/>
        <v>9.559746238490904</v>
      </c>
      <c r="I13" s="44"/>
      <c r="J13" s="14">
        <f t="shared" si="1"/>
        <v>9.559746238490904</v>
      </c>
      <c r="K13" s="12"/>
      <c r="L13" s="15">
        <f t="shared" si="2"/>
        <v>44979</v>
      </c>
      <c r="M13" s="14">
        <f t="shared" si="3"/>
        <v>100</v>
      </c>
      <c r="N13" s="12">
        <f t="shared" si="4"/>
        <v>92</v>
      </c>
      <c r="O13" s="14">
        <f t="shared" si="5"/>
        <v>9.559746238490904</v>
      </c>
      <c r="P13" s="12">
        <f t="shared" si="6"/>
        <v>0</v>
      </c>
      <c r="Q13" s="14">
        <f t="shared" si="7"/>
        <v>9.559746238490904</v>
      </c>
      <c r="R13" s="110"/>
    </row>
    <row r="14" spans="1:18" x14ac:dyDescent="0.25">
      <c r="A14" s="12"/>
      <c r="D14" s="12"/>
      <c r="E14" s="15">
        <v>45068</v>
      </c>
      <c r="F14" s="14">
        <v>100</v>
      </c>
      <c r="G14" s="12">
        <f t="shared" si="8"/>
        <v>89</v>
      </c>
      <c r="H14" s="14">
        <f t="shared" si="0"/>
        <v>9.2480153828879406</v>
      </c>
      <c r="I14" s="12"/>
      <c r="J14" s="14">
        <f t="shared" si="1"/>
        <v>9.2480153828879406</v>
      </c>
      <c r="K14" s="12"/>
      <c r="L14" s="15">
        <f t="shared" si="2"/>
        <v>45068</v>
      </c>
      <c r="M14" s="14">
        <f t="shared" si="3"/>
        <v>100</v>
      </c>
      <c r="N14" s="12">
        <f t="shared" si="4"/>
        <v>89</v>
      </c>
      <c r="O14" s="14">
        <f t="shared" si="5"/>
        <v>9.2480153828879406</v>
      </c>
      <c r="P14" s="12">
        <f t="shared" si="6"/>
        <v>0</v>
      </c>
      <c r="Q14" s="14">
        <f t="shared" si="7"/>
        <v>9.2480153828879406</v>
      </c>
      <c r="R14" s="110"/>
    </row>
    <row r="15" spans="1:18" x14ac:dyDescent="0.25">
      <c r="A15" s="12"/>
      <c r="B15" s="12"/>
      <c r="C15" s="12"/>
      <c r="D15" s="12"/>
      <c r="E15" s="15">
        <v>45160</v>
      </c>
      <c r="F15" s="14">
        <v>100</v>
      </c>
      <c r="G15" s="12">
        <f t="shared" si="8"/>
        <v>92</v>
      </c>
      <c r="H15" s="14">
        <f t="shared" si="0"/>
        <v>9.559746238490904</v>
      </c>
      <c r="I15" s="12"/>
      <c r="J15" s="14">
        <f t="shared" si="1"/>
        <v>9.559746238490904</v>
      </c>
      <c r="K15" s="12"/>
      <c r="L15" s="15">
        <f t="shared" si="2"/>
        <v>45160</v>
      </c>
      <c r="M15" s="14">
        <f t="shared" si="3"/>
        <v>100</v>
      </c>
      <c r="N15" s="12">
        <f t="shared" si="4"/>
        <v>92</v>
      </c>
      <c r="O15" s="14">
        <f t="shared" si="5"/>
        <v>9.559746238490904</v>
      </c>
      <c r="P15" s="12">
        <f t="shared" si="6"/>
        <v>0</v>
      </c>
      <c r="Q15" s="14">
        <f t="shared" si="7"/>
        <v>9.559746238490904</v>
      </c>
      <c r="R15" s="110"/>
    </row>
    <row r="16" spans="1:18" x14ac:dyDescent="0.25">
      <c r="A16" s="12"/>
      <c r="B16" s="12"/>
      <c r="C16" s="12"/>
      <c r="D16" s="12"/>
      <c r="E16" s="15">
        <v>45252</v>
      </c>
      <c r="F16" s="14">
        <v>100</v>
      </c>
      <c r="G16" s="12">
        <f t="shared" si="8"/>
        <v>92</v>
      </c>
      <c r="H16" s="14">
        <f t="shared" si="0"/>
        <v>9.559746238490904</v>
      </c>
      <c r="I16" s="12"/>
      <c r="J16" s="14">
        <f t="shared" si="1"/>
        <v>9.559746238490904</v>
      </c>
      <c r="K16" s="12"/>
      <c r="L16" s="15">
        <f t="shared" si="2"/>
        <v>45252</v>
      </c>
      <c r="M16" s="14">
        <f t="shared" si="3"/>
        <v>100</v>
      </c>
      <c r="N16" s="12">
        <f t="shared" si="4"/>
        <v>92</v>
      </c>
      <c r="O16" s="14">
        <f t="shared" si="5"/>
        <v>9.559746238490904</v>
      </c>
      <c r="P16" s="12">
        <f t="shared" si="6"/>
        <v>0</v>
      </c>
      <c r="Q16" s="14">
        <f t="shared" si="7"/>
        <v>9.559746238490904</v>
      </c>
      <c r="R16" s="12"/>
    </row>
    <row r="17" spans="1:20" x14ac:dyDescent="0.25">
      <c r="A17" s="12"/>
      <c r="B17" s="12"/>
      <c r="C17" s="12"/>
      <c r="D17" s="12"/>
      <c r="E17" s="15">
        <v>45344</v>
      </c>
      <c r="F17" s="14">
        <v>100</v>
      </c>
      <c r="G17" s="12">
        <f t="shared" si="8"/>
        <v>92</v>
      </c>
      <c r="H17" s="14">
        <f t="shared" si="0"/>
        <v>9.559746238490904</v>
      </c>
      <c r="I17" s="12"/>
      <c r="J17" s="14">
        <f t="shared" si="1"/>
        <v>9.559746238490904</v>
      </c>
      <c r="K17" s="12"/>
      <c r="L17" s="15">
        <f t="shared" si="2"/>
        <v>45344</v>
      </c>
      <c r="M17" s="14">
        <f t="shared" si="3"/>
        <v>100</v>
      </c>
      <c r="N17" s="12">
        <f t="shared" si="4"/>
        <v>92</v>
      </c>
      <c r="O17" s="14">
        <f t="shared" si="5"/>
        <v>9.559746238490904</v>
      </c>
      <c r="P17" s="12">
        <f t="shared" si="6"/>
        <v>0</v>
      </c>
      <c r="Q17" s="14">
        <f t="shared" si="7"/>
        <v>9.559746238490904</v>
      </c>
      <c r="R17" s="12"/>
    </row>
    <row r="18" spans="1:20" x14ac:dyDescent="0.25">
      <c r="A18" s="12"/>
      <c r="B18" s="12"/>
      <c r="C18" s="12"/>
      <c r="D18" s="12"/>
      <c r="E18" s="15">
        <v>45434</v>
      </c>
      <c r="F18" s="14">
        <v>100</v>
      </c>
      <c r="G18" s="12">
        <f t="shared" si="8"/>
        <v>90</v>
      </c>
      <c r="H18" s="14">
        <f t="shared" si="0"/>
        <v>9.3519256680889278</v>
      </c>
      <c r="I18" s="12"/>
      <c r="J18" s="14">
        <f t="shared" si="1"/>
        <v>9.3519256680889278</v>
      </c>
      <c r="K18" s="12"/>
      <c r="L18" s="15">
        <f t="shared" si="2"/>
        <v>45434</v>
      </c>
      <c r="M18" s="14">
        <f t="shared" si="3"/>
        <v>100</v>
      </c>
      <c r="N18" s="12">
        <f t="shared" si="4"/>
        <v>90</v>
      </c>
      <c r="O18" s="14">
        <f t="shared" si="5"/>
        <v>9.3519256680889278</v>
      </c>
      <c r="P18" s="12">
        <f t="shared" si="6"/>
        <v>0</v>
      </c>
      <c r="Q18" s="14">
        <f t="shared" si="7"/>
        <v>9.3519256680889278</v>
      </c>
      <c r="R18" s="12"/>
    </row>
    <row r="19" spans="1:20" x14ac:dyDescent="0.25">
      <c r="A19" s="12"/>
      <c r="B19" s="12"/>
      <c r="C19" s="12"/>
      <c r="D19" s="12"/>
      <c r="E19" s="15">
        <v>45526</v>
      </c>
      <c r="F19" s="14">
        <v>100</v>
      </c>
      <c r="G19" s="12">
        <f t="shared" si="8"/>
        <v>92</v>
      </c>
      <c r="H19" s="14">
        <f t="shared" si="0"/>
        <v>9.559746238490904</v>
      </c>
      <c r="I19" s="12"/>
      <c r="J19" s="14">
        <f t="shared" si="1"/>
        <v>9.559746238490904</v>
      </c>
      <c r="K19" s="12"/>
      <c r="L19" s="15">
        <f t="shared" si="2"/>
        <v>45526</v>
      </c>
      <c r="M19" s="14">
        <f t="shared" si="3"/>
        <v>100</v>
      </c>
      <c r="N19" s="12">
        <f t="shared" si="4"/>
        <v>92</v>
      </c>
      <c r="O19" s="14">
        <f t="shared" si="5"/>
        <v>9.559746238490904</v>
      </c>
      <c r="P19" s="12">
        <f t="shared" si="6"/>
        <v>0</v>
      </c>
      <c r="Q19" s="14">
        <f t="shared" si="7"/>
        <v>9.559746238490904</v>
      </c>
      <c r="R19" s="12"/>
    </row>
    <row r="20" spans="1:20" x14ac:dyDescent="0.25">
      <c r="A20" s="12"/>
      <c r="B20" s="12"/>
      <c r="C20" s="12"/>
      <c r="D20" s="12"/>
      <c r="E20" s="15">
        <v>45618</v>
      </c>
      <c r="F20" s="14">
        <v>100</v>
      </c>
      <c r="G20" s="12">
        <f t="shared" si="8"/>
        <v>92</v>
      </c>
      <c r="H20" s="14">
        <f t="shared" si="0"/>
        <v>9.559746238490904</v>
      </c>
      <c r="I20" s="12"/>
      <c r="J20" s="14">
        <f t="shared" si="1"/>
        <v>9.559746238490904</v>
      </c>
      <c r="K20" s="12"/>
      <c r="L20" s="15">
        <f t="shared" si="2"/>
        <v>45618</v>
      </c>
      <c r="M20" s="14">
        <f t="shared" si="3"/>
        <v>100</v>
      </c>
      <c r="N20" s="12">
        <f t="shared" si="4"/>
        <v>92</v>
      </c>
      <c r="O20" s="14">
        <f t="shared" si="5"/>
        <v>9.559746238490904</v>
      </c>
      <c r="P20" s="12">
        <f t="shared" si="6"/>
        <v>0</v>
      </c>
      <c r="Q20" s="14">
        <f t="shared" si="7"/>
        <v>9.559746238490904</v>
      </c>
      <c r="R20" s="12"/>
    </row>
    <row r="21" spans="1:20" x14ac:dyDescent="0.25">
      <c r="A21" s="12"/>
      <c r="B21" s="12"/>
      <c r="C21" s="12"/>
      <c r="D21" s="12"/>
      <c r="E21" s="15">
        <v>45710</v>
      </c>
      <c r="F21" s="14">
        <v>100</v>
      </c>
      <c r="G21" s="12">
        <f t="shared" si="8"/>
        <v>92</v>
      </c>
      <c r="H21" s="14">
        <f t="shared" si="0"/>
        <v>9.559746238490904</v>
      </c>
      <c r="I21" s="12"/>
      <c r="J21" s="14">
        <f t="shared" si="1"/>
        <v>9.559746238490904</v>
      </c>
      <c r="K21" s="12"/>
      <c r="L21" s="15">
        <f t="shared" si="2"/>
        <v>45710</v>
      </c>
      <c r="M21" s="14">
        <f t="shared" si="3"/>
        <v>100</v>
      </c>
      <c r="N21" s="12">
        <f t="shared" si="4"/>
        <v>92</v>
      </c>
      <c r="O21" s="14">
        <f t="shared" si="5"/>
        <v>9.559746238490904</v>
      </c>
      <c r="P21" s="12">
        <f t="shared" si="6"/>
        <v>0</v>
      </c>
      <c r="Q21" s="14">
        <f t="shared" si="7"/>
        <v>9.559746238490904</v>
      </c>
      <c r="R21" s="12"/>
    </row>
    <row r="22" spans="1:20" x14ac:dyDescent="0.25">
      <c r="A22" s="12"/>
      <c r="B22" s="12"/>
      <c r="C22" s="12"/>
      <c r="D22" s="12"/>
      <c r="E22" s="15">
        <v>45799</v>
      </c>
      <c r="F22" s="14">
        <v>100</v>
      </c>
      <c r="G22" s="12">
        <f t="shared" si="8"/>
        <v>89</v>
      </c>
      <c r="H22" s="14">
        <f t="shared" si="0"/>
        <v>9.2480153828879406</v>
      </c>
      <c r="I22" s="12"/>
      <c r="J22" s="14">
        <f t="shared" si="1"/>
        <v>9.2480153828879406</v>
      </c>
      <c r="K22" s="12"/>
      <c r="L22" s="15">
        <f t="shared" si="2"/>
        <v>45799</v>
      </c>
      <c r="M22" s="14">
        <f t="shared" si="3"/>
        <v>100</v>
      </c>
      <c r="N22" s="12">
        <f t="shared" si="4"/>
        <v>89</v>
      </c>
      <c r="O22" s="14">
        <f t="shared" si="5"/>
        <v>9.2480153828879406</v>
      </c>
      <c r="P22" s="12">
        <f t="shared" si="6"/>
        <v>0</v>
      </c>
      <c r="Q22" s="14">
        <f t="shared" si="7"/>
        <v>9.2480153828879406</v>
      </c>
      <c r="R22" s="12"/>
    </row>
    <row r="23" spans="1:20" x14ac:dyDescent="0.25">
      <c r="A23" s="12"/>
      <c r="B23" s="12"/>
      <c r="C23" s="12"/>
      <c r="D23" s="12"/>
      <c r="E23" s="15">
        <v>45891</v>
      </c>
      <c r="F23" s="14">
        <v>100</v>
      </c>
      <c r="G23" s="12">
        <f t="shared" si="8"/>
        <v>92</v>
      </c>
      <c r="H23" s="14">
        <f t="shared" si="0"/>
        <v>9.559746238490904</v>
      </c>
      <c r="I23" s="12"/>
      <c r="J23" s="14">
        <f t="shared" si="1"/>
        <v>9.559746238490904</v>
      </c>
      <c r="K23" s="12"/>
      <c r="L23" s="15">
        <f t="shared" si="2"/>
        <v>45891</v>
      </c>
      <c r="M23" s="14">
        <f t="shared" si="3"/>
        <v>100</v>
      </c>
      <c r="N23" s="12">
        <f t="shared" si="4"/>
        <v>92</v>
      </c>
      <c r="O23" s="14">
        <f t="shared" si="5"/>
        <v>9.559746238490904</v>
      </c>
      <c r="P23" s="12">
        <f t="shared" si="6"/>
        <v>0</v>
      </c>
      <c r="Q23" s="14">
        <f t="shared" si="7"/>
        <v>9.559746238490904</v>
      </c>
      <c r="R23" s="12"/>
    </row>
    <row r="24" spans="1:20" x14ac:dyDescent="0.25">
      <c r="A24" s="12"/>
      <c r="B24" s="12"/>
      <c r="C24" s="12"/>
      <c r="D24" s="12"/>
      <c r="E24" s="15">
        <v>45983</v>
      </c>
      <c r="F24" s="14">
        <v>100</v>
      </c>
      <c r="G24" s="12">
        <f t="shared" si="8"/>
        <v>92</v>
      </c>
      <c r="H24" s="14">
        <f t="shared" si="0"/>
        <v>9.559746238490904</v>
      </c>
      <c r="I24" s="12"/>
      <c r="J24" s="14">
        <f t="shared" si="1"/>
        <v>9.559746238490904</v>
      </c>
      <c r="K24" s="12"/>
      <c r="L24" s="15">
        <f t="shared" si="2"/>
        <v>45983</v>
      </c>
      <c r="M24" s="14">
        <f t="shared" si="3"/>
        <v>100</v>
      </c>
      <c r="N24" s="12">
        <f t="shared" si="4"/>
        <v>92</v>
      </c>
      <c r="O24" s="14">
        <f t="shared" si="5"/>
        <v>9.559746238490904</v>
      </c>
      <c r="P24" s="12">
        <f t="shared" si="6"/>
        <v>0</v>
      </c>
      <c r="Q24" s="14">
        <f t="shared" si="7"/>
        <v>9.559746238490904</v>
      </c>
      <c r="R24" s="12"/>
    </row>
    <row r="25" spans="1:20" x14ac:dyDescent="0.25">
      <c r="A25" s="12"/>
      <c r="B25" s="12"/>
      <c r="C25" s="12"/>
      <c r="D25" s="12"/>
      <c r="E25" s="15">
        <v>46075</v>
      </c>
      <c r="F25" s="14">
        <v>100</v>
      </c>
      <c r="G25" s="12">
        <f t="shared" si="8"/>
        <v>92</v>
      </c>
      <c r="H25" s="14">
        <f t="shared" si="0"/>
        <v>9.559746238490904</v>
      </c>
      <c r="I25" s="12"/>
      <c r="J25" s="14">
        <f t="shared" si="1"/>
        <v>9.559746238490904</v>
      </c>
      <c r="K25" s="12"/>
      <c r="L25" s="15">
        <f t="shared" si="2"/>
        <v>46075</v>
      </c>
      <c r="M25" s="14">
        <f t="shared" si="3"/>
        <v>100</v>
      </c>
      <c r="N25" s="12">
        <f t="shared" si="4"/>
        <v>92</v>
      </c>
      <c r="O25" s="14">
        <f t="shared" si="5"/>
        <v>9.559746238490904</v>
      </c>
      <c r="P25" s="12">
        <f t="shared" si="6"/>
        <v>0</v>
      </c>
      <c r="Q25" s="14">
        <f t="shared" si="7"/>
        <v>9.559746238490904</v>
      </c>
      <c r="R25" s="12"/>
    </row>
    <row r="26" spans="1:20" x14ac:dyDescent="0.25">
      <c r="A26" s="12"/>
      <c r="B26" s="12"/>
      <c r="C26" s="12"/>
      <c r="D26" s="12"/>
      <c r="E26" s="15">
        <v>46164</v>
      </c>
      <c r="F26" s="14">
        <v>100</v>
      </c>
      <c r="G26" s="12">
        <f t="shared" si="8"/>
        <v>89</v>
      </c>
      <c r="H26" s="14">
        <f t="shared" si="0"/>
        <v>9.2480153828879406</v>
      </c>
      <c r="I26" s="12"/>
      <c r="J26" s="14">
        <f t="shared" si="1"/>
        <v>9.2480153828879406</v>
      </c>
      <c r="K26" s="12"/>
      <c r="L26" s="15">
        <f t="shared" si="2"/>
        <v>46164</v>
      </c>
      <c r="M26" s="14">
        <f t="shared" si="3"/>
        <v>100</v>
      </c>
      <c r="N26" s="12">
        <f t="shared" si="4"/>
        <v>89</v>
      </c>
      <c r="O26" s="14">
        <f t="shared" si="5"/>
        <v>9.2480153828879406</v>
      </c>
      <c r="P26" s="12">
        <f t="shared" si="6"/>
        <v>0</v>
      </c>
      <c r="Q26" s="14">
        <f t="shared" si="7"/>
        <v>9.2480153828879406</v>
      </c>
      <c r="R26" s="12"/>
    </row>
    <row r="27" spans="1:20" x14ac:dyDescent="0.25">
      <c r="A27" s="12"/>
      <c r="B27" s="12"/>
      <c r="C27" s="12"/>
      <c r="D27" s="12"/>
      <c r="E27" s="15">
        <v>46256</v>
      </c>
      <c r="F27" s="14">
        <v>100</v>
      </c>
      <c r="G27" s="12">
        <f t="shared" si="8"/>
        <v>92</v>
      </c>
      <c r="H27" s="14">
        <f t="shared" si="0"/>
        <v>9.559746238490904</v>
      </c>
      <c r="I27" s="12"/>
      <c r="J27" s="14">
        <f t="shared" si="1"/>
        <v>9.559746238490904</v>
      </c>
      <c r="K27" s="12"/>
      <c r="L27" s="15">
        <f t="shared" si="2"/>
        <v>46256</v>
      </c>
      <c r="M27" s="14">
        <f t="shared" si="3"/>
        <v>100</v>
      </c>
      <c r="N27" s="12">
        <f t="shared" si="4"/>
        <v>92</v>
      </c>
      <c r="O27" s="14">
        <f t="shared" si="5"/>
        <v>9.559746238490904</v>
      </c>
      <c r="P27" s="12">
        <f t="shared" si="6"/>
        <v>0</v>
      </c>
      <c r="Q27" s="14">
        <f t="shared" si="7"/>
        <v>9.559746238490904</v>
      </c>
      <c r="R27" s="12"/>
    </row>
    <row r="28" spans="1:20" x14ac:dyDescent="0.25">
      <c r="A28" s="12"/>
      <c r="B28" s="12"/>
      <c r="C28" s="12"/>
      <c r="D28" s="12"/>
      <c r="E28" s="15">
        <v>46348</v>
      </c>
      <c r="F28" s="14">
        <v>100</v>
      </c>
      <c r="G28" s="12">
        <f t="shared" si="8"/>
        <v>92</v>
      </c>
      <c r="H28" s="14">
        <f t="shared" si="0"/>
        <v>9.559746238490904</v>
      </c>
      <c r="I28" s="12"/>
      <c r="J28" s="14">
        <f t="shared" si="1"/>
        <v>9.559746238490904</v>
      </c>
      <c r="K28" s="12"/>
      <c r="L28" s="15">
        <f t="shared" si="2"/>
        <v>46348</v>
      </c>
      <c r="M28" s="14">
        <f t="shared" si="3"/>
        <v>100</v>
      </c>
      <c r="N28" s="12">
        <f t="shared" si="4"/>
        <v>92</v>
      </c>
      <c r="O28" s="14">
        <f t="shared" si="5"/>
        <v>9.559746238490904</v>
      </c>
      <c r="P28" s="12">
        <f t="shared" si="6"/>
        <v>0</v>
      </c>
      <c r="Q28" s="14">
        <f t="shared" si="7"/>
        <v>9.559746238490904</v>
      </c>
      <c r="R28" s="12"/>
    </row>
    <row r="29" spans="1:20" x14ac:dyDescent="0.25">
      <c r="A29" s="12"/>
      <c r="B29" s="12"/>
      <c r="C29" s="12"/>
      <c r="D29" s="12"/>
      <c r="E29" s="15">
        <v>46440</v>
      </c>
      <c r="F29" s="14">
        <v>100</v>
      </c>
      <c r="G29" s="12">
        <f t="shared" si="8"/>
        <v>92</v>
      </c>
      <c r="H29" s="14">
        <f t="shared" si="0"/>
        <v>9.559746238490904</v>
      </c>
      <c r="I29" s="12"/>
      <c r="J29" s="14">
        <f t="shared" si="1"/>
        <v>9.559746238490904</v>
      </c>
      <c r="K29" s="12"/>
      <c r="L29" s="15">
        <f t="shared" si="2"/>
        <v>46440</v>
      </c>
      <c r="M29" s="14">
        <f t="shared" si="3"/>
        <v>100</v>
      </c>
      <c r="N29" s="12">
        <f t="shared" si="4"/>
        <v>92</v>
      </c>
      <c r="O29" s="14">
        <f t="shared" si="5"/>
        <v>9.559746238490904</v>
      </c>
      <c r="P29" s="12">
        <f t="shared" si="6"/>
        <v>0</v>
      </c>
      <c r="Q29" s="14">
        <f t="shared" si="7"/>
        <v>9.559746238490904</v>
      </c>
      <c r="R29" s="12"/>
      <c r="S29" s="51"/>
      <c r="T29" s="51"/>
    </row>
    <row r="30" spans="1:20" x14ac:dyDescent="0.25">
      <c r="A30" s="12"/>
      <c r="B30" s="12"/>
      <c r="C30" s="12"/>
      <c r="D30" s="12"/>
      <c r="E30" s="15">
        <v>46529</v>
      </c>
      <c r="F30" s="14">
        <v>100</v>
      </c>
      <c r="G30" s="12">
        <f t="shared" si="8"/>
        <v>89</v>
      </c>
      <c r="H30" s="14">
        <f t="shared" si="0"/>
        <v>9.2480153828879406</v>
      </c>
      <c r="I30" s="12"/>
      <c r="J30" s="14">
        <f t="shared" si="1"/>
        <v>9.2480153828879406</v>
      </c>
      <c r="K30" s="12"/>
      <c r="L30" s="15">
        <f t="shared" si="2"/>
        <v>46529</v>
      </c>
      <c r="M30" s="14">
        <f t="shared" si="3"/>
        <v>100</v>
      </c>
      <c r="N30" s="12">
        <f t="shared" si="4"/>
        <v>89</v>
      </c>
      <c r="O30" s="14">
        <f t="shared" si="5"/>
        <v>9.2480153828879406</v>
      </c>
      <c r="P30" s="12">
        <f t="shared" si="6"/>
        <v>0</v>
      </c>
      <c r="Q30" s="14">
        <f t="shared" si="7"/>
        <v>9.2480153828879406</v>
      </c>
      <c r="R30" s="12"/>
      <c r="S30" s="51"/>
      <c r="T30" s="51"/>
    </row>
    <row r="31" spans="1:20" x14ac:dyDescent="0.25">
      <c r="A31" s="12"/>
      <c r="B31" s="12"/>
      <c r="C31" s="12"/>
      <c r="D31" s="12"/>
      <c r="E31" s="15">
        <v>46621</v>
      </c>
      <c r="F31" s="14">
        <v>100</v>
      </c>
      <c r="G31" s="12">
        <f t="shared" si="8"/>
        <v>92</v>
      </c>
      <c r="H31" s="14">
        <f t="shared" si="0"/>
        <v>9.559746238490904</v>
      </c>
      <c r="I31" s="12"/>
      <c r="J31" s="14">
        <f t="shared" si="1"/>
        <v>9.559746238490904</v>
      </c>
      <c r="K31" s="12"/>
      <c r="L31" s="15">
        <f t="shared" si="2"/>
        <v>46621</v>
      </c>
      <c r="M31" s="14">
        <f t="shared" si="3"/>
        <v>100</v>
      </c>
      <c r="N31" s="12">
        <f t="shared" si="4"/>
        <v>92</v>
      </c>
      <c r="O31" s="14">
        <f t="shared" si="5"/>
        <v>9.559746238490904</v>
      </c>
      <c r="P31" s="12">
        <f t="shared" si="6"/>
        <v>0</v>
      </c>
      <c r="Q31" s="14">
        <f t="shared" si="7"/>
        <v>9.559746238490904</v>
      </c>
      <c r="R31" s="12"/>
      <c r="S31" s="51"/>
      <c r="T31" s="51"/>
    </row>
    <row r="32" spans="1:20" x14ac:dyDescent="0.25">
      <c r="A32" s="12"/>
      <c r="B32" s="12"/>
      <c r="C32" s="12"/>
      <c r="D32" s="12"/>
      <c r="E32" s="15">
        <v>46713</v>
      </c>
      <c r="F32" s="14">
        <v>100</v>
      </c>
      <c r="G32" s="12">
        <f t="shared" si="8"/>
        <v>92</v>
      </c>
      <c r="H32" s="14">
        <f t="shared" si="0"/>
        <v>9.559746238490904</v>
      </c>
      <c r="I32" s="12"/>
      <c r="J32" s="14">
        <f t="shared" si="1"/>
        <v>9.559746238490904</v>
      </c>
      <c r="K32" s="12"/>
      <c r="L32" s="15">
        <f t="shared" si="2"/>
        <v>46713</v>
      </c>
      <c r="M32" s="14">
        <f t="shared" si="3"/>
        <v>100</v>
      </c>
      <c r="N32" s="12">
        <f t="shared" si="4"/>
        <v>92</v>
      </c>
      <c r="O32" s="14">
        <f t="shared" si="5"/>
        <v>9.559746238490904</v>
      </c>
      <c r="P32" s="12">
        <f t="shared" si="6"/>
        <v>0</v>
      </c>
      <c r="Q32" s="14">
        <f t="shared" si="7"/>
        <v>9.559746238490904</v>
      </c>
      <c r="R32" s="12"/>
      <c r="S32" s="51"/>
      <c r="T32" s="51"/>
    </row>
    <row r="33" spans="1:20" x14ac:dyDescent="0.25">
      <c r="A33" s="12"/>
      <c r="B33" s="12"/>
      <c r="C33" s="12"/>
      <c r="D33" s="12"/>
      <c r="E33" s="15">
        <v>46805</v>
      </c>
      <c r="F33" s="14">
        <v>100</v>
      </c>
      <c r="G33" s="12">
        <f t="shared" si="8"/>
        <v>92</v>
      </c>
      <c r="H33" s="14">
        <f t="shared" si="0"/>
        <v>9.559746238490904</v>
      </c>
      <c r="I33" s="12">
        <v>100</v>
      </c>
      <c r="J33" s="14">
        <f t="shared" si="1"/>
        <v>109.5597462384909</v>
      </c>
      <c r="K33" s="12"/>
      <c r="L33" s="15">
        <f t="shared" si="2"/>
        <v>46805</v>
      </c>
      <c r="M33" s="14">
        <f t="shared" si="3"/>
        <v>100</v>
      </c>
      <c r="N33" s="12">
        <f t="shared" si="4"/>
        <v>92</v>
      </c>
      <c r="O33" s="14">
        <f t="shared" si="5"/>
        <v>9.559746238490904</v>
      </c>
      <c r="P33" s="12">
        <f t="shared" si="6"/>
        <v>100</v>
      </c>
      <c r="Q33" s="14">
        <f t="shared" si="7"/>
        <v>109.5597462384909</v>
      </c>
      <c r="R33" s="12"/>
      <c r="S33" s="51"/>
      <c r="T33" s="51"/>
    </row>
    <row r="34" spans="1:2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51"/>
      <c r="T34" s="51"/>
    </row>
    <row r="35" spans="1:20" x14ac:dyDescent="0.25">
      <c r="A35" s="12"/>
      <c r="B35" s="12"/>
      <c r="C35" s="12"/>
      <c r="D35" s="12"/>
      <c r="E35" s="12"/>
      <c r="F35" s="12"/>
      <c r="G35" s="12"/>
      <c r="H35" s="12"/>
      <c r="I35" s="92" t="s">
        <v>10</v>
      </c>
      <c r="J35" s="86">
        <f>XIRR(J6:J33,E6:E33,0)</f>
        <v>0.52549883789062513</v>
      </c>
      <c r="K35" s="12"/>
      <c r="L35" s="12"/>
      <c r="M35" s="12"/>
      <c r="N35" s="12"/>
      <c r="O35" s="12"/>
      <c r="P35" s="12"/>
      <c r="Q35" s="12"/>
      <c r="R35" s="12"/>
      <c r="S35" s="51"/>
      <c r="T35" s="51"/>
    </row>
    <row r="36" spans="1:20" x14ac:dyDescent="0.25">
      <c r="A36" s="12"/>
      <c r="B36" s="12"/>
      <c r="C36" s="12"/>
      <c r="D36" s="12"/>
      <c r="E36" s="12"/>
      <c r="F36" s="12"/>
      <c r="G36" s="12"/>
      <c r="H36" s="12"/>
      <c r="I36" s="92" t="s">
        <v>64</v>
      </c>
      <c r="J36" s="71">
        <f>MDURATION(E6,E33,C9,J35,4)</f>
        <v>1.7806235968856483</v>
      </c>
      <c r="K36" s="12"/>
      <c r="L36" s="12"/>
      <c r="M36" s="12"/>
      <c r="N36" s="12"/>
      <c r="O36" s="12"/>
      <c r="P36" s="12"/>
      <c r="Q36" s="12"/>
      <c r="R36" s="12"/>
      <c r="S36" s="51"/>
      <c r="T36" s="51"/>
    </row>
    <row r="37" spans="1:20" x14ac:dyDescent="0.25">
      <c r="A37" s="12"/>
      <c r="B37" s="12"/>
      <c r="C37" s="12"/>
      <c r="D37" s="12"/>
      <c r="K37" s="12"/>
      <c r="L37" s="12"/>
      <c r="M37" s="12"/>
      <c r="N37" s="12"/>
      <c r="O37" s="12"/>
      <c r="P37" s="12"/>
      <c r="Q37" s="12"/>
      <c r="R37" s="12"/>
      <c r="S37" s="51"/>
      <c r="T37" s="51"/>
    </row>
    <row r="38" spans="1:20" x14ac:dyDescent="0.25">
      <c r="A38" s="12"/>
      <c r="B38" s="12"/>
      <c r="C38" s="12"/>
      <c r="D38" s="12"/>
      <c r="K38" s="12"/>
      <c r="L38" s="12"/>
      <c r="M38" s="12"/>
      <c r="N38" s="12"/>
      <c r="O38" s="12"/>
      <c r="P38" s="12"/>
      <c r="Q38" s="12"/>
      <c r="R38" s="12"/>
      <c r="S38" s="51"/>
      <c r="T38" s="51"/>
    </row>
    <row r="39" spans="1:20" ht="30" x14ac:dyDescent="0.25">
      <c r="A39" s="12"/>
      <c r="B39" s="12"/>
      <c r="C39" s="12"/>
      <c r="D39" s="12"/>
      <c r="E39" s="272" t="s">
        <v>92</v>
      </c>
      <c r="F39" s="272"/>
      <c r="G39" s="129"/>
      <c r="H39" s="61">
        <v>0.4</v>
      </c>
      <c r="I39" s="62">
        <f>XNPV(H39,$Q$6:$Q$33,$L$6:$L$33)</f>
        <v>111.65547669595071</v>
      </c>
      <c r="J39" s="61">
        <f>(I39/-J6)-1</f>
        <v>0.23376217343591943</v>
      </c>
      <c r="N39" s="51"/>
      <c r="O39" s="51"/>
      <c r="P39" s="51"/>
      <c r="Q39" s="51"/>
      <c r="R39" s="12"/>
      <c r="S39" s="51"/>
      <c r="T39" s="51"/>
    </row>
    <row r="40" spans="1:20" x14ac:dyDescent="0.25">
      <c r="A40" s="12"/>
      <c r="B40" s="12"/>
      <c r="C40" s="12"/>
      <c r="D40" s="12"/>
      <c r="E40" s="273"/>
      <c r="F40" s="273"/>
      <c r="G40" s="130"/>
      <c r="H40" s="63">
        <v>0.45</v>
      </c>
      <c r="I40" s="64">
        <f>XNPV(H40,$Q$6:$Q$33,$L$6:$L$33)</f>
        <v>102.09101613876852</v>
      </c>
      <c r="J40" s="63">
        <f>(I40/-J6)-1</f>
        <v>0.12807752639523229</v>
      </c>
      <c r="N40" s="51"/>
      <c r="O40" s="51"/>
      <c r="P40" s="52"/>
      <c r="Q40" s="51"/>
      <c r="R40" s="12"/>
      <c r="S40" s="58"/>
      <c r="T40" s="51"/>
    </row>
    <row r="41" spans="1:20" ht="15" customHeight="1" x14ac:dyDescent="0.25">
      <c r="N41" s="51"/>
      <c r="O41" s="51"/>
      <c r="P41" s="51"/>
      <c r="Q41" s="51"/>
      <c r="R41" s="51"/>
      <c r="S41" s="51"/>
      <c r="T41" s="51"/>
    </row>
    <row r="42" spans="1:20" x14ac:dyDescent="0.25">
      <c r="R42" s="51"/>
      <c r="S42" s="51"/>
      <c r="T42" s="51"/>
    </row>
    <row r="43" spans="1:20" ht="5.25" customHeight="1" x14ac:dyDescent="0.25">
      <c r="R43" s="51"/>
      <c r="S43" s="51"/>
      <c r="T43" s="51"/>
    </row>
    <row r="44" spans="1:20" x14ac:dyDescent="0.25">
      <c r="N44" s="51"/>
      <c r="O44" s="51"/>
      <c r="P44" s="392"/>
      <c r="Q44" s="392"/>
      <c r="R44" s="392"/>
      <c r="S44" s="51"/>
      <c r="T44" s="51"/>
    </row>
    <row r="45" spans="1:20" ht="7.5" customHeight="1" x14ac:dyDescent="0.25">
      <c r="N45" s="51"/>
      <c r="O45" s="51"/>
      <c r="P45" s="51"/>
      <c r="Q45" s="51"/>
      <c r="R45" s="51"/>
    </row>
    <row r="46" spans="1:20" x14ac:dyDescent="0.25">
      <c r="N46" s="51"/>
      <c r="O46" s="51"/>
      <c r="P46" s="53"/>
      <c r="Q46" s="54"/>
      <c r="R46" s="54"/>
    </row>
    <row r="47" spans="1:20" x14ac:dyDescent="0.25">
      <c r="N47" s="51"/>
      <c r="O47" s="51"/>
      <c r="P47" s="53"/>
      <c r="Q47" s="55"/>
      <c r="R47" s="55"/>
    </row>
    <row r="48" spans="1:20" x14ac:dyDescent="0.25">
      <c r="N48" s="51"/>
      <c r="O48" s="51"/>
      <c r="P48" s="53"/>
      <c r="Q48" s="55"/>
      <c r="R48" s="55"/>
    </row>
    <row r="49" spans="14:18" x14ac:dyDescent="0.25">
      <c r="N49" s="51"/>
      <c r="O49" s="51"/>
      <c r="P49" s="53"/>
      <c r="Q49" s="54"/>
      <c r="R49" s="54"/>
    </row>
    <row r="50" spans="14:18" x14ac:dyDescent="0.25">
      <c r="N50" s="51"/>
      <c r="O50" s="51"/>
      <c r="P50" s="53"/>
      <c r="Q50" s="56"/>
      <c r="R50" s="56"/>
    </row>
    <row r="51" spans="14:18" x14ac:dyDescent="0.25">
      <c r="N51" s="51"/>
      <c r="O51" s="51"/>
      <c r="P51" s="51"/>
      <c r="Q51" s="51"/>
      <c r="R51" s="51"/>
    </row>
    <row r="52" spans="14:18" x14ac:dyDescent="0.25">
      <c r="N52" s="51"/>
      <c r="O52" s="51"/>
      <c r="P52" s="57"/>
      <c r="Q52" s="57"/>
      <c r="R52" s="57"/>
    </row>
    <row r="53" spans="14:18" x14ac:dyDescent="0.25">
      <c r="N53" s="51"/>
      <c r="O53" s="51"/>
      <c r="P53" s="51"/>
      <c r="Q53" s="51"/>
      <c r="R53" s="51"/>
    </row>
    <row r="54" spans="14:18" x14ac:dyDescent="0.25">
      <c r="N54" s="51"/>
      <c r="O54" s="51"/>
      <c r="P54" s="51"/>
      <c r="Q54" s="51"/>
      <c r="R54" s="51"/>
    </row>
    <row r="55" spans="14:18" x14ac:dyDescent="0.25">
      <c r="N55" s="51"/>
      <c r="O55" s="51"/>
      <c r="P55" s="51"/>
      <c r="Q55" s="51"/>
      <c r="R55" s="51"/>
    </row>
    <row r="56" spans="14:18" x14ac:dyDescent="0.25">
      <c r="N56" s="51"/>
      <c r="O56" s="51"/>
      <c r="P56" s="51"/>
      <c r="Q56" s="51"/>
      <c r="R56" s="51"/>
    </row>
    <row r="57" spans="14:18" x14ac:dyDescent="0.25">
      <c r="N57" s="51"/>
      <c r="O57" s="51"/>
      <c r="P57" s="51"/>
      <c r="Q57" s="51"/>
      <c r="R57" s="51"/>
    </row>
    <row r="58" spans="14:18" x14ac:dyDescent="0.25">
      <c r="N58" s="51"/>
      <c r="O58" s="51"/>
      <c r="P58" s="51"/>
      <c r="Q58" s="51"/>
      <c r="R58" s="51"/>
    </row>
  </sheetData>
  <mergeCells count="5">
    <mergeCell ref="P44:R44"/>
    <mergeCell ref="B2:J2"/>
    <mergeCell ref="B4:C4"/>
    <mergeCell ref="E4:J4"/>
    <mergeCell ref="L4:Q4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34"/>
  <sheetViews>
    <sheetView showGridLines="0" zoomScale="90" zoomScaleNormal="90" workbookViewId="0">
      <selection activeCell="C25" sqref="C25"/>
    </sheetView>
  </sheetViews>
  <sheetFormatPr baseColWidth="10" defaultRowHeight="15" x14ac:dyDescent="0.25"/>
  <cols>
    <col min="2" max="2" width="17.7109375" customWidth="1"/>
    <col min="3" max="3" width="13.42578125" customWidth="1"/>
    <col min="4" max="4" width="4" customWidth="1"/>
    <col min="5" max="5" width="12.140625" bestFit="1" customWidth="1"/>
    <col min="6" max="6" width="9.140625" customWidth="1"/>
    <col min="7" max="7" width="7.5703125" customWidth="1"/>
    <col min="8" max="8" width="8.28515625" customWidth="1"/>
    <col min="9" max="9" width="11.5703125" customWidth="1"/>
    <col min="10" max="10" width="10.85546875" customWidth="1"/>
    <col min="11" max="11" width="6.140625" customWidth="1"/>
    <col min="12" max="12" width="12.140625" bestFit="1" customWidth="1"/>
    <col min="13" max="13" width="8.5703125" customWidth="1"/>
    <col min="14" max="14" width="7.7109375" customWidth="1"/>
    <col min="15" max="15" width="9.140625" customWidth="1"/>
    <col min="16" max="16" width="10.7109375" customWidth="1"/>
    <col min="17" max="17" width="9.28515625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373" t="s">
        <v>34</v>
      </c>
      <c r="C4" s="374"/>
      <c r="D4" s="12"/>
      <c r="E4" s="398" t="s">
        <v>173</v>
      </c>
      <c r="F4" s="398"/>
      <c r="G4" s="398"/>
      <c r="H4" s="398"/>
      <c r="I4" s="398"/>
      <c r="J4" s="398"/>
      <c r="K4" s="12"/>
      <c r="L4" s="398" t="s">
        <v>173</v>
      </c>
      <c r="M4" s="398"/>
      <c r="N4" s="398"/>
      <c r="O4" s="398"/>
      <c r="P4" s="398"/>
      <c r="Q4" s="398"/>
      <c r="R4" s="12"/>
    </row>
    <row r="5" spans="1:18" x14ac:dyDescent="0.25">
      <c r="A5" s="12"/>
      <c r="B5" s="122" t="s">
        <v>0</v>
      </c>
      <c r="C5" s="123">
        <v>42823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33</v>
      </c>
      <c r="Q5" s="68" t="s">
        <v>9</v>
      </c>
      <c r="R5" s="12"/>
    </row>
    <row r="6" spans="1:18" x14ac:dyDescent="0.25">
      <c r="A6" s="12"/>
      <c r="B6" s="122" t="s">
        <v>1</v>
      </c>
      <c r="C6" s="123">
        <v>45380</v>
      </c>
      <c r="D6" s="12"/>
      <c r="E6" s="97">
        <f>'Planilla de datos'!D3</f>
        <v>44384</v>
      </c>
      <c r="F6" s="94">
        <v>100</v>
      </c>
      <c r="G6" s="208"/>
      <c r="H6" s="208"/>
      <c r="I6" s="208"/>
      <c r="J6" s="204">
        <f>-'Planilla de datos'!C29</f>
        <v>-89.75</v>
      </c>
      <c r="K6" s="12"/>
      <c r="L6" s="97">
        <f t="shared" ref="L6:L17" si="0">+E6</f>
        <v>44384</v>
      </c>
      <c r="M6" s="94">
        <f t="shared" ref="M6:M17" si="1">+F6</f>
        <v>100</v>
      </c>
      <c r="N6" s="94">
        <f t="shared" ref="N6:N17" si="2">+G6</f>
        <v>0</v>
      </c>
      <c r="O6" s="202">
        <f t="shared" ref="O6:O17" si="3">+H6</f>
        <v>0</v>
      </c>
      <c r="P6" s="94">
        <f t="shared" ref="P6:P17" si="4">+I6</f>
        <v>0</v>
      </c>
      <c r="Q6" s="203">
        <v>0</v>
      </c>
      <c r="R6" s="12"/>
    </row>
    <row r="7" spans="1:18" x14ac:dyDescent="0.25">
      <c r="A7" s="12"/>
      <c r="B7" s="122" t="s">
        <v>157</v>
      </c>
      <c r="C7" s="124">
        <v>3.2500000000000001E-2</v>
      </c>
      <c r="D7" s="12"/>
      <c r="E7" s="97">
        <v>44468</v>
      </c>
      <c r="F7" s="94">
        <v>100</v>
      </c>
      <c r="G7" s="208">
        <f>E7-C12</f>
        <v>92</v>
      </c>
      <c r="H7" s="209">
        <f t="shared" ref="H7:H17" si="5">F6*(($C$11)/360*G7)</f>
        <v>9.5585763888888895</v>
      </c>
      <c r="I7" s="209">
        <v>0</v>
      </c>
      <c r="J7" s="204">
        <f t="shared" ref="J7:J17" si="6">SUM(H7:I7)</f>
        <v>9.5585763888888895</v>
      </c>
      <c r="K7" s="12"/>
      <c r="L7" s="97">
        <f t="shared" si="0"/>
        <v>44468</v>
      </c>
      <c r="M7" s="94">
        <f t="shared" si="1"/>
        <v>100</v>
      </c>
      <c r="N7" s="94">
        <f t="shared" si="2"/>
        <v>92</v>
      </c>
      <c r="O7" s="202">
        <f t="shared" si="3"/>
        <v>9.5585763888888895</v>
      </c>
      <c r="P7" s="94">
        <f t="shared" si="4"/>
        <v>0</v>
      </c>
      <c r="Q7" s="203">
        <f t="shared" ref="Q7:Q17" si="7">+J7</f>
        <v>9.5585763888888895</v>
      </c>
      <c r="R7" s="12"/>
    </row>
    <row r="8" spans="1:18" x14ac:dyDescent="0.25">
      <c r="A8" s="12"/>
      <c r="B8" s="122" t="s">
        <v>168</v>
      </c>
      <c r="C8" s="124">
        <f>AVERAGE('Serie BADLAR'!C233:C292)/100</f>
        <v>0.34153125000000001</v>
      </c>
      <c r="D8" s="12"/>
      <c r="E8" s="97">
        <v>44559</v>
      </c>
      <c r="F8" s="94">
        <v>100</v>
      </c>
      <c r="G8" s="208">
        <f t="shared" ref="G8:G17" si="8">E8-E7</f>
        <v>91</v>
      </c>
      <c r="H8" s="209">
        <f t="shared" si="5"/>
        <v>9.454678819444446</v>
      </c>
      <c r="I8" s="209">
        <v>0</v>
      </c>
      <c r="J8" s="204">
        <f t="shared" si="6"/>
        <v>9.454678819444446</v>
      </c>
      <c r="K8" s="12"/>
      <c r="L8" s="97">
        <f t="shared" si="0"/>
        <v>44559</v>
      </c>
      <c r="M8" s="94">
        <f t="shared" si="1"/>
        <v>100</v>
      </c>
      <c r="N8" s="94">
        <f t="shared" si="2"/>
        <v>91</v>
      </c>
      <c r="O8" s="202">
        <f t="shared" si="3"/>
        <v>9.454678819444446</v>
      </c>
      <c r="P8" s="94">
        <f t="shared" si="4"/>
        <v>0</v>
      </c>
      <c r="Q8" s="203">
        <f t="shared" si="7"/>
        <v>9.454678819444446</v>
      </c>
      <c r="R8" s="12"/>
    </row>
    <row r="9" spans="1:18" x14ac:dyDescent="0.25">
      <c r="A9" s="12"/>
      <c r="B9" s="122" t="s">
        <v>163</v>
      </c>
      <c r="C9" s="124">
        <f>+C8+C7</f>
        <v>0.37403125000000004</v>
      </c>
      <c r="D9" s="12"/>
      <c r="E9" s="97">
        <v>44649</v>
      </c>
      <c r="F9" s="94">
        <v>100</v>
      </c>
      <c r="G9" s="208">
        <f t="shared" si="8"/>
        <v>90</v>
      </c>
      <c r="H9" s="209">
        <f t="shared" si="5"/>
        <v>9.3507812500000007</v>
      </c>
      <c r="I9" s="209">
        <v>0</v>
      </c>
      <c r="J9" s="204">
        <f t="shared" si="6"/>
        <v>9.3507812500000007</v>
      </c>
      <c r="K9" s="12"/>
      <c r="L9" s="97">
        <f t="shared" si="0"/>
        <v>44649</v>
      </c>
      <c r="M9" s="94">
        <f t="shared" si="1"/>
        <v>100</v>
      </c>
      <c r="N9" s="94">
        <f t="shared" si="2"/>
        <v>90</v>
      </c>
      <c r="O9" s="202">
        <f t="shared" si="3"/>
        <v>9.3507812500000007</v>
      </c>
      <c r="P9" s="94">
        <f t="shared" si="4"/>
        <v>0</v>
      </c>
      <c r="Q9" s="203">
        <f t="shared" si="7"/>
        <v>9.3507812500000007</v>
      </c>
      <c r="R9" s="12"/>
    </row>
    <row r="10" spans="1:18" x14ac:dyDescent="0.25">
      <c r="A10" s="12"/>
      <c r="B10" s="122" t="s">
        <v>161</v>
      </c>
      <c r="C10" s="124">
        <f>+C8</f>
        <v>0.34153125000000001</v>
      </c>
      <c r="D10" s="12"/>
      <c r="E10" s="97">
        <v>44741</v>
      </c>
      <c r="F10" s="94">
        <v>100</v>
      </c>
      <c r="G10" s="208">
        <f t="shared" si="8"/>
        <v>92</v>
      </c>
      <c r="H10" s="209">
        <f t="shared" si="5"/>
        <v>9.5585763888888895</v>
      </c>
      <c r="I10" s="209">
        <v>0</v>
      </c>
      <c r="J10" s="204">
        <f t="shared" si="6"/>
        <v>9.5585763888888895</v>
      </c>
      <c r="K10" s="12"/>
      <c r="L10" s="97">
        <f t="shared" si="0"/>
        <v>44741</v>
      </c>
      <c r="M10" s="94">
        <f t="shared" si="1"/>
        <v>100</v>
      </c>
      <c r="N10" s="94">
        <f t="shared" si="2"/>
        <v>92</v>
      </c>
      <c r="O10" s="202">
        <f t="shared" si="3"/>
        <v>9.5585763888888895</v>
      </c>
      <c r="P10" s="94">
        <f t="shared" si="4"/>
        <v>0</v>
      </c>
      <c r="Q10" s="203">
        <f t="shared" si="7"/>
        <v>9.5585763888888895</v>
      </c>
      <c r="R10" s="12"/>
    </row>
    <row r="11" spans="1:18" x14ac:dyDescent="0.25">
      <c r="A11" s="12"/>
      <c r="B11" s="122" t="s">
        <v>167</v>
      </c>
      <c r="C11" s="124">
        <f>+C10+C7</f>
        <v>0.37403125000000004</v>
      </c>
      <c r="D11" s="12"/>
      <c r="E11" s="97">
        <v>44833</v>
      </c>
      <c r="F11" s="94">
        <v>100</v>
      </c>
      <c r="G11" s="208">
        <f t="shared" si="8"/>
        <v>92</v>
      </c>
      <c r="H11" s="209">
        <f t="shared" si="5"/>
        <v>9.5585763888888895</v>
      </c>
      <c r="I11" s="209">
        <v>0</v>
      </c>
      <c r="J11" s="204">
        <f t="shared" si="6"/>
        <v>9.5585763888888895</v>
      </c>
      <c r="K11" s="12"/>
      <c r="L11" s="97">
        <f t="shared" si="0"/>
        <v>44833</v>
      </c>
      <c r="M11" s="94">
        <f t="shared" si="1"/>
        <v>100</v>
      </c>
      <c r="N11" s="94">
        <f t="shared" si="2"/>
        <v>92</v>
      </c>
      <c r="O11" s="202">
        <f t="shared" si="3"/>
        <v>9.5585763888888895</v>
      </c>
      <c r="P11" s="94">
        <f t="shared" si="4"/>
        <v>0</v>
      </c>
      <c r="Q11" s="203">
        <f t="shared" si="7"/>
        <v>9.5585763888888895</v>
      </c>
      <c r="R11" s="12"/>
    </row>
    <row r="12" spans="1:18" x14ac:dyDescent="0.25">
      <c r="A12" s="12"/>
      <c r="B12" s="125" t="s">
        <v>27</v>
      </c>
      <c r="C12" s="200">
        <v>44376</v>
      </c>
      <c r="D12" s="12"/>
      <c r="E12" s="97">
        <v>44924</v>
      </c>
      <c r="F12" s="94">
        <v>100</v>
      </c>
      <c r="G12" s="208">
        <f t="shared" si="8"/>
        <v>91</v>
      </c>
      <c r="H12" s="209">
        <f t="shared" si="5"/>
        <v>9.454678819444446</v>
      </c>
      <c r="I12" s="209">
        <v>0</v>
      </c>
      <c r="J12" s="204">
        <f t="shared" si="6"/>
        <v>9.454678819444446</v>
      </c>
      <c r="K12" s="12"/>
      <c r="L12" s="97">
        <f t="shared" si="0"/>
        <v>44924</v>
      </c>
      <c r="M12" s="94">
        <f t="shared" si="1"/>
        <v>100</v>
      </c>
      <c r="N12" s="94">
        <f t="shared" si="2"/>
        <v>91</v>
      </c>
      <c r="O12" s="202">
        <f t="shared" si="3"/>
        <v>9.454678819444446</v>
      </c>
      <c r="P12" s="94">
        <f t="shared" si="4"/>
        <v>0</v>
      </c>
      <c r="Q12" s="203">
        <f t="shared" si="7"/>
        <v>9.454678819444446</v>
      </c>
      <c r="R12" s="12"/>
    </row>
    <row r="13" spans="1:18" x14ac:dyDescent="0.25">
      <c r="A13" s="12"/>
      <c r="B13" s="12"/>
      <c r="C13" s="12"/>
      <c r="D13" s="12"/>
      <c r="E13" s="97">
        <v>45014</v>
      </c>
      <c r="F13" s="94">
        <v>100</v>
      </c>
      <c r="G13" s="208">
        <f t="shared" si="8"/>
        <v>90</v>
      </c>
      <c r="H13" s="209">
        <f t="shared" si="5"/>
        <v>9.3507812500000007</v>
      </c>
      <c r="I13" s="209">
        <v>0</v>
      </c>
      <c r="J13" s="204">
        <f t="shared" si="6"/>
        <v>9.3507812500000007</v>
      </c>
      <c r="K13" s="12"/>
      <c r="L13" s="97">
        <f t="shared" si="0"/>
        <v>45014</v>
      </c>
      <c r="M13" s="94">
        <f t="shared" si="1"/>
        <v>100</v>
      </c>
      <c r="N13" s="94">
        <f t="shared" si="2"/>
        <v>90</v>
      </c>
      <c r="O13" s="202">
        <f t="shared" si="3"/>
        <v>9.3507812500000007</v>
      </c>
      <c r="P13" s="94">
        <f t="shared" si="4"/>
        <v>0</v>
      </c>
      <c r="Q13" s="203">
        <f t="shared" si="7"/>
        <v>9.3507812500000007</v>
      </c>
      <c r="R13" s="12"/>
    </row>
    <row r="14" spans="1:18" x14ac:dyDescent="0.25">
      <c r="A14" s="12"/>
      <c r="B14" s="12"/>
      <c r="C14" s="12"/>
      <c r="D14" s="12"/>
      <c r="E14" s="97">
        <v>45106</v>
      </c>
      <c r="F14" s="94">
        <v>100</v>
      </c>
      <c r="G14" s="208">
        <f t="shared" si="8"/>
        <v>92</v>
      </c>
      <c r="H14" s="209">
        <f t="shared" si="5"/>
        <v>9.5585763888888895</v>
      </c>
      <c r="I14" s="209">
        <v>0</v>
      </c>
      <c r="J14" s="204">
        <f t="shared" si="6"/>
        <v>9.5585763888888895</v>
      </c>
      <c r="K14" s="12"/>
      <c r="L14" s="97">
        <f t="shared" si="0"/>
        <v>45106</v>
      </c>
      <c r="M14" s="94">
        <f t="shared" si="1"/>
        <v>100</v>
      </c>
      <c r="N14" s="94">
        <f t="shared" si="2"/>
        <v>92</v>
      </c>
      <c r="O14" s="202">
        <f t="shared" si="3"/>
        <v>9.5585763888888895</v>
      </c>
      <c r="P14" s="94">
        <f t="shared" si="4"/>
        <v>0</v>
      </c>
      <c r="Q14" s="203">
        <f t="shared" si="7"/>
        <v>9.5585763888888895</v>
      </c>
      <c r="R14" s="12"/>
    </row>
    <row r="15" spans="1:18" ht="15" customHeight="1" x14ac:dyDescent="0.25">
      <c r="A15" s="12"/>
      <c r="B15" s="12"/>
      <c r="C15" s="12"/>
      <c r="D15" s="12"/>
      <c r="E15" s="97">
        <v>45198</v>
      </c>
      <c r="F15" s="94">
        <v>100</v>
      </c>
      <c r="G15" s="208">
        <f t="shared" si="8"/>
        <v>92</v>
      </c>
      <c r="H15" s="209">
        <f t="shared" si="5"/>
        <v>9.5585763888888895</v>
      </c>
      <c r="I15" s="209">
        <v>0</v>
      </c>
      <c r="J15" s="204">
        <f t="shared" si="6"/>
        <v>9.5585763888888895</v>
      </c>
      <c r="K15" s="12"/>
      <c r="L15" s="97">
        <f t="shared" si="0"/>
        <v>45198</v>
      </c>
      <c r="M15" s="94">
        <f t="shared" si="1"/>
        <v>100</v>
      </c>
      <c r="N15" s="94">
        <f t="shared" si="2"/>
        <v>92</v>
      </c>
      <c r="O15" s="202">
        <f t="shared" si="3"/>
        <v>9.5585763888888895</v>
      </c>
      <c r="P15" s="94">
        <f t="shared" si="4"/>
        <v>0</v>
      </c>
      <c r="Q15" s="203">
        <f t="shared" si="7"/>
        <v>9.5585763888888895</v>
      </c>
      <c r="R15" s="12"/>
    </row>
    <row r="16" spans="1:18" ht="15" customHeight="1" x14ac:dyDescent="0.25">
      <c r="A16" s="12"/>
      <c r="B16" s="12"/>
      <c r="C16" s="16"/>
      <c r="D16" s="12"/>
      <c r="E16" s="97">
        <v>45289</v>
      </c>
      <c r="F16" s="94">
        <v>100</v>
      </c>
      <c r="G16" s="208">
        <f t="shared" si="8"/>
        <v>91</v>
      </c>
      <c r="H16" s="209">
        <f t="shared" si="5"/>
        <v>9.454678819444446</v>
      </c>
      <c r="I16" s="209">
        <v>0</v>
      </c>
      <c r="J16" s="204">
        <f t="shared" si="6"/>
        <v>9.454678819444446</v>
      </c>
      <c r="K16" s="12"/>
      <c r="L16" s="97">
        <f t="shared" si="0"/>
        <v>45289</v>
      </c>
      <c r="M16" s="94">
        <f t="shared" si="1"/>
        <v>100</v>
      </c>
      <c r="N16" s="94">
        <f t="shared" si="2"/>
        <v>91</v>
      </c>
      <c r="O16" s="202">
        <f t="shared" si="3"/>
        <v>9.454678819444446</v>
      </c>
      <c r="P16" s="94">
        <f t="shared" si="4"/>
        <v>0</v>
      </c>
      <c r="Q16" s="203">
        <f t="shared" si="7"/>
        <v>9.454678819444446</v>
      </c>
      <c r="R16" s="12"/>
    </row>
    <row r="17" spans="1:18" x14ac:dyDescent="0.25">
      <c r="A17" s="12"/>
      <c r="B17" s="12"/>
      <c r="C17" s="12"/>
      <c r="D17" s="12"/>
      <c r="E17" s="97">
        <v>45380</v>
      </c>
      <c r="F17" s="94">
        <v>100</v>
      </c>
      <c r="G17" s="208">
        <f t="shared" si="8"/>
        <v>91</v>
      </c>
      <c r="H17" s="209">
        <f t="shared" si="5"/>
        <v>9.454678819444446</v>
      </c>
      <c r="I17" s="209">
        <v>100</v>
      </c>
      <c r="J17" s="204">
        <f t="shared" si="6"/>
        <v>109.45467881944444</v>
      </c>
      <c r="K17" s="12"/>
      <c r="L17" s="97">
        <f t="shared" si="0"/>
        <v>45380</v>
      </c>
      <c r="M17" s="94">
        <f t="shared" si="1"/>
        <v>100</v>
      </c>
      <c r="N17" s="94">
        <f t="shared" si="2"/>
        <v>91</v>
      </c>
      <c r="O17" s="202">
        <f t="shared" si="3"/>
        <v>9.454678819444446</v>
      </c>
      <c r="P17" s="94">
        <f t="shared" si="4"/>
        <v>100</v>
      </c>
      <c r="Q17" s="203">
        <f t="shared" si="7"/>
        <v>109.45467881944444</v>
      </c>
      <c r="R17" s="12"/>
    </row>
    <row r="18" spans="1:18" x14ac:dyDescent="0.25">
      <c r="A18" s="12"/>
      <c r="B18" s="12"/>
      <c r="C18" s="12"/>
      <c r="D18" s="12"/>
      <c r="K18" s="12"/>
      <c r="R18" s="12"/>
    </row>
    <row r="19" spans="1:1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12"/>
      <c r="B21" s="12"/>
      <c r="C21" s="12"/>
      <c r="D21" s="12"/>
      <c r="E21" s="97"/>
      <c r="F21" s="94"/>
      <c r="G21" s="94"/>
      <c r="H21" s="96"/>
      <c r="I21" s="92" t="s">
        <v>10</v>
      </c>
      <c r="J21" s="206">
        <f>XIRR(J6:J17,E6:E17,0)</f>
        <v>0.53399448242187497</v>
      </c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12"/>
      <c r="B22" s="12"/>
      <c r="C22" s="12"/>
      <c r="D22" s="12"/>
      <c r="E22" s="97"/>
      <c r="F22" s="94"/>
      <c r="G22" s="94"/>
      <c r="H22" s="96"/>
      <c r="I22" s="92" t="s">
        <v>29</v>
      </c>
      <c r="J22" s="207">
        <f>MDURATION(E6,E17,C9,J21,4)</f>
        <v>1.4809380541084258</v>
      </c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12"/>
      <c r="B23" s="12"/>
      <c r="C23" s="12"/>
      <c r="D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30" customHeight="1" x14ac:dyDescent="0.25">
      <c r="A25" s="12"/>
      <c r="B25" s="12"/>
      <c r="C25" s="12"/>
      <c r="D25" s="12"/>
      <c r="E25" s="376" t="s">
        <v>92</v>
      </c>
      <c r="F25" s="285"/>
      <c r="G25" s="129"/>
      <c r="H25" s="61">
        <v>0.4</v>
      </c>
      <c r="I25" s="62">
        <f>XNPV(H25,Q6:Q17,L6:L17)</f>
        <v>105.62405274833446</v>
      </c>
      <c r="J25" s="61">
        <f>(I25/-J6)-1</f>
        <v>0.17686966850511943</v>
      </c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12"/>
      <c r="B26" s="12"/>
      <c r="C26" s="12"/>
      <c r="D26" s="12"/>
      <c r="E26" s="377"/>
      <c r="F26" s="286"/>
      <c r="G26" s="130"/>
      <c r="H26" s="63">
        <v>0.45</v>
      </c>
      <c r="I26" s="64">
        <f>XNPV(H26,Q6:Q17,L6:L17)</f>
        <v>99.135418197886906</v>
      </c>
      <c r="J26" s="63">
        <f>(I26/-J6)-1</f>
        <v>0.10457290471183178</v>
      </c>
      <c r="K26" s="12"/>
      <c r="L26" s="12"/>
      <c r="M26" s="12"/>
      <c r="N26" s="12"/>
      <c r="O26" s="12"/>
      <c r="P26" s="12"/>
      <c r="Q26" s="12"/>
      <c r="R26" s="12"/>
    </row>
    <row r="27" spans="1:18" ht="15" customHeight="1" x14ac:dyDescent="0.25">
      <c r="A27" s="12"/>
      <c r="B27" s="12"/>
      <c r="C27" s="12"/>
      <c r="D27" s="12"/>
      <c r="R27" s="12"/>
    </row>
    <row r="28" spans="1:18" x14ac:dyDescent="0.25">
      <c r="A28" s="12"/>
      <c r="B28" s="12"/>
      <c r="C28" s="12"/>
      <c r="D28" s="12"/>
      <c r="R28" s="12"/>
    </row>
    <row r="29" spans="1:18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12"/>
      <c r="B31" s="12"/>
      <c r="C31" s="12"/>
      <c r="D31" s="12"/>
      <c r="E31" s="3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12"/>
      <c r="B32" s="12"/>
      <c r="C32" s="12"/>
      <c r="D32" s="12"/>
      <c r="E32" s="3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12"/>
      <c r="B33" s="12"/>
      <c r="C33" s="12"/>
      <c r="D33" s="12"/>
      <c r="E33" s="94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12"/>
      <c r="B34" s="12"/>
      <c r="C34" s="12"/>
      <c r="D34" s="12"/>
      <c r="E34" s="2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</sheetData>
  <mergeCells count="4">
    <mergeCell ref="B4:C4"/>
    <mergeCell ref="E4:J4"/>
    <mergeCell ref="L4:Q4"/>
    <mergeCell ref="E25:E26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34"/>
  <sheetViews>
    <sheetView showGridLines="0" zoomScale="90" zoomScaleNormal="90" workbookViewId="0">
      <selection activeCell="J27" sqref="J27"/>
    </sheetView>
  </sheetViews>
  <sheetFormatPr baseColWidth="10" defaultRowHeight="15" x14ac:dyDescent="0.25"/>
  <cols>
    <col min="2" max="2" width="17.7109375" customWidth="1"/>
    <col min="3" max="3" width="13.42578125" customWidth="1"/>
    <col min="4" max="4" width="4" customWidth="1"/>
    <col min="5" max="5" width="12.140625" bestFit="1" customWidth="1"/>
    <col min="6" max="6" width="9.140625" customWidth="1"/>
    <col min="7" max="7" width="7.5703125" customWidth="1"/>
    <col min="8" max="8" width="8.28515625" customWidth="1"/>
    <col min="9" max="9" width="11.5703125" customWidth="1"/>
    <col min="10" max="10" width="10.85546875" customWidth="1"/>
    <col min="11" max="11" width="6.140625" customWidth="1"/>
    <col min="12" max="12" width="12.140625" bestFit="1" customWidth="1"/>
    <col min="13" max="13" width="8.5703125" customWidth="1"/>
    <col min="14" max="14" width="7.7109375" customWidth="1"/>
    <col min="15" max="15" width="9.140625" customWidth="1"/>
    <col min="16" max="16" width="10.7109375" customWidth="1"/>
    <col min="17" max="17" width="9.28515625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373" t="s">
        <v>34</v>
      </c>
      <c r="C4" s="374"/>
      <c r="D4" s="12"/>
      <c r="E4" s="398" t="s">
        <v>170</v>
      </c>
      <c r="F4" s="398"/>
      <c r="G4" s="398"/>
      <c r="H4" s="398"/>
      <c r="I4" s="398"/>
      <c r="J4" s="398"/>
      <c r="K4" s="12"/>
      <c r="L4" s="398" t="s">
        <v>170</v>
      </c>
      <c r="M4" s="398"/>
      <c r="N4" s="398"/>
      <c r="O4" s="398"/>
      <c r="P4" s="398"/>
      <c r="Q4" s="398"/>
      <c r="R4" s="12"/>
    </row>
    <row r="5" spans="1:18" x14ac:dyDescent="0.25">
      <c r="A5" s="12"/>
      <c r="B5" s="122" t="s">
        <v>0</v>
      </c>
      <c r="C5" s="123">
        <v>42758</v>
      </c>
      <c r="D5" s="12"/>
      <c r="E5" s="68" t="s">
        <v>14</v>
      </c>
      <c r="F5" s="68" t="s">
        <v>7</v>
      </c>
      <c r="G5" s="68" t="s">
        <v>21</v>
      </c>
      <c r="H5" s="68" t="s">
        <v>8</v>
      </c>
      <c r="I5" s="68" t="s">
        <v>33</v>
      </c>
      <c r="J5" s="68" t="s">
        <v>9</v>
      </c>
      <c r="K5" s="12"/>
      <c r="L5" s="68" t="s">
        <v>14</v>
      </c>
      <c r="M5" s="68" t="s">
        <v>7</v>
      </c>
      <c r="N5" s="68" t="s">
        <v>21</v>
      </c>
      <c r="O5" s="68" t="s">
        <v>8</v>
      </c>
      <c r="P5" s="68" t="s">
        <v>33</v>
      </c>
      <c r="Q5" s="68" t="s">
        <v>9</v>
      </c>
      <c r="R5" s="12"/>
    </row>
    <row r="6" spans="1:18" x14ac:dyDescent="0.25">
      <c r="A6" s="12"/>
      <c r="B6" s="122" t="s">
        <v>1</v>
      </c>
      <c r="C6" s="123">
        <v>44584</v>
      </c>
      <c r="D6" s="12"/>
      <c r="E6" s="97">
        <f>'Planilla de datos'!D3</f>
        <v>44384</v>
      </c>
      <c r="F6" s="94">
        <v>100</v>
      </c>
      <c r="G6" s="208"/>
      <c r="H6" s="208"/>
      <c r="I6" s="208"/>
      <c r="J6" s="204">
        <f>-'Planilla de datos'!C26</f>
        <v>-108</v>
      </c>
      <c r="K6" s="12"/>
      <c r="L6" s="97">
        <f>+E6</f>
        <v>44384</v>
      </c>
      <c r="M6" s="94">
        <f>+F6</f>
        <v>100</v>
      </c>
      <c r="N6" s="94">
        <f>+G6</f>
        <v>0</v>
      </c>
      <c r="O6" s="202">
        <f>+H6</f>
        <v>0</v>
      </c>
      <c r="P6" s="94">
        <f>+I6</f>
        <v>0</v>
      </c>
      <c r="Q6" s="203">
        <v>0</v>
      </c>
      <c r="R6" s="12"/>
    </row>
    <row r="7" spans="1:18" x14ac:dyDescent="0.25">
      <c r="A7" s="12"/>
      <c r="B7" s="122" t="s">
        <v>157</v>
      </c>
      <c r="C7" s="124">
        <v>0.05</v>
      </c>
      <c r="D7" s="12"/>
      <c r="E7" s="97">
        <v>44400</v>
      </c>
      <c r="F7" s="94">
        <v>100</v>
      </c>
      <c r="G7" s="208">
        <f>E7-C12</f>
        <v>91</v>
      </c>
      <c r="H7" s="209">
        <f>F6*(($C$11)/360*G7)</f>
        <v>9.8986197916666665</v>
      </c>
      <c r="I7" s="209">
        <v>0</v>
      </c>
      <c r="J7" s="204">
        <f>SUM(H7:I7)</f>
        <v>9.8986197916666665</v>
      </c>
      <c r="K7" s="12"/>
      <c r="L7" s="97">
        <f t="shared" ref="L7:Q9" si="0">+E7</f>
        <v>44400</v>
      </c>
      <c r="M7" s="94">
        <f t="shared" si="0"/>
        <v>100</v>
      </c>
      <c r="N7" s="94">
        <f t="shared" si="0"/>
        <v>91</v>
      </c>
      <c r="O7" s="202">
        <f t="shared" si="0"/>
        <v>9.8986197916666665</v>
      </c>
      <c r="P7" s="94">
        <f t="shared" si="0"/>
        <v>0</v>
      </c>
      <c r="Q7" s="203">
        <f t="shared" si="0"/>
        <v>9.8986197916666665</v>
      </c>
      <c r="R7" s="12"/>
    </row>
    <row r="8" spans="1:18" x14ac:dyDescent="0.25">
      <c r="A8" s="12"/>
      <c r="B8" s="122" t="s">
        <v>168</v>
      </c>
      <c r="C8" s="124">
        <f>AVERAGE('Serie BADLAR'!C250:C309)/100</f>
        <v>0.34159374999999997</v>
      </c>
      <c r="D8" s="12"/>
      <c r="E8" s="97">
        <v>44492</v>
      </c>
      <c r="F8" s="94">
        <v>100</v>
      </c>
      <c r="G8" s="208">
        <f>E8-E7</f>
        <v>92</v>
      </c>
      <c r="H8" s="209">
        <f>F7*(($C$11)/360*G8)</f>
        <v>10.007395833333332</v>
      </c>
      <c r="I8" s="209">
        <v>0</v>
      </c>
      <c r="J8" s="204">
        <f>SUM(H8:I8)</f>
        <v>10.007395833333332</v>
      </c>
      <c r="K8" s="12"/>
      <c r="L8" s="97">
        <f t="shared" si="0"/>
        <v>44492</v>
      </c>
      <c r="M8" s="94">
        <f t="shared" si="0"/>
        <v>100</v>
      </c>
      <c r="N8" s="94">
        <f t="shared" si="0"/>
        <v>92</v>
      </c>
      <c r="O8" s="202">
        <f t="shared" si="0"/>
        <v>10.007395833333332</v>
      </c>
      <c r="P8" s="94">
        <f t="shared" si="0"/>
        <v>0</v>
      </c>
      <c r="Q8" s="203">
        <f t="shared" si="0"/>
        <v>10.007395833333332</v>
      </c>
      <c r="R8" s="12"/>
    </row>
    <row r="9" spans="1:18" x14ac:dyDescent="0.25">
      <c r="A9" s="12"/>
      <c r="B9" s="122" t="s">
        <v>163</v>
      </c>
      <c r="C9" s="124">
        <f>+C8+C7</f>
        <v>0.39159374999999996</v>
      </c>
      <c r="D9" s="12"/>
      <c r="E9" s="97">
        <v>44584</v>
      </c>
      <c r="F9" s="94">
        <v>100</v>
      </c>
      <c r="G9" s="208">
        <f>E9-E8</f>
        <v>92</v>
      </c>
      <c r="H9" s="209">
        <f>F8*(($C$11)/360*G9)</f>
        <v>10.007395833333332</v>
      </c>
      <c r="I9" s="209">
        <v>100</v>
      </c>
      <c r="J9" s="204">
        <f>SUM(H9:I9)</f>
        <v>110.00739583333333</v>
      </c>
      <c r="K9" s="12"/>
      <c r="L9" s="97">
        <f t="shared" si="0"/>
        <v>44584</v>
      </c>
      <c r="M9" s="94">
        <f t="shared" si="0"/>
        <v>100</v>
      </c>
      <c r="N9" s="94">
        <f t="shared" si="0"/>
        <v>92</v>
      </c>
      <c r="O9" s="202">
        <f t="shared" si="0"/>
        <v>10.007395833333332</v>
      </c>
      <c r="P9" s="94">
        <f t="shared" si="0"/>
        <v>100</v>
      </c>
      <c r="Q9" s="203">
        <f t="shared" si="0"/>
        <v>110.00739583333333</v>
      </c>
      <c r="R9" s="12"/>
    </row>
    <row r="10" spans="1:18" x14ac:dyDescent="0.25">
      <c r="A10" s="12"/>
      <c r="B10" s="122" t="s">
        <v>161</v>
      </c>
      <c r="C10" s="124">
        <f>+C8</f>
        <v>0.34159374999999997</v>
      </c>
      <c r="D10" s="12"/>
      <c r="K10" s="12"/>
      <c r="R10" s="12"/>
    </row>
    <row r="11" spans="1:18" x14ac:dyDescent="0.25">
      <c r="A11" s="12"/>
      <c r="B11" s="122" t="s">
        <v>167</v>
      </c>
      <c r="C11" s="124">
        <f>+C10+C7</f>
        <v>0.39159374999999996</v>
      </c>
      <c r="D11" s="12"/>
      <c r="E11" s="97"/>
      <c r="F11" s="94"/>
      <c r="G11" s="94"/>
      <c r="H11" s="96"/>
      <c r="I11" s="92" t="s">
        <v>10</v>
      </c>
      <c r="J11" s="206">
        <f>XIRR(J6:J9,E6:E9,0)</f>
        <v>0.46249353027343754</v>
      </c>
      <c r="K11" s="12"/>
      <c r="L11" s="97"/>
      <c r="M11" s="94"/>
      <c r="N11" s="94"/>
      <c r="O11" s="96"/>
      <c r="P11" s="95"/>
      <c r="Q11" s="127"/>
      <c r="R11" s="12"/>
    </row>
    <row r="12" spans="1:18" x14ac:dyDescent="0.25">
      <c r="A12" s="12"/>
      <c r="B12" s="125" t="s">
        <v>27</v>
      </c>
      <c r="C12" s="126">
        <v>44309</v>
      </c>
      <c r="D12" s="12"/>
      <c r="E12" s="97"/>
      <c r="F12" s="94"/>
      <c r="G12" s="94"/>
      <c r="H12" s="96"/>
      <c r="I12" s="92" t="s">
        <v>29</v>
      </c>
      <c r="J12" s="207">
        <f>MDURATION(E6,E9,C9,J11,4)</f>
        <v>0.42851042011354146</v>
      </c>
      <c r="K12" s="12"/>
      <c r="L12" s="97"/>
      <c r="M12" s="94"/>
      <c r="N12" s="94"/>
      <c r="O12" s="96"/>
      <c r="P12" s="95"/>
      <c r="Q12" s="127"/>
      <c r="R12" s="12"/>
    </row>
    <row r="13" spans="1:18" x14ac:dyDescent="0.25">
      <c r="A13" s="12"/>
      <c r="B13" s="12"/>
      <c r="C13" s="12"/>
      <c r="D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" customHeight="1" x14ac:dyDescent="0.25">
      <c r="A15" s="12"/>
      <c r="B15" s="12"/>
      <c r="C15" s="12"/>
      <c r="D15" s="12"/>
      <c r="E15" s="264" t="s">
        <v>92</v>
      </c>
      <c r="F15" s="264"/>
      <c r="G15" s="129"/>
      <c r="H15" s="61">
        <v>0.4</v>
      </c>
      <c r="I15" s="62">
        <f>XNPV(H15,Q6:Q9,L6:L9)</f>
        <v>110.29813958804208</v>
      </c>
      <c r="J15" s="61">
        <f>(I15/-J6)-1</f>
        <v>2.1279070259648813E-2</v>
      </c>
      <c r="K15" s="12"/>
      <c r="L15" s="12"/>
      <c r="M15" s="12"/>
      <c r="N15" s="12"/>
      <c r="O15" s="12"/>
      <c r="P15" s="12"/>
      <c r="Q15" s="12"/>
      <c r="R15" s="12"/>
    </row>
    <row r="16" spans="1:18" ht="15" customHeight="1" x14ac:dyDescent="0.25">
      <c r="A16" s="12"/>
      <c r="B16" s="12"/>
      <c r="C16" s="16"/>
      <c r="D16" s="12"/>
      <c r="E16" s="265"/>
      <c r="F16" s="265"/>
      <c r="G16" s="130"/>
      <c r="H16" s="63">
        <v>0.45</v>
      </c>
      <c r="I16" s="64">
        <f>XNPV(H16,Q6:Q9,L6:L9)</f>
        <v>108.44728435454256</v>
      </c>
      <c r="J16" s="63">
        <f>(I16/-J6)-1</f>
        <v>4.1415218013201027E-3</v>
      </c>
      <c r="K16" s="12"/>
      <c r="L16" s="12"/>
      <c r="M16" s="12"/>
      <c r="N16" s="12"/>
      <c r="O16" s="12"/>
      <c r="P16" s="12"/>
      <c r="Q16" s="12"/>
      <c r="R16" s="12"/>
    </row>
    <row r="17" spans="1:18" ht="15" customHeight="1" x14ac:dyDescent="0.25">
      <c r="A17" s="12"/>
      <c r="B17" s="12"/>
      <c r="C17" s="12"/>
      <c r="D17" s="12"/>
      <c r="R17" s="12"/>
    </row>
    <row r="18" spans="1:18" x14ac:dyDescent="0.25">
      <c r="A18" s="12"/>
      <c r="B18" s="12"/>
      <c r="C18" s="12"/>
      <c r="D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25">
      <c r="A23" s="12"/>
      <c r="B23" s="12"/>
      <c r="C23" s="12"/>
      <c r="D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25">
      <c r="A24" s="12"/>
      <c r="B24" s="12"/>
      <c r="C24" s="12"/>
      <c r="D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25">
      <c r="A25" s="12"/>
      <c r="B25" s="12"/>
      <c r="C25" s="12"/>
      <c r="D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25">
      <c r="A26" s="12"/>
      <c r="B26" s="12"/>
      <c r="C26" s="12"/>
      <c r="D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25">
      <c r="A27" s="12"/>
      <c r="B27" s="12"/>
      <c r="C27" s="12"/>
      <c r="D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25">
      <c r="A28" s="12"/>
      <c r="B28" s="12"/>
      <c r="C28" s="12"/>
      <c r="D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</sheetData>
  <mergeCells count="3">
    <mergeCell ref="B4:C4"/>
    <mergeCell ref="E4:J4"/>
    <mergeCell ref="L4:Q4"/>
  </mergeCell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zoomScale="90" zoomScaleNormal="90" workbookViewId="0">
      <selection activeCell="P31" sqref="P31"/>
    </sheetView>
  </sheetViews>
  <sheetFormatPr baseColWidth="10" defaultRowHeight="15" x14ac:dyDescent="0.25"/>
  <cols>
    <col min="2" max="2" width="12.7109375" customWidth="1"/>
    <col min="3" max="3" width="14.140625" bestFit="1" customWidth="1"/>
    <col min="4" max="4" width="3.42578125" customWidth="1"/>
    <col min="5" max="5" width="14.140625" bestFit="1" customWidth="1"/>
    <col min="6" max="7" width="9.42578125" customWidth="1"/>
    <col min="8" max="8" width="9.28515625" bestFit="1" customWidth="1"/>
    <col min="9" max="9" width="10.42578125" customWidth="1"/>
    <col min="10" max="10" width="11.5703125" bestFit="1" customWidth="1"/>
    <col min="13" max="13" width="13.7109375" bestFit="1" customWidth="1"/>
    <col min="17" max="17" width="12.140625" bestFit="1" customWidth="1"/>
  </cols>
  <sheetData>
    <row r="1" spans="1:17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7" ht="15.75" x14ac:dyDescent="0.25">
      <c r="A2" s="12"/>
      <c r="B2" s="372" t="s">
        <v>132</v>
      </c>
      <c r="C2" s="372"/>
      <c r="D2" s="372"/>
      <c r="E2" s="372"/>
      <c r="F2" s="372"/>
      <c r="G2" s="372"/>
      <c r="H2" s="372"/>
      <c r="I2" s="372"/>
      <c r="J2" s="372"/>
      <c r="K2" s="12"/>
      <c r="L2" s="12"/>
      <c r="M2" s="12"/>
    </row>
    <row r="3" spans="1:1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7" x14ac:dyDescent="0.25">
      <c r="A4" s="12"/>
      <c r="B4" s="373" t="s">
        <v>34</v>
      </c>
      <c r="C4" s="374"/>
      <c r="D4" s="12"/>
      <c r="E4" s="375" t="s">
        <v>133</v>
      </c>
      <c r="F4" s="375"/>
      <c r="G4" s="375"/>
      <c r="H4" s="375"/>
      <c r="I4" s="375"/>
      <c r="J4" s="375"/>
      <c r="K4" s="12"/>
      <c r="L4" s="12"/>
      <c r="M4" s="12"/>
    </row>
    <row r="5" spans="1:17" x14ac:dyDescent="0.25">
      <c r="A5" s="12"/>
      <c r="B5" s="24" t="s">
        <v>0</v>
      </c>
      <c r="C5" s="33">
        <v>43977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21</v>
      </c>
      <c r="M5" s="29" t="s">
        <v>126</v>
      </c>
      <c r="N5" s="29" t="s">
        <v>127</v>
      </c>
    </row>
    <row r="6" spans="1:17" x14ac:dyDescent="0.25">
      <c r="A6" s="12"/>
      <c r="B6" s="24" t="s">
        <v>1</v>
      </c>
      <c r="C6" s="33">
        <v>44707</v>
      </c>
      <c r="D6" s="12"/>
      <c r="E6" s="15">
        <f>+'Planilla de datos'!D3</f>
        <v>44384</v>
      </c>
      <c r="F6" s="14">
        <v>80</v>
      </c>
      <c r="G6" s="12"/>
      <c r="H6" s="30"/>
      <c r="I6" s="12"/>
      <c r="J6" s="14">
        <f>-'Planilla de datos'!C25</f>
        <v>-78.7</v>
      </c>
      <c r="K6" s="12"/>
      <c r="L6" s="14"/>
      <c r="M6" s="14"/>
      <c r="N6" s="14"/>
    </row>
    <row r="7" spans="1:17" x14ac:dyDescent="0.25">
      <c r="A7" s="12"/>
      <c r="B7" s="24" t="s">
        <v>28</v>
      </c>
      <c r="C7" s="35">
        <f>'Planilla de datos'!D4</f>
        <v>0.34060000000000001</v>
      </c>
      <c r="D7" s="12"/>
      <c r="E7" s="15">
        <v>44434</v>
      </c>
      <c r="F7" s="14">
        <f>+F6</f>
        <v>80</v>
      </c>
      <c r="G7" s="12">
        <f>E7-C9</f>
        <v>92</v>
      </c>
      <c r="H7" s="14">
        <f>($C$7+$C$8)/365*G7*F7</f>
        <v>6.8679890410958908</v>
      </c>
      <c r="I7" s="14">
        <f>100/5</f>
        <v>20</v>
      </c>
      <c r="J7" s="14">
        <f>SUM(H7:I7)</f>
        <v>26.867989041095889</v>
      </c>
      <c r="K7" s="12"/>
      <c r="L7" s="67">
        <f>DAYS360($E$6,E7)</f>
        <v>49</v>
      </c>
      <c r="M7" s="14">
        <f>J7/(1+$J$12)^(L7/360)</f>
        <v>25.292773328520823</v>
      </c>
      <c r="N7" s="14">
        <f>M7*(L7/360)</f>
        <v>3.4426274808264452</v>
      </c>
      <c r="O7" s="2">
        <v>0.33</v>
      </c>
      <c r="P7" s="2">
        <f>(1+(O7/365))^(L7)-1</f>
        <v>4.5276407555196352E-2</v>
      </c>
      <c r="Q7" s="350">
        <f>J7/(1+P7)</f>
        <v>25.704195413668238</v>
      </c>
    </row>
    <row r="8" spans="1:17" x14ac:dyDescent="0.25">
      <c r="A8" s="12"/>
      <c r="B8" s="24" t="s">
        <v>30</v>
      </c>
      <c r="C8" s="35">
        <v>0</v>
      </c>
      <c r="D8" s="12"/>
      <c r="E8" s="15">
        <v>44526</v>
      </c>
      <c r="F8" s="14">
        <f>+F7-I7</f>
        <v>60</v>
      </c>
      <c r="G8" s="12">
        <f>E8-E7</f>
        <v>92</v>
      </c>
      <c r="H8" s="14">
        <f>($C$7+$C$8)/365*G8*F8</f>
        <v>5.1509917808219186</v>
      </c>
      <c r="I8" s="14">
        <f>100/5</f>
        <v>20</v>
      </c>
      <c r="J8" s="14">
        <f>SUM(H8:I8)</f>
        <v>25.150991780821919</v>
      </c>
      <c r="K8" s="12"/>
      <c r="L8" s="67">
        <f t="shared" ref="L8:L9" si="0">DAYS360($E$6,E8)</f>
        <v>139</v>
      </c>
      <c r="M8" s="14">
        <f t="shared" ref="M8:M10" si="1">J8/(1+$J$12)^(L8/360)</f>
        <v>21.189604694152894</v>
      </c>
      <c r="N8" s="14">
        <f t="shared" ref="N8:N10" si="2">M8*(L8/360)</f>
        <v>8.1815418124645909</v>
      </c>
      <c r="O8" s="5">
        <f>+O7</f>
        <v>0.33</v>
      </c>
      <c r="P8" s="2">
        <f t="shared" ref="P8:P10" si="3">(1+(O8/365))^(L8)-1</f>
        <v>0.13384493781078932</v>
      </c>
      <c r="Q8" s="350">
        <f t="shared" ref="Q8:Q10" si="4">J8/(1+P8)</f>
        <v>22.182038250647459</v>
      </c>
    </row>
    <row r="9" spans="1:17" x14ac:dyDescent="0.25">
      <c r="A9" s="12"/>
      <c r="B9" s="24" t="s">
        <v>246</v>
      </c>
      <c r="C9" s="33">
        <v>44342</v>
      </c>
      <c r="D9" s="12"/>
      <c r="E9" s="15">
        <v>44618</v>
      </c>
      <c r="F9" s="14">
        <f>+F8-I8</f>
        <v>40</v>
      </c>
      <c r="G9" s="12">
        <f>E9-E8</f>
        <v>92</v>
      </c>
      <c r="H9" s="14">
        <f>($C$7+$C$8)/365*G9*F9</f>
        <v>3.4339945205479454</v>
      </c>
      <c r="I9" s="14">
        <f>100/5</f>
        <v>20</v>
      </c>
      <c r="J9" s="14">
        <f>SUM(H9:I9)</f>
        <v>23.433994520547945</v>
      </c>
      <c r="K9" s="12"/>
      <c r="L9" s="67">
        <f t="shared" si="0"/>
        <v>229</v>
      </c>
      <c r="M9" s="14">
        <f t="shared" si="1"/>
        <v>17.669347559568305</v>
      </c>
      <c r="N9" s="14">
        <f t="shared" si="2"/>
        <v>11.239668308725394</v>
      </c>
      <c r="O9" s="5">
        <f t="shared" ref="O9:O10" si="5">+O8</f>
        <v>0.33</v>
      </c>
      <c r="P9" s="2">
        <f t="shared" si="3"/>
        <v>0.22991807115025309</v>
      </c>
      <c r="Q9" s="350">
        <f t="shared" si="4"/>
        <v>19.05329718314638</v>
      </c>
    </row>
    <row r="10" spans="1:17" x14ac:dyDescent="0.25">
      <c r="A10" s="12"/>
      <c r="B10" s="24"/>
      <c r="C10" s="35"/>
      <c r="D10" s="12"/>
      <c r="E10" s="15">
        <v>44707</v>
      </c>
      <c r="F10" s="14">
        <f>+F9-I9</f>
        <v>20</v>
      </c>
      <c r="G10" s="12">
        <f>E10-E9</f>
        <v>89</v>
      </c>
      <c r="H10" s="14">
        <f>($C$7+$C$8)/365*G10*F10</f>
        <v>1.6610082191780822</v>
      </c>
      <c r="I10" s="14">
        <f>100/5</f>
        <v>20</v>
      </c>
      <c r="J10" s="14">
        <f>SUM(H10:I10)</f>
        <v>21.661008219178083</v>
      </c>
      <c r="K10" s="12"/>
      <c r="L10" s="67">
        <f>DAYS360($E$6,E10)</f>
        <v>319</v>
      </c>
      <c r="M10" s="14">
        <f t="shared" si="1"/>
        <v>14.617035664014612</v>
      </c>
      <c r="N10" s="14">
        <f t="shared" si="2"/>
        <v>12.952317713390725</v>
      </c>
      <c r="O10" s="5">
        <f t="shared" si="5"/>
        <v>0.33</v>
      </c>
      <c r="P10" s="2">
        <f t="shared" si="3"/>
        <v>0.33413168882038979</v>
      </c>
      <c r="Q10" s="350">
        <f t="shared" si="4"/>
        <v>16.23603456891896</v>
      </c>
    </row>
    <row r="11" spans="1:17" x14ac:dyDescent="0.25">
      <c r="A11" s="12"/>
      <c r="B11" s="36"/>
      <c r="C11" s="37"/>
      <c r="D11" s="12"/>
      <c r="E11" s="15"/>
      <c r="F11" s="14"/>
      <c r="G11" s="12"/>
      <c r="H11" s="14"/>
      <c r="I11" s="14"/>
      <c r="J11" s="14"/>
      <c r="K11" s="12"/>
      <c r="L11" s="67"/>
      <c r="M11" s="14"/>
      <c r="N11" s="14"/>
      <c r="Q11" s="351">
        <f>SUM(Q7:Q10)</f>
        <v>83.175565416381033</v>
      </c>
    </row>
    <row r="12" spans="1:17" x14ac:dyDescent="0.25">
      <c r="A12" s="12"/>
      <c r="B12" s="12"/>
      <c r="C12" s="12"/>
      <c r="D12" s="12"/>
      <c r="E12" s="15"/>
      <c r="F12" s="14"/>
      <c r="G12" s="12"/>
      <c r="H12" s="14"/>
      <c r="I12" s="92" t="s">
        <v>10</v>
      </c>
      <c r="J12" s="86">
        <f>XIRR(J6:J10,E6:E10,0)</f>
        <v>0.55874186523437519</v>
      </c>
      <c r="K12" s="12"/>
      <c r="L12" s="67"/>
      <c r="M12" s="14">
        <f>SUM(M7:M10)</f>
        <v>78.768761246256631</v>
      </c>
      <c r="N12" s="14">
        <f>SUM(N7:N10)</f>
        <v>35.816155315407158</v>
      </c>
    </row>
    <row r="13" spans="1:17" x14ac:dyDescent="0.25">
      <c r="A13" s="12"/>
      <c r="B13" s="12"/>
      <c r="C13" s="12"/>
      <c r="D13" s="12"/>
      <c r="I13" s="92" t="s">
        <v>64</v>
      </c>
      <c r="J13" s="71">
        <f>N14/(1+(J12/4))</f>
        <v>0.39896972284751209</v>
      </c>
      <c r="K13" s="12"/>
      <c r="L13" s="67"/>
      <c r="M13" s="14"/>
      <c r="N13" s="14"/>
    </row>
    <row r="14" spans="1:17" x14ac:dyDescent="0.25">
      <c r="A14" s="12"/>
      <c r="B14" s="12"/>
      <c r="C14" s="12"/>
      <c r="D14" s="12"/>
      <c r="E14" s="15"/>
      <c r="F14" s="14"/>
      <c r="G14" s="12"/>
      <c r="H14" s="14"/>
      <c r="I14" s="14"/>
      <c r="J14" s="14"/>
      <c r="K14" s="12"/>
      <c r="L14" s="71"/>
      <c r="M14" s="71" t="s">
        <v>22</v>
      </c>
      <c r="N14" s="71">
        <f>N12/M12</f>
        <v>0.45469999462647726</v>
      </c>
      <c r="Q14" s="351">
        <f>Q11+J6</f>
        <v>4.4755654163810306</v>
      </c>
    </row>
    <row r="15" spans="1:17" x14ac:dyDescent="0.25">
      <c r="A15" s="12"/>
      <c r="B15" s="12"/>
      <c r="C15" s="12"/>
      <c r="D15" s="12"/>
      <c r="E15" s="15"/>
      <c r="F15" s="14"/>
      <c r="G15" s="12"/>
      <c r="H15" s="14"/>
      <c r="I15" s="14"/>
      <c r="J15" s="22"/>
      <c r="K15" s="12"/>
      <c r="L15" s="67"/>
      <c r="M15" s="14"/>
      <c r="N15" s="14"/>
      <c r="Q15" s="351">
        <f>Q14/100*10000000</f>
        <v>447556.54163810302</v>
      </c>
    </row>
    <row r="16" spans="1:17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22"/>
      <c r="K16" s="12"/>
      <c r="L16" s="67"/>
      <c r="M16" s="14"/>
      <c r="N16" s="14"/>
    </row>
    <row r="17" spans="1:13" x14ac:dyDescent="0.25">
      <c r="A17" s="12"/>
      <c r="B17" s="12"/>
      <c r="C17" s="12"/>
      <c r="D17" s="12"/>
      <c r="J17" s="5"/>
      <c r="K17" s="12"/>
    </row>
    <row r="18" spans="1:13" x14ac:dyDescent="0.25">
      <c r="A18" s="12"/>
      <c r="B18" s="12"/>
      <c r="C18" s="12"/>
      <c r="D18" s="12"/>
      <c r="K18" s="12"/>
    </row>
    <row r="19" spans="1:13" x14ac:dyDescent="0.25">
      <c r="A19" s="12"/>
      <c r="B19" s="12"/>
      <c r="C19" s="12"/>
      <c r="D19" s="12"/>
      <c r="K19" s="12"/>
    </row>
    <row r="20" spans="1:13" x14ac:dyDescent="0.25">
      <c r="A20" s="12"/>
      <c r="B20" s="12"/>
      <c r="C20" s="12"/>
      <c r="D20" s="12"/>
      <c r="E20" s="417" t="s">
        <v>255</v>
      </c>
      <c r="F20" s="417"/>
      <c r="G20" s="417"/>
      <c r="H20" s="417"/>
      <c r="I20" s="417"/>
      <c r="J20" s="417"/>
      <c r="K20" s="12"/>
      <c r="L20" s="12"/>
      <c r="M20" s="12"/>
    </row>
    <row r="21" spans="1:13" x14ac:dyDescent="0.25">
      <c r="A21" s="12"/>
      <c r="B21" s="12"/>
      <c r="C21" s="12"/>
      <c r="D21" s="12"/>
      <c r="E21" s="186" t="s">
        <v>14</v>
      </c>
      <c r="F21" s="186" t="s">
        <v>238</v>
      </c>
      <c r="G21" s="186" t="s">
        <v>251</v>
      </c>
      <c r="H21" s="352" t="s">
        <v>252</v>
      </c>
      <c r="I21" s="186" t="s">
        <v>253</v>
      </c>
      <c r="J21" s="186" t="s">
        <v>254</v>
      </c>
      <c r="K21" s="12"/>
      <c r="L21" s="12"/>
      <c r="M21" s="12"/>
    </row>
    <row r="22" spans="1:13" x14ac:dyDescent="0.25">
      <c r="A22" s="12"/>
      <c r="B22" s="12"/>
      <c r="C22" s="12"/>
      <c r="D22" s="12"/>
      <c r="E22" s="11">
        <f>+E6</f>
        <v>44384</v>
      </c>
      <c r="G22" s="4">
        <f>+J6</f>
        <v>-78.7</v>
      </c>
      <c r="H22" s="2"/>
      <c r="J22" s="358">
        <f>SUM(J23:J26)</f>
        <v>82.947808285145072</v>
      </c>
      <c r="K22" s="12"/>
      <c r="L22" s="12"/>
      <c r="M22" s="12"/>
    </row>
    <row r="23" spans="1:13" x14ac:dyDescent="0.25">
      <c r="A23" s="12"/>
      <c r="B23" s="12"/>
      <c r="C23" s="12"/>
      <c r="D23" s="12"/>
      <c r="E23" s="11">
        <f t="shared" ref="E23:E26" si="6">+E7</f>
        <v>44434</v>
      </c>
      <c r="F23">
        <f>E23-E22</f>
        <v>50</v>
      </c>
      <c r="G23" s="4">
        <f t="shared" ref="G23:G26" si="7">+J7</f>
        <v>26.867989041095889</v>
      </c>
      <c r="H23" s="5">
        <v>0.33</v>
      </c>
      <c r="I23" s="2">
        <f>(1+(H23/365))^(F23)-1</f>
        <v>4.6221451978465611E-2</v>
      </c>
      <c r="J23" s="358">
        <f>G23/(1+I23)</f>
        <v>25.680976996110104</v>
      </c>
      <c r="K23" s="12"/>
      <c r="L23" s="12"/>
      <c r="M23" s="12"/>
    </row>
    <row r="24" spans="1:13" x14ac:dyDescent="0.25">
      <c r="A24" s="12"/>
      <c r="B24" s="12"/>
      <c r="C24" s="12"/>
      <c r="D24" s="12"/>
      <c r="E24" s="11">
        <f t="shared" si="6"/>
        <v>44526</v>
      </c>
      <c r="F24">
        <f>E24-E22</f>
        <v>142</v>
      </c>
      <c r="G24" s="4">
        <f t="shared" si="7"/>
        <v>25.150991780821919</v>
      </c>
      <c r="H24" s="5">
        <f t="shared" ref="H24:H26" si="8">+H23</f>
        <v>0.33</v>
      </c>
      <c r="I24" s="2">
        <f t="shared" ref="I24:I26" si="9">(1+(H24/365))^(F24)-1</f>
        <v>0.13692307935370351</v>
      </c>
      <c r="J24" s="358">
        <f t="shared" ref="J24:J26" si="10">G24/(1+I24)</f>
        <v>22.121981897947993</v>
      </c>
      <c r="K24" s="12"/>
      <c r="L24" s="12"/>
      <c r="M24" s="12"/>
    </row>
    <row r="25" spans="1:13" x14ac:dyDescent="0.25">
      <c r="A25" s="12"/>
      <c r="B25" s="12"/>
      <c r="C25" s="12"/>
      <c r="D25" s="12"/>
      <c r="E25" s="11">
        <f t="shared" si="6"/>
        <v>44618</v>
      </c>
      <c r="F25">
        <f>E25-E22</f>
        <v>234</v>
      </c>
      <c r="G25" s="4">
        <f t="shared" si="7"/>
        <v>23.433994520547945</v>
      </c>
      <c r="H25" s="5">
        <f t="shared" si="8"/>
        <v>0.33</v>
      </c>
      <c r="I25" s="2">
        <f t="shared" si="9"/>
        <v>0.23548803737749524</v>
      </c>
      <c r="J25" s="358">
        <f t="shared" si="10"/>
        <v>18.9673989642911</v>
      </c>
      <c r="K25" s="12"/>
      <c r="L25" s="12"/>
      <c r="M25" s="12"/>
    </row>
    <row r="26" spans="1:13" x14ac:dyDescent="0.25">
      <c r="A26" s="12"/>
      <c r="B26" s="12"/>
      <c r="C26" s="12"/>
      <c r="D26" s="12"/>
      <c r="E26" s="11">
        <f t="shared" si="6"/>
        <v>44707</v>
      </c>
      <c r="F26">
        <f>E26-E22</f>
        <v>323</v>
      </c>
      <c r="G26" s="4">
        <f t="shared" si="7"/>
        <v>21.661008219178083</v>
      </c>
      <c r="H26" s="5">
        <f t="shared" si="8"/>
        <v>0.33</v>
      </c>
      <c r="I26" s="2">
        <f t="shared" si="9"/>
        <v>0.33896304100548491</v>
      </c>
      <c r="J26" s="358">
        <f t="shared" si="10"/>
        <v>16.177450426795872</v>
      </c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353" t="s">
        <v>257</v>
      </c>
      <c r="H28" s="354"/>
      <c r="I28" s="353"/>
      <c r="J28" s="357">
        <f>-G22/100*10000000</f>
        <v>7870000</v>
      </c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40" t="s">
        <v>256</v>
      </c>
      <c r="H29" s="355"/>
      <c r="I29" s="40"/>
      <c r="J29" s="356">
        <f>(J22+G22)/100*10000000</f>
        <v>424780.82851450692</v>
      </c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2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</sheetData>
  <mergeCells count="4">
    <mergeCell ref="B2:J2"/>
    <mergeCell ref="B4:C4"/>
    <mergeCell ref="E4:J4"/>
    <mergeCell ref="E20:J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7"/>
  <sheetViews>
    <sheetView showGridLines="0" zoomScale="90" zoomScaleNormal="90" workbookViewId="0">
      <selection activeCell="G24" sqref="G24"/>
    </sheetView>
  </sheetViews>
  <sheetFormatPr baseColWidth="10" defaultRowHeight="15" x14ac:dyDescent="0.25"/>
  <cols>
    <col min="2" max="2" width="17.42578125" customWidth="1"/>
    <col min="3" max="3" width="12.42578125" bestFit="1" customWidth="1"/>
    <col min="4" max="4" width="3.42578125" customWidth="1"/>
    <col min="5" max="5" width="12.28515625" bestFit="1" customWidth="1"/>
    <col min="6" max="6" width="8.5703125" customWidth="1"/>
    <col min="7" max="7" width="6.85546875" customWidth="1"/>
    <col min="8" max="8" width="9.85546875" customWidth="1"/>
    <col min="9" max="9" width="8.28515625" customWidth="1"/>
    <col min="10" max="10" width="9.85546875" customWidth="1"/>
    <col min="11" max="11" width="7.5703125" customWidth="1"/>
    <col min="16" max="16" width="13.42578125" customWidth="1"/>
  </cols>
  <sheetData>
    <row r="1" spans="1:17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5.75" x14ac:dyDescent="0.25">
      <c r="A2" s="12"/>
      <c r="B2" s="372" t="s">
        <v>50</v>
      </c>
      <c r="C2" s="372"/>
      <c r="D2" s="372"/>
      <c r="E2" s="372"/>
      <c r="F2" s="372"/>
      <c r="G2" s="372"/>
      <c r="H2" s="372"/>
      <c r="I2" s="372"/>
      <c r="J2" s="372"/>
      <c r="K2" s="12"/>
      <c r="L2" s="12"/>
      <c r="M2" s="12"/>
      <c r="N2" s="12"/>
      <c r="O2" s="12"/>
      <c r="P2" s="12"/>
      <c r="Q2" s="12"/>
    </row>
    <row r="3" spans="1:17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5">
      <c r="A4" s="12"/>
      <c r="B4" s="393" t="s">
        <v>34</v>
      </c>
      <c r="C4" s="394"/>
      <c r="D4" s="12"/>
      <c r="E4" s="395" t="s">
        <v>119</v>
      </c>
      <c r="F4" s="395"/>
      <c r="G4" s="395"/>
      <c r="H4" s="395"/>
      <c r="I4" s="395"/>
      <c r="J4" s="395"/>
      <c r="K4" s="12"/>
      <c r="L4" s="395" t="s">
        <v>51</v>
      </c>
      <c r="M4" s="395"/>
      <c r="N4" s="395"/>
      <c r="O4" s="395"/>
      <c r="P4" s="395"/>
      <c r="Q4" s="395"/>
    </row>
    <row r="5" spans="1:17" x14ac:dyDescent="0.25">
      <c r="A5" s="12"/>
      <c r="B5" s="24" t="s">
        <v>0</v>
      </c>
      <c r="C5" s="33">
        <v>42828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14</v>
      </c>
      <c r="M5" s="29" t="s">
        <v>7</v>
      </c>
      <c r="N5" s="29" t="s">
        <v>21</v>
      </c>
      <c r="O5" s="29" t="s">
        <v>8</v>
      </c>
      <c r="P5" s="29" t="s">
        <v>33</v>
      </c>
      <c r="Q5" s="29" t="s">
        <v>9</v>
      </c>
    </row>
    <row r="6" spans="1:17" x14ac:dyDescent="0.25">
      <c r="A6" s="12"/>
      <c r="B6" s="24" t="s">
        <v>1</v>
      </c>
      <c r="C6" s="33">
        <v>44654</v>
      </c>
      <c r="D6" s="12"/>
      <c r="E6" s="15">
        <f>'Planilla de datos'!D3</f>
        <v>44384</v>
      </c>
      <c r="F6" s="14">
        <v>100</v>
      </c>
      <c r="G6" s="12"/>
      <c r="H6" s="14"/>
      <c r="I6" s="12"/>
      <c r="J6" s="14">
        <f>-'Planilla de datos'!C14</f>
        <v>-98.5</v>
      </c>
      <c r="K6" s="12"/>
      <c r="L6" s="15">
        <f>+E6</f>
        <v>44384</v>
      </c>
      <c r="M6" s="14">
        <f t="shared" ref="M6:N9" si="0">F6</f>
        <v>100</v>
      </c>
      <c r="N6" s="12">
        <f t="shared" si="0"/>
        <v>0</v>
      </c>
      <c r="O6" s="14"/>
      <c r="P6" s="12"/>
      <c r="Q6" s="14">
        <v>0</v>
      </c>
    </row>
    <row r="7" spans="1:17" x14ac:dyDescent="0.25">
      <c r="A7" s="12"/>
      <c r="B7" s="24" t="s">
        <v>157</v>
      </c>
      <c r="C7" s="35">
        <v>0.02</v>
      </c>
      <c r="D7" s="12"/>
      <c r="E7" s="15">
        <v>44472</v>
      </c>
      <c r="F7" s="14">
        <v>100</v>
      </c>
      <c r="G7" s="12">
        <f>E7-C12</f>
        <v>90</v>
      </c>
      <c r="H7" s="14">
        <f>($C$11)/365*G7*$F$6</f>
        <v>8.9142454706142296</v>
      </c>
      <c r="I7" s="12"/>
      <c r="J7" s="14">
        <f>SUM(H7:I7)</f>
        <v>8.9142454706142296</v>
      </c>
      <c r="K7" s="12"/>
      <c r="L7" s="15">
        <f>E7</f>
        <v>44472</v>
      </c>
      <c r="M7" s="14">
        <f t="shared" si="0"/>
        <v>100</v>
      </c>
      <c r="N7" s="12">
        <f t="shared" si="0"/>
        <v>90</v>
      </c>
      <c r="O7" s="14">
        <f>+H7</f>
        <v>8.9142454706142296</v>
      </c>
      <c r="P7" s="14"/>
      <c r="Q7" s="14">
        <f>SUM(O7:P7)</f>
        <v>8.9142454706142296</v>
      </c>
    </row>
    <row r="8" spans="1:17" x14ac:dyDescent="0.25">
      <c r="A8" s="12"/>
      <c r="B8" s="24" t="s">
        <v>28</v>
      </c>
      <c r="C8" s="35">
        <f>AVERAGE('Serie BADLAR'!C177:C232)/100</f>
        <v>0.31820267857142853</v>
      </c>
      <c r="D8" s="12"/>
      <c r="E8" s="15">
        <v>44564</v>
      </c>
      <c r="F8" s="14">
        <v>100</v>
      </c>
      <c r="G8" s="12">
        <f>E8-E7</f>
        <v>92</v>
      </c>
      <c r="H8" s="14">
        <f>($C$11)/365*G8*$F$6</f>
        <v>9.1123398144056562</v>
      </c>
      <c r="I8" s="12"/>
      <c r="J8" s="14">
        <f>SUM(H8:I8)</f>
        <v>9.1123398144056562</v>
      </c>
      <c r="K8" s="12"/>
      <c r="L8" s="15">
        <f>E8</f>
        <v>44564</v>
      </c>
      <c r="M8" s="14">
        <f t="shared" si="0"/>
        <v>100</v>
      </c>
      <c r="N8" s="12">
        <f t="shared" si="0"/>
        <v>92</v>
      </c>
      <c r="O8" s="14">
        <f>+H8</f>
        <v>9.1123398144056562</v>
      </c>
      <c r="P8" s="14"/>
      <c r="Q8" s="14">
        <f>SUM(O8:P8)</f>
        <v>9.1123398144056562</v>
      </c>
    </row>
    <row r="9" spans="1:17" x14ac:dyDescent="0.25">
      <c r="A9" s="12"/>
      <c r="B9" s="24" t="s">
        <v>165</v>
      </c>
      <c r="C9" s="35">
        <f>C7+C8</f>
        <v>0.33820267857142855</v>
      </c>
      <c r="D9" s="12"/>
      <c r="E9" s="15">
        <v>44654</v>
      </c>
      <c r="F9" s="14">
        <v>100</v>
      </c>
      <c r="G9" s="12">
        <f>E9-E8</f>
        <v>90</v>
      </c>
      <c r="H9" s="14">
        <f>($C$11)/365*G9*$F$6</f>
        <v>8.9142454706142296</v>
      </c>
      <c r="I9" s="14">
        <v>100</v>
      </c>
      <c r="J9" s="14">
        <f>SUM(H9:I9)</f>
        <v>108.91424547061423</v>
      </c>
      <c r="K9" s="12"/>
      <c r="L9" s="15">
        <f>E9</f>
        <v>44654</v>
      </c>
      <c r="M9" s="14">
        <f t="shared" si="0"/>
        <v>100</v>
      </c>
      <c r="N9" s="12">
        <f t="shared" si="0"/>
        <v>90</v>
      </c>
      <c r="O9" s="14">
        <f>+H9</f>
        <v>8.9142454706142296</v>
      </c>
      <c r="P9" s="14">
        <v>100</v>
      </c>
      <c r="Q9" s="14">
        <f>SUM(O9:P9)</f>
        <v>108.91424547061423</v>
      </c>
    </row>
    <row r="10" spans="1:17" x14ac:dyDescent="0.25">
      <c r="A10" s="12"/>
      <c r="B10" s="24" t="s">
        <v>161</v>
      </c>
      <c r="C10" s="35">
        <f>AVERAGE('Serie BADLAR'!C232:C293)/100</f>
        <v>0.34152217741935481</v>
      </c>
      <c r="D10" s="12"/>
      <c r="E10" s="12"/>
      <c r="F10" s="12"/>
      <c r="G10" s="12"/>
      <c r="H10" s="12"/>
      <c r="K10" s="12"/>
    </row>
    <row r="11" spans="1:17" x14ac:dyDescent="0.25">
      <c r="A11" s="12"/>
      <c r="B11" s="24" t="s">
        <v>167</v>
      </c>
      <c r="C11" s="35">
        <f>+C10+C7</f>
        <v>0.36152217741935483</v>
      </c>
      <c r="D11" s="12"/>
      <c r="E11" s="12"/>
      <c r="F11" s="12"/>
      <c r="G11" s="12"/>
      <c r="H11" s="12"/>
      <c r="I11" s="92" t="s">
        <v>10</v>
      </c>
      <c r="J11" s="86">
        <f>XIRR(J6:J9,E6:E9,0)</f>
        <v>0.44950780761718756</v>
      </c>
      <c r="K11" s="12"/>
    </row>
    <row r="12" spans="1:17" x14ac:dyDescent="0.25">
      <c r="A12" s="12"/>
      <c r="B12" s="36" t="s">
        <v>27</v>
      </c>
      <c r="C12" s="197">
        <v>44382</v>
      </c>
      <c r="D12" s="12"/>
      <c r="E12" s="366"/>
      <c r="F12" s="366"/>
      <c r="G12" s="366"/>
      <c r="H12" s="366"/>
      <c r="I12" s="92" t="s">
        <v>64</v>
      </c>
      <c r="J12" s="71">
        <f>MDURATION(E6,E9,C9,J11,4)</f>
        <v>0.61112411737225436</v>
      </c>
      <c r="K12" s="12"/>
    </row>
    <row r="13" spans="1:17" x14ac:dyDescent="0.25">
      <c r="A13" s="12"/>
      <c r="B13" s="26"/>
      <c r="C13" s="74"/>
      <c r="D13" s="12"/>
    </row>
    <row r="14" spans="1:17" x14ac:dyDescent="0.25">
      <c r="A14" s="12"/>
      <c r="B14" s="12"/>
      <c r="C14" s="12"/>
      <c r="D14" s="12"/>
      <c r="K14" s="12"/>
      <c r="L14" s="364"/>
      <c r="M14" s="364"/>
      <c r="N14" s="364"/>
      <c r="O14" s="364"/>
      <c r="P14" s="364"/>
      <c r="Q14" s="364"/>
    </row>
    <row r="15" spans="1:17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" customHeight="1" x14ac:dyDescent="0.25">
      <c r="A16" s="12"/>
      <c r="B16" s="12"/>
      <c r="C16" s="12"/>
      <c r="D16" s="12"/>
      <c r="E16" s="376" t="s">
        <v>92</v>
      </c>
      <c r="F16" s="361"/>
      <c r="G16" s="129"/>
      <c r="H16" s="61">
        <v>0.35</v>
      </c>
      <c r="I16" s="129">
        <f>XNPV(H16,Q6:Q9,L6:L9)</f>
        <v>103.38234892597697</v>
      </c>
      <c r="J16" s="61">
        <f>(I16/-$J$6)-1</f>
        <v>4.9566994172355106E-2</v>
      </c>
      <c r="K16" s="12"/>
      <c r="L16" s="12"/>
      <c r="M16" s="12"/>
      <c r="N16" s="12"/>
      <c r="O16" s="12"/>
      <c r="P16" s="12"/>
      <c r="Q16" s="12"/>
    </row>
    <row r="17" spans="1:19" ht="15" customHeight="1" x14ac:dyDescent="0.25">
      <c r="A17" s="12"/>
      <c r="B17" s="12"/>
      <c r="C17" s="12"/>
      <c r="D17" s="12"/>
      <c r="E17" s="396"/>
      <c r="F17" s="363"/>
      <c r="G17" s="27"/>
      <c r="H17" s="18">
        <v>0.4</v>
      </c>
      <c r="I17" s="49">
        <f>XNPV(H17,Q6:Q9,L6:L9)</f>
        <v>100.85484671886324</v>
      </c>
      <c r="J17" s="18">
        <f>(I17/-$J$6)-1</f>
        <v>2.3907073287951608E-2</v>
      </c>
      <c r="K17" s="12"/>
      <c r="L17" s="12"/>
      <c r="M17" s="12"/>
      <c r="N17" s="12"/>
      <c r="O17" s="12"/>
      <c r="P17" s="12"/>
      <c r="Q17" s="12"/>
    </row>
    <row r="18" spans="1:19" ht="15" customHeight="1" x14ac:dyDescent="0.25">
      <c r="A18" s="12"/>
      <c r="B18" s="12"/>
      <c r="C18" s="12"/>
      <c r="D18" s="12"/>
      <c r="E18" s="377"/>
      <c r="F18" s="362"/>
      <c r="G18" s="130"/>
      <c r="H18" s="63">
        <v>0.45</v>
      </c>
      <c r="I18" s="64">
        <f>XNPV(H18,Q6:Q9,L6:L9)</f>
        <v>98.477280788418383</v>
      </c>
      <c r="J18" s="63">
        <f>(I18/-J6)-1</f>
        <v>-2.3065189422966093E-4</v>
      </c>
      <c r="K18" s="12"/>
      <c r="L18" s="12"/>
      <c r="M18" s="12"/>
      <c r="N18" s="12"/>
      <c r="O18" s="12"/>
      <c r="P18" s="12"/>
      <c r="Q18" s="12"/>
    </row>
    <row r="19" spans="1:19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9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9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9" x14ac:dyDescent="0.25">
      <c r="A22" s="12"/>
      <c r="B22" s="12"/>
      <c r="C22" s="12"/>
      <c r="D22" s="12"/>
    </row>
    <row r="23" spans="1:19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9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9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9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51"/>
      <c r="S26" s="51"/>
    </row>
    <row r="27" spans="1:19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51"/>
      <c r="S27" s="51"/>
    </row>
    <row r="28" spans="1:19" ht="5.2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51"/>
      <c r="S28" s="51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51"/>
      <c r="S29" s="51"/>
    </row>
    <row r="30" spans="1:19" ht="8.2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51"/>
      <c r="S30" s="51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51"/>
      <c r="S31" s="51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51"/>
      <c r="S32" s="51"/>
    </row>
    <row r="33" spans="1:19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51"/>
      <c r="S33" s="51"/>
    </row>
    <row r="34" spans="1:19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51"/>
      <c r="S34" s="51"/>
    </row>
    <row r="35" spans="1:19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51"/>
      <c r="S35" s="51"/>
    </row>
    <row r="36" spans="1:19" ht="6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51"/>
      <c r="S36" s="51"/>
    </row>
    <row r="37" spans="1:19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58"/>
      <c r="S37" s="51"/>
    </row>
    <row r="38" spans="1:19" x14ac:dyDescent="0.25">
      <c r="N38" s="51"/>
      <c r="O38" s="51"/>
      <c r="P38" s="51"/>
      <c r="Q38" s="51"/>
      <c r="R38" s="51"/>
      <c r="S38" s="51"/>
    </row>
    <row r="39" spans="1:19" x14ac:dyDescent="0.25">
      <c r="N39" s="51"/>
      <c r="O39" s="51"/>
      <c r="P39" s="51"/>
      <c r="Q39" s="51"/>
      <c r="R39" s="51"/>
      <c r="S39" s="51"/>
    </row>
    <row r="40" spans="1:19" x14ac:dyDescent="0.25">
      <c r="N40" s="51"/>
      <c r="O40" s="51"/>
      <c r="P40" s="51"/>
      <c r="Q40" s="51"/>
      <c r="R40" s="51"/>
      <c r="S40" s="51"/>
    </row>
    <row r="41" spans="1:19" x14ac:dyDescent="0.25">
      <c r="N41" s="51"/>
      <c r="O41" s="51"/>
      <c r="P41" s="52"/>
      <c r="Q41" s="51"/>
      <c r="R41" s="51"/>
      <c r="S41" s="51"/>
    </row>
    <row r="42" spans="1:19" ht="5.25" customHeight="1" x14ac:dyDescent="0.25">
      <c r="N42" s="51"/>
      <c r="O42" s="51"/>
      <c r="P42" s="51"/>
      <c r="Q42" s="51"/>
      <c r="R42" s="51"/>
      <c r="S42" s="51"/>
    </row>
    <row r="43" spans="1:19" x14ac:dyDescent="0.25">
      <c r="N43" s="51"/>
      <c r="O43" s="51"/>
      <c r="P43" s="392"/>
      <c r="Q43" s="392"/>
      <c r="R43" s="51"/>
      <c r="S43" s="51"/>
    </row>
    <row r="44" spans="1:19" ht="7.5" customHeight="1" x14ac:dyDescent="0.25">
      <c r="N44" s="51"/>
      <c r="O44" s="51"/>
      <c r="P44" s="51"/>
      <c r="Q44" s="51"/>
    </row>
    <row r="45" spans="1:19" x14ac:dyDescent="0.25">
      <c r="N45" s="51"/>
      <c r="O45" s="51"/>
      <c r="P45" s="53"/>
      <c r="Q45" s="54"/>
    </row>
    <row r="46" spans="1:19" x14ac:dyDescent="0.25">
      <c r="N46" s="51"/>
      <c r="O46" s="51"/>
      <c r="P46" s="53"/>
      <c r="Q46" s="55"/>
    </row>
    <row r="47" spans="1:19" x14ac:dyDescent="0.25">
      <c r="N47" s="51"/>
      <c r="O47" s="51"/>
      <c r="P47" s="53"/>
      <c r="Q47" s="55"/>
    </row>
    <row r="48" spans="1:19" x14ac:dyDescent="0.25">
      <c r="N48" s="51"/>
      <c r="O48" s="51"/>
      <c r="P48" s="53"/>
      <c r="Q48" s="54"/>
    </row>
    <row r="49" spans="14:17" x14ac:dyDescent="0.25">
      <c r="N49" s="51"/>
      <c r="O49" s="51"/>
      <c r="P49" s="53"/>
      <c r="Q49" s="56"/>
    </row>
    <row r="50" spans="14:17" x14ac:dyDescent="0.25">
      <c r="N50" s="51"/>
      <c r="O50" s="51"/>
      <c r="P50" s="51"/>
      <c r="Q50" s="51"/>
    </row>
    <row r="51" spans="14:17" x14ac:dyDescent="0.25">
      <c r="N51" s="51"/>
      <c r="O51" s="51"/>
      <c r="P51" s="57"/>
      <c r="Q51" s="57"/>
    </row>
    <row r="52" spans="14:17" x14ac:dyDescent="0.25">
      <c r="N52" s="51"/>
      <c r="O52" s="51"/>
      <c r="P52" s="51"/>
      <c r="Q52" s="51"/>
    </row>
    <row r="53" spans="14:17" x14ac:dyDescent="0.25">
      <c r="N53" s="51"/>
      <c r="O53" s="51"/>
      <c r="P53" s="51"/>
      <c r="Q53" s="51"/>
    </row>
    <row r="54" spans="14:17" x14ac:dyDescent="0.25">
      <c r="N54" s="51"/>
      <c r="O54" s="51"/>
      <c r="P54" s="51"/>
      <c r="Q54" s="51"/>
    </row>
    <row r="55" spans="14:17" x14ac:dyDescent="0.25">
      <c r="N55" s="51"/>
      <c r="O55" s="51"/>
      <c r="P55" s="51"/>
      <c r="Q55" s="51"/>
    </row>
    <row r="56" spans="14:17" x14ac:dyDescent="0.25">
      <c r="N56" s="51"/>
      <c r="O56" s="51"/>
      <c r="P56" s="51"/>
      <c r="Q56" s="51"/>
    </row>
    <row r="57" spans="14:17" x14ac:dyDescent="0.25">
      <c r="N57" s="51"/>
      <c r="O57" s="51"/>
      <c r="P57" s="51"/>
      <c r="Q57" s="51"/>
    </row>
  </sheetData>
  <mergeCells count="6">
    <mergeCell ref="P43:Q43"/>
    <mergeCell ref="B2:J2"/>
    <mergeCell ref="B4:C4"/>
    <mergeCell ref="E4:J4"/>
    <mergeCell ref="L4:Q4"/>
    <mergeCell ref="E16:E1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7"/>
  <sheetViews>
    <sheetView showGridLines="0" zoomScale="90" zoomScaleNormal="90" workbookViewId="0">
      <selection activeCell="N19" sqref="N19"/>
    </sheetView>
  </sheetViews>
  <sheetFormatPr baseColWidth="10" defaultRowHeight="15" x14ac:dyDescent="0.25"/>
  <cols>
    <col min="2" max="2" width="17.140625" customWidth="1"/>
    <col min="3" max="3" width="12.42578125" bestFit="1" customWidth="1"/>
    <col min="4" max="4" width="3.42578125" customWidth="1"/>
    <col min="5" max="5" width="12.28515625" bestFit="1" customWidth="1"/>
    <col min="6" max="6" width="8.5703125" customWidth="1"/>
    <col min="7" max="7" width="6.85546875" customWidth="1"/>
    <col min="8" max="8" width="9.85546875" customWidth="1"/>
    <col min="9" max="9" width="8.28515625" customWidth="1"/>
    <col min="10" max="10" width="9.85546875" customWidth="1"/>
    <col min="16" max="16" width="13.42578125" customWidth="1"/>
  </cols>
  <sheetData>
    <row r="1" spans="1:18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2"/>
      <c r="B2" s="372" t="s">
        <v>50</v>
      </c>
      <c r="C2" s="372"/>
      <c r="D2" s="372"/>
      <c r="E2" s="372"/>
      <c r="F2" s="372"/>
      <c r="G2" s="372"/>
      <c r="H2" s="372"/>
      <c r="I2" s="372"/>
      <c r="J2" s="37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373" t="s">
        <v>34</v>
      </c>
      <c r="C4" s="374"/>
      <c r="D4" s="12"/>
      <c r="E4" s="395" t="s">
        <v>51</v>
      </c>
      <c r="F4" s="395"/>
      <c r="G4" s="395"/>
      <c r="H4" s="395"/>
      <c r="I4" s="395"/>
      <c r="J4" s="395"/>
      <c r="K4" s="12"/>
      <c r="L4" s="395" t="s">
        <v>51</v>
      </c>
      <c r="M4" s="395"/>
      <c r="N4" s="395"/>
      <c r="O4" s="395"/>
      <c r="P4" s="395"/>
      <c r="Q4" s="395"/>
      <c r="R4" s="12"/>
    </row>
    <row r="5" spans="1:18" x14ac:dyDescent="0.25">
      <c r="A5" s="12"/>
      <c r="B5" s="24" t="s">
        <v>0</v>
      </c>
      <c r="C5" s="33">
        <v>43866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29" t="s">
        <v>14</v>
      </c>
      <c r="M5" s="29" t="s">
        <v>7</v>
      </c>
      <c r="N5" s="29" t="s">
        <v>21</v>
      </c>
      <c r="O5" s="29" t="s">
        <v>8</v>
      </c>
      <c r="P5" s="29" t="s">
        <v>33</v>
      </c>
      <c r="Q5" s="29" t="s">
        <v>9</v>
      </c>
      <c r="R5" s="12"/>
    </row>
    <row r="6" spans="1:18" x14ac:dyDescent="0.25">
      <c r="A6" s="12"/>
      <c r="B6" s="24" t="s">
        <v>1</v>
      </c>
      <c r="C6" s="33">
        <v>44413</v>
      </c>
      <c r="D6" s="12"/>
      <c r="E6" s="15">
        <f>'Planilla de datos'!D3</f>
        <v>44384</v>
      </c>
      <c r="F6" s="14">
        <v>100</v>
      </c>
      <c r="G6" s="12"/>
      <c r="H6" s="14"/>
      <c r="I6" s="12"/>
      <c r="J6" s="14">
        <f>-'Planilla de datos'!C10</f>
        <v>-105.75</v>
      </c>
      <c r="K6" s="12"/>
      <c r="L6" s="15">
        <f>+E6</f>
        <v>44384</v>
      </c>
      <c r="M6" s="14">
        <f>F6</f>
        <v>100</v>
      </c>
      <c r="N6" s="12">
        <f>G6</f>
        <v>0</v>
      </c>
      <c r="O6" s="14"/>
      <c r="P6" s="12"/>
      <c r="Q6" s="14">
        <v>0</v>
      </c>
      <c r="R6" s="12"/>
    </row>
    <row r="7" spans="1:18" x14ac:dyDescent="0.25">
      <c r="A7" s="12"/>
      <c r="B7" s="24" t="s">
        <v>157</v>
      </c>
      <c r="C7" s="35">
        <v>0.01</v>
      </c>
      <c r="D7" s="12"/>
      <c r="E7" s="15">
        <v>44413</v>
      </c>
      <c r="F7" s="14">
        <v>100</v>
      </c>
      <c r="G7" s="12">
        <f>E7-C12</f>
        <v>92</v>
      </c>
      <c r="H7" s="14">
        <f>($C$11)/365*G7*$F$6</f>
        <v>8.8606338518690499</v>
      </c>
      <c r="I7" s="14">
        <v>100</v>
      </c>
      <c r="J7" s="14">
        <f>SUM(H7:I7)</f>
        <v>108.86063385186905</v>
      </c>
      <c r="K7" s="12"/>
      <c r="L7" s="15">
        <f>E7</f>
        <v>44413</v>
      </c>
      <c r="M7" s="14">
        <f>F7</f>
        <v>100</v>
      </c>
      <c r="N7" s="12">
        <f>G7</f>
        <v>92</v>
      </c>
      <c r="O7" s="14">
        <f>($C$8+$C$7)/365*N7*$F$6</f>
        <v>8.8606338518690499</v>
      </c>
      <c r="P7" s="14">
        <v>100</v>
      </c>
      <c r="Q7" s="14">
        <f>SUM(O7:P7)</f>
        <v>108.86063385186905</v>
      </c>
      <c r="R7" s="12"/>
    </row>
    <row r="8" spans="1:18" x14ac:dyDescent="0.25">
      <c r="A8" s="12"/>
      <c r="B8" s="24" t="s">
        <v>166</v>
      </c>
      <c r="C8" s="35">
        <f>AVERAGE('Serie BADLAR'!C257:C315)/100</f>
        <v>0.34153601694915253</v>
      </c>
      <c r="D8" s="12"/>
      <c r="E8" s="12">
        <f>E7-E6</f>
        <v>29</v>
      </c>
      <c r="F8" s="12"/>
      <c r="G8" s="12"/>
      <c r="H8" s="12"/>
      <c r="I8" s="12"/>
      <c r="J8" s="12"/>
      <c r="K8" s="12"/>
      <c r="R8" s="12"/>
    </row>
    <row r="9" spans="1:18" x14ac:dyDescent="0.25">
      <c r="A9" s="12"/>
      <c r="B9" s="24" t="s">
        <v>165</v>
      </c>
      <c r="C9" s="35">
        <f>C7+C8</f>
        <v>0.35153601694915254</v>
      </c>
      <c r="D9" s="12"/>
      <c r="E9" s="12"/>
      <c r="F9" s="12"/>
      <c r="G9" s="12"/>
      <c r="H9" s="12"/>
      <c r="I9" s="12"/>
      <c r="J9" s="12"/>
      <c r="K9" s="12"/>
      <c r="R9" s="12"/>
    </row>
    <row r="10" spans="1:18" x14ac:dyDescent="0.25">
      <c r="A10" s="12"/>
      <c r="B10" s="24" t="s">
        <v>161</v>
      </c>
      <c r="C10" s="35">
        <f>AVERAGE('Serie BADLAR'!C257:C315)/100</f>
        <v>0.34153601694915253</v>
      </c>
      <c r="D10" s="12"/>
      <c r="E10" s="12"/>
      <c r="F10" s="12"/>
      <c r="G10" s="12"/>
      <c r="H10" s="12"/>
      <c r="I10" s="92" t="s">
        <v>10</v>
      </c>
      <c r="J10" s="86">
        <f>XIRR(J6:J7,E6:E7,0)</f>
        <v>0.44034463378906252</v>
      </c>
      <c r="K10" s="12"/>
      <c r="L10" s="110"/>
      <c r="M10" s="110"/>
      <c r="N10" s="110"/>
      <c r="O10" s="110"/>
      <c r="P10" s="110"/>
      <c r="Q10" s="110"/>
      <c r="R10" s="110"/>
    </row>
    <row r="11" spans="1:18" x14ac:dyDescent="0.25">
      <c r="A11" s="12"/>
      <c r="B11" s="24" t="s">
        <v>167</v>
      </c>
      <c r="C11" s="35">
        <f>C10+C7</f>
        <v>0.35153601694915254</v>
      </c>
      <c r="D11" s="12"/>
      <c r="E11" s="12"/>
      <c r="F11" s="12"/>
      <c r="G11" s="12"/>
      <c r="H11" s="12"/>
      <c r="I11" s="92" t="s">
        <v>64</v>
      </c>
      <c r="J11" s="71">
        <f>MDURATION(E6,E7,C9,J10,4)</f>
        <v>7.0064631637754615E-2</v>
      </c>
      <c r="K11" s="12"/>
    </row>
    <row r="12" spans="1:18" x14ac:dyDescent="0.25">
      <c r="A12" s="12"/>
      <c r="B12" s="24" t="s">
        <v>27</v>
      </c>
      <c r="C12" s="33">
        <v>44321</v>
      </c>
      <c r="D12" s="12"/>
      <c r="K12" s="12"/>
      <c r="L12" s="110"/>
      <c r="M12" s="110"/>
      <c r="N12" s="110"/>
      <c r="O12" s="110"/>
      <c r="P12" s="59"/>
      <c r="Q12" s="60"/>
      <c r="R12" s="110"/>
    </row>
    <row r="13" spans="1:18" x14ac:dyDescent="0.25">
      <c r="A13" s="12"/>
      <c r="B13" s="218"/>
      <c r="C13" s="261"/>
      <c r="D13" s="12"/>
      <c r="E13" s="12"/>
      <c r="F13" s="12"/>
      <c r="G13" s="12"/>
      <c r="H13" s="12"/>
      <c r="I13" s="12"/>
      <c r="J13" s="12"/>
      <c r="K13" s="12"/>
      <c r="L13" s="110"/>
      <c r="M13" s="110"/>
      <c r="N13" s="110"/>
      <c r="O13" s="110"/>
      <c r="P13" s="110"/>
      <c r="Q13" s="110"/>
      <c r="R13" s="110"/>
    </row>
    <row r="14" spans="1:18" x14ac:dyDescent="0.25">
      <c r="A14" s="12"/>
      <c r="B14" s="27"/>
      <c r="C14" s="69"/>
      <c r="D14" s="12"/>
      <c r="E14" s="12"/>
      <c r="F14" s="12"/>
      <c r="G14" s="12"/>
      <c r="H14" s="12"/>
      <c r="I14" s="12"/>
      <c r="J14" s="12"/>
      <c r="K14" s="12"/>
      <c r="L14" s="397"/>
      <c r="M14" s="397"/>
      <c r="N14" s="397"/>
      <c r="O14" s="397"/>
      <c r="P14" s="397"/>
      <c r="Q14" s="397"/>
      <c r="R14" s="110"/>
    </row>
    <row r="15" spans="1:18" ht="30" x14ac:dyDescent="0.25">
      <c r="A15" s="12"/>
      <c r="B15" s="12"/>
      <c r="C15" s="12"/>
      <c r="D15" s="12"/>
      <c r="E15" s="320" t="s">
        <v>92</v>
      </c>
      <c r="F15" s="320"/>
      <c r="G15" s="129"/>
      <c r="H15" s="61">
        <v>0.35</v>
      </c>
      <c r="I15" s="129">
        <f>XNPV(H15,Q6:Q7,L6:L7)</f>
        <v>106.29566982494244</v>
      </c>
      <c r="J15" s="61">
        <f>(I15/-$J$6)-1</f>
        <v>5.15999834460934E-3</v>
      </c>
      <c r="K15" s="12"/>
      <c r="L15" s="12"/>
      <c r="M15" s="12"/>
      <c r="N15" s="12"/>
      <c r="O15" s="12"/>
      <c r="P15" s="12"/>
      <c r="Q15" s="12"/>
      <c r="R15" s="12"/>
    </row>
    <row r="16" spans="1:18" ht="14.45" customHeight="1" x14ac:dyDescent="0.25">
      <c r="A16" s="12"/>
      <c r="B16" s="12"/>
      <c r="C16" s="12"/>
      <c r="D16" s="12"/>
      <c r="E16" s="322"/>
      <c r="F16" s="322"/>
      <c r="G16" s="27"/>
      <c r="H16" s="18">
        <v>0.4</v>
      </c>
      <c r="I16" s="49">
        <f>XNPV(H16,Q6:Q7,L6:L7)</f>
        <v>105.98897349208045</v>
      </c>
      <c r="J16" s="18">
        <f>(I16/-$J$6)-1</f>
        <v>2.2597966154178639E-3</v>
      </c>
      <c r="K16" s="12"/>
      <c r="L16" s="12"/>
      <c r="M16" s="12"/>
      <c r="N16" s="12"/>
      <c r="O16" s="12"/>
      <c r="P16" s="12"/>
      <c r="Q16" s="12"/>
      <c r="R16" s="12"/>
    </row>
    <row r="17" spans="1:20" ht="15" customHeight="1" x14ac:dyDescent="0.25">
      <c r="A17" s="12"/>
      <c r="B17" s="12"/>
      <c r="C17" s="12"/>
      <c r="D17" s="12"/>
      <c r="E17" s="321"/>
      <c r="F17" s="321"/>
      <c r="G17" s="130"/>
      <c r="H17" s="63">
        <v>0.45</v>
      </c>
      <c r="I17" s="64">
        <f>XNPV(H17,Q6:Q7,L6:L7)</f>
        <v>105.69387958709572</v>
      </c>
      <c r="J17" s="63">
        <f>(I17/-J6)-1</f>
        <v>-5.3068948372836378E-4</v>
      </c>
      <c r="K17" s="12"/>
      <c r="L17" s="12"/>
      <c r="M17" s="12"/>
      <c r="N17" s="12"/>
      <c r="O17" s="12"/>
      <c r="P17" s="12"/>
      <c r="Q17" s="12"/>
      <c r="R17" s="12"/>
    </row>
    <row r="18" spans="1:20" ht="15" customHeight="1" x14ac:dyDescent="0.25">
      <c r="A18" s="12"/>
      <c r="B18" s="12"/>
      <c r="C18" s="12"/>
      <c r="D18" s="12"/>
      <c r="K18" s="12"/>
      <c r="L18" s="12"/>
      <c r="M18" s="12"/>
      <c r="N18" s="12"/>
      <c r="O18" s="12"/>
      <c r="P18" s="12"/>
      <c r="Q18" s="12"/>
      <c r="R18" s="12"/>
    </row>
    <row r="19" spans="1:20" x14ac:dyDescent="0.25">
      <c r="A19" s="12"/>
      <c r="B19" s="12"/>
      <c r="C19" s="12"/>
      <c r="D19" s="12"/>
      <c r="K19" s="12"/>
      <c r="L19" s="12"/>
      <c r="M19" s="12"/>
      <c r="N19" s="12"/>
      <c r="O19" s="12"/>
      <c r="P19" s="12"/>
      <c r="Q19" s="12"/>
      <c r="R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 t="s">
        <v>183</v>
      </c>
      <c r="J20" s="22">
        <f>(J7+J6)/(-J6)</f>
        <v>2.9414977322638803E-2</v>
      </c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12"/>
      <c r="B21" s="12"/>
      <c r="C21" s="12"/>
      <c r="D21" s="12"/>
      <c r="E21" s="12"/>
      <c r="F21" s="12"/>
      <c r="G21" s="12"/>
      <c r="H21" s="12"/>
      <c r="I21" s="12" t="s">
        <v>17</v>
      </c>
      <c r="J21" s="22">
        <f>J20/E8*365</f>
        <v>0.37022299044010903</v>
      </c>
      <c r="K21" s="12"/>
      <c r="L21" s="12"/>
      <c r="M21" s="12"/>
      <c r="N21" s="12"/>
      <c r="O21" s="12"/>
      <c r="P21" s="12"/>
      <c r="Q21" s="12"/>
      <c r="R21" s="12"/>
    </row>
    <row r="22" spans="1:2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20" x14ac:dyDescent="0.25">
      <c r="A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20" x14ac:dyDescent="0.25">
      <c r="A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20" x14ac:dyDescent="0.25">
      <c r="A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51"/>
      <c r="T26" s="51"/>
    </row>
    <row r="27" spans="1:20" x14ac:dyDescent="0.25">
      <c r="A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51"/>
      <c r="T27" s="51"/>
    </row>
    <row r="28" spans="1:20" x14ac:dyDescent="0.25">
      <c r="A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51"/>
      <c r="T28" s="51"/>
    </row>
    <row r="29" spans="1:20" x14ac:dyDescent="0.25">
      <c r="A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51"/>
      <c r="T29" s="51"/>
    </row>
    <row r="30" spans="1:20" x14ac:dyDescent="0.25">
      <c r="A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51"/>
      <c r="T30" s="51"/>
    </row>
    <row r="31" spans="1:20" x14ac:dyDescent="0.25">
      <c r="A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51"/>
      <c r="T31" s="51"/>
    </row>
    <row r="32" spans="1:2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1"/>
      <c r="T32" s="51"/>
    </row>
    <row r="33" spans="1:2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51"/>
      <c r="T33" s="51"/>
    </row>
    <row r="34" spans="1:2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51"/>
      <c r="T34" s="51"/>
    </row>
    <row r="35" spans="1:2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51"/>
      <c r="T35" s="51"/>
    </row>
    <row r="36" spans="1:20" ht="6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51"/>
      <c r="T36" s="51"/>
    </row>
    <row r="37" spans="1:2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58"/>
      <c r="T37" s="51"/>
    </row>
    <row r="38" spans="1:20" x14ac:dyDescent="0.25">
      <c r="N38" s="51"/>
      <c r="O38" s="51"/>
      <c r="P38" s="51"/>
      <c r="Q38" s="51"/>
      <c r="R38" s="51"/>
      <c r="S38" s="51"/>
      <c r="T38" s="51"/>
    </row>
    <row r="39" spans="1:20" x14ac:dyDescent="0.25">
      <c r="N39" s="51"/>
      <c r="O39" s="51"/>
      <c r="P39" s="51"/>
      <c r="Q39" s="51"/>
      <c r="R39" s="51"/>
      <c r="S39" s="51"/>
      <c r="T39" s="51"/>
    </row>
    <row r="40" spans="1:20" x14ac:dyDescent="0.25">
      <c r="N40" s="51"/>
      <c r="O40" s="51"/>
      <c r="P40" s="51"/>
      <c r="Q40" s="51"/>
      <c r="R40" s="51"/>
      <c r="S40" s="51"/>
      <c r="T40" s="51"/>
    </row>
    <row r="41" spans="1:20" x14ac:dyDescent="0.25">
      <c r="N41" s="51"/>
      <c r="O41" s="51"/>
      <c r="P41" s="52"/>
      <c r="Q41" s="51"/>
      <c r="R41" s="51"/>
      <c r="S41" s="51"/>
      <c r="T41" s="51"/>
    </row>
    <row r="42" spans="1:20" ht="5.25" customHeight="1" x14ac:dyDescent="0.25">
      <c r="N42" s="51"/>
      <c r="O42" s="51"/>
      <c r="P42" s="51"/>
      <c r="Q42" s="51"/>
      <c r="R42" s="51"/>
      <c r="S42" s="51"/>
      <c r="T42" s="51"/>
    </row>
    <row r="43" spans="1:20" x14ac:dyDescent="0.25">
      <c r="N43" s="51"/>
      <c r="O43" s="51"/>
      <c r="P43" s="392"/>
      <c r="Q43" s="392"/>
      <c r="R43" s="392"/>
      <c r="S43" s="51"/>
      <c r="T43" s="51"/>
    </row>
    <row r="44" spans="1:20" ht="7.5" customHeight="1" x14ac:dyDescent="0.25">
      <c r="N44" s="51"/>
      <c r="O44" s="51"/>
      <c r="P44" s="51"/>
      <c r="Q44" s="51"/>
      <c r="R44" s="51"/>
    </row>
    <row r="45" spans="1:20" x14ac:dyDescent="0.25">
      <c r="N45" s="51"/>
      <c r="O45" s="51"/>
      <c r="P45" s="53"/>
      <c r="Q45" s="54"/>
      <c r="R45" s="54"/>
    </row>
    <row r="46" spans="1:20" x14ac:dyDescent="0.25">
      <c r="N46" s="51"/>
      <c r="O46" s="51"/>
      <c r="P46" s="53"/>
      <c r="Q46" s="55"/>
      <c r="R46" s="55"/>
    </row>
    <row r="47" spans="1:20" x14ac:dyDescent="0.25">
      <c r="N47" s="51"/>
      <c r="O47" s="51"/>
      <c r="P47" s="53"/>
      <c r="Q47" s="55"/>
      <c r="R47" s="55"/>
    </row>
    <row r="48" spans="1:20" x14ac:dyDescent="0.25">
      <c r="N48" s="51"/>
      <c r="O48" s="51"/>
      <c r="P48" s="53"/>
      <c r="Q48" s="54"/>
      <c r="R48" s="54"/>
    </row>
    <row r="49" spans="14:18" x14ac:dyDescent="0.25">
      <c r="N49" s="51"/>
      <c r="O49" s="51"/>
      <c r="P49" s="53"/>
      <c r="Q49" s="56"/>
      <c r="R49" s="56"/>
    </row>
    <row r="50" spans="14:18" x14ac:dyDescent="0.25">
      <c r="N50" s="51"/>
      <c r="O50" s="51"/>
      <c r="P50" s="51"/>
      <c r="Q50" s="51"/>
      <c r="R50" s="51"/>
    </row>
    <row r="51" spans="14:18" x14ac:dyDescent="0.25">
      <c r="N51" s="51"/>
      <c r="O51" s="51"/>
      <c r="P51" s="57"/>
      <c r="Q51" s="57"/>
      <c r="R51" s="57"/>
    </row>
    <row r="52" spans="14:18" x14ac:dyDescent="0.25">
      <c r="N52" s="51"/>
      <c r="O52" s="51"/>
      <c r="P52" s="51"/>
      <c r="Q52" s="51"/>
      <c r="R52" s="51"/>
    </row>
    <row r="53" spans="14:18" x14ac:dyDescent="0.25">
      <c r="N53" s="51"/>
      <c r="O53" s="51"/>
      <c r="P53" s="51"/>
      <c r="Q53" s="51"/>
      <c r="R53" s="51"/>
    </row>
    <row r="54" spans="14:18" x14ac:dyDescent="0.25">
      <c r="N54" s="51"/>
      <c r="O54" s="51"/>
      <c r="P54" s="51"/>
      <c r="Q54" s="51"/>
      <c r="R54" s="51"/>
    </row>
    <row r="55" spans="14:18" x14ac:dyDescent="0.25">
      <c r="N55" s="51"/>
      <c r="O55" s="51"/>
      <c r="P55" s="51"/>
      <c r="Q55" s="51"/>
      <c r="R55" s="51"/>
    </row>
    <row r="56" spans="14:18" x14ac:dyDescent="0.25">
      <c r="N56" s="51"/>
      <c r="O56" s="51"/>
      <c r="P56" s="51"/>
      <c r="Q56" s="51"/>
      <c r="R56" s="51"/>
    </row>
    <row r="57" spans="14:18" x14ac:dyDescent="0.25">
      <c r="N57" s="51"/>
      <c r="O57" s="51"/>
      <c r="P57" s="51"/>
      <c r="Q57" s="51"/>
      <c r="R57" s="51"/>
    </row>
  </sheetData>
  <mergeCells count="6">
    <mergeCell ref="P43:R43"/>
    <mergeCell ref="B2:J2"/>
    <mergeCell ref="B4:C4"/>
    <mergeCell ref="E4:J4"/>
    <mergeCell ref="L4:Q4"/>
    <mergeCell ref="L14:Q14"/>
  </mergeCells>
  <pageMargins left="0.7" right="0.7" top="0.75" bottom="0.75" header="0.3" footer="0.3"/>
  <pageSetup paperSize="9" orientation="portrait" r:id="rId1"/>
  <ignoredErrors>
    <ignoredError sqref="C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9"/>
  <sheetViews>
    <sheetView showGridLines="0" zoomScale="90" zoomScaleNormal="90" workbookViewId="0">
      <selection activeCell="N18" sqref="N18"/>
    </sheetView>
  </sheetViews>
  <sheetFormatPr baseColWidth="10" defaultRowHeight="15" x14ac:dyDescent="0.25"/>
  <cols>
    <col min="2" max="2" width="17.140625" customWidth="1"/>
    <col min="3" max="3" width="14.140625" bestFit="1" customWidth="1"/>
    <col min="4" max="4" width="3.42578125" customWidth="1"/>
    <col min="5" max="5" width="14.140625" bestFit="1" customWidth="1"/>
    <col min="6" max="7" width="9.42578125" customWidth="1"/>
    <col min="8" max="8" width="9.28515625" bestFit="1" customWidth="1"/>
    <col min="9" max="10" width="10.42578125" customWidth="1"/>
  </cols>
  <sheetData>
    <row r="1" spans="1:2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5.75" x14ac:dyDescent="0.25">
      <c r="A2" s="12"/>
      <c r="B2" s="372" t="s">
        <v>53</v>
      </c>
      <c r="C2" s="372"/>
      <c r="D2" s="372"/>
      <c r="E2" s="372"/>
      <c r="F2" s="372"/>
      <c r="G2" s="372"/>
      <c r="H2" s="372"/>
      <c r="I2" s="372"/>
      <c r="J2" s="37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5">
      <c r="A4" s="12"/>
      <c r="B4" s="373" t="s">
        <v>34</v>
      </c>
      <c r="C4" s="374"/>
      <c r="D4" s="12"/>
      <c r="E4" s="375" t="s">
        <v>54</v>
      </c>
      <c r="F4" s="375"/>
      <c r="G4" s="375"/>
      <c r="H4" s="375"/>
      <c r="I4" s="375"/>
      <c r="J4" s="375"/>
      <c r="K4" s="12"/>
      <c r="L4" s="12"/>
      <c r="M4" s="375" t="s">
        <v>54</v>
      </c>
      <c r="N4" s="375"/>
      <c r="O4" s="375"/>
      <c r="P4" s="375"/>
      <c r="Q4" s="375"/>
      <c r="R4" s="375"/>
      <c r="S4" s="12"/>
      <c r="T4" s="12"/>
    </row>
    <row r="5" spans="1:20" x14ac:dyDescent="0.25">
      <c r="A5" s="12"/>
      <c r="B5" s="24" t="s">
        <v>0</v>
      </c>
      <c r="C5" s="33">
        <v>40182</v>
      </c>
      <c r="D5" s="12"/>
      <c r="E5" s="29" t="s">
        <v>14</v>
      </c>
      <c r="F5" s="29" t="s">
        <v>7</v>
      </c>
      <c r="G5" s="29" t="s">
        <v>21</v>
      </c>
      <c r="H5" s="29" t="s">
        <v>8</v>
      </c>
      <c r="I5" s="29" t="s">
        <v>33</v>
      </c>
      <c r="J5" s="29" t="s">
        <v>9</v>
      </c>
      <c r="K5" s="12"/>
      <c r="L5" s="12"/>
      <c r="M5" s="29" t="s">
        <v>14</v>
      </c>
      <c r="N5" s="29" t="s">
        <v>7</v>
      </c>
      <c r="O5" s="29" t="s">
        <v>21</v>
      </c>
      <c r="P5" s="29" t="s">
        <v>8</v>
      </c>
      <c r="Q5" s="29" t="s">
        <v>33</v>
      </c>
      <c r="R5" s="29" t="s">
        <v>9</v>
      </c>
      <c r="S5" s="12"/>
      <c r="T5" s="12"/>
    </row>
    <row r="6" spans="1:20" x14ac:dyDescent="0.25">
      <c r="A6" s="12"/>
      <c r="B6" s="24" t="s">
        <v>1</v>
      </c>
      <c r="C6" s="33">
        <v>44838</v>
      </c>
      <c r="D6" s="12"/>
      <c r="E6" s="15">
        <f>'Planilla de datos'!D3</f>
        <v>44384</v>
      </c>
      <c r="F6" s="14">
        <f>96.5078-12.2828-12.2828</f>
        <v>71.942200000000014</v>
      </c>
      <c r="G6" s="12"/>
      <c r="H6" s="30"/>
      <c r="I6" s="12"/>
      <c r="J6" s="14">
        <f>-'Planilla de datos'!C13</f>
        <v>-69.400000000000006</v>
      </c>
      <c r="K6" s="12"/>
      <c r="L6" s="12"/>
      <c r="M6" s="15">
        <f>+E6</f>
        <v>44384</v>
      </c>
      <c r="N6" s="14">
        <f t="shared" ref="N6:N11" si="0">F6</f>
        <v>71.942200000000014</v>
      </c>
      <c r="O6" s="12"/>
      <c r="P6" s="30"/>
      <c r="Q6" s="12"/>
      <c r="R6" s="14">
        <v>0</v>
      </c>
      <c r="S6" s="12"/>
      <c r="T6" s="12"/>
    </row>
    <row r="7" spans="1:20" x14ac:dyDescent="0.25">
      <c r="A7" s="12"/>
      <c r="B7" s="24" t="s">
        <v>28</v>
      </c>
      <c r="C7" s="35">
        <f>AVERAGE('Serie BADLAR'!C162:C181)/100</f>
        <v>0.29721875000000003</v>
      </c>
      <c r="D7" s="12"/>
      <c r="E7" s="15">
        <v>44473</v>
      </c>
      <c r="F7" s="14">
        <f>F6-I7</f>
        <v>59.659400000000012</v>
      </c>
      <c r="G7" s="12">
        <f>E7-C9</f>
        <v>91</v>
      </c>
      <c r="H7" s="14">
        <f>($C$8)/365*G7*F6</f>
        <v>6.12259713057382</v>
      </c>
      <c r="I7" s="12">
        <v>12.2828</v>
      </c>
      <c r="J7" s="14">
        <f>SUM(H7:I7)</f>
        <v>18.405397130573821</v>
      </c>
      <c r="K7" s="12"/>
      <c r="L7" s="12"/>
      <c r="M7" s="15">
        <v>44473</v>
      </c>
      <c r="N7" s="14">
        <f t="shared" si="0"/>
        <v>59.659400000000012</v>
      </c>
      <c r="O7" s="12">
        <f t="shared" ref="O7:Q11" si="1">G7</f>
        <v>91</v>
      </c>
      <c r="P7" s="14">
        <f t="shared" si="1"/>
        <v>6.12259713057382</v>
      </c>
      <c r="Q7" s="12">
        <f t="shared" si="1"/>
        <v>12.2828</v>
      </c>
      <c r="R7" s="14">
        <f>SUM(P7:Q7)</f>
        <v>18.405397130573821</v>
      </c>
      <c r="S7" s="12"/>
      <c r="T7" s="12"/>
    </row>
    <row r="8" spans="1:20" x14ac:dyDescent="0.25">
      <c r="A8" s="12"/>
      <c r="B8" s="24" t="s">
        <v>161</v>
      </c>
      <c r="C8" s="35">
        <f>AVERAGE('Serie BADLAR'!C221:C238)/100</f>
        <v>0.34135277777777773</v>
      </c>
      <c r="D8" s="12"/>
      <c r="E8" s="15">
        <v>44565</v>
      </c>
      <c r="F8" s="14">
        <f>F7-I8</f>
        <v>47.37660000000001</v>
      </c>
      <c r="G8" s="12">
        <f>E8-E7</f>
        <v>92</v>
      </c>
      <c r="H8" s="14">
        <f t="shared" ref="H8:H11" si="2">($C$8)/365*G8*F7</f>
        <v>5.1330711664961957</v>
      </c>
      <c r="I8" s="12">
        <v>12.2828</v>
      </c>
      <c r="J8" s="14">
        <f>SUM(H8:I8)</f>
        <v>17.415871166496196</v>
      </c>
      <c r="K8" s="12"/>
      <c r="L8" s="12"/>
      <c r="M8" s="15">
        <v>44565</v>
      </c>
      <c r="N8" s="14">
        <f t="shared" si="0"/>
        <v>47.37660000000001</v>
      </c>
      <c r="O8" s="12">
        <f t="shared" si="1"/>
        <v>92</v>
      </c>
      <c r="P8" s="14">
        <f t="shared" si="1"/>
        <v>5.1330711664961957</v>
      </c>
      <c r="Q8" s="12">
        <f t="shared" si="1"/>
        <v>12.2828</v>
      </c>
      <c r="R8" s="14">
        <f>SUM(P8:Q8)</f>
        <v>17.415871166496196</v>
      </c>
      <c r="S8" s="12"/>
      <c r="T8" s="12"/>
    </row>
    <row r="9" spans="1:20" x14ac:dyDescent="0.25">
      <c r="A9" s="12"/>
      <c r="B9" s="36" t="s">
        <v>27</v>
      </c>
      <c r="C9" s="197">
        <v>44382</v>
      </c>
      <c r="D9" s="12"/>
      <c r="E9" s="15">
        <v>44655</v>
      </c>
      <c r="F9" s="14">
        <f>F8-I9</f>
        <v>35.093800000000009</v>
      </c>
      <c r="G9" s="12">
        <f>E9-E8</f>
        <v>90</v>
      </c>
      <c r="H9" s="14">
        <f t="shared" si="2"/>
        <v>3.9876494823287674</v>
      </c>
      <c r="I9" s="12">
        <v>12.2828</v>
      </c>
      <c r="J9" s="14">
        <f>SUM(H9:I9)</f>
        <v>16.270449482328768</v>
      </c>
      <c r="K9" s="12"/>
      <c r="L9" s="12"/>
      <c r="M9" s="15">
        <v>44655</v>
      </c>
      <c r="N9" s="14">
        <f t="shared" si="0"/>
        <v>35.093800000000009</v>
      </c>
      <c r="O9" s="12">
        <f t="shared" si="1"/>
        <v>90</v>
      </c>
      <c r="P9" s="14">
        <f t="shared" si="1"/>
        <v>3.9876494823287674</v>
      </c>
      <c r="Q9" s="12">
        <f t="shared" si="1"/>
        <v>12.2828</v>
      </c>
      <c r="R9" s="14">
        <f>SUM(P9:Q9)</f>
        <v>16.270449482328768</v>
      </c>
      <c r="S9" s="12"/>
      <c r="T9" s="12"/>
    </row>
    <row r="10" spans="1:20" x14ac:dyDescent="0.25">
      <c r="A10" s="12"/>
      <c r="B10" s="26"/>
      <c r="C10" s="86"/>
      <c r="D10" s="12"/>
      <c r="E10" s="15">
        <v>44746</v>
      </c>
      <c r="F10" s="14">
        <f>F9-I10</f>
        <v>22.811000000000007</v>
      </c>
      <c r="G10" s="12">
        <f>E10-E9</f>
        <v>91</v>
      </c>
      <c r="H10" s="14">
        <f t="shared" si="2"/>
        <v>2.9866364829117202</v>
      </c>
      <c r="I10" s="12">
        <v>12.2828</v>
      </c>
      <c r="J10" s="14">
        <f>SUM(H10:I10)</f>
        <v>15.26943648291172</v>
      </c>
      <c r="K10" s="12"/>
      <c r="L10" s="12"/>
      <c r="M10" s="15">
        <v>44746</v>
      </c>
      <c r="N10" s="14">
        <f t="shared" si="0"/>
        <v>22.811000000000007</v>
      </c>
      <c r="O10" s="12">
        <f t="shared" si="1"/>
        <v>91</v>
      </c>
      <c r="P10" s="14">
        <f t="shared" si="1"/>
        <v>2.9866364829117202</v>
      </c>
      <c r="Q10" s="12">
        <f t="shared" si="1"/>
        <v>12.2828</v>
      </c>
      <c r="R10" s="14">
        <f>SUM(P10:Q10)</f>
        <v>15.26943648291172</v>
      </c>
      <c r="S10" s="12"/>
      <c r="T10" s="12"/>
    </row>
    <row r="11" spans="1:20" x14ac:dyDescent="0.25">
      <c r="A11" s="12"/>
      <c r="B11" s="26"/>
      <c r="C11" s="74"/>
      <c r="D11" s="12"/>
      <c r="E11" s="15">
        <v>44838</v>
      </c>
      <c r="F11" s="14">
        <f>F10-I11</f>
        <v>0</v>
      </c>
      <c r="G11" s="12">
        <f>E11-E10</f>
        <v>92</v>
      </c>
      <c r="H11" s="14">
        <f t="shared" si="2"/>
        <v>1.9626494128158301</v>
      </c>
      <c r="I11" s="47">
        <v>22.811</v>
      </c>
      <c r="J11" s="14">
        <f>SUM(H11:I11)</f>
        <v>24.773649412815828</v>
      </c>
      <c r="K11" s="12"/>
      <c r="L11" s="12"/>
      <c r="M11" s="15">
        <v>44838</v>
      </c>
      <c r="N11" s="14">
        <f t="shared" si="0"/>
        <v>0</v>
      </c>
      <c r="O11" s="12">
        <f t="shared" si="1"/>
        <v>92</v>
      </c>
      <c r="P11" s="14">
        <f t="shared" si="1"/>
        <v>1.9626494128158301</v>
      </c>
      <c r="Q11" s="12">
        <f t="shared" si="1"/>
        <v>22.811</v>
      </c>
      <c r="R11" s="14">
        <f>SUM(P11:Q11)</f>
        <v>24.773649412815828</v>
      </c>
      <c r="S11" s="12"/>
      <c r="T11" s="12"/>
    </row>
    <row r="12" spans="1:2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S12" s="12"/>
      <c r="T12" s="12"/>
    </row>
    <row r="13" spans="1:20" x14ac:dyDescent="0.25">
      <c r="A13" s="12"/>
      <c r="B13" s="12"/>
      <c r="C13" s="12"/>
      <c r="D13" s="12"/>
      <c r="E13" s="12"/>
      <c r="F13" s="12"/>
      <c r="G13" s="12"/>
      <c r="H13" s="12"/>
      <c r="I13" s="92" t="s">
        <v>10</v>
      </c>
      <c r="J13" s="86">
        <f>XIRR(J6:J11,E6:E11,0)</f>
        <v>0.46197354980468763</v>
      </c>
      <c r="K13" s="12"/>
      <c r="L13" s="12"/>
      <c r="S13" s="12"/>
      <c r="T13" s="12"/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92"/>
      <c r="J14" s="86"/>
      <c r="K14" s="12"/>
      <c r="L14" s="12"/>
      <c r="S14" s="12"/>
      <c r="T14" s="12"/>
    </row>
    <row r="15" spans="1:20" x14ac:dyDescent="0.25">
      <c r="A15" s="12"/>
      <c r="B15" s="12"/>
      <c r="C15" s="12"/>
      <c r="D15" s="12"/>
      <c r="E15" s="361" t="s">
        <v>92</v>
      </c>
      <c r="F15" s="361"/>
      <c r="G15" s="361"/>
      <c r="H15" s="61">
        <v>0.35</v>
      </c>
      <c r="I15" s="62">
        <f>XNPV(H15,R6:R11,M6:M11)</f>
        <v>73.529545625502635</v>
      </c>
      <c r="J15" s="61">
        <f>(I15/-$J$6)-1</f>
        <v>5.9503539272372175E-2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12"/>
      <c r="B16" s="12"/>
      <c r="C16" s="12"/>
      <c r="D16" s="12"/>
      <c r="E16" s="363"/>
      <c r="F16" s="363"/>
      <c r="G16" s="363"/>
      <c r="H16" s="18">
        <v>0.4</v>
      </c>
      <c r="I16" s="49">
        <f>XNPV(H16,R6:R11,M6:M11)</f>
        <v>71.60739116653383</v>
      </c>
      <c r="J16" s="18">
        <f>(I16/-$J$6)-1</f>
        <v>3.1806789143138614E-2</v>
      </c>
      <c r="K16" s="12"/>
      <c r="L16" s="12"/>
      <c r="M16" s="12"/>
      <c r="N16" s="12"/>
      <c r="O16" s="12"/>
      <c r="P16" s="27"/>
      <c r="Q16" s="365"/>
      <c r="R16" s="131"/>
      <c r="S16" s="27"/>
      <c r="T16" s="12"/>
    </row>
    <row r="17" spans="1:20" x14ac:dyDescent="0.25">
      <c r="A17" s="12"/>
      <c r="B17" s="12"/>
      <c r="C17" s="12"/>
      <c r="D17" s="12"/>
      <c r="E17" s="362"/>
      <c r="F17" s="362"/>
      <c r="G17" s="362"/>
      <c r="H17" s="63">
        <v>0.45</v>
      </c>
      <c r="I17" s="64">
        <f>XNPV(H17,R6:R11,M6:M11)</f>
        <v>69.812406096925685</v>
      </c>
      <c r="J17" s="63">
        <f>(I17/-J6)-1</f>
        <v>5.9424509643468681E-3</v>
      </c>
      <c r="K17" s="12"/>
      <c r="L17" s="12"/>
      <c r="M17" s="12"/>
      <c r="N17" s="12"/>
      <c r="O17" s="12"/>
      <c r="P17" s="27"/>
      <c r="Q17" s="27"/>
      <c r="R17" s="27"/>
      <c r="S17" s="27"/>
      <c r="T17" s="12"/>
    </row>
    <row r="18" spans="1:20" x14ac:dyDescent="0.25">
      <c r="A18" s="12"/>
      <c r="B18" s="12"/>
      <c r="C18" s="12"/>
      <c r="D18" s="12"/>
      <c r="K18" s="12"/>
      <c r="L18" s="12"/>
      <c r="M18" s="12"/>
      <c r="N18" s="12"/>
      <c r="O18" s="12"/>
      <c r="P18" s="27"/>
      <c r="Q18" s="27"/>
      <c r="R18" s="27"/>
      <c r="S18" s="27"/>
      <c r="T18" s="12"/>
    </row>
    <row r="19" spans="1:20" x14ac:dyDescent="0.25">
      <c r="A19" s="12"/>
      <c r="B19" s="12"/>
      <c r="C19" s="12"/>
      <c r="T19" s="12"/>
    </row>
    <row r="20" spans="1:20" x14ac:dyDescent="0.25">
      <c r="A20" s="12"/>
      <c r="B20" s="12"/>
      <c r="C20" s="12"/>
      <c r="D20" s="12"/>
      <c r="T20" s="12"/>
    </row>
    <row r="21" spans="1:20" x14ac:dyDescent="0.25">
      <c r="A21" s="12"/>
      <c r="B21" s="12"/>
      <c r="C21" s="12"/>
      <c r="D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12"/>
      <c r="C22" s="12"/>
      <c r="D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</sheetData>
  <mergeCells count="4">
    <mergeCell ref="B2:J2"/>
    <mergeCell ref="B4:C4"/>
    <mergeCell ref="E4:J4"/>
    <mergeCell ref="M4:R4"/>
  </mergeCells>
  <pageMargins left="0.7" right="0.7" top="0.75" bottom="0.75" header="0.3" footer="0.3"/>
  <pageSetup paperSize="9" orientation="portrait" r:id="rId1"/>
  <ignoredErrors>
    <ignoredError sqref="C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X30"/>
  <sheetViews>
    <sheetView showGridLines="0" zoomScale="90" zoomScaleNormal="90" workbookViewId="0">
      <selection activeCell="H22" sqref="H22"/>
    </sheetView>
  </sheetViews>
  <sheetFormatPr baseColWidth="10" defaultRowHeight="15" x14ac:dyDescent="0.25"/>
  <cols>
    <col min="2" max="2" width="12.5703125" customWidth="1"/>
    <col min="3" max="3" width="11.7109375" customWidth="1"/>
    <col min="4" max="4" width="4" customWidth="1"/>
    <col min="5" max="5" width="12.140625" bestFit="1" customWidth="1"/>
    <col min="8" max="8" width="14.42578125" bestFit="1" customWidth="1"/>
    <col min="14" max="14" width="13.85546875" bestFit="1" customWidth="1"/>
    <col min="17" max="17" width="12.140625" bestFit="1" customWidth="1"/>
    <col min="20" max="20" width="14.42578125" bestFit="1" customWidth="1"/>
  </cols>
  <sheetData>
    <row r="2" spans="2:24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2:24" x14ac:dyDescent="0.25">
      <c r="B4" s="373" t="s">
        <v>34</v>
      </c>
      <c r="C4" s="374"/>
      <c r="D4" s="12"/>
      <c r="E4" s="398" t="s">
        <v>20</v>
      </c>
      <c r="F4" s="398"/>
      <c r="G4" s="398"/>
      <c r="H4" s="398"/>
      <c r="I4" s="398"/>
      <c r="J4" s="12"/>
      <c r="K4" s="398" t="s">
        <v>20</v>
      </c>
      <c r="L4" s="398"/>
      <c r="M4" s="398"/>
      <c r="N4" s="398"/>
      <c r="O4" s="398"/>
      <c r="P4" s="12"/>
      <c r="Q4" s="398" t="s">
        <v>20</v>
      </c>
      <c r="R4" s="398"/>
      <c r="S4" s="398"/>
      <c r="T4" s="398"/>
      <c r="U4" s="398"/>
      <c r="V4" s="12"/>
      <c r="W4" s="12"/>
      <c r="X4" s="12"/>
    </row>
    <row r="5" spans="2:24" x14ac:dyDescent="0.25">
      <c r="B5" s="24" t="s">
        <v>0</v>
      </c>
      <c r="C5" s="33">
        <v>42646</v>
      </c>
      <c r="D5" s="12"/>
      <c r="E5" s="68" t="s">
        <v>14</v>
      </c>
      <c r="F5" s="68" t="s">
        <v>7</v>
      </c>
      <c r="G5" s="68" t="s">
        <v>8</v>
      </c>
      <c r="H5" s="68" t="s">
        <v>15</v>
      </c>
      <c r="I5" s="68" t="s">
        <v>9</v>
      </c>
      <c r="J5" s="12"/>
      <c r="K5" s="68" t="s">
        <v>14</v>
      </c>
      <c r="L5" s="68" t="s">
        <v>7</v>
      </c>
      <c r="M5" s="68" t="s">
        <v>8</v>
      </c>
      <c r="N5" s="68" t="s">
        <v>15</v>
      </c>
      <c r="O5" s="68" t="s">
        <v>9</v>
      </c>
      <c r="P5" s="12"/>
      <c r="Q5" s="68" t="s">
        <v>14</v>
      </c>
      <c r="R5" s="68" t="s">
        <v>7</v>
      </c>
      <c r="S5" s="68" t="s">
        <v>8</v>
      </c>
      <c r="T5" s="68" t="s">
        <v>15</v>
      </c>
      <c r="U5" s="68" t="s">
        <v>9</v>
      </c>
      <c r="V5" s="12"/>
      <c r="W5" s="12"/>
      <c r="X5" s="12"/>
    </row>
    <row r="6" spans="2:24" x14ac:dyDescent="0.25">
      <c r="B6" s="24" t="s">
        <v>1</v>
      </c>
      <c r="C6" s="33">
        <v>44472</v>
      </c>
      <c r="D6" s="12"/>
      <c r="E6" s="69">
        <f>'Planilla de datos'!D3</f>
        <v>44384</v>
      </c>
      <c r="F6" s="70">
        <v>100</v>
      </c>
      <c r="G6" s="26"/>
      <c r="H6" s="26"/>
      <c r="I6" s="71">
        <f>-'Planilla de datos'!C9</f>
        <v>-100.5</v>
      </c>
      <c r="J6" s="12"/>
      <c r="K6" s="69">
        <f>+E6</f>
        <v>44384</v>
      </c>
      <c r="L6" s="70">
        <v>100</v>
      </c>
      <c r="M6" s="26"/>
      <c r="N6" s="26"/>
      <c r="O6" s="71">
        <v>0</v>
      </c>
      <c r="P6" s="12"/>
      <c r="Q6" s="69">
        <f>+E6</f>
        <v>44384</v>
      </c>
      <c r="R6" s="70">
        <v>100</v>
      </c>
      <c r="S6" s="26"/>
      <c r="T6" s="26"/>
      <c r="U6" s="71">
        <f>+I6</f>
        <v>-100.5</v>
      </c>
      <c r="V6" s="12"/>
      <c r="W6" s="12"/>
      <c r="X6" s="12"/>
    </row>
    <row r="7" spans="2:24" x14ac:dyDescent="0.25">
      <c r="B7" s="36" t="s">
        <v>8</v>
      </c>
      <c r="C7" s="201">
        <v>0.182</v>
      </c>
      <c r="D7" s="12"/>
      <c r="E7" s="69">
        <v>44473</v>
      </c>
      <c r="F7" s="70">
        <v>100</v>
      </c>
      <c r="G7" s="74">
        <f>$F$6*($C$7/360*180)</f>
        <v>9.1</v>
      </c>
      <c r="H7" s="74">
        <f>F7</f>
        <v>100</v>
      </c>
      <c r="I7" s="73">
        <f>SUM(G7:H7)</f>
        <v>109.1</v>
      </c>
      <c r="J7" s="12"/>
      <c r="K7" s="69">
        <v>44473</v>
      </c>
      <c r="L7" s="70">
        <v>100</v>
      </c>
      <c r="M7" s="74">
        <v>9.1</v>
      </c>
      <c r="N7" s="74">
        <v>100</v>
      </c>
      <c r="O7" s="73">
        <v>109.1</v>
      </c>
      <c r="P7" s="12"/>
      <c r="Q7" s="69">
        <f>+E7</f>
        <v>44473</v>
      </c>
      <c r="R7" s="70">
        <v>100</v>
      </c>
      <c r="S7" s="74">
        <f>$F$6*($C$7/360*180)</f>
        <v>9.1</v>
      </c>
      <c r="T7" s="74">
        <f>R7</f>
        <v>100</v>
      </c>
      <c r="U7" s="73">
        <f>SUM(S7:T7)</f>
        <v>109.1</v>
      </c>
      <c r="V7" s="12"/>
      <c r="W7" s="12"/>
      <c r="X7" s="12"/>
    </row>
    <row r="8" spans="2:24" x14ac:dyDescent="0.25">
      <c r="B8" s="26"/>
      <c r="C8" s="69"/>
      <c r="D8" s="12"/>
      <c r="E8" s="26">
        <f>E7-E6</f>
        <v>89</v>
      </c>
      <c r="F8" s="26"/>
      <c r="G8" s="26"/>
      <c r="I8" s="86">
        <f>(I7+I6)/(-I6)</f>
        <v>8.5572139303482536E-2</v>
      </c>
      <c r="J8" s="12"/>
      <c r="P8" s="12"/>
      <c r="Q8" s="26">
        <f>Q7-Q6</f>
        <v>89</v>
      </c>
      <c r="R8" s="26"/>
      <c r="S8" s="26"/>
      <c r="V8" s="12"/>
      <c r="W8" s="12"/>
      <c r="X8" s="12"/>
    </row>
    <row r="9" spans="2:24" x14ac:dyDescent="0.25">
      <c r="B9" s="90"/>
      <c r="C9" s="86"/>
      <c r="D9" s="12"/>
      <c r="E9" s="26"/>
      <c r="F9" s="26"/>
      <c r="G9" s="26"/>
      <c r="H9" s="92" t="s">
        <v>10</v>
      </c>
      <c r="I9" s="86">
        <f>XIRR(I6:I7,E6:E7,0)</f>
        <v>0.40036319824218758</v>
      </c>
      <c r="J9" s="12"/>
      <c r="K9" s="26"/>
      <c r="L9" s="26"/>
      <c r="M9" s="26"/>
      <c r="N9" s="92"/>
      <c r="O9" s="86"/>
      <c r="P9" s="12"/>
      <c r="Q9" s="26"/>
      <c r="R9" s="26"/>
      <c r="S9" s="26"/>
      <c r="T9" s="92" t="s">
        <v>183</v>
      </c>
      <c r="U9" s="86">
        <f>(U7+U6)/(-U6)</f>
        <v>8.5572139303482536E-2</v>
      </c>
      <c r="V9" s="12"/>
      <c r="W9" s="12"/>
      <c r="X9" s="12"/>
    </row>
    <row r="10" spans="2:24" x14ac:dyDescent="0.25">
      <c r="B10" s="26"/>
      <c r="C10" s="91"/>
      <c r="D10" s="12"/>
      <c r="E10" s="12"/>
      <c r="F10" s="12"/>
      <c r="G10" s="12"/>
      <c r="H10" s="92" t="s">
        <v>64</v>
      </c>
      <c r="I10" s="71">
        <f>E8/365</f>
        <v>0.24383561643835616</v>
      </c>
      <c r="J10" s="12"/>
      <c r="K10" s="26"/>
      <c r="L10" s="26"/>
      <c r="M10" s="26"/>
      <c r="N10" s="92"/>
      <c r="O10" s="86"/>
      <c r="P10" s="12"/>
      <c r="Q10" s="12"/>
      <c r="R10" s="12"/>
      <c r="S10" s="12"/>
      <c r="T10" s="92" t="s">
        <v>17</v>
      </c>
      <c r="U10" s="86">
        <f>U9/Q8*365</f>
        <v>0.35094191961540594</v>
      </c>
      <c r="V10" s="12"/>
      <c r="W10" s="12"/>
      <c r="X10" s="12"/>
    </row>
    <row r="11" spans="2:24" x14ac:dyDescent="0.25">
      <c r="B11" s="26"/>
      <c r="C11" s="91"/>
      <c r="D11" s="12"/>
      <c r="J11" s="12"/>
      <c r="K11" s="12"/>
      <c r="L11" s="12"/>
      <c r="M11" s="12"/>
      <c r="N11" s="12"/>
      <c r="O11" s="12"/>
      <c r="P11" s="12"/>
      <c r="T11" s="92" t="s">
        <v>10</v>
      </c>
      <c r="U11" s="86">
        <f>(1+U9)^(365/Q8)-1</f>
        <v>0.40036320222469279</v>
      </c>
      <c r="V11" s="12"/>
      <c r="W11" s="12"/>
      <c r="X11" s="12"/>
    </row>
    <row r="12" spans="2:24" ht="30" x14ac:dyDescent="0.25">
      <c r="B12" s="12"/>
      <c r="C12" s="12"/>
      <c r="D12" s="12"/>
      <c r="E12" s="302" t="s">
        <v>92</v>
      </c>
      <c r="F12" s="302"/>
      <c r="G12" s="76">
        <v>0.35</v>
      </c>
      <c r="H12" s="77">
        <f>XNPV(G12,O6:O7,K6:K7)</f>
        <v>101.401583209683</v>
      </c>
      <c r="I12" s="76">
        <f>(H12+I6)/(-I6)</f>
        <v>8.9709772107760873E-3</v>
      </c>
      <c r="J12" s="12"/>
      <c r="K12" s="12"/>
      <c r="L12" s="12"/>
      <c r="M12" s="12"/>
      <c r="N12" s="12"/>
      <c r="O12" s="12"/>
      <c r="P12" s="12"/>
      <c r="T12" s="92" t="s">
        <v>64</v>
      </c>
      <c r="U12" s="71">
        <f>Q8/365</f>
        <v>0.24383561643835616</v>
      </c>
      <c r="V12" s="12"/>
      <c r="W12" s="12"/>
      <c r="X12" s="12"/>
    </row>
    <row r="13" spans="2:24" ht="15" customHeight="1" x14ac:dyDescent="0.25">
      <c r="B13" s="12"/>
      <c r="C13" s="12"/>
      <c r="D13" s="12"/>
      <c r="E13" s="304"/>
      <c r="F13" s="304"/>
      <c r="G13" s="42">
        <v>0.4</v>
      </c>
      <c r="H13" s="109">
        <f>XNPV(G13,O6:O7,K6:K7)</f>
        <v>100.50635683698457</v>
      </c>
      <c r="I13" s="42">
        <f>(H13+I6)/(-I6)</f>
        <v>6.3252109299158818E-5</v>
      </c>
      <c r="J13" s="12"/>
      <c r="K13" s="12"/>
      <c r="L13" s="12"/>
      <c r="M13" s="12"/>
      <c r="N13" s="12"/>
      <c r="O13" s="12"/>
      <c r="P13" s="12"/>
      <c r="Q13" s="396"/>
      <c r="R13" s="299"/>
      <c r="S13" s="42"/>
      <c r="T13" s="109"/>
      <c r="U13" s="42"/>
      <c r="V13" s="12"/>
      <c r="W13" s="12"/>
      <c r="X13" s="12"/>
    </row>
    <row r="14" spans="2:24" ht="15" customHeight="1" x14ac:dyDescent="0.25">
      <c r="B14" s="12"/>
      <c r="C14" s="12"/>
      <c r="D14" s="12"/>
      <c r="E14" s="303"/>
      <c r="F14" s="303"/>
      <c r="G14" s="78">
        <v>0.45</v>
      </c>
      <c r="H14" s="79">
        <f>XNPV(G14,O6:O7,K6:K7)</f>
        <v>99.650041589083543</v>
      </c>
      <c r="I14" s="78">
        <f>(H14+I6)/(-I6)</f>
        <v>-8.457297621059276E-3</v>
      </c>
      <c r="J14" s="12"/>
      <c r="K14" s="12"/>
      <c r="L14" s="12"/>
      <c r="M14" s="12"/>
      <c r="N14" s="12"/>
      <c r="O14" s="12"/>
      <c r="P14" s="12"/>
      <c r="Q14" s="396"/>
      <c r="R14" s="299"/>
      <c r="S14" s="42"/>
      <c r="T14" s="109"/>
      <c r="U14" s="42"/>
      <c r="V14" s="12"/>
      <c r="W14" s="12"/>
      <c r="X14" s="12"/>
    </row>
    <row r="15" spans="2:24" ht="15" customHeight="1" x14ac:dyDescent="0.25">
      <c r="B15" s="12"/>
      <c r="C15" s="12"/>
      <c r="D15" s="12"/>
      <c r="P15" s="12"/>
      <c r="Q15" s="396"/>
      <c r="R15" s="299"/>
      <c r="S15" s="42"/>
      <c r="T15" s="109"/>
      <c r="U15" s="42"/>
      <c r="V15" s="12"/>
      <c r="W15" s="12"/>
      <c r="X15" s="12"/>
    </row>
    <row r="16" spans="2:24" x14ac:dyDescent="0.25">
      <c r="B16" s="12"/>
      <c r="C16" s="12"/>
      <c r="D16" s="12"/>
      <c r="J16" s="12"/>
      <c r="K16" s="12"/>
      <c r="L16" s="12"/>
      <c r="M16" s="12"/>
      <c r="N16" s="12"/>
      <c r="O16" s="12"/>
      <c r="P16" s="12"/>
      <c r="V16" s="12"/>
      <c r="W16" s="12"/>
      <c r="X16" s="12"/>
    </row>
    <row r="17" spans="2:24" x14ac:dyDescent="0.25">
      <c r="B17" s="93"/>
      <c r="C17" s="93"/>
      <c r="D17" s="93"/>
      <c r="E17" s="399"/>
      <c r="F17" s="399"/>
      <c r="G17" s="399"/>
      <c r="H17" s="399"/>
      <c r="I17" s="399"/>
      <c r="J17" s="12"/>
      <c r="K17" s="12"/>
      <c r="L17" s="12"/>
      <c r="M17" s="12"/>
      <c r="N17" s="12"/>
      <c r="O17" s="12"/>
      <c r="P17" s="12"/>
      <c r="Q17" s="399"/>
      <c r="R17" s="399"/>
      <c r="S17" s="399"/>
      <c r="T17" s="399"/>
      <c r="U17" s="399"/>
      <c r="V17" s="12"/>
      <c r="W17" s="12"/>
      <c r="X17" s="12"/>
    </row>
    <row r="18" spans="2:24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2:24" x14ac:dyDescent="0.25">
      <c r="B19" s="12"/>
      <c r="C19" s="12"/>
      <c r="D19" s="12"/>
      <c r="I19" s="162"/>
      <c r="J19" s="12"/>
      <c r="K19" s="12"/>
      <c r="L19" s="12"/>
      <c r="M19" s="12"/>
      <c r="N19" s="12"/>
      <c r="O19" s="12"/>
      <c r="P19" s="12"/>
      <c r="U19" s="162"/>
      <c r="V19" s="12"/>
      <c r="W19" s="12"/>
      <c r="X19" s="12"/>
    </row>
    <row r="20" spans="2:24" x14ac:dyDescent="0.25">
      <c r="B20" s="12"/>
      <c r="C20" s="12"/>
      <c r="D20" s="12"/>
      <c r="F20" s="2"/>
      <c r="G20" s="2"/>
      <c r="I20" s="2"/>
      <c r="J20" s="12"/>
      <c r="K20" s="12"/>
      <c r="L20" s="12"/>
      <c r="M20" s="12"/>
      <c r="N20" s="12"/>
      <c r="O20" s="12"/>
      <c r="P20" s="12"/>
      <c r="R20" s="2"/>
      <c r="S20" s="2"/>
      <c r="U20" s="4"/>
      <c r="V20" s="12"/>
      <c r="W20" s="12"/>
      <c r="X20" s="12"/>
    </row>
    <row r="21" spans="2:24" x14ac:dyDescent="0.25">
      <c r="B21" s="12"/>
      <c r="C21" s="12"/>
      <c r="D21" s="12"/>
      <c r="E21" s="12"/>
      <c r="F21" s="22"/>
      <c r="G21" s="22"/>
      <c r="H21" s="15"/>
      <c r="I21" s="14"/>
      <c r="J21" s="12"/>
      <c r="K21" s="12"/>
      <c r="L21" s="12"/>
      <c r="M21" s="12"/>
      <c r="N21" s="12"/>
      <c r="O21" s="12"/>
      <c r="P21" s="12"/>
      <c r="Q21" s="12"/>
      <c r="R21" s="22"/>
      <c r="S21" s="22"/>
      <c r="T21" s="15"/>
      <c r="U21" s="14"/>
      <c r="V21" s="12"/>
      <c r="W21" s="12"/>
      <c r="X21" s="12"/>
    </row>
    <row r="22" spans="2:24" x14ac:dyDescent="0.25">
      <c r="B22" s="12"/>
      <c r="C22" s="12"/>
      <c r="D22" s="12"/>
      <c r="E22" s="12"/>
      <c r="F22" s="12"/>
      <c r="G22" s="12"/>
      <c r="H22" s="15"/>
      <c r="I22" s="284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5"/>
      <c r="U22" s="284"/>
      <c r="V22" s="12"/>
      <c r="W22" s="12"/>
      <c r="X22" s="12"/>
    </row>
    <row r="23" spans="2:24" x14ac:dyDescent="0.25">
      <c r="B23" s="12"/>
      <c r="C23" s="12"/>
      <c r="D23" s="12"/>
      <c r="E23" s="12"/>
      <c r="F23" s="12"/>
      <c r="G23" s="12"/>
      <c r="H23" s="12"/>
      <c r="I23" s="2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22"/>
      <c r="V23" s="12"/>
      <c r="W23" s="12"/>
      <c r="X23" s="12"/>
    </row>
    <row r="24" spans="2:24" x14ac:dyDescent="0.25">
      <c r="B24" s="12"/>
      <c r="C24" s="12"/>
      <c r="D24" s="12"/>
      <c r="E24" s="12"/>
      <c r="F24" s="12"/>
      <c r="G24" s="12"/>
      <c r="H24" s="283"/>
      <c r="I24" s="2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00"/>
      <c r="U24" s="22"/>
      <c r="V24" s="12"/>
      <c r="W24" s="12"/>
      <c r="X24" s="12"/>
    </row>
    <row r="28" spans="2:24" x14ac:dyDescent="0.25">
      <c r="I28" s="2"/>
    </row>
    <row r="30" spans="2:24" x14ac:dyDescent="0.25">
      <c r="I30" s="2"/>
    </row>
  </sheetData>
  <mergeCells count="7">
    <mergeCell ref="Q4:U4"/>
    <mergeCell ref="Q13:Q15"/>
    <mergeCell ref="Q17:U17"/>
    <mergeCell ref="K4:O4"/>
    <mergeCell ref="B4:C4"/>
    <mergeCell ref="E4:I4"/>
    <mergeCell ref="E17:I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2"/>
  <sheetViews>
    <sheetView showGridLines="0" zoomScale="90" zoomScaleNormal="90" workbookViewId="0">
      <selection activeCell="J18" sqref="J18"/>
    </sheetView>
  </sheetViews>
  <sheetFormatPr baseColWidth="10" defaultRowHeight="15" x14ac:dyDescent="0.25"/>
  <cols>
    <col min="2" max="2" width="12.5703125" customWidth="1"/>
    <col min="3" max="3" width="11.7109375" customWidth="1"/>
    <col min="4" max="4" width="4" customWidth="1"/>
    <col min="5" max="5" width="12.140625" bestFit="1" customWidth="1"/>
    <col min="8" max="8" width="13.140625" customWidth="1"/>
    <col min="14" max="14" width="14.42578125" bestFit="1" customWidth="1"/>
  </cols>
  <sheetData>
    <row r="1" spans="1:2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5">
      <c r="A4" s="12"/>
      <c r="B4" s="373" t="s">
        <v>34</v>
      </c>
      <c r="C4" s="374"/>
      <c r="D4" s="12"/>
      <c r="E4" s="398" t="s">
        <v>79</v>
      </c>
      <c r="F4" s="398"/>
      <c r="G4" s="398"/>
      <c r="H4" s="398"/>
      <c r="I4" s="398"/>
      <c r="J4" s="12"/>
      <c r="K4" s="398" t="s">
        <v>79</v>
      </c>
      <c r="L4" s="398"/>
      <c r="M4" s="398"/>
      <c r="N4" s="398"/>
      <c r="O4" s="398"/>
      <c r="P4" s="12"/>
      <c r="Q4" s="12"/>
      <c r="R4" s="12"/>
      <c r="S4" s="12"/>
      <c r="T4" s="12"/>
    </row>
    <row r="5" spans="1:20" x14ac:dyDescent="0.25">
      <c r="A5" s="12"/>
      <c r="B5" s="24" t="s">
        <v>0</v>
      </c>
      <c r="C5" s="33">
        <v>42660</v>
      </c>
      <c r="D5" s="12"/>
      <c r="E5" s="68" t="s">
        <v>14</v>
      </c>
      <c r="F5" s="68" t="s">
        <v>7</v>
      </c>
      <c r="G5" s="68" t="s">
        <v>8</v>
      </c>
      <c r="H5" s="68" t="s">
        <v>15</v>
      </c>
      <c r="I5" s="68" t="s">
        <v>9</v>
      </c>
      <c r="J5" s="12"/>
      <c r="K5" s="68" t="s">
        <v>14</v>
      </c>
      <c r="L5" s="68" t="s">
        <v>7</v>
      </c>
      <c r="M5" s="68" t="s">
        <v>8</v>
      </c>
      <c r="N5" s="68" t="s">
        <v>15</v>
      </c>
      <c r="O5" s="68" t="s">
        <v>9</v>
      </c>
      <c r="P5" s="12"/>
      <c r="Q5" s="12"/>
      <c r="R5" s="12"/>
      <c r="S5" s="12"/>
      <c r="T5" s="12"/>
    </row>
    <row r="6" spans="1:20" x14ac:dyDescent="0.25">
      <c r="A6" s="12"/>
      <c r="B6" s="24" t="s">
        <v>1</v>
      </c>
      <c r="C6" s="33">
        <v>45216</v>
      </c>
      <c r="D6" s="12"/>
      <c r="E6" s="69">
        <f>'Planilla de datos'!D3</f>
        <v>44384</v>
      </c>
      <c r="F6" s="100">
        <v>100</v>
      </c>
      <c r="G6" s="101"/>
      <c r="H6" s="101"/>
      <c r="I6" s="102">
        <f>-'Planilla de datos'!C17</f>
        <v>-65.7</v>
      </c>
      <c r="J6" s="12"/>
      <c r="K6" s="97">
        <f t="shared" ref="K6:L11" si="0">+E6</f>
        <v>44384</v>
      </c>
      <c r="L6" s="94">
        <f t="shared" si="0"/>
        <v>100</v>
      </c>
      <c r="M6" s="95"/>
      <c r="N6" s="95"/>
      <c r="O6" s="98">
        <v>0</v>
      </c>
      <c r="P6" s="12"/>
      <c r="Q6" s="12"/>
      <c r="R6" s="12"/>
      <c r="S6" s="12"/>
      <c r="T6" s="12"/>
    </row>
    <row r="7" spans="1:20" x14ac:dyDescent="0.25">
      <c r="A7" s="12"/>
      <c r="B7" s="24" t="s">
        <v>8</v>
      </c>
      <c r="C7" s="35">
        <v>0.16</v>
      </c>
      <c r="D7" s="12"/>
      <c r="E7" s="69">
        <v>44487</v>
      </c>
      <c r="F7" s="100">
        <v>100</v>
      </c>
      <c r="G7" s="103">
        <f>$F$6*($C$7/360*180)</f>
        <v>8</v>
      </c>
      <c r="H7" s="101"/>
      <c r="I7" s="104">
        <f>SUM(G7:H7)</f>
        <v>8</v>
      </c>
      <c r="J7" s="12"/>
      <c r="K7" s="97">
        <f t="shared" si="0"/>
        <v>44487</v>
      </c>
      <c r="L7" s="94">
        <f t="shared" si="0"/>
        <v>100</v>
      </c>
      <c r="M7" s="96">
        <f>+G7</f>
        <v>8</v>
      </c>
      <c r="N7" s="95"/>
      <c r="O7" s="98">
        <f>SUM(M7:N7)</f>
        <v>8</v>
      </c>
      <c r="P7" s="12"/>
      <c r="Q7" s="12"/>
      <c r="R7" s="12"/>
      <c r="S7" s="12"/>
      <c r="T7" s="12"/>
    </row>
    <row r="8" spans="1:20" x14ac:dyDescent="0.25">
      <c r="A8" s="12"/>
      <c r="B8" s="24"/>
      <c r="C8" s="88"/>
      <c r="D8" s="12"/>
      <c r="E8" s="69">
        <v>44669</v>
      </c>
      <c r="F8" s="100">
        <v>100</v>
      </c>
      <c r="G8" s="103">
        <f>$F$6*($C$7/360*180)</f>
        <v>8</v>
      </c>
      <c r="H8" s="103"/>
      <c r="I8" s="104">
        <f>SUM(G8:H8)</f>
        <v>8</v>
      </c>
      <c r="J8" s="12"/>
      <c r="K8" s="97">
        <f t="shared" si="0"/>
        <v>44669</v>
      </c>
      <c r="L8" s="94">
        <f t="shared" si="0"/>
        <v>100</v>
      </c>
      <c r="M8" s="96">
        <f>+G8</f>
        <v>8</v>
      </c>
      <c r="N8" s="96"/>
      <c r="O8" s="98">
        <f>SUM(M8:N8)</f>
        <v>8</v>
      </c>
      <c r="P8" s="12"/>
      <c r="Q8" s="12"/>
      <c r="R8" s="12"/>
      <c r="S8" s="12"/>
      <c r="T8" s="12"/>
    </row>
    <row r="9" spans="1:20" x14ac:dyDescent="0.25">
      <c r="A9" s="12"/>
      <c r="B9" s="24"/>
      <c r="C9" s="35"/>
      <c r="D9" s="12"/>
      <c r="E9" s="69">
        <v>44851</v>
      </c>
      <c r="F9" s="100">
        <v>100</v>
      </c>
      <c r="G9" s="103">
        <f>$F$6*($C$7/360*180)</f>
        <v>8</v>
      </c>
      <c r="H9" s="105"/>
      <c r="I9" s="104">
        <f>SUM(G9:H9)</f>
        <v>8</v>
      </c>
      <c r="J9" s="12"/>
      <c r="K9" s="97">
        <f t="shared" si="0"/>
        <v>44851</v>
      </c>
      <c r="L9" s="94">
        <f t="shared" si="0"/>
        <v>100</v>
      </c>
      <c r="M9" s="96">
        <f>+G9</f>
        <v>8</v>
      </c>
      <c r="N9" s="99"/>
      <c r="O9" s="98">
        <f>SUM(M9:N9)</f>
        <v>8</v>
      </c>
      <c r="P9" s="12"/>
      <c r="Q9" s="12"/>
      <c r="R9" s="12"/>
      <c r="S9" s="12"/>
      <c r="T9" s="12"/>
    </row>
    <row r="10" spans="1:20" x14ac:dyDescent="0.25">
      <c r="A10" s="12"/>
      <c r="B10" s="36"/>
      <c r="C10" s="89"/>
      <c r="D10" s="12"/>
      <c r="E10" s="69">
        <v>45033</v>
      </c>
      <c r="F10" s="100">
        <v>100</v>
      </c>
      <c r="G10" s="103">
        <f>$F$6*($C$7/360*180)</f>
        <v>8</v>
      </c>
      <c r="H10" s="105"/>
      <c r="I10" s="104">
        <f>SUM(G10:H10)</f>
        <v>8</v>
      </c>
      <c r="J10" s="12"/>
      <c r="K10" s="97">
        <f t="shared" si="0"/>
        <v>45033</v>
      </c>
      <c r="L10" s="94">
        <f t="shared" si="0"/>
        <v>100</v>
      </c>
      <c r="M10" s="96">
        <f>+G10</f>
        <v>8</v>
      </c>
      <c r="N10" s="92"/>
      <c r="O10" s="98">
        <f>SUM(M10:N10)</f>
        <v>8</v>
      </c>
      <c r="P10" s="12"/>
      <c r="Q10" s="12"/>
      <c r="R10" s="12"/>
      <c r="S10" s="12"/>
      <c r="T10" s="12"/>
    </row>
    <row r="11" spans="1:20" x14ac:dyDescent="0.25">
      <c r="A11" s="12"/>
      <c r="B11" s="12"/>
      <c r="C11" s="12"/>
      <c r="D11" s="12"/>
      <c r="E11" s="69">
        <v>45216</v>
      </c>
      <c r="F11" s="100">
        <v>100</v>
      </c>
      <c r="G11" s="103">
        <f>$F$6*($C$7/360*180)</f>
        <v>8</v>
      </c>
      <c r="H11" s="106">
        <v>100</v>
      </c>
      <c r="I11" s="104">
        <f>SUM(G11:H11)</f>
        <v>108</v>
      </c>
      <c r="J11" s="12"/>
      <c r="K11" s="97">
        <f t="shared" si="0"/>
        <v>45216</v>
      </c>
      <c r="L11" s="94">
        <f t="shared" si="0"/>
        <v>100</v>
      </c>
      <c r="M11" s="96">
        <f>+G11</f>
        <v>8</v>
      </c>
      <c r="N11" s="96">
        <f>+H11</f>
        <v>100</v>
      </c>
      <c r="O11" s="98">
        <f>SUM(M11:N11)</f>
        <v>108</v>
      </c>
      <c r="P11" s="12"/>
      <c r="Q11" s="12"/>
      <c r="R11" s="12"/>
      <c r="S11" s="12"/>
      <c r="T11" s="12"/>
    </row>
    <row r="12" spans="1:20" x14ac:dyDescent="0.25">
      <c r="A12" s="12"/>
      <c r="B12" s="26"/>
      <c r="C12" s="91"/>
      <c r="D12" s="12"/>
      <c r="E12" s="90"/>
      <c r="F12" s="70"/>
      <c r="G12" s="74"/>
      <c r="H12" s="92"/>
      <c r="I12" s="73"/>
      <c r="J12" s="12"/>
      <c r="K12" s="26"/>
      <c r="L12" s="26"/>
      <c r="M12" s="26"/>
      <c r="N12" s="92"/>
      <c r="O12" s="86"/>
      <c r="P12" s="12"/>
      <c r="Q12" s="12"/>
      <c r="R12" s="12"/>
      <c r="S12" s="12"/>
      <c r="T12" s="12"/>
    </row>
    <row r="13" spans="1:20" x14ac:dyDescent="0.25">
      <c r="A13" s="12"/>
      <c r="B13" s="26"/>
      <c r="C13" s="91"/>
      <c r="D13" s="12"/>
      <c r="E13" s="26"/>
      <c r="F13" s="26"/>
      <c r="G13" s="26"/>
      <c r="H13" s="92" t="s">
        <v>10</v>
      </c>
      <c r="I13" s="86">
        <f>XIRR(I6:I11,E6:E11,0)</f>
        <v>0.4845732714843749</v>
      </c>
      <c r="J13" s="12"/>
      <c r="K13" s="26"/>
      <c r="L13" s="26"/>
      <c r="M13" s="26"/>
      <c r="N13" s="92"/>
      <c r="O13" s="86"/>
      <c r="P13" s="12"/>
      <c r="Q13" s="12"/>
      <c r="R13" s="12"/>
      <c r="S13" s="12"/>
      <c r="T13" s="12"/>
    </row>
    <row r="14" spans="1:20" x14ac:dyDescent="0.25">
      <c r="A14" s="12"/>
      <c r="B14" s="26"/>
      <c r="C14" s="91"/>
      <c r="D14" s="12"/>
      <c r="E14" s="26"/>
      <c r="F14" s="26"/>
      <c r="G14" s="26"/>
      <c r="H14" s="92" t="s">
        <v>64</v>
      </c>
      <c r="I14" s="73">
        <f>MDURATION(E6,E11,C7,I13,2)</f>
        <v>1.4501605438826666</v>
      </c>
      <c r="J14" s="12"/>
      <c r="K14" s="26"/>
      <c r="L14" s="26"/>
      <c r="M14" s="26"/>
      <c r="N14" s="92"/>
      <c r="O14" s="86"/>
      <c r="P14" s="12"/>
      <c r="Q14" s="12"/>
      <c r="R14" s="12"/>
      <c r="S14" s="12"/>
      <c r="T14" s="12"/>
    </row>
    <row r="15" spans="1:20" x14ac:dyDescent="0.25">
      <c r="A15" s="12"/>
      <c r="B15" s="26"/>
      <c r="C15" s="9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30" x14ac:dyDescent="0.25">
      <c r="A16" s="12"/>
      <c r="B16" s="26"/>
      <c r="C16" s="91"/>
      <c r="D16" s="12"/>
      <c r="E16" s="311" t="s">
        <v>92</v>
      </c>
      <c r="F16" s="311"/>
      <c r="G16" s="76">
        <v>0.35</v>
      </c>
      <c r="H16" s="77">
        <f>XNPV(G16,O6:O11,K6:K11)</f>
        <v>78.312481074760257</v>
      </c>
      <c r="I16" s="76">
        <f>(H16+$I$6)/(-$I$6)</f>
        <v>0.19197079261431133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4.25" customHeight="1" x14ac:dyDescent="0.25">
      <c r="A17" s="12"/>
      <c r="B17" s="12"/>
      <c r="C17" s="12"/>
      <c r="D17" s="12"/>
      <c r="E17" s="313"/>
      <c r="F17" s="313"/>
      <c r="G17" s="42">
        <v>0.4</v>
      </c>
      <c r="H17" s="109">
        <f>XNPV(G17,O6:O11,K6:K11)</f>
        <v>73.183560146692827</v>
      </c>
      <c r="I17" s="42">
        <f>(H17+$I$6)/(-$I$6)</f>
        <v>0.11390502506381771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5" customHeight="1" x14ac:dyDescent="0.25">
      <c r="A18" s="12"/>
      <c r="B18" s="12"/>
      <c r="C18" s="12"/>
      <c r="D18" s="12"/>
      <c r="E18" s="312"/>
      <c r="F18" s="312"/>
      <c r="G18" s="78">
        <v>0.45</v>
      </c>
      <c r="H18" s="79">
        <f>XNPV(G18,O6:O11,K6:K11)</f>
        <v>68.595456742788571</v>
      </c>
      <c r="I18" s="78">
        <f>(H18+I6)/(-I6)</f>
        <v>4.4070878885670739E-2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5" customHeight="1" x14ac:dyDescent="0.25">
      <c r="A19" s="12"/>
      <c r="B19" s="12"/>
      <c r="C19" s="12"/>
      <c r="D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P20" s="12"/>
      <c r="Q20" s="12"/>
      <c r="R20" s="12"/>
      <c r="S20" s="12"/>
      <c r="T20" s="12"/>
    </row>
    <row r="21" spans="1:20" ht="3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93"/>
      <c r="C22" s="93"/>
      <c r="D22" s="93"/>
      <c r="E22" s="399"/>
      <c r="F22" s="399"/>
      <c r="G22" s="399"/>
      <c r="H22" s="399"/>
      <c r="I22" s="39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2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2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2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2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</sheetData>
  <mergeCells count="4">
    <mergeCell ref="B4:C4"/>
    <mergeCell ref="E4:I4"/>
    <mergeCell ref="K4:O4"/>
    <mergeCell ref="E22:I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"/>
  <sheetViews>
    <sheetView showGridLines="0" zoomScale="90" zoomScaleNormal="90" workbookViewId="0">
      <selection activeCell="M23" sqref="M23"/>
    </sheetView>
  </sheetViews>
  <sheetFormatPr baseColWidth="10" defaultRowHeight="15" x14ac:dyDescent="0.25"/>
  <cols>
    <col min="2" max="2" width="12.5703125" customWidth="1"/>
    <col min="3" max="3" width="11.7109375" customWidth="1"/>
    <col min="4" max="4" width="4" customWidth="1"/>
    <col min="5" max="5" width="12.140625" bestFit="1" customWidth="1"/>
    <col min="8" max="8" width="13.140625" customWidth="1"/>
    <col min="14" max="14" width="14.42578125" bestFit="1" customWidth="1"/>
    <col min="17" max="17" width="12.140625" bestFit="1" customWidth="1"/>
    <col min="20" max="20" width="13.140625" customWidth="1"/>
  </cols>
  <sheetData>
    <row r="1" spans="1:25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x14ac:dyDescent="0.25">
      <c r="A4" s="12"/>
      <c r="B4" s="373" t="s">
        <v>34</v>
      </c>
      <c r="C4" s="374"/>
      <c r="D4" s="12"/>
      <c r="E4" s="398" t="s">
        <v>80</v>
      </c>
      <c r="F4" s="398"/>
      <c r="G4" s="398"/>
      <c r="H4" s="398"/>
      <c r="I4" s="398"/>
      <c r="J4" s="12"/>
      <c r="K4" s="398" t="s">
        <v>80</v>
      </c>
      <c r="L4" s="398"/>
      <c r="M4" s="398"/>
      <c r="N4" s="398"/>
      <c r="O4" s="398"/>
      <c r="P4" s="12"/>
      <c r="Q4" s="398" t="s">
        <v>80</v>
      </c>
      <c r="R4" s="398"/>
      <c r="S4" s="398"/>
      <c r="T4" s="398"/>
      <c r="U4" s="398"/>
      <c r="V4" s="12"/>
      <c r="W4" s="12"/>
      <c r="X4" s="12"/>
      <c r="Y4" s="12"/>
    </row>
    <row r="5" spans="1:25" x14ac:dyDescent="0.25">
      <c r="A5" s="12"/>
      <c r="B5" s="24" t="s">
        <v>0</v>
      </c>
      <c r="C5" s="33">
        <v>42660</v>
      </c>
      <c r="D5" s="12"/>
      <c r="E5" s="68" t="s">
        <v>14</v>
      </c>
      <c r="F5" s="68" t="s">
        <v>7</v>
      </c>
      <c r="G5" s="68" t="s">
        <v>8</v>
      </c>
      <c r="H5" s="68" t="s">
        <v>15</v>
      </c>
      <c r="I5" s="68" t="s">
        <v>9</v>
      </c>
      <c r="J5" s="12"/>
      <c r="K5" s="68" t="s">
        <v>14</v>
      </c>
      <c r="L5" s="68" t="s">
        <v>7</v>
      </c>
      <c r="M5" s="68" t="s">
        <v>8</v>
      </c>
      <c r="N5" s="68" t="s">
        <v>15</v>
      </c>
      <c r="O5" s="68" t="s">
        <v>9</v>
      </c>
      <c r="P5" s="12"/>
      <c r="Q5" s="68" t="s">
        <v>14</v>
      </c>
      <c r="R5" s="68" t="s">
        <v>7</v>
      </c>
      <c r="S5" s="68" t="s">
        <v>8</v>
      </c>
      <c r="T5" s="68" t="s">
        <v>15</v>
      </c>
      <c r="U5" s="68" t="s">
        <v>9</v>
      </c>
      <c r="V5" s="12"/>
      <c r="W5" s="12"/>
      <c r="X5" s="12"/>
      <c r="Y5" s="12"/>
    </row>
    <row r="6" spans="1:25" x14ac:dyDescent="0.25">
      <c r="A6" s="12"/>
      <c r="B6" s="24" t="s">
        <v>1</v>
      </c>
      <c r="C6" s="33">
        <v>46312</v>
      </c>
      <c r="D6" s="12"/>
      <c r="E6" s="69">
        <f>'Planilla de datos'!D3</f>
        <v>44384</v>
      </c>
      <c r="F6" s="100">
        <v>100</v>
      </c>
      <c r="G6" s="101"/>
      <c r="H6" s="101"/>
      <c r="I6" s="102">
        <f>-'Planilla de datos'!C19</f>
        <v>-44.25</v>
      </c>
      <c r="J6" s="12"/>
      <c r="K6" s="97">
        <f>+E6</f>
        <v>44384</v>
      </c>
      <c r="L6" s="94">
        <f>+F6</f>
        <v>100</v>
      </c>
      <c r="M6" s="95"/>
      <c r="N6" s="95"/>
      <c r="O6" s="98">
        <v>0</v>
      </c>
      <c r="P6" s="12"/>
      <c r="Q6" s="69"/>
      <c r="R6" s="100"/>
      <c r="S6" s="101"/>
      <c r="T6" s="101"/>
      <c r="U6" s="102"/>
      <c r="V6" s="12"/>
      <c r="W6" s="12"/>
      <c r="X6" s="12"/>
      <c r="Y6" s="12"/>
    </row>
    <row r="7" spans="1:25" x14ac:dyDescent="0.25">
      <c r="A7" s="12"/>
      <c r="B7" s="24" t="s">
        <v>8</v>
      </c>
      <c r="C7" s="35">
        <v>0.155</v>
      </c>
      <c r="D7" s="12"/>
      <c r="E7" s="69">
        <v>44487</v>
      </c>
      <c r="F7" s="100">
        <v>100</v>
      </c>
      <c r="G7" s="103">
        <f>$F$6*($C$7/360*180)</f>
        <v>7.75</v>
      </c>
      <c r="H7" s="101"/>
      <c r="I7" s="104">
        <f>SUM(G7:H7)</f>
        <v>7.75</v>
      </c>
      <c r="J7" s="12"/>
      <c r="K7" s="97">
        <f t="shared" ref="K7:K17" si="0">+E7</f>
        <v>44487</v>
      </c>
      <c r="L7" s="94">
        <f t="shared" ref="L7:L17" si="1">+F7</f>
        <v>100</v>
      </c>
      <c r="M7" s="96">
        <f t="shared" ref="M7:M17" si="2">+G7</f>
        <v>7.75</v>
      </c>
      <c r="N7" s="95"/>
      <c r="O7" s="98">
        <f t="shared" ref="O7:O17" si="3">SUM(M7:N7)</f>
        <v>7.75</v>
      </c>
      <c r="P7" s="12"/>
      <c r="Q7" s="69">
        <v>44487</v>
      </c>
      <c r="R7" s="100">
        <v>100</v>
      </c>
      <c r="S7" s="103">
        <f t="shared" ref="S7:S17" si="4">$F$6*($C$7/360*180)</f>
        <v>7.75</v>
      </c>
      <c r="T7" s="101"/>
      <c r="U7" s="104">
        <f>SUM(S7:T7)</f>
        <v>7.75</v>
      </c>
      <c r="V7" s="12"/>
      <c r="W7" s="12"/>
      <c r="X7" s="12"/>
      <c r="Y7" s="12"/>
    </row>
    <row r="8" spans="1:25" x14ac:dyDescent="0.25">
      <c r="A8" s="12"/>
      <c r="B8" s="24" t="s">
        <v>15</v>
      </c>
      <c r="C8" s="152" t="s">
        <v>114</v>
      </c>
      <c r="D8" s="12"/>
      <c r="E8" s="69">
        <v>44669</v>
      </c>
      <c r="F8" s="100">
        <v>100</v>
      </c>
      <c r="G8" s="103">
        <f>$F$6*($C$7/360*180)</f>
        <v>7.75</v>
      </c>
      <c r="H8" s="103"/>
      <c r="I8" s="104">
        <f>SUM(G8:H8)</f>
        <v>7.75</v>
      </c>
      <c r="J8" s="12"/>
      <c r="K8" s="97">
        <f t="shared" si="0"/>
        <v>44669</v>
      </c>
      <c r="L8" s="94">
        <f t="shared" si="1"/>
        <v>100</v>
      </c>
      <c r="M8" s="96">
        <f t="shared" si="2"/>
        <v>7.75</v>
      </c>
      <c r="N8" s="96"/>
      <c r="O8" s="98">
        <f t="shared" si="3"/>
        <v>7.75</v>
      </c>
      <c r="P8" s="12"/>
      <c r="Q8" s="69">
        <v>44669</v>
      </c>
      <c r="R8" s="100">
        <v>100</v>
      </c>
      <c r="S8" s="103">
        <f t="shared" si="4"/>
        <v>7.75</v>
      </c>
      <c r="T8" s="103"/>
      <c r="U8" s="104">
        <f>SUM(S8:T8)</f>
        <v>7.75</v>
      </c>
      <c r="V8" s="12"/>
      <c r="W8" s="12"/>
      <c r="X8" s="12"/>
      <c r="Y8" s="12"/>
    </row>
    <row r="9" spans="1:25" x14ac:dyDescent="0.25">
      <c r="A9" s="12"/>
      <c r="B9" s="24"/>
      <c r="C9" s="35"/>
      <c r="D9" s="12"/>
      <c r="E9" s="69">
        <v>44851</v>
      </c>
      <c r="F9" s="100">
        <v>100</v>
      </c>
      <c r="G9" s="103">
        <f>$F$6*($C$7/360*180)</f>
        <v>7.75</v>
      </c>
      <c r="H9" s="105"/>
      <c r="I9" s="104">
        <f t="shared" ref="I9:I17" si="5">SUM(G9:H9)</f>
        <v>7.75</v>
      </c>
      <c r="J9" s="12"/>
      <c r="K9" s="97">
        <f t="shared" si="0"/>
        <v>44851</v>
      </c>
      <c r="L9" s="94">
        <f t="shared" si="1"/>
        <v>100</v>
      </c>
      <c r="M9" s="96">
        <f t="shared" si="2"/>
        <v>7.75</v>
      </c>
      <c r="N9" s="99"/>
      <c r="O9" s="98">
        <f t="shared" si="3"/>
        <v>7.75</v>
      </c>
      <c r="P9" s="12"/>
      <c r="Q9" s="69">
        <v>44851</v>
      </c>
      <c r="R9" s="100">
        <v>100</v>
      </c>
      <c r="S9" s="103">
        <f t="shared" si="4"/>
        <v>7.75</v>
      </c>
      <c r="T9" s="105"/>
      <c r="U9" s="104">
        <f t="shared" ref="U9:U17" si="6">SUM(S9:T9)</f>
        <v>7.75</v>
      </c>
      <c r="V9" s="12"/>
      <c r="W9" s="12"/>
      <c r="X9" s="12"/>
      <c r="Y9" s="12"/>
    </row>
    <row r="10" spans="1:25" x14ac:dyDescent="0.25">
      <c r="A10" s="12"/>
      <c r="B10" s="36"/>
      <c r="C10" s="89"/>
      <c r="D10" s="12"/>
      <c r="E10" s="69">
        <v>45033</v>
      </c>
      <c r="F10" s="100">
        <v>100</v>
      </c>
      <c r="G10" s="103">
        <f>$F$6*($C$7/360*180)</f>
        <v>7.75</v>
      </c>
      <c r="H10" s="105"/>
      <c r="I10" s="104">
        <f t="shared" si="5"/>
        <v>7.75</v>
      </c>
      <c r="J10" s="12"/>
      <c r="K10" s="97">
        <f t="shared" si="0"/>
        <v>45033</v>
      </c>
      <c r="L10" s="94">
        <f t="shared" si="1"/>
        <v>100</v>
      </c>
      <c r="M10" s="96">
        <f t="shared" si="2"/>
        <v>7.75</v>
      </c>
      <c r="N10" s="92"/>
      <c r="O10" s="98">
        <f t="shared" si="3"/>
        <v>7.75</v>
      </c>
      <c r="P10" s="12"/>
      <c r="Q10" s="69">
        <v>45033</v>
      </c>
      <c r="R10" s="100">
        <v>100</v>
      </c>
      <c r="S10" s="103">
        <f t="shared" si="4"/>
        <v>7.75</v>
      </c>
      <c r="T10" s="105"/>
      <c r="U10" s="104">
        <f t="shared" si="6"/>
        <v>7.75</v>
      </c>
      <c r="V10" s="12"/>
      <c r="W10" s="12"/>
      <c r="X10" s="12"/>
      <c r="Y10" s="12"/>
    </row>
    <row r="11" spans="1:25" x14ac:dyDescent="0.25">
      <c r="A11" s="12"/>
      <c r="B11" s="12"/>
      <c r="C11" s="12"/>
      <c r="D11" s="12"/>
      <c r="E11" s="69">
        <v>45216</v>
      </c>
      <c r="F11" s="100">
        <v>100</v>
      </c>
      <c r="G11" s="103">
        <f>$F$6*($C$7/360*180)</f>
        <v>7.75</v>
      </c>
      <c r="H11" s="106"/>
      <c r="I11" s="104">
        <f t="shared" si="5"/>
        <v>7.75</v>
      </c>
      <c r="J11" s="12"/>
      <c r="K11" s="97">
        <f t="shared" si="0"/>
        <v>45216</v>
      </c>
      <c r="L11" s="94">
        <f t="shared" si="1"/>
        <v>100</v>
      </c>
      <c r="M11" s="96">
        <f t="shared" si="2"/>
        <v>7.75</v>
      </c>
      <c r="N11" s="96"/>
      <c r="O11" s="98">
        <f t="shared" si="3"/>
        <v>7.75</v>
      </c>
      <c r="P11" s="12"/>
      <c r="Q11" s="69">
        <v>45216</v>
      </c>
      <c r="R11" s="100">
        <v>100</v>
      </c>
      <c r="S11" s="103">
        <f t="shared" si="4"/>
        <v>7.75</v>
      </c>
      <c r="T11" s="106"/>
      <c r="U11" s="104">
        <f t="shared" si="6"/>
        <v>7.75</v>
      </c>
      <c r="V11" s="12"/>
      <c r="W11" s="12"/>
      <c r="X11" s="12"/>
      <c r="Y11" s="12"/>
    </row>
    <row r="12" spans="1:25" x14ac:dyDescent="0.25">
      <c r="A12" s="12"/>
      <c r="B12" s="26"/>
      <c r="C12" s="91"/>
      <c r="D12" s="12"/>
      <c r="E12" s="69">
        <v>45399</v>
      </c>
      <c r="F12" s="70">
        <f t="shared" ref="F12:F17" si="7">+F11</f>
        <v>100</v>
      </c>
      <c r="G12" s="103">
        <f t="shared" ref="G12:G17" si="8">$F$6*($C$7/360*180)</f>
        <v>7.75</v>
      </c>
      <c r="H12" s="92"/>
      <c r="I12" s="104">
        <f t="shared" si="5"/>
        <v>7.75</v>
      </c>
      <c r="J12" s="12"/>
      <c r="K12" s="97">
        <f t="shared" si="0"/>
        <v>45399</v>
      </c>
      <c r="L12" s="94">
        <f t="shared" si="1"/>
        <v>100</v>
      </c>
      <c r="M12" s="96">
        <f t="shared" si="2"/>
        <v>7.75</v>
      </c>
      <c r="N12" s="92"/>
      <c r="O12" s="98">
        <f t="shared" si="3"/>
        <v>7.75</v>
      </c>
      <c r="P12" s="12"/>
      <c r="Q12" s="69">
        <v>45399</v>
      </c>
      <c r="R12" s="70">
        <f t="shared" ref="R12:R17" si="9">+R11</f>
        <v>100</v>
      </c>
      <c r="S12" s="103">
        <f t="shared" si="4"/>
        <v>7.75</v>
      </c>
      <c r="T12" s="92"/>
      <c r="U12" s="104">
        <f t="shared" si="6"/>
        <v>7.75</v>
      </c>
      <c r="V12" s="12"/>
      <c r="W12" s="12"/>
      <c r="X12" s="12"/>
      <c r="Y12" s="12"/>
    </row>
    <row r="13" spans="1:25" x14ac:dyDescent="0.25">
      <c r="A13" s="12"/>
      <c r="B13" s="26"/>
      <c r="C13" s="91"/>
      <c r="D13" s="12"/>
      <c r="E13" s="69">
        <v>45582</v>
      </c>
      <c r="F13" s="70">
        <f t="shared" si="7"/>
        <v>100</v>
      </c>
      <c r="G13" s="103">
        <f t="shared" si="8"/>
        <v>7.75</v>
      </c>
      <c r="H13" s="92"/>
      <c r="I13" s="104">
        <f t="shared" si="5"/>
        <v>7.75</v>
      </c>
      <c r="J13" s="12"/>
      <c r="K13" s="97">
        <f t="shared" si="0"/>
        <v>45582</v>
      </c>
      <c r="L13" s="94">
        <f t="shared" si="1"/>
        <v>100</v>
      </c>
      <c r="M13" s="96">
        <f t="shared" si="2"/>
        <v>7.75</v>
      </c>
      <c r="N13" s="92"/>
      <c r="O13" s="98">
        <f t="shared" si="3"/>
        <v>7.75</v>
      </c>
      <c r="P13" s="12"/>
      <c r="Q13" s="69">
        <v>45582</v>
      </c>
      <c r="R13" s="70">
        <f t="shared" si="9"/>
        <v>100</v>
      </c>
      <c r="S13" s="103">
        <f t="shared" si="4"/>
        <v>7.75</v>
      </c>
      <c r="T13" s="92"/>
      <c r="U13" s="104">
        <f t="shared" si="6"/>
        <v>7.75</v>
      </c>
      <c r="V13" s="12"/>
      <c r="W13" s="12"/>
      <c r="X13" s="12"/>
      <c r="Y13" s="12"/>
    </row>
    <row r="14" spans="1:25" x14ac:dyDescent="0.25">
      <c r="A14" s="12"/>
      <c r="B14" s="26"/>
      <c r="C14" s="91"/>
      <c r="D14" s="12"/>
      <c r="E14" s="69">
        <v>45764</v>
      </c>
      <c r="F14" s="70">
        <f t="shared" si="7"/>
        <v>100</v>
      </c>
      <c r="G14" s="103">
        <f t="shared" si="8"/>
        <v>7.75</v>
      </c>
      <c r="H14" s="92"/>
      <c r="I14" s="104">
        <f t="shared" si="5"/>
        <v>7.75</v>
      </c>
      <c r="J14" s="12"/>
      <c r="K14" s="97">
        <f t="shared" si="0"/>
        <v>45764</v>
      </c>
      <c r="L14" s="94">
        <f t="shared" si="1"/>
        <v>100</v>
      </c>
      <c r="M14" s="96">
        <f t="shared" si="2"/>
        <v>7.75</v>
      </c>
      <c r="N14" s="92"/>
      <c r="O14" s="98">
        <f t="shared" si="3"/>
        <v>7.75</v>
      </c>
      <c r="P14" s="12"/>
      <c r="Q14" s="69">
        <v>45764</v>
      </c>
      <c r="R14" s="70">
        <f t="shared" si="9"/>
        <v>100</v>
      </c>
      <c r="S14" s="103">
        <f t="shared" si="4"/>
        <v>7.75</v>
      </c>
      <c r="T14" s="92"/>
      <c r="U14" s="104">
        <f t="shared" si="6"/>
        <v>7.75</v>
      </c>
      <c r="V14" s="12"/>
      <c r="W14" s="12"/>
      <c r="X14" s="12"/>
      <c r="Y14" s="12"/>
    </row>
    <row r="15" spans="1:25" x14ac:dyDescent="0.25">
      <c r="A15" s="12"/>
      <c r="B15" s="26"/>
      <c r="C15" s="91"/>
      <c r="D15" s="12"/>
      <c r="E15" s="69">
        <v>45947</v>
      </c>
      <c r="F15" s="70">
        <f t="shared" si="7"/>
        <v>100</v>
      </c>
      <c r="G15" s="103">
        <f t="shared" si="8"/>
        <v>7.75</v>
      </c>
      <c r="H15" s="92"/>
      <c r="I15" s="104">
        <f t="shared" si="5"/>
        <v>7.75</v>
      </c>
      <c r="J15" s="12"/>
      <c r="K15" s="97">
        <f t="shared" si="0"/>
        <v>45947</v>
      </c>
      <c r="L15" s="94">
        <f t="shared" si="1"/>
        <v>100</v>
      </c>
      <c r="M15" s="96">
        <f t="shared" si="2"/>
        <v>7.75</v>
      </c>
      <c r="N15" s="92"/>
      <c r="O15" s="98">
        <f t="shared" si="3"/>
        <v>7.75</v>
      </c>
      <c r="P15" s="12"/>
      <c r="Q15" s="69">
        <v>45947</v>
      </c>
      <c r="R15" s="70">
        <f t="shared" si="9"/>
        <v>100</v>
      </c>
      <c r="S15" s="103">
        <f t="shared" si="4"/>
        <v>7.75</v>
      </c>
      <c r="T15" s="92"/>
      <c r="U15" s="104">
        <f t="shared" si="6"/>
        <v>7.75</v>
      </c>
      <c r="V15" s="12"/>
      <c r="W15" s="12"/>
      <c r="X15" s="12"/>
      <c r="Y15" s="12"/>
    </row>
    <row r="16" spans="1:25" x14ac:dyDescent="0.25">
      <c r="A16" s="12"/>
      <c r="B16" s="26"/>
      <c r="C16" s="91"/>
      <c r="D16" s="12"/>
      <c r="E16" s="69">
        <v>46129</v>
      </c>
      <c r="F16" s="70">
        <f t="shared" si="7"/>
        <v>100</v>
      </c>
      <c r="G16" s="103">
        <f t="shared" si="8"/>
        <v>7.75</v>
      </c>
      <c r="H16" s="92"/>
      <c r="I16" s="104">
        <f t="shared" si="5"/>
        <v>7.75</v>
      </c>
      <c r="J16" s="12"/>
      <c r="K16" s="97">
        <f t="shared" si="0"/>
        <v>46129</v>
      </c>
      <c r="L16" s="94">
        <f t="shared" si="1"/>
        <v>100</v>
      </c>
      <c r="M16" s="96">
        <f t="shared" si="2"/>
        <v>7.75</v>
      </c>
      <c r="N16" s="92"/>
      <c r="O16" s="98">
        <f t="shared" si="3"/>
        <v>7.75</v>
      </c>
      <c r="P16" s="12"/>
      <c r="Q16" s="69">
        <v>46129</v>
      </c>
      <c r="R16" s="70">
        <f t="shared" si="9"/>
        <v>100</v>
      </c>
      <c r="S16" s="103">
        <f t="shared" si="4"/>
        <v>7.75</v>
      </c>
      <c r="T16" s="92"/>
      <c r="U16" s="104">
        <f t="shared" si="6"/>
        <v>7.75</v>
      </c>
      <c r="V16" s="12"/>
      <c r="W16" s="12"/>
      <c r="X16" s="12"/>
      <c r="Y16" s="12"/>
    </row>
    <row r="17" spans="1:25" x14ac:dyDescent="0.25">
      <c r="A17" s="12"/>
      <c r="B17" s="26"/>
      <c r="C17" s="91"/>
      <c r="D17" s="12"/>
      <c r="E17" s="69">
        <v>46313</v>
      </c>
      <c r="F17" s="70">
        <f t="shared" si="7"/>
        <v>100</v>
      </c>
      <c r="G17" s="103">
        <f t="shared" si="8"/>
        <v>7.75</v>
      </c>
      <c r="H17" s="85">
        <v>100</v>
      </c>
      <c r="I17" s="104">
        <f t="shared" si="5"/>
        <v>107.75</v>
      </c>
      <c r="J17" s="12"/>
      <c r="K17" s="97">
        <f t="shared" si="0"/>
        <v>46313</v>
      </c>
      <c r="L17" s="94">
        <f t="shared" si="1"/>
        <v>100</v>
      </c>
      <c r="M17" s="96">
        <f t="shared" si="2"/>
        <v>7.75</v>
      </c>
      <c r="N17" s="85">
        <f>+H17</f>
        <v>100</v>
      </c>
      <c r="O17" s="98">
        <f t="shared" si="3"/>
        <v>107.75</v>
      </c>
      <c r="P17" s="12"/>
      <c r="Q17" s="69">
        <v>46313</v>
      </c>
      <c r="R17" s="70">
        <f t="shared" si="9"/>
        <v>100</v>
      </c>
      <c r="S17" s="103">
        <f t="shared" si="4"/>
        <v>7.75</v>
      </c>
      <c r="T17" s="85">
        <v>100</v>
      </c>
      <c r="U17" s="104">
        <f t="shared" si="6"/>
        <v>107.75</v>
      </c>
      <c r="V17" s="12"/>
      <c r="W17" s="12"/>
      <c r="X17" s="12"/>
      <c r="Y17" s="12"/>
    </row>
    <row r="18" spans="1:25" x14ac:dyDescent="0.25">
      <c r="A18" s="12"/>
      <c r="B18" s="26"/>
      <c r="C18" s="91"/>
      <c r="D18" s="12"/>
      <c r="E18" s="90"/>
      <c r="F18" s="70"/>
      <c r="G18" s="74"/>
      <c r="H18" s="92"/>
      <c r="I18" s="73"/>
      <c r="J18" s="12"/>
      <c r="K18" s="26"/>
      <c r="L18" s="26"/>
      <c r="M18" s="26"/>
      <c r="N18" s="92"/>
      <c r="O18" s="86"/>
      <c r="P18" s="12"/>
      <c r="Q18" s="90"/>
      <c r="R18" s="70"/>
      <c r="S18" s="74"/>
      <c r="T18" s="92"/>
      <c r="U18" s="73"/>
      <c r="V18" s="12"/>
      <c r="W18" s="12"/>
      <c r="X18" s="12"/>
      <c r="Y18" s="12"/>
    </row>
    <row r="19" spans="1:25" x14ac:dyDescent="0.25">
      <c r="A19" s="12"/>
      <c r="B19" s="26"/>
      <c r="C19" s="91"/>
      <c r="D19" s="12"/>
      <c r="E19" s="90"/>
      <c r="F19" s="70"/>
      <c r="G19" s="74"/>
      <c r="H19" s="92"/>
      <c r="I19" s="73"/>
      <c r="J19" s="12"/>
      <c r="K19" s="26"/>
      <c r="L19" s="26"/>
      <c r="M19" s="26"/>
      <c r="N19" s="92"/>
      <c r="O19" s="86"/>
      <c r="P19" s="12"/>
      <c r="Q19" s="90"/>
      <c r="R19" s="70"/>
      <c r="S19" s="74"/>
      <c r="T19" s="92"/>
      <c r="U19" s="73"/>
      <c r="V19" s="12"/>
      <c r="W19" s="12"/>
      <c r="X19" s="12"/>
      <c r="Y19" s="12"/>
    </row>
    <row r="20" spans="1:25" x14ac:dyDescent="0.25">
      <c r="A20" s="12"/>
      <c r="B20" s="26"/>
      <c r="C20" s="91"/>
      <c r="D20" s="12"/>
      <c r="E20" s="26"/>
      <c r="F20" s="26"/>
      <c r="G20" s="26"/>
      <c r="H20" s="92" t="s">
        <v>10</v>
      </c>
      <c r="I20" s="86">
        <f>XIRR(I6:I17,E6:E17,0)</f>
        <v>0.51385975585937493</v>
      </c>
      <c r="J20" s="12"/>
      <c r="K20" s="26"/>
      <c r="L20" s="26"/>
      <c r="M20" s="26"/>
      <c r="N20" s="92"/>
      <c r="O20" s="86"/>
      <c r="P20" s="12"/>
      <c r="Q20" s="26"/>
      <c r="R20" s="26"/>
      <c r="S20" s="26"/>
      <c r="T20" s="92" t="s">
        <v>10</v>
      </c>
      <c r="U20" s="86" t="e">
        <f>XIRR(U7:U17,Q7:Q17,0)</f>
        <v>#NUM!</v>
      </c>
      <c r="V20" s="12"/>
      <c r="W20" s="12"/>
      <c r="X20" s="12"/>
      <c r="Y20" s="12"/>
    </row>
    <row r="21" spans="1:25" x14ac:dyDescent="0.25">
      <c r="A21" s="12"/>
      <c r="B21" s="26"/>
      <c r="C21" s="91"/>
      <c r="D21" s="12"/>
      <c r="E21" s="26"/>
      <c r="F21" s="26"/>
      <c r="G21" s="26"/>
      <c r="H21" s="92" t="s">
        <v>64</v>
      </c>
      <c r="I21" s="73">
        <f>MDURATION(E6,E17,C7,I20,2)</f>
        <v>2.0219816030327333</v>
      </c>
      <c r="J21" s="12"/>
      <c r="K21" s="26"/>
      <c r="L21" s="26"/>
      <c r="M21" s="26"/>
      <c r="N21" s="92"/>
      <c r="O21" s="86"/>
      <c r="P21" s="12"/>
      <c r="Q21" s="26"/>
      <c r="R21" s="26"/>
      <c r="S21" s="26"/>
      <c r="T21" s="92" t="s">
        <v>64</v>
      </c>
      <c r="U21" s="73" t="e">
        <f>MDURATION(#REF!,Q17,C7,U20,2)</f>
        <v>#REF!</v>
      </c>
      <c r="V21" s="12"/>
      <c r="W21" s="12"/>
      <c r="X21" s="12"/>
      <c r="Y21" s="12"/>
    </row>
    <row r="22" spans="1:25" x14ac:dyDescent="0.25">
      <c r="A22" s="12"/>
      <c r="B22" s="26"/>
      <c r="C22" s="9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5">
      <c r="A23" s="12"/>
      <c r="B23" s="26"/>
      <c r="C23" s="9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30" x14ac:dyDescent="0.25">
      <c r="A24" s="12"/>
      <c r="B24" s="12"/>
      <c r="C24" s="12"/>
      <c r="D24" s="12"/>
      <c r="E24" s="311" t="s">
        <v>92</v>
      </c>
      <c r="F24" s="311"/>
      <c r="G24" s="76">
        <v>0.35</v>
      </c>
      <c r="H24" s="62">
        <f>XNPV(G24,O6:O17,K6:K17)</f>
        <v>61.786403131568207</v>
      </c>
      <c r="I24" s="61">
        <f>(H24+I6)/(-I6)</f>
        <v>0.39630289562866006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customHeight="1" x14ac:dyDescent="0.25">
      <c r="A25" s="12"/>
      <c r="B25" s="12"/>
      <c r="C25" s="12"/>
      <c r="D25" s="12"/>
      <c r="E25" s="313"/>
      <c r="F25" s="313"/>
      <c r="G25" s="42">
        <v>0.4</v>
      </c>
      <c r="H25" s="109">
        <f>XNPV(G25,O6:O17,K6:K17)</f>
        <v>55.275807785161192</v>
      </c>
      <c r="I25" s="42">
        <f>(H25+I6)/(-I6)</f>
        <v>0.24917079740477269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customHeight="1" x14ac:dyDescent="0.25">
      <c r="A26" s="12"/>
      <c r="B26" s="12"/>
      <c r="C26" s="12"/>
      <c r="D26" s="12"/>
      <c r="E26" s="312"/>
      <c r="F26" s="312"/>
      <c r="G26" s="78">
        <v>0.45</v>
      </c>
      <c r="H26" s="79">
        <f>XNPV(G26,O6:O17,K6:K17)</f>
        <v>49.880848897508358</v>
      </c>
      <c r="I26" s="78">
        <f>(H26+I6)/(-I6)</f>
        <v>0.12725082254256176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customHeight="1" x14ac:dyDescent="0.25">
      <c r="A27" s="12"/>
      <c r="B27" s="93"/>
      <c r="C27" s="93"/>
      <c r="D27" s="93"/>
      <c r="W27" s="12"/>
      <c r="X27" s="12"/>
      <c r="Y27" s="12"/>
    </row>
    <row r="28" spans="1:25" x14ac:dyDescent="0.25">
      <c r="A28" s="12"/>
      <c r="B28" s="12"/>
      <c r="C28" s="12"/>
      <c r="D28" s="12"/>
      <c r="W28" s="12"/>
      <c r="X28" s="12"/>
      <c r="Y28" s="12"/>
    </row>
    <row r="29" spans="1:2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12"/>
      <c r="B34" s="12"/>
      <c r="C34" s="12"/>
      <c r="D34" s="12"/>
      <c r="E34" s="12"/>
      <c r="F34" s="12"/>
      <c r="G34" s="12"/>
      <c r="H34" s="12"/>
      <c r="I34" s="2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2"/>
      <c r="B35" s="12"/>
      <c r="C35" s="12"/>
      <c r="D35" s="12"/>
      <c r="E35" s="12"/>
      <c r="F35" s="12"/>
      <c r="G35" s="12"/>
      <c r="H35" s="12"/>
      <c r="I35" s="2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</sheetData>
  <mergeCells count="4">
    <mergeCell ref="B4:C4"/>
    <mergeCell ref="E4:I4"/>
    <mergeCell ref="K4:O4"/>
    <mergeCell ref="Q4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BAY23</vt:lpstr>
      <vt:lpstr>Variaciones</vt:lpstr>
      <vt:lpstr>Planilla de datos</vt:lpstr>
      <vt:lpstr>AA22</vt:lpstr>
      <vt:lpstr>TB21</vt:lpstr>
      <vt:lpstr>PR15</vt:lpstr>
      <vt:lpstr>TO21</vt:lpstr>
      <vt:lpstr>TO23</vt:lpstr>
      <vt:lpstr>TO26</vt:lpstr>
      <vt:lpstr>TC21</vt:lpstr>
      <vt:lpstr>TX21</vt:lpstr>
      <vt:lpstr>TX22</vt:lpstr>
      <vt:lpstr>T2X2</vt:lpstr>
      <vt:lpstr>TC23</vt:lpstr>
      <vt:lpstr>TX23</vt:lpstr>
      <vt:lpstr>T2X3</vt:lpstr>
      <vt:lpstr>TX24</vt:lpstr>
      <vt:lpstr>T2X4</vt:lpstr>
      <vt:lpstr>TC25P</vt:lpstr>
      <vt:lpstr>TX26</vt:lpstr>
      <vt:lpstr>TX28</vt:lpstr>
      <vt:lpstr>DICP</vt:lpstr>
      <vt:lpstr>PARP</vt:lpstr>
      <vt:lpstr>CUAP</vt:lpstr>
      <vt:lpstr>LECER</vt:lpstr>
      <vt:lpstr>Lepase</vt:lpstr>
      <vt:lpstr>Serie CER</vt:lpstr>
      <vt:lpstr>Serie BADLAR</vt:lpstr>
      <vt:lpstr>PBY22</vt:lpstr>
      <vt:lpstr>PBA25</vt:lpstr>
      <vt:lpstr>PMJ21</vt:lpstr>
      <vt:lpstr>BDC28</vt:lpstr>
      <vt:lpstr>BDC24</vt:lpstr>
      <vt:lpstr>BDC22</vt:lpstr>
      <vt:lpstr>BNY22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2020-06-12T01:18:08Z</cp:lastPrinted>
  <dcterms:created xsi:type="dcterms:W3CDTF">2019-02-14T04:55:32Z</dcterms:created>
  <dcterms:modified xsi:type="dcterms:W3CDTF">2021-07-05T20:13:20Z</dcterms:modified>
</cp:coreProperties>
</file>