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uebaFlask\pflask\"/>
    </mc:Choice>
  </mc:AlternateContent>
  <bookViews>
    <workbookView xWindow="0" yWindow="0" windowWidth="8145" windowHeight="2205" tabRatio="905" firstSheet="3" activeTab="4"/>
  </bookViews>
  <sheets>
    <sheet name="BAY23" sheetId="33" r:id="rId1"/>
    <sheet name="Variaciones" sheetId="24" r:id="rId2"/>
    <sheet name="Planilla de datos" sheetId="12" r:id="rId3"/>
    <sheet name="AA22" sheetId="32" r:id="rId4"/>
    <sheet name="TB21" sheetId="15" r:id="rId5"/>
    <sheet name="PR15" sheetId="16" r:id="rId6"/>
    <sheet name="TO21" sheetId="5" r:id="rId7"/>
    <sheet name="TO23" sheetId="21" r:id="rId8"/>
    <sheet name="TO26" sheetId="22" r:id="rId9"/>
    <sheet name="TC21" sheetId="4" r:id="rId10"/>
    <sheet name="TX21" sheetId="11" r:id="rId11"/>
    <sheet name="TX22" sheetId="13" r:id="rId12"/>
    <sheet name="T2X2" sheetId="26" r:id="rId13"/>
    <sheet name="TC23" sheetId="20" r:id="rId14"/>
    <sheet name="TX23" sheetId="17" r:id="rId15"/>
    <sheet name="T2X3" sheetId="44" r:id="rId16"/>
    <sheet name="TX24" sheetId="23" r:id="rId17"/>
    <sheet name="T2X4" sheetId="45" r:id="rId18"/>
    <sheet name="TC25P" sheetId="30" r:id="rId19"/>
    <sheet name="TX26" sheetId="34" r:id="rId20"/>
    <sheet name="TX28" sheetId="35" r:id="rId21"/>
    <sheet name="LECER" sheetId="14" r:id="rId22"/>
    <sheet name="Lepase" sheetId="40" r:id="rId23"/>
    <sheet name="Serie CER" sheetId="25" r:id="rId24"/>
    <sheet name="Serie BADLAR" sheetId="41" r:id="rId25"/>
    <sheet name="PBY22" sheetId="10" r:id="rId26"/>
    <sheet name="PBA25" sheetId="9" r:id="rId27"/>
    <sheet name="PMJ21" sheetId="31" r:id="rId28"/>
    <sheet name="BDC28" sheetId="28" r:id="rId29"/>
    <sheet name="BDC24" sheetId="43" r:id="rId30"/>
    <sheet name="BDC22" sheetId="42" r:id="rId31"/>
    <sheet name="BNY22" sheetId="37" r:id="rId32"/>
  </sheets>
  <externalReferences>
    <externalReference r:id="rId33"/>
    <externalReference r:id="rId34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7" l="1"/>
  <c r="D64" i="12" l="1"/>
  <c r="G7" i="32" l="1"/>
  <c r="E43" i="12"/>
  <c r="H8" i="16" l="1"/>
  <c r="H9" i="16"/>
  <c r="H10" i="16"/>
  <c r="H11" i="16"/>
  <c r="H7" i="16"/>
  <c r="F7" i="16"/>
  <c r="F6" i="16"/>
  <c r="G7" i="16"/>
  <c r="E10" i="24" l="1"/>
  <c r="E47" i="12" l="1"/>
  <c r="Y203" i="25" l="1"/>
  <c r="Y204" i="25" s="1"/>
  <c r="Y205" i="25" s="1"/>
  <c r="Y202" i="25"/>
  <c r="Y201" i="25"/>
  <c r="X202" i="25"/>
  <c r="X203" i="25" s="1"/>
  <c r="I12" i="14"/>
  <c r="E2" i="14"/>
  <c r="B25" i="25"/>
  <c r="B27" i="25"/>
  <c r="E12" i="14"/>
  <c r="X204" i="25" l="1"/>
  <c r="X205" i="25" s="1"/>
  <c r="X206" i="25" s="1"/>
  <c r="X207" i="25" s="1"/>
  <c r="X208" i="25" s="1"/>
  <c r="I10" i="14" l="1"/>
  <c r="E46" i="12" l="1"/>
  <c r="AK38" i="24"/>
  <c r="E38" i="24"/>
  <c r="H7" i="43"/>
  <c r="G7" i="43"/>
  <c r="B41" i="25" l="1"/>
  <c r="H24" i="37" l="1"/>
  <c r="H25" i="37" s="1"/>
  <c r="H26" i="37" s="1"/>
  <c r="E23" i="37"/>
  <c r="E24" i="37"/>
  <c r="E25" i="37"/>
  <c r="E26" i="37"/>
  <c r="O9" i="37"/>
  <c r="O10" i="37" s="1"/>
  <c r="O8" i="37"/>
  <c r="E44" i="12" l="1"/>
  <c r="J6" i="37"/>
  <c r="G22" i="37" s="1"/>
  <c r="J28" i="37" s="1"/>
  <c r="C21" i="24" l="1"/>
  <c r="G21" i="24" s="1"/>
  <c r="D21" i="24"/>
  <c r="H21" i="24" s="1"/>
  <c r="D20" i="24"/>
  <c r="H20" i="24" s="1"/>
  <c r="C20" i="24"/>
  <c r="G20" i="24" s="1"/>
  <c r="D19" i="24"/>
  <c r="H19" i="24" s="1"/>
  <c r="C19" i="24"/>
  <c r="G19" i="24" s="1"/>
  <c r="C18" i="24"/>
  <c r="G18" i="24" s="1"/>
  <c r="C17" i="24"/>
  <c r="G17" i="24" s="1"/>
  <c r="C16" i="24"/>
  <c r="G16" i="24" s="1"/>
  <c r="C9" i="24"/>
  <c r="G9" i="24" s="1"/>
  <c r="C8" i="24"/>
  <c r="G8" i="24" s="1"/>
  <c r="C7" i="24"/>
  <c r="G7" i="24" s="1"/>
  <c r="C41" i="24"/>
  <c r="G41" i="24" s="1"/>
  <c r="C40" i="24"/>
  <c r="G40" i="24" s="1"/>
  <c r="C39" i="24"/>
  <c r="C38" i="24"/>
  <c r="G38" i="24" s="1"/>
  <c r="C37" i="24"/>
  <c r="G37" i="24" s="1"/>
  <c r="C36" i="24"/>
  <c r="G36" i="24" s="1"/>
  <c r="C35" i="24"/>
  <c r="G35" i="24" s="1"/>
  <c r="C34" i="24"/>
  <c r="G34" i="24" s="1"/>
  <c r="C33" i="24"/>
  <c r="G33" i="24" s="1"/>
  <c r="C32" i="24"/>
  <c r="C31" i="24"/>
  <c r="G31" i="24" s="1"/>
  <c r="H10" i="24"/>
  <c r="G10" i="24"/>
  <c r="G32" i="24" l="1"/>
  <c r="G39" i="24"/>
  <c r="B35" i="25"/>
  <c r="B33" i="25"/>
  <c r="B31" i="25"/>
  <c r="B29" i="25"/>
  <c r="G9" i="33" l="1"/>
  <c r="G10" i="33"/>
  <c r="G11" i="33"/>
  <c r="G12" i="33"/>
  <c r="G13" i="33"/>
  <c r="G14" i="33"/>
  <c r="G8" i="33"/>
  <c r="G7" i="33"/>
  <c r="C8" i="16"/>
  <c r="C10" i="32"/>
  <c r="C8" i="32"/>
  <c r="E45" i="12"/>
  <c r="C56" i="12" l="1"/>
  <c r="D57" i="12" l="1"/>
  <c r="C57" i="12"/>
  <c r="B37" i="25" l="1"/>
  <c r="B40" i="25"/>
  <c r="AK40" i="24" l="1"/>
  <c r="M40" i="24"/>
  <c r="AK39" i="24"/>
  <c r="M39" i="24"/>
  <c r="Z45" i="12" l="1"/>
  <c r="Y45" i="12"/>
  <c r="F7" i="33"/>
  <c r="F7" i="37"/>
  <c r="G7" i="37"/>
  <c r="H7" i="10" l="1"/>
  <c r="G7" i="10"/>
  <c r="AC54" i="12" l="1"/>
  <c r="AD56" i="12" s="1"/>
  <c r="AC64" i="12" s="1"/>
  <c r="AC61" i="12"/>
  <c r="AC57" i="12"/>
  <c r="AC59" i="12" s="1"/>
  <c r="AC60" i="12" s="1"/>
  <c r="AC62" i="12" l="1"/>
  <c r="S53" i="14"/>
  <c r="T53" i="14"/>
  <c r="R54" i="14"/>
  <c r="R53" i="14"/>
  <c r="J11" i="14"/>
  <c r="F47" i="12"/>
  <c r="G7" i="28"/>
  <c r="I47" i="12" l="1"/>
  <c r="H47" i="12"/>
  <c r="G47" i="12" s="1"/>
  <c r="R55" i="14"/>
  <c r="S54" i="14" s="1"/>
  <c r="S57" i="14" s="1"/>
  <c r="K41" i="12" s="1"/>
  <c r="J47" i="12"/>
  <c r="AI41" i="24" l="1"/>
  <c r="AI40" i="24"/>
  <c r="AI39" i="24"/>
  <c r="AI38" i="24"/>
  <c r="AI37" i="24"/>
  <c r="AI36" i="24"/>
  <c r="AI35" i="24"/>
  <c r="AI34" i="24"/>
  <c r="AI33" i="24"/>
  <c r="AK32" i="24"/>
  <c r="M32" i="24"/>
  <c r="AI32" i="24"/>
  <c r="AI31" i="24"/>
  <c r="AJ10" i="24" l="1"/>
  <c r="AJ14" i="24"/>
  <c r="AI10" i="24"/>
  <c r="AI14" i="24"/>
  <c r="AI21" i="24" l="1"/>
  <c r="AI20" i="24"/>
  <c r="AJ19" i="24"/>
  <c r="AI19" i="24"/>
  <c r="AK18" i="24"/>
  <c r="M18" i="24"/>
  <c r="M16" i="24"/>
  <c r="AI18" i="24"/>
  <c r="AI17" i="24"/>
  <c r="AI16" i="24"/>
  <c r="AK10" i="24"/>
  <c r="M10" i="24"/>
  <c r="O10" i="24" s="1"/>
  <c r="O41" i="24"/>
  <c r="O40" i="24"/>
  <c r="O39" i="24"/>
  <c r="O38" i="24"/>
  <c r="O37" i="24"/>
  <c r="O36" i="24"/>
  <c r="O35" i="24"/>
  <c r="O34" i="24"/>
  <c r="O33" i="24"/>
  <c r="O32" i="24"/>
  <c r="O31" i="24"/>
  <c r="P14" i="24"/>
  <c r="O14" i="24"/>
  <c r="P10" i="24"/>
  <c r="O21" i="24" l="1"/>
  <c r="O17" i="24"/>
  <c r="O20" i="24"/>
  <c r="O18" i="24"/>
  <c r="P20" i="24"/>
  <c r="AJ20" i="24"/>
  <c r="O19" i="24"/>
  <c r="P19" i="24"/>
  <c r="P21" i="24"/>
  <c r="AJ21" i="24"/>
  <c r="O16" i="24"/>
  <c r="R32" i="13"/>
  <c r="R36" i="13"/>
  <c r="R34" i="13"/>
  <c r="R27" i="13"/>
  <c r="E6" i="13"/>
  <c r="I6" i="13"/>
  <c r="C55" i="12" l="1"/>
  <c r="AH12" i="12" l="1"/>
  <c r="AK12" i="12" s="1"/>
  <c r="AG12" i="12"/>
  <c r="AJ12" i="12" s="1"/>
  <c r="B42" i="25"/>
  <c r="AK41" i="24"/>
  <c r="AK37" i="24"/>
  <c r="BB47" i="24"/>
  <c r="AM22" i="24" s="1"/>
  <c r="AK20" i="24"/>
  <c r="AK16" i="24"/>
  <c r="AK15" i="24"/>
  <c r="AK13" i="24"/>
  <c r="AK12" i="24"/>
  <c r="AK11" i="24"/>
  <c r="AK9" i="24"/>
  <c r="AK8" i="24"/>
  <c r="AK7" i="24"/>
  <c r="AM42" i="24" l="1"/>
  <c r="T45" i="14" l="1"/>
  <c r="G7" i="15" l="1"/>
  <c r="U38" i="24" l="1"/>
  <c r="C37" i="13" l="1"/>
  <c r="C38" i="13" s="1"/>
  <c r="C39" i="13" s="1"/>
  <c r="C43" i="13" s="1"/>
  <c r="G37" i="13"/>
  <c r="G36" i="13"/>
  <c r="I36" i="13" s="1"/>
  <c r="I35" i="13"/>
  <c r="O35" i="13" s="1"/>
  <c r="O37" i="13"/>
  <c r="N37" i="13"/>
  <c r="M37" i="13"/>
  <c r="K37" i="13"/>
  <c r="H37" i="13"/>
  <c r="O36" i="13"/>
  <c r="M36" i="13"/>
  <c r="K36" i="13"/>
  <c r="E41" i="13"/>
  <c r="I37" i="13" l="1"/>
  <c r="I39" i="13" s="1"/>
  <c r="I40" i="13"/>
  <c r="K35" i="13"/>
  <c r="AK17" i="24"/>
  <c r="U17" i="24"/>
  <c r="AH4" i="40"/>
  <c r="AE10" i="40"/>
  <c r="AH5" i="40" s="1"/>
  <c r="AE6" i="40"/>
  <c r="AG5" i="40"/>
  <c r="F46" i="12"/>
  <c r="J46" i="12"/>
  <c r="T46" i="14"/>
  <c r="R45" i="14"/>
  <c r="J10" i="14"/>
  <c r="S45" i="14" s="1"/>
  <c r="I46" i="12" l="1"/>
  <c r="H46" i="12"/>
  <c r="G46" i="12" s="1"/>
  <c r="O39" i="13"/>
  <c r="O40" i="13" s="1"/>
  <c r="AH6" i="40"/>
  <c r="F53" i="12" s="1"/>
  <c r="R46" i="14" l="1"/>
  <c r="R47" i="14" s="1"/>
  <c r="S46" i="14" s="1"/>
  <c r="S49" i="14" s="1"/>
  <c r="K40" i="12" s="1"/>
  <c r="D52" i="12" l="1"/>
  <c r="H7" i="42" l="1"/>
  <c r="G7" i="42"/>
  <c r="AK36" i="24" l="1"/>
  <c r="AK35" i="24"/>
  <c r="U36" i="24"/>
  <c r="U35" i="24"/>
  <c r="T38" i="14" l="1"/>
  <c r="T37" i="14"/>
  <c r="R37" i="14"/>
  <c r="R38" i="14"/>
  <c r="R29" i="14"/>
  <c r="T30" i="14"/>
  <c r="T29" i="14"/>
  <c r="R30" i="14"/>
  <c r="J9" i="14"/>
  <c r="S37" i="14" s="1"/>
  <c r="J8" i="14"/>
  <c r="S29" i="14" s="1"/>
  <c r="AB4" i="40"/>
  <c r="AK34" i="24"/>
  <c r="AK33" i="24"/>
  <c r="AK31" i="24"/>
  <c r="AN10" i="24"/>
  <c r="U42" i="24"/>
  <c r="W38" i="24"/>
  <c r="AM36" i="24"/>
  <c r="AM35" i="24"/>
  <c r="W33" i="24"/>
  <c r="C70" i="12"/>
  <c r="C71" i="12"/>
  <c r="C72" i="12"/>
  <c r="C11" i="24" s="1"/>
  <c r="G11" i="24" s="1"/>
  <c r="C73" i="12"/>
  <c r="C12" i="24" s="1"/>
  <c r="G12" i="24" s="1"/>
  <c r="C74" i="12"/>
  <c r="C13" i="24" s="1"/>
  <c r="G13" i="24" s="1"/>
  <c r="C75" i="12"/>
  <c r="C14" i="24" s="1"/>
  <c r="G14" i="24" s="1"/>
  <c r="C76" i="12"/>
  <c r="C15" i="24" s="1"/>
  <c r="G15" i="24" s="1"/>
  <c r="X21" i="24"/>
  <c r="W21" i="24"/>
  <c r="X20" i="24"/>
  <c r="X19" i="24"/>
  <c r="W18" i="24"/>
  <c r="X10" i="24"/>
  <c r="W10" i="24"/>
  <c r="H7" i="9"/>
  <c r="G7" i="9"/>
  <c r="W15" i="24" l="1"/>
  <c r="W12" i="24"/>
  <c r="W13" i="24"/>
  <c r="W9" i="24"/>
  <c r="W7" i="24"/>
  <c r="W11" i="24"/>
  <c r="AM38" i="24"/>
  <c r="W36" i="24"/>
  <c r="W35" i="24"/>
  <c r="W34" i="24"/>
  <c r="W32" i="24"/>
  <c r="R39" i="14"/>
  <c r="S38" i="14" s="1"/>
  <c r="S41" i="14" s="1"/>
  <c r="K39" i="12" s="1"/>
  <c r="R31" i="14"/>
  <c r="W16" i="24"/>
  <c r="W39" i="24"/>
  <c r="W40" i="24"/>
  <c r="W41" i="24"/>
  <c r="AM34" i="24"/>
  <c r="AM32" i="24"/>
  <c r="AM41" i="24"/>
  <c r="W19" i="24"/>
  <c r="W42" i="24"/>
  <c r="AM33" i="24"/>
  <c r="AM37" i="24"/>
  <c r="AM39" i="24"/>
  <c r="AM40" i="24"/>
  <c r="AM31" i="24"/>
  <c r="W17" i="24"/>
  <c r="AN21" i="24"/>
  <c r="AN20" i="24"/>
  <c r="AN19" i="24"/>
  <c r="W14" i="24"/>
  <c r="W20" i="24"/>
  <c r="W37" i="24"/>
  <c r="W31" i="24"/>
  <c r="B18" i="25"/>
  <c r="S30" i="14" l="1"/>
  <c r="S33" i="14" s="1"/>
  <c r="K38" i="12" s="1"/>
  <c r="O13" i="24"/>
  <c r="AI13" i="24"/>
  <c r="O11" i="24"/>
  <c r="AI11" i="24"/>
  <c r="O12" i="24"/>
  <c r="AI12" i="24"/>
  <c r="O9" i="24"/>
  <c r="AI9" i="24"/>
  <c r="O7" i="24"/>
  <c r="AI7" i="24"/>
  <c r="O15" i="24"/>
  <c r="AI15" i="24"/>
  <c r="Y10" i="40"/>
  <c r="Y6" i="40"/>
  <c r="AA5" i="40"/>
  <c r="AB5" i="40" l="1"/>
  <c r="AC34" i="24"/>
  <c r="AC31" i="24"/>
  <c r="AC33" i="24"/>
  <c r="F45" i="12" l="1"/>
  <c r="I45" i="12" l="1"/>
  <c r="H45" i="12"/>
  <c r="G45" i="12" s="1"/>
  <c r="J45" i="12"/>
  <c r="Q7" i="5" l="1"/>
  <c r="T7" i="5"/>
  <c r="S7" i="5"/>
  <c r="U7" i="5" s="1"/>
  <c r="G7" i="5"/>
  <c r="AF10" i="24" l="1"/>
  <c r="AC39" i="24"/>
  <c r="AC15" i="24"/>
  <c r="AC13" i="24"/>
  <c r="AC12" i="24"/>
  <c r="AC11" i="24"/>
  <c r="AC9" i="24"/>
  <c r="AC10" i="24"/>
  <c r="V4" i="40" l="1"/>
  <c r="S10" i="40"/>
  <c r="S6" i="40"/>
  <c r="U5" i="40"/>
  <c r="V5" i="40" l="1"/>
  <c r="V12" i="40" s="1"/>
  <c r="F44" i="12" l="1"/>
  <c r="I44" i="12" l="1"/>
  <c r="H44" i="12"/>
  <c r="G44" i="12" s="1"/>
  <c r="J44" i="12"/>
  <c r="P4" i="40" l="1"/>
  <c r="O4" i="40" l="1"/>
  <c r="U4" i="40" s="1"/>
  <c r="U6" i="40" l="1"/>
  <c r="E51" i="12" s="1"/>
  <c r="AA4" i="40"/>
  <c r="R7" i="13"/>
  <c r="Q7" i="13"/>
  <c r="D79" i="12"/>
  <c r="D78" i="12"/>
  <c r="D76" i="12"/>
  <c r="D75" i="12"/>
  <c r="D74" i="12"/>
  <c r="D73" i="12"/>
  <c r="D72" i="12"/>
  <c r="D71" i="12"/>
  <c r="D70" i="12"/>
  <c r="D69" i="12"/>
  <c r="J51" i="12" l="1"/>
  <c r="AB6" i="40" s="1"/>
  <c r="F52" i="12" s="1"/>
  <c r="AA6" i="40"/>
  <c r="E52" i="12" s="1"/>
  <c r="AG4" i="40"/>
  <c r="AG6" i="40" s="1"/>
  <c r="E53" i="12" s="1"/>
  <c r="M6" i="40"/>
  <c r="O5" i="40"/>
  <c r="O6" i="40" s="1"/>
  <c r="E50" i="12" s="1"/>
  <c r="AC37" i="24"/>
  <c r="AB9" i="40" l="1"/>
  <c r="I52" i="12" s="1"/>
  <c r="J52" i="12"/>
  <c r="AB8" i="40"/>
  <c r="H52" i="12" s="1"/>
  <c r="G52" i="12" s="1"/>
  <c r="AH9" i="40"/>
  <c r="I53" i="12" s="1"/>
  <c r="AH8" i="40"/>
  <c r="H53" i="12" s="1"/>
  <c r="G53" i="12" s="1"/>
  <c r="J50" i="12"/>
  <c r="V6" i="40" s="1"/>
  <c r="J53" i="12" l="1"/>
  <c r="F51" i="12"/>
  <c r="V9" i="40"/>
  <c r="I51" i="12" s="1"/>
  <c r="V8" i="40"/>
  <c r="H51" i="12" s="1"/>
  <c r="G51" i="12" s="1"/>
  <c r="G7" i="31"/>
  <c r="F43" i="12"/>
  <c r="J43" i="12" l="1"/>
  <c r="H43" i="12"/>
  <c r="G43" i="12" s="1"/>
  <c r="I43" i="12"/>
  <c r="I6" i="44" l="1"/>
  <c r="D55" i="12"/>
  <c r="E55" i="12" s="1"/>
  <c r="D56" i="12"/>
  <c r="E56" i="12" s="1"/>
  <c r="E61" i="12" s="1"/>
  <c r="F61" i="12" s="1"/>
  <c r="J55" i="12" l="1"/>
  <c r="J56" i="12"/>
  <c r="N22" i="45"/>
  <c r="O22" i="45" s="1"/>
  <c r="M7" i="45" s="1"/>
  <c r="K22" i="45"/>
  <c r="X13" i="45"/>
  <c r="AD13" i="45" s="1"/>
  <c r="W13" i="45"/>
  <c r="AC13" i="45" s="1"/>
  <c r="K13" i="45"/>
  <c r="K28" i="45" s="1"/>
  <c r="X12" i="45"/>
  <c r="AD12" i="45" s="1"/>
  <c r="W12" i="45"/>
  <c r="AC12" i="45" s="1"/>
  <c r="K12" i="45"/>
  <c r="Q12" i="45" s="1"/>
  <c r="X11" i="45"/>
  <c r="AD11" i="45" s="1"/>
  <c r="W11" i="45"/>
  <c r="AC11" i="45" s="1"/>
  <c r="K11" i="45"/>
  <c r="Q11" i="45" s="1"/>
  <c r="AD10" i="45"/>
  <c r="X10" i="45"/>
  <c r="W10" i="45"/>
  <c r="AC10" i="45" s="1"/>
  <c r="K10" i="45"/>
  <c r="K25" i="45" s="1"/>
  <c r="AD9" i="45"/>
  <c r="X9" i="45"/>
  <c r="W9" i="45"/>
  <c r="AC9" i="45" s="1"/>
  <c r="K9" i="45"/>
  <c r="K24" i="45" s="1"/>
  <c r="X8" i="45"/>
  <c r="AD8" i="45" s="1"/>
  <c r="W8" i="45"/>
  <c r="AC8" i="45" s="1"/>
  <c r="K8" i="45"/>
  <c r="Q8" i="45" s="1"/>
  <c r="C8" i="45"/>
  <c r="C9" i="45" s="1"/>
  <c r="C11" i="45" s="1"/>
  <c r="AC7" i="45"/>
  <c r="X7" i="45"/>
  <c r="AD7" i="45" s="1"/>
  <c r="W7" i="45"/>
  <c r="Q7" i="45"/>
  <c r="K7" i="45"/>
  <c r="X6" i="45"/>
  <c r="AD6" i="45" s="1"/>
  <c r="E6" i="45"/>
  <c r="W6" i="45" s="1"/>
  <c r="E6" i="44"/>
  <c r="I4" i="40"/>
  <c r="J4" i="40"/>
  <c r="AE14" i="24"/>
  <c r="AM10" i="24"/>
  <c r="AM17" i="24"/>
  <c r="AE41" i="24"/>
  <c r="AE40" i="24"/>
  <c r="B14" i="25"/>
  <c r="I5" i="40"/>
  <c r="G6" i="40"/>
  <c r="T22" i="14"/>
  <c r="T21" i="14"/>
  <c r="S21" i="14"/>
  <c r="J7" i="14"/>
  <c r="E7" i="14"/>
  <c r="R21" i="14" s="1"/>
  <c r="T23" i="14" l="1"/>
  <c r="AE33" i="24"/>
  <c r="AE42" i="24"/>
  <c r="AE35" i="24"/>
  <c r="AE34" i="24"/>
  <c r="AE31" i="24"/>
  <c r="AE36" i="24"/>
  <c r="AE38" i="24"/>
  <c r="AE39" i="24"/>
  <c r="AE37" i="24"/>
  <c r="K6" i="45"/>
  <c r="Q6" i="45" s="1"/>
  <c r="Q10" i="45"/>
  <c r="Q9" i="45"/>
  <c r="Q13" i="45"/>
  <c r="G7" i="45"/>
  <c r="G8" i="45"/>
  <c r="H13" i="45"/>
  <c r="Z13" i="45" s="1"/>
  <c r="AF13" i="45" s="1"/>
  <c r="G13" i="45"/>
  <c r="G12" i="45"/>
  <c r="G11" i="45"/>
  <c r="G10" i="45"/>
  <c r="G9" i="45"/>
  <c r="S7" i="45"/>
  <c r="U7" i="45" s="1"/>
  <c r="O7" i="45"/>
  <c r="O6" i="45"/>
  <c r="K23" i="45"/>
  <c r="AC6" i="45"/>
  <c r="K27" i="45"/>
  <c r="K26" i="45"/>
  <c r="AE32" i="24"/>
  <c r="I6" i="40"/>
  <c r="E49" i="12" s="1"/>
  <c r="AS8" i="24"/>
  <c r="AQ13" i="24"/>
  <c r="R7" i="44"/>
  <c r="T7" i="44"/>
  <c r="R8" i="44"/>
  <c r="T8" i="44"/>
  <c r="R9" i="44"/>
  <c r="T9" i="44"/>
  <c r="R10" i="44"/>
  <c r="T10" i="44"/>
  <c r="R11" i="44"/>
  <c r="R6" i="44"/>
  <c r="S6" i="44"/>
  <c r="T6" i="44"/>
  <c r="Q7" i="44"/>
  <c r="Q8" i="44"/>
  <c r="Q9" i="44"/>
  <c r="Q10" i="44"/>
  <c r="Q11" i="44"/>
  <c r="K11" i="44"/>
  <c r="K24" i="44" s="1"/>
  <c r="R22" i="14"/>
  <c r="R23" i="14" s="1"/>
  <c r="S22" i="14" s="1"/>
  <c r="S25" i="14" s="1"/>
  <c r="T25" i="14" l="1"/>
  <c r="K37" i="12"/>
  <c r="J49" i="12"/>
  <c r="Y8" i="45"/>
  <c r="AE8" i="45" s="1"/>
  <c r="I8" i="45"/>
  <c r="AA8" i="45" s="1"/>
  <c r="AG8" i="45" s="1"/>
  <c r="I7" i="45"/>
  <c r="Y7" i="45"/>
  <c r="AE7" i="45" s="1"/>
  <c r="Y9" i="45"/>
  <c r="AE9" i="45" s="1"/>
  <c r="I9" i="45"/>
  <c r="AA9" i="45" s="1"/>
  <c r="AG9" i="45" s="1"/>
  <c r="Y10" i="45"/>
  <c r="AE10" i="45" s="1"/>
  <c r="I10" i="45"/>
  <c r="AA10" i="45" s="1"/>
  <c r="AG10" i="45" s="1"/>
  <c r="Y12" i="45"/>
  <c r="AE12" i="45" s="1"/>
  <c r="I12" i="45"/>
  <c r="AA12" i="45" s="1"/>
  <c r="AG12" i="45" s="1"/>
  <c r="Y11" i="45"/>
  <c r="AE11" i="45" s="1"/>
  <c r="I11" i="45"/>
  <c r="AA11" i="45" s="1"/>
  <c r="AG11" i="45" s="1"/>
  <c r="Y13" i="45"/>
  <c r="AE13" i="45" s="1"/>
  <c r="I13" i="45"/>
  <c r="AA13" i="45" s="1"/>
  <c r="AG13" i="45" s="1"/>
  <c r="I15" i="45" l="1"/>
  <c r="I16" i="45" s="1"/>
  <c r="AA7" i="45"/>
  <c r="AG7" i="45" l="1"/>
  <c r="X39" i="45"/>
  <c r="X41" i="45"/>
  <c r="Y41" i="45" s="1"/>
  <c r="X35" i="45"/>
  <c r="Y35" i="45" s="1"/>
  <c r="X30" i="45"/>
  <c r="Y30" i="45" s="1"/>
  <c r="X36" i="45"/>
  <c r="Y36" i="45" s="1"/>
  <c r="X26" i="45"/>
  <c r="Y26" i="45" s="1"/>
  <c r="X33" i="45"/>
  <c r="Y33" i="45" s="1"/>
  <c r="X37" i="45"/>
  <c r="Y37" i="45" s="1"/>
  <c r="X28" i="45"/>
  <c r="Y28" i="45" s="1"/>
  <c r="X27" i="45"/>
  <c r="Y27" i="45" s="1"/>
  <c r="X31" i="45"/>
  <c r="Y31" i="45" s="1"/>
  <c r="X29" i="45"/>
  <c r="Y29" i="45" s="1"/>
  <c r="X32" i="45"/>
  <c r="Y32" i="45" s="1"/>
  <c r="X38" i="45"/>
  <c r="Y38" i="45" s="1"/>
  <c r="X34" i="45"/>
  <c r="Y34" i="45" s="1"/>
  <c r="X40" i="45"/>
  <c r="Y40" i="45" s="1"/>
  <c r="E37" i="12"/>
  <c r="J37" i="12" l="1"/>
  <c r="AG6" i="45"/>
  <c r="AG15" i="45" s="1"/>
  <c r="AG16" i="45" s="1"/>
  <c r="Y39" i="45"/>
  <c r="C8" i="44" l="1"/>
  <c r="C9" i="44" s="1"/>
  <c r="C11" i="44" s="1"/>
  <c r="H11" i="44" s="1"/>
  <c r="AD100" i="12"/>
  <c r="AD101" i="12"/>
  <c r="AD102" i="12"/>
  <c r="F11" i="44"/>
  <c r="K10" i="44"/>
  <c r="K23" i="44" s="1"/>
  <c r="K9" i="44"/>
  <c r="K8" i="44"/>
  <c r="K7" i="44"/>
  <c r="K20" i="44" s="1"/>
  <c r="O6" i="44"/>
  <c r="K6" i="44" l="1"/>
  <c r="G11" i="44"/>
  <c r="I11" i="44" s="1"/>
  <c r="G7" i="44"/>
  <c r="G10" i="44"/>
  <c r="G9" i="44"/>
  <c r="G8" i="44"/>
  <c r="K21" i="44"/>
  <c r="K22" i="44"/>
  <c r="C69" i="12"/>
  <c r="E6" i="17"/>
  <c r="I6" i="17"/>
  <c r="E6" i="26"/>
  <c r="I12" i="26" s="1"/>
  <c r="I6" i="26"/>
  <c r="O8" i="24" l="1"/>
  <c r="AI8" i="24"/>
  <c r="W8" i="24"/>
  <c r="Q6" i="44"/>
  <c r="I7" i="44"/>
  <c r="I10" i="44"/>
  <c r="I8" i="44"/>
  <c r="I9" i="44"/>
  <c r="I13" i="44" l="1"/>
  <c r="I14" i="44" l="1"/>
  <c r="F75" i="12" s="1"/>
  <c r="E75" i="12"/>
  <c r="X14" i="24" l="1"/>
  <c r="AN14" i="24"/>
  <c r="AF14" i="24"/>
  <c r="F8" i="16" l="1"/>
  <c r="B36" i="25"/>
  <c r="B34" i="25"/>
  <c r="B32" i="25"/>
  <c r="B30" i="25"/>
  <c r="B28" i="25"/>
  <c r="B26" i="25"/>
  <c r="B24" i="25"/>
  <c r="B22" i="25"/>
  <c r="B20" i="25"/>
  <c r="B16" i="25"/>
  <c r="F9" i="16" l="1"/>
  <c r="C8" i="35"/>
  <c r="C8" i="34"/>
  <c r="F10" i="16" l="1"/>
  <c r="F11" i="16" l="1"/>
  <c r="B44" i="25" l="1"/>
  <c r="C97" i="12" l="1"/>
  <c r="C96" i="12"/>
  <c r="C95" i="12"/>
  <c r="C88" i="12"/>
  <c r="C89" i="12"/>
  <c r="C90" i="12"/>
  <c r="C91" i="12"/>
  <c r="C92" i="12"/>
  <c r="C93" i="12"/>
  <c r="C94" i="12"/>
  <c r="J6" i="42"/>
  <c r="J6" i="43"/>
  <c r="J6" i="28"/>
  <c r="J6" i="31"/>
  <c r="J6" i="9"/>
  <c r="J6" i="10"/>
  <c r="I6" i="23"/>
  <c r="I6" i="20"/>
  <c r="I6" i="11"/>
  <c r="I6" i="4"/>
  <c r="I6" i="22"/>
  <c r="I6" i="21"/>
  <c r="I6" i="5"/>
  <c r="I8" i="5" s="1"/>
  <c r="F58" i="12" s="1"/>
  <c r="J6" i="16"/>
  <c r="J6" i="15"/>
  <c r="J20" i="15" s="1"/>
  <c r="F57" i="12" s="1"/>
  <c r="J6" i="32"/>
  <c r="F29" i="12"/>
  <c r="P9" i="43"/>
  <c r="P10" i="43"/>
  <c r="P11" i="43"/>
  <c r="P12" i="43"/>
  <c r="P13" i="43"/>
  <c r="P14" i="43"/>
  <c r="P15" i="43"/>
  <c r="P16" i="43"/>
  <c r="P17" i="43"/>
  <c r="M9" i="43"/>
  <c r="M10" i="43"/>
  <c r="M11" i="43"/>
  <c r="M12" i="43"/>
  <c r="M13" i="43"/>
  <c r="M14" i="43"/>
  <c r="M15" i="43"/>
  <c r="M16" i="43"/>
  <c r="M17" i="43"/>
  <c r="L9" i="43"/>
  <c r="L10" i="43"/>
  <c r="L11" i="43"/>
  <c r="L12" i="43"/>
  <c r="L13" i="43"/>
  <c r="L14" i="43"/>
  <c r="L15" i="43"/>
  <c r="L16" i="43"/>
  <c r="L17" i="43"/>
  <c r="G9" i="43"/>
  <c r="N9" i="43" s="1"/>
  <c r="G10" i="43"/>
  <c r="N10" i="43" s="1"/>
  <c r="G11" i="43"/>
  <c r="N11" i="43" s="1"/>
  <c r="G12" i="43"/>
  <c r="N12" i="43" s="1"/>
  <c r="G13" i="43"/>
  <c r="N13" i="43" s="1"/>
  <c r="G14" i="43"/>
  <c r="N14" i="43" s="1"/>
  <c r="G15" i="43"/>
  <c r="N15" i="43" s="1"/>
  <c r="G16" i="43"/>
  <c r="N16" i="43" s="1"/>
  <c r="G17" i="43"/>
  <c r="N17" i="43" s="1"/>
  <c r="P8" i="43"/>
  <c r="M8" i="43"/>
  <c r="L8" i="43"/>
  <c r="G8" i="43"/>
  <c r="N8" i="43" s="1"/>
  <c r="P7" i="43"/>
  <c r="M7" i="43"/>
  <c r="L7" i="43"/>
  <c r="N7" i="43"/>
  <c r="P6" i="43"/>
  <c r="O6" i="43"/>
  <c r="N6" i="43"/>
  <c r="M6" i="43"/>
  <c r="E6" i="43"/>
  <c r="F26" i="12"/>
  <c r="P7" i="42"/>
  <c r="P8" i="42"/>
  <c r="P9" i="42"/>
  <c r="P6" i="42"/>
  <c r="O6" i="42"/>
  <c r="N6" i="42"/>
  <c r="M7" i="42"/>
  <c r="M8" i="42"/>
  <c r="M9" i="42"/>
  <c r="M6" i="42"/>
  <c r="L7" i="42"/>
  <c r="L8" i="42"/>
  <c r="L9" i="42"/>
  <c r="N7" i="42"/>
  <c r="G8" i="42"/>
  <c r="N8" i="42" s="1"/>
  <c r="G9" i="42"/>
  <c r="N9" i="42" s="1"/>
  <c r="E6" i="42"/>
  <c r="L6" i="42" s="1"/>
  <c r="F30" i="12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6" i="28"/>
  <c r="O6" i="28"/>
  <c r="N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F9" i="12"/>
  <c r="C8" i="31"/>
  <c r="C7" i="16"/>
  <c r="L6" i="43" l="1"/>
  <c r="J21" i="43"/>
  <c r="J22" i="43" s="1"/>
  <c r="H201" i="25"/>
  <c r="H202" i="25" s="1"/>
  <c r="H203" i="25" s="1"/>
  <c r="H204" i="25" s="1"/>
  <c r="H205" i="25" s="1"/>
  <c r="H206" i="25" s="1"/>
  <c r="H207" i="25" s="1"/>
  <c r="H208" i="25" s="1"/>
  <c r="H209" i="25" s="1"/>
  <c r="H210" i="25" s="1"/>
  <c r="H211" i="25" s="1"/>
  <c r="H212" i="25" s="1"/>
  <c r="H213" i="25" s="1"/>
  <c r="H214" i="25" s="1"/>
  <c r="H215" i="25" s="1"/>
  <c r="H216" i="25" s="1"/>
  <c r="H217" i="25" s="1"/>
  <c r="H218" i="25" s="1"/>
  <c r="H219" i="25" s="1"/>
  <c r="H220" i="25" s="1"/>
  <c r="H221" i="25" s="1"/>
  <c r="H222" i="25" s="1"/>
  <c r="H223" i="25" s="1"/>
  <c r="H224" i="25" s="1"/>
  <c r="H225" i="25" s="1"/>
  <c r="H226" i="25" s="1"/>
  <c r="H227" i="25" s="1"/>
  <c r="H228" i="25" s="1"/>
  <c r="H229" i="25" s="1"/>
  <c r="H230" i="25" s="1"/>
  <c r="H231" i="25" s="1"/>
  <c r="H232" i="25" s="1"/>
  <c r="H233" i="25" s="1"/>
  <c r="H234" i="25" s="1"/>
  <c r="H235" i="25" s="1"/>
  <c r="H236" i="25" s="1"/>
  <c r="H237" i="25" s="1"/>
  <c r="H238" i="25" s="1"/>
  <c r="H239" i="25" s="1"/>
  <c r="H240" i="25" s="1"/>
  <c r="H241" i="25" s="1"/>
  <c r="H242" i="25" s="1"/>
  <c r="H243" i="25" s="1"/>
  <c r="H244" i="25" s="1"/>
  <c r="H245" i="25" s="1"/>
  <c r="H246" i="25" s="1"/>
  <c r="H247" i="25" s="1"/>
  <c r="H248" i="25" s="1"/>
  <c r="H249" i="25" s="1"/>
  <c r="H250" i="25" s="1"/>
  <c r="H251" i="25" s="1"/>
  <c r="H252" i="25" s="1"/>
  <c r="H253" i="25" s="1"/>
  <c r="H254" i="25" s="1"/>
  <c r="H255" i="25" s="1"/>
  <c r="H256" i="25" s="1"/>
  <c r="H257" i="25" s="1"/>
  <c r="H258" i="25" s="1"/>
  <c r="N23" i="45" s="1"/>
  <c r="O23" i="45" s="1"/>
  <c r="M8" i="45" s="1"/>
  <c r="S8" i="45" s="1"/>
  <c r="U8" i="45" s="1"/>
  <c r="U17" i="45" s="1"/>
  <c r="M17" i="4"/>
  <c r="U6" i="5"/>
  <c r="U9" i="5" s="1"/>
  <c r="AT13" i="24" s="1"/>
  <c r="AE11" i="24"/>
  <c r="AM11" i="24"/>
  <c r="M20" i="44" l="1"/>
  <c r="N20" i="44" s="1"/>
  <c r="O20" i="44" s="1"/>
  <c r="M7" i="44" s="1"/>
  <c r="S7" i="44" s="1"/>
  <c r="O8" i="45"/>
  <c r="G7" i="14"/>
  <c r="K7" i="14" s="1"/>
  <c r="L7" i="14" s="1"/>
  <c r="M7" i="14" s="1"/>
  <c r="F37" i="12" s="1"/>
  <c r="H259" i="25"/>
  <c r="H260" i="25" s="1"/>
  <c r="H261" i="25" s="1"/>
  <c r="H262" i="25" s="1"/>
  <c r="H263" i="25" s="1"/>
  <c r="H264" i="25" s="1"/>
  <c r="H265" i="25" s="1"/>
  <c r="H266" i="25" s="1"/>
  <c r="H267" i="25" s="1"/>
  <c r="H268" i="25" s="1"/>
  <c r="H269" i="25" s="1"/>
  <c r="H270" i="25" s="1"/>
  <c r="H271" i="25" s="1"/>
  <c r="H272" i="25" s="1"/>
  <c r="H273" i="25" s="1"/>
  <c r="H274" i="25" s="1"/>
  <c r="H275" i="25" s="1"/>
  <c r="H276" i="25" s="1"/>
  <c r="H277" i="25" s="1"/>
  <c r="H278" i="25" s="1"/>
  <c r="H279" i="25" s="1"/>
  <c r="H280" i="25" s="1"/>
  <c r="H281" i="25" s="1"/>
  <c r="H282" i="25" s="1"/>
  <c r="H283" i="25" s="1"/>
  <c r="H284" i="25" s="1"/>
  <c r="H285" i="25" s="1"/>
  <c r="H286" i="25" s="1"/>
  <c r="H287" i="25" s="1"/>
  <c r="H288" i="25" s="1"/>
  <c r="H289" i="25" s="1"/>
  <c r="H290" i="25" s="1"/>
  <c r="H291" i="25" s="1"/>
  <c r="H292" i="25" s="1"/>
  <c r="H293" i="25" s="1"/>
  <c r="H294" i="25" s="1"/>
  <c r="H295" i="25" s="1"/>
  <c r="H296" i="25" s="1"/>
  <c r="H297" i="25" s="1"/>
  <c r="H298" i="25" s="1"/>
  <c r="H299" i="25" s="1"/>
  <c r="H300" i="25" s="1"/>
  <c r="H301" i="25" s="1"/>
  <c r="H302" i="25" s="1"/>
  <c r="H303" i="25" s="1"/>
  <c r="H304" i="25" s="1"/>
  <c r="H305" i="25" s="1"/>
  <c r="H306" i="25" s="1"/>
  <c r="H307" i="25" s="1"/>
  <c r="H308" i="25" s="1"/>
  <c r="H309" i="25" s="1"/>
  <c r="H310" i="25" s="1"/>
  <c r="H311" i="25" s="1"/>
  <c r="H312" i="25" s="1"/>
  <c r="H313" i="25" s="1"/>
  <c r="H314" i="25" s="1"/>
  <c r="H315" i="25" s="1"/>
  <c r="H316" i="25" s="1"/>
  <c r="H317" i="25" s="1"/>
  <c r="H318" i="25" s="1"/>
  <c r="H319" i="25" s="1"/>
  <c r="H320" i="25" s="1"/>
  <c r="H321" i="25" l="1"/>
  <c r="H322" i="25" s="1"/>
  <c r="H323" i="25" s="1"/>
  <c r="H324" i="25" s="1"/>
  <c r="H325" i="25" s="1"/>
  <c r="H326" i="25" s="1"/>
  <c r="H327" i="25" s="1"/>
  <c r="H328" i="25" s="1"/>
  <c r="H329" i="25" s="1"/>
  <c r="H330" i="25" s="1"/>
  <c r="H331" i="25" s="1"/>
  <c r="H332" i="25" s="1"/>
  <c r="H333" i="25" s="1"/>
  <c r="H334" i="25" s="1"/>
  <c r="H335" i="25" s="1"/>
  <c r="H336" i="25" s="1"/>
  <c r="H337" i="25" s="1"/>
  <c r="H338" i="25" s="1"/>
  <c r="H339" i="25" s="1"/>
  <c r="H340" i="25" s="1"/>
  <c r="H341" i="25" s="1"/>
  <c r="H342" i="25" s="1"/>
  <c r="H343" i="25" s="1"/>
  <c r="H344" i="25" s="1"/>
  <c r="H345" i="25" s="1"/>
  <c r="H346" i="25" s="1"/>
  <c r="H347" i="25" s="1"/>
  <c r="H348" i="25" s="1"/>
  <c r="H349" i="25" s="1"/>
  <c r="H350" i="25" s="1"/>
  <c r="H351" i="25" s="1"/>
  <c r="H352" i="25" s="1"/>
  <c r="H353" i="25" s="1"/>
  <c r="H354" i="25" s="1"/>
  <c r="O7" i="44"/>
  <c r="U7" i="44" s="1"/>
  <c r="H355" i="25" l="1"/>
  <c r="H356" i="25" s="1"/>
  <c r="H357" i="25" s="1"/>
  <c r="H358" i="25" s="1"/>
  <c r="H359" i="25" s="1"/>
  <c r="H360" i="25" s="1"/>
  <c r="H361" i="25" s="1"/>
  <c r="H362" i="25" s="1"/>
  <c r="H363" i="25" s="1"/>
  <c r="H364" i="25" s="1"/>
  <c r="H365" i="25" s="1"/>
  <c r="H366" i="25" s="1"/>
  <c r="H367" i="25" s="1"/>
  <c r="H368" i="25" s="1"/>
  <c r="H369" i="25" s="1"/>
  <c r="K5" i="25" s="1"/>
  <c r="K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M21" i="44" s="1"/>
  <c r="G12" i="14"/>
  <c r="K12" i="14" s="1"/>
  <c r="L12" i="14" s="1"/>
  <c r="M12" i="14" s="1"/>
  <c r="C5" i="40"/>
  <c r="C15" i="40"/>
  <c r="C16" i="40" s="1"/>
  <c r="C17" i="40" s="1"/>
  <c r="C18" i="40" s="1"/>
  <c r="C19" i="40" s="1"/>
  <c r="K36" i="25" l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O12" i="14"/>
  <c r="N12" i="14"/>
  <c r="C6" i="40"/>
  <c r="C7" i="40" s="1"/>
  <c r="C8" i="40" s="1"/>
  <c r="C9" i="40" s="1"/>
  <c r="C10" i="40" s="1"/>
  <c r="C11" i="40" s="1"/>
  <c r="C12" i="40" s="1"/>
  <c r="C13" i="40" s="1"/>
  <c r="C20" i="40"/>
  <c r="C21" i="40" s="1"/>
  <c r="C22" i="40" s="1"/>
  <c r="C23" i="40" s="1"/>
  <c r="C24" i="40" s="1"/>
  <c r="C25" i="40" s="1"/>
  <c r="C26" i="40" s="1"/>
  <c r="C27" i="40" s="1"/>
  <c r="C28" i="40" s="1"/>
  <c r="C29" i="40" s="1"/>
  <c r="C30" i="40" s="1"/>
  <c r="C31" i="40" s="1"/>
  <c r="C32" i="40" s="1"/>
  <c r="C33" i="40" s="1"/>
  <c r="C34" i="40" s="1"/>
  <c r="C35" i="40" s="1"/>
  <c r="C36" i="40" s="1"/>
  <c r="C37" i="40" s="1"/>
  <c r="C38" i="40" s="1"/>
  <c r="C39" i="40" s="1"/>
  <c r="C40" i="40" s="1"/>
  <c r="C41" i="40" s="1"/>
  <c r="C42" i="40" s="1"/>
  <c r="C43" i="40" s="1"/>
  <c r="C44" i="40" s="1"/>
  <c r="C45" i="40" s="1"/>
  <c r="C46" i="40" s="1"/>
  <c r="C47" i="40" s="1"/>
  <c r="C48" i="40" s="1"/>
  <c r="C49" i="40" s="1"/>
  <c r="G8" i="14" l="1"/>
  <c r="K8" i="14" s="1"/>
  <c r="L8" i="14" s="1"/>
  <c r="M8" i="14" s="1"/>
  <c r="F38" i="12" s="1"/>
  <c r="C50" i="40"/>
  <c r="C51" i="40" s="1"/>
  <c r="C52" i="40" l="1"/>
  <c r="C53" i="40" s="1"/>
  <c r="C54" i="40" s="1"/>
  <c r="C55" i="40" s="1"/>
  <c r="C56" i="40" s="1"/>
  <c r="C57" i="40" s="1"/>
  <c r="C58" i="40" s="1"/>
  <c r="C59" i="40" s="1"/>
  <c r="C60" i="40" s="1"/>
  <c r="C61" i="40" s="1"/>
  <c r="C62" i="40" l="1"/>
  <c r="C63" i="40" s="1"/>
  <c r="C64" i="40" s="1"/>
  <c r="C65" i="40" s="1"/>
  <c r="C66" i="40" s="1"/>
  <c r="C67" i="40" s="1"/>
  <c r="C68" i="40" s="1"/>
  <c r="C69" i="40" s="1"/>
  <c r="C70" i="40" s="1"/>
  <c r="C71" i="40" s="1"/>
  <c r="C72" i="40" s="1"/>
  <c r="C73" i="40" s="1"/>
  <c r="C74" i="40" s="1"/>
  <c r="C75" i="40" s="1"/>
  <c r="C76" i="40" s="1"/>
  <c r="C77" i="40" s="1"/>
  <c r="C78" i="40" s="1"/>
  <c r="C79" i="40" s="1"/>
  <c r="C80" i="40" s="1"/>
  <c r="C81" i="40" s="1"/>
  <c r="AF20" i="24"/>
  <c r="AF21" i="24"/>
  <c r="AF19" i="24"/>
  <c r="C82" i="40" l="1"/>
  <c r="AE18" i="24"/>
  <c r="AM18" i="24"/>
  <c r="AE16" i="24"/>
  <c r="AM16" i="24"/>
  <c r="AN25" i="24" s="1"/>
  <c r="V23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C83" i="40" l="1"/>
  <c r="C84" i="40" l="1"/>
  <c r="J6" i="35"/>
  <c r="J6" i="34"/>
  <c r="C85" i="40" l="1"/>
  <c r="E6" i="11"/>
  <c r="E9" i="11" s="1"/>
  <c r="C86" i="40" l="1"/>
  <c r="P7" i="31"/>
  <c r="L7" i="31"/>
  <c r="N7" i="31"/>
  <c r="E6" i="31"/>
  <c r="G33" i="28"/>
  <c r="N33" i="28" s="1"/>
  <c r="G32" i="28"/>
  <c r="N32" i="28" s="1"/>
  <c r="G31" i="28"/>
  <c r="N31" i="28" s="1"/>
  <c r="G30" i="28"/>
  <c r="N30" i="28" s="1"/>
  <c r="G29" i="28"/>
  <c r="N29" i="28" s="1"/>
  <c r="G28" i="28"/>
  <c r="N28" i="28" s="1"/>
  <c r="G27" i="28"/>
  <c r="N27" i="28" s="1"/>
  <c r="G26" i="28"/>
  <c r="N26" i="28" s="1"/>
  <c r="G25" i="28"/>
  <c r="N25" i="28" s="1"/>
  <c r="G24" i="28"/>
  <c r="N24" i="28" s="1"/>
  <c r="G23" i="28"/>
  <c r="N23" i="28" s="1"/>
  <c r="G22" i="28"/>
  <c r="N22" i="28" s="1"/>
  <c r="G21" i="28"/>
  <c r="N21" i="28" s="1"/>
  <c r="G20" i="28"/>
  <c r="N20" i="28" s="1"/>
  <c r="G19" i="28"/>
  <c r="N19" i="28" s="1"/>
  <c r="G18" i="28"/>
  <c r="N18" i="28" s="1"/>
  <c r="G17" i="28"/>
  <c r="N17" i="28" s="1"/>
  <c r="G16" i="28"/>
  <c r="N16" i="28" s="1"/>
  <c r="G15" i="28"/>
  <c r="N15" i="28" s="1"/>
  <c r="G14" i="28"/>
  <c r="N14" i="28" s="1"/>
  <c r="G13" i="28"/>
  <c r="N13" i="28" s="1"/>
  <c r="G12" i="28"/>
  <c r="N12" i="28" s="1"/>
  <c r="G11" i="28"/>
  <c r="N11" i="28" s="1"/>
  <c r="G10" i="28"/>
  <c r="N10" i="28" s="1"/>
  <c r="G9" i="28"/>
  <c r="N9" i="28" s="1"/>
  <c r="G8" i="28"/>
  <c r="N8" i="28" s="1"/>
  <c r="N7" i="28"/>
  <c r="E6" i="28"/>
  <c r="C8" i="30"/>
  <c r="C9" i="30" s="1"/>
  <c r="C11" i="30" s="1"/>
  <c r="G7" i="30" s="1"/>
  <c r="I6" i="30"/>
  <c r="E6" i="30"/>
  <c r="P10" i="10"/>
  <c r="I10" i="10"/>
  <c r="G10" i="10"/>
  <c r="N10" i="10" s="1"/>
  <c r="G9" i="10"/>
  <c r="N9" i="10" s="1"/>
  <c r="G8" i="10"/>
  <c r="N8" i="10" s="1"/>
  <c r="N7" i="10"/>
  <c r="E6" i="10"/>
  <c r="X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E6" i="9"/>
  <c r="S6" i="9" s="1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C9" i="35"/>
  <c r="C11" i="35" s="1"/>
  <c r="F7" i="35"/>
  <c r="E6" i="35"/>
  <c r="L21" i="35" s="1"/>
  <c r="F17" i="34"/>
  <c r="F16" i="34"/>
  <c r="F15" i="34"/>
  <c r="F14" i="34"/>
  <c r="F13" i="34"/>
  <c r="F12" i="34"/>
  <c r="F11" i="34"/>
  <c r="F10" i="34"/>
  <c r="F9" i="34"/>
  <c r="F8" i="34"/>
  <c r="C9" i="34"/>
  <c r="C11" i="34" s="1"/>
  <c r="F7" i="34"/>
  <c r="E6" i="34"/>
  <c r="X12" i="23"/>
  <c r="AD12" i="23" s="1"/>
  <c r="W12" i="23"/>
  <c r="AC12" i="23" s="1"/>
  <c r="K12" i="23"/>
  <c r="Q12" i="23" s="1"/>
  <c r="X11" i="23"/>
  <c r="AD11" i="23" s="1"/>
  <c r="W11" i="23"/>
  <c r="AC11" i="23" s="1"/>
  <c r="K11" i="23"/>
  <c r="Q11" i="23" s="1"/>
  <c r="X10" i="23"/>
  <c r="AD10" i="23" s="1"/>
  <c r="W10" i="23"/>
  <c r="AC10" i="23" s="1"/>
  <c r="K10" i="23"/>
  <c r="K26" i="23" s="1"/>
  <c r="X9" i="23"/>
  <c r="AD9" i="23" s="1"/>
  <c r="W9" i="23"/>
  <c r="AC9" i="23" s="1"/>
  <c r="K9" i="23"/>
  <c r="K25" i="23" s="1"/>
  <c r="X8" i="23"/>
  <c r="AD8" i="23" s="1"/>
  <c r="W8" i="23"/>
  <c r="AC8" i="23" s="1"/>
  <c r="K8" i="23"/>
  <c r="Q8" i="23" s="1"/>
  <c r="X7" i="23"/>
  <c r="AD7" i="23" s="1"/>
  <c r="W7" i="23"/>
  <c r="AC7" i="23" s="1"/>
  <c r="K7" i="23"/>
  <c r="Q7" i="23" s="1"/>
  <c r="K22" i="23"/>
  <c r="C8" i="23"/>
  <c r="C9" i="23" s="1"/>
  <c r="C11" i="23" s="1"/>
  <c r="X6" i="23"/>
  <c r="AD6" i="23" s="1"/>
  <c r="E6" i="23"/>
  <c r="M20" i="17"/>
  <c r="N20" i="17" s="1"/>
  <c r="O20" i="17" s="1"/>
  <c r="X10" i="17"/>
  <c r="AD10" i="17" s="1"/>
  <c r="W10" i="17"/>
  <c r="AC10" i="17" s="1"/>
  <c r="K10" i="17"/>
  <c r="K25" i="17" s="1"/>
  <c r="X9" i="17"/>
  <c r="AD9" i="17" s="1"/>
  <c r="W9" i="17"/>
  <c r="AC9" i="17" s="1"/>
  <c r="K9" i="17"/>
  <c r="K24" i="17" s="1"/>
  <c r="X8" i="17"/>
  <c r="AD8" i="17" s="1"/>
  <c r="W8" i="17"/>
  <c r="AC8" i="17" s="1"/>
  <c r="K8" i="17"/>
  <c r="Q8" i="17" s="1"/>
  <c r="X7" i="17"/>
  <c r="AD7" i="17" s="1"/>
  <c r="W7" i="17"/>
  <c r="AC7" i="17" s="1"/>
  <c r="K7" i="17"/>
  <c r="K22" i="17" s="1"/>
  <c r="C8" i="17"/>
  <c r="C9" i="17" s="1"/>
  <c r="C11" i="17" s="1"/>
  <c r="K20" i="17"/>
  <c r="X6" i="17"/>
  <c r="AD6" i="17" s="1"/>
  <c r="W6" i="17"/>
  <c r="AC6" i="17" s="1"/>
  <c r="X10" i="20"/>
  <c r="AD10" i="20" s="1"/>
  <c r="W10" i="20"/>
  <c r="AC10" i="20" s="1"/>
  <c r="L10" i="20"/>
  <c r="R10" i="20" s="1"/>
  <c r="K10" i="20"/>
  <c r="Q10" i="20" s="1"/>
  <c r="X9" i="20"/>
  <c r="AD9" i="20" s="1"/>
  <c r="W9" i="20"/>
  <c r="AC9" i="20" s="1"/>
  <c r="L9" i="20"/>
  <c r="R9" i="20" s="1"/>
  <c r="K9" i="20"/>
  <c r="K21" i="20" s="1"/>
  <c r="X8" i="20"/>
  <c r="AD8" i="20" s="1"/>
  <c r="W8" i="20"/>
  <c r="AC8" i="20" s="1"/>
  <c r="L8" i="20"/>
  <c r="R8" i="20" s="1"/>
  <c r="K8" i="20"/>
  <c r="K20" i="20" s="1"/>
  <c r="X7" i="20"/>
  <c r="AD7" i="20" s="1"/>
  <c r="W7" i="20"/>
  <c r="AC7" i="20" s="1"/>
  <c r="L7" i="20"/>
  <c r="R7" i="20" s="1"/>
  <c r="K7" i="20"/>
  <c r="K19" i="20" s="1"/>
  <c r="C8" i="20"/>
  <c r="C9" i="20" s="1"/>
  <c r="C11" i="20" s="1"/>
  <c r="G7" i="20" s="1"/>
  <c r="X6" i="20"/>
  <c r="AD6" i="20" s="1"/>
  <c r="L6" i="20"/>
  <c r="R6" i="20" s="1"/>
  <c r="E6" i="20"/>
  <c r="N18" i="26"/>
  <c r="O18" i="26" s="1"/>
  <c r="P18" i="26" s="1"/>
  <c r="Y9" i="26"/>
  <c r="AE9" i="26" s="1"/>
  <c r="X9" i="26"/>
  <c r="AD9" i="26" s="1"/>
  <c r="L9" i="26"/>
  <c r="R9" i="26" s="1"/>
  <c r="Y8" i="26"/>
  <c r="AE8" i="26" s="1"/>
  <c r="X8" i="26"/>
  <c r="AD8" i="26" s="1"/>
  <c r="L8" i="26"/>
  <c r="L21" i="26" s="1"/>
  <c r="Y7" i="26"/>
  <c r="AE7" i="26" s="1"/>
  <c r="X7" i="26"/>
  <c r="AD7" i="26" s="1"/>
  <c r="L7" i="26"/>
  <c r="L20" i="26" s="1"/>
  <c r="L19" i="26"/>
  <c r="C8" i="26"/>
  <c r="C9" i="26" s="1"/>
  <c r="C11" i="26" s="1"/>
  <c r="Y6" i="26"/>
  <c r="AE6" i="26" s="1"/>
  <c r="C6" i="26"/>
  <c r="X8" i="13"/>
  <c r="AD8" i="13" s="1"/>
  <c r="W8" i="13"/>
  <c r="AC8" i="13" s="1"/>
  <c r="K8" i="13"/>
  <c r="Q8" i="13" s="1"/>
  <c r="X7" i="13"/>
  <c r="AD7" i="13" s="1"/>
  <c r="W7" i="13"/>
  <c r="AC7" i="13" s="1"/>
  <c r="K7" i="13"/>
  <c r="K18" i="13" s="1"/>
  <c r="C8" i="13"/>
  <c r="C9" i="13" s="1"/>
  <c r="C11" i="13" s="1"/>
  <c r="X6" i="13"/>
  <c r="AD6" i="13" s="1"/>
  <c r="Q6" i="13"/>
  <c r="I10" i="11"/>
  <c r="F70" i="12" s="1"/>
  <c r="AA75" i="12" s="1"/>
  <c r="X7" i="11"/>
  <c r="AD7" i="11" s="1"/>
  <c r="W7" i="11"/>
  <c r="AC7" i="11" s="1"/>
  <c r="R7" i="11"/>
  <c r="C8" i="11"/>
  <c r="C9" i="11" s="1"/>
  <c r="C11" i="11" s="1"/>
  <c r="X6" i="11"/>
  <c r="AD6" i="11" s="1"/>
  <c r="W6" i="11"/>
  <c r="AC6" i="11" s="1"/>
  <c r="R6" i="11"/>
  <c r="K6" i="11"/>
  <c r="Q6" i="11" s="1"/>
  <c r="O6" i="11"/>
  <c r="W7" i="4"/>
  <c r="R7" i="4"/>
  <c r="K7" i="4"/>
  <c r="Q7" i="4" s="1"/>
  <c r="C8" i="4"/>
  <c r="C9" i="4" s="1"/>
  <c r="C11" i="4" s="1"/>
  <c r="G7" i="4" s="1"/>
  <c r="R6" i="4"/>
  <c r="E6" i="4"/>
  <c r="E9" i="4" s="1"/>
  <c r="Q11" i="16"/>
  <c r="G11" i="16"/>
  <c r="G10" i="16"/>
  <c r="G9" i="16"/>
  <c r="G8" i="16"/>
  <c r="N6" i="16"/>
  <c r="E6" i="16"/>
  <c r="M6" i="16" s="1"/>
  <c r="M7" i="15"/>
  <c r="L7" i="15"/>
  <c r="N7" i="15"/>
  <c r="N6" i="15"/>
  <c r="M6" i="15"/>
  <c r="E6" i="15"/>
  <c r="S17" i="22"/>
  <c r="U17" i="22" s="1"/>
  <c r="N17" i="22"/>
  <c r="K17" i="22"/>
  <c r="G17" i="22"/>
  <c r="I17" i="22" s="1"/>
  <c r="S16" i="22"/>
  <c r="U16" i="22" s="1"/>
  <c r="K16" i="22"/>
  <c r="G16" i="22"/>
  <c r="M16" i="22" s="1"/>
  <c r="O16" i="22" s="1"/>
  <c r="S15" i="22"/>
  <c r="U15" i="22" s="1"/>
  <c r="K15" i="22"/>
  <c r="G15" i="22"/>
  <c r="M15" i="22" s="1"/>
  <c r="O15" i="22" s="1"/>
  <c r="S14" i="22"/>
  <c r="U14" i="22" s="1"/>
  <c r="K14" i="22"/>
  <c r="G14" i="22"/>
  <c r="S13" i="22"/>
  <c r="U13" i="22" s="1"/>
  <c r="K13" i="22"/>
  <c r="G13" i="22"/>
  <c r="I13" i="22" s="1"/>
  <c r="S12" i="22"/>
  <c r="U12" i="22" s="1"/>
  <c r="R12" i="22"/>
  <c r="R13" i="22" s="1"/>
  <c r="R14" i="22" s="1"/>
  <c r="R15" i="22" s="1"/>
  <c r="R16" i="22" s="1"/>
  <c r="R17" i="22" s="1"/>
  <c r="K12" i="22"/>
  <c r="G12" i="22"/>
  <c r="F12" i="22"/>
  <c r="L12" i="22" s="1"/>
  <c r="S11" i="22"/>
  <c r="U11" i="22" s="1"/>
  <c r="L11" i="22"/>
  <c r="K11" i="22"/>
  <c r="G11" i="22"/>
  <c r="M11" i="22" s="1"/>
  <c r="O11" i="22" s="1"/>
  <c r="S10" i="22"/>
  <c r="U10" i="22" s="1"/>
  <c r="L10" i="22"/>
  <c r="K10" i="22"/>
  <c r="G10" i="22"/>
  <c r="M10" i="22" s="1"/>
  <c r="O10" i="22" s="1"/>
  <c r="S9" i="22"/>
  <c r="U9" i="22" s="1"/>
  <c r="L9" i="22"/>
  <c r="K9" i="22"/>
  <c r="G9" i="22"/>
  <c r="M9" i="22" s="1"/>
  <c r="O9" i="22" s="1"/>
  <c r="S8" i="22"/>
  <c r="U8" i="22" s="1"/>
  <c r="L8" i="22"/>
  <c r="K8" i="22"/>
  <c r="G8" i="22"/>
  <c r="M8" i="22" s="1"/>
  <c r="O8" i="22" s="1"/>
  <c r="S7" i="22"/>
  <c r="U7" i="22" s="1"/>
  <c r="L7" i="22"/>
  <c r="K7" i="22"/>
  <c r="G7" i="22"/>
  <c r="M7" i="22" s="1"/>
  <c r="O7" i="22" s="1"/>
  <c r="L6" i="22"/>
  <c r="E6" i="22"/>
  <c r="N11" i="21"/>
  <c r="L11" i="21"/>
  <c r="K11" i="21"/>
  <c r="G11" i="21"/>
  <c r="I11" i="21" s="1"/>
  <c r="L10" i="21"/>
  <c r="K10" i="21"/>
  <c r="G10" i="21"/>
  <c r="L9" i="21"/>
  <c r="K9" i="21"/>
  <c r="G9" i="21"/>
  <c r="I9" i="21" s="1"/>
  <c r="L8" i="21"/>
  <c r="K8" i="21"/>
  <c r="G8" i="21"/>
  <c r="I8" i="21" s="1"/>
  <c r="L7" i="21"/>
  <c r="K7" i="21"/>
  <c r="G7" i="21"/>
  <c r="I7" i="21" s="1"/>
  <c r="L6" i="21"/>
  <c r="E6" i="21"/>
  <c r="K6" i="21" s="1"/>
  <c r="H7" i="5"/>
  <c r="E6" i="5"/>
  <c r="M9" i="32"/>
  <c r="L9" i="32"/>
  <c r="G9" i="32"/>
  <c r="N9" i="32" s="1"/>
  <c r="M8" i="32"/>
  <c r="L8" i="32"/>
  <c r="G8" i="32"/>
  <c r="N8" i="32" s="1"/>
  <c r="M7" i="32"/>
  <c r="L7" i="32"/>
  <c r="N7" i="32"/>
  <c r="N6" i="32"/>
  <c r="M6" i="32"/>
  <c r="E6" i="32"/>
  <c r="AE17" i="24"/>
  <c r="AE10" i="24"/>
  <c r="AA72" i="12"/>
  <c r="F22" i="12"/>
  <c r="G76" i="12" s="1"/>
  <c r="F20" i="12"/>
  <c r="G74" i="12" s="1"/>
  <c r="Y82" i="12"/>
  <c r="F19" i="12"/>
  <c r="Y83" i="12"/>
  <c r="F18" i="12"/>
  <c r="G73" i="12" s="1"/>
  <c r="Y81" i="12"/>
  <c r="D97" i="12"/>
  <c r="H97" i="12"/>
  <c r="F17" i="12"/>
  <c r="Y80" i="12"/>
  <c r="D96" i="12"/>
  <c r="H96" i="12"/>
  <c r="F16" i="12"/>
  <c r="G72" i="12" s="1"/>
  <c r="D95" i="12"/>
  <c r="H95" i="12"/>
  <c r="F15" i="12"/>
  <c r="G71" i="12" s="1"/>
  <c r="Y79" i="12"/>
  <c r="F14" i="12"/>
  <c r="Y76" i="12"/>
  <c r="F11" i="12"/>
  <c r="G70" i="12" s="1"/>
  <c r="Y75" i="12"/>
  <c r="F10" i="12"/>
  <c r="Y74" i="12"/>
  <c r="F13" i="12"/>
  <c r="Y72" i="12"/>
  <c r="Y73" i="12"/>
  <c r="T14" i="33"/>
  <c r="P14" i="33"/>
  <c r="R14" i="33"/>
  <c r="T13" i="33"/>
  <c r="P13" i="33"/>
  <c r="R13" i="33"/>
  <c r="T12" i="33"/>
  <c r="P12" i="33"/>
  <c r="R12" i="33"/>
  <c r="T11" i="33"/>
  <c r="P11" i="33"/>
  <c r="R11" i="33"/>
  <c r="T10" i="33"/>
  <c r="P10" i="33"/>
  <c r="R10" i="33"/>
  <c r="T9" i="33"/>
  <c r="P9" i="33"/>
  <c r="R9" i="33"/>
  <c r="T8" i="33"/>
  <c r="P8" i="33"/>
  <c r="R8" i="33"/>
  <c r="T7" i="33"/>
  <c r="P7" i="33"/>
  <c r="R7" i="33"/>
  <c r="C7" i="33"/>
  <c r="Q6" i="33"/>
  <c r="E6" i="33"/>
  <c r="I10" i="37"/>
  <c r="G10" i="37"/>
  <c r="I9" i="37"/>
  <c r="G9" i="37"/>
  <c r="I8" i="37"/>
  <c r="G8" i="37"/>
  <c r="I7" i="37"/>
  <c r="C7" i="37"/>
  <c r="E6" i="37"/>
  <c r="L10" i="37" l="1"/>
  <c r="P10" i="37" s="1"/>
  <c r="E22" i="37"/>
  <c r="H9" i="33"/>
  <c r="H10" i="33"/>
  <c r="H11" i="33"/>
  <c r="H12" i="33"/>
  <c r="H14" i="33"/>
  <c r="H8" i="33"/>
  <c r="H13" i="33"/>
  <c r="H7" i="33"/>
  <c r="L8" i="37"/>
  <c r="P8" i="37" s="1"/>
  <c r="L7" i="37"/>
  <c r="P7" i="37" s="1"/>
  <c r="L9" i="37"/>
  <c r="P9" i="37" s="1"/>
  <c r="J21" i="15"/>
  <c r="H57" i="12" s="1"/>
  <c r="G57" i="12" s="1"/>
  <c r="E57" i="12"/>
  <c r="L6" i="10"/>
  <c r="J12" i="10"/>
  <c r="E40" i="12"/>
  <c r="J40" i="12" s="1"/>
  <c r="I11" i="14"/>
  <c r="L14" i="34"/>
  <c r="G77" i="12"/>
  <c r="I7" i="14"/>
  <c r="O7" i="14" s="1"/>
  <c r="I37" i="12" s="1"/>
  <c r="I9" i="14"/>
  <c r="E39" i="12" s="1"/>
  <c r="J39" i="12" s="1"/>
  <c r="I8" i="14"/>
  <c r="C87" i="40"/>
  <c r="Q6" i="5"/>
  <c r="Q8" i="5" s="1"/>
  <c r="U10" i="5" s="1"/>
  <c r="H58" i="12" s="1"/>
  <c r="G58" i="12" s="1"/>
  <c r="E8" i="5"/>
  <c r="E58" i="12" s="1"/>
  <c r="K6" i="5"/>
  <c r="H13" i="5" s="1"/>
  <c r="I13" i="5" s="1"/>
  <c r="AM19" i="24"/>
  <c r="AE21" i="24"/>
  <c r="AM21" i="24"/>
  <c r="AE20" i="24"/>
  <c r="AM20" i="24"/>
  <c r="AE13" i="24"/>
  <c r="AM13" i="24"/>
  <c r="AE12" i="24"/>
  <c r="AM12" i="24"/>
  <c r="AE15" i="24"/>
  <c r="AM15" i="24"/>
  <c r="K6" i="20"/>
  <c r="Q6" i="20" s="1"/>
  <c r="I13" i="20"/>
  <c r="K6" i="4"/>
  <c r="Q6" i="4" s="1"/>
  <c r="I11" i="13"/>
  <c r="F71" i="12" s="1"/>
  <c r="AH11" i="12" s="1"/>
  <c r="AK11" i="12" s="1"/>
  <c r="AK13" i="12" s="1"/>
  <c r="E12" i="13"/>
  <c r="W6" i="23"/>
  <c r="AC6" i="23" s="1"/>
  <c r="O11" i="16"/>
  <c r="O10" i="16"/>
  <c r="O7" i="16"/>
  <c r="O8" i="16"/>
  <c r="O9" i="16"/>
  <c r="P6" i="33"/>
  <c r="L7" i="33"/>
  <c r="L12" i="33"/>
  <c r="L9" i="33"/>
  <c r="L14" i="33"/>
  <c r="L11" i="33"/>
  <c r="L8" i="33"/>
  <c r="L13" i="33"/>
  <c r="L10" i="33"/>
  <c r="H8" i="34"/>
  <c r="J8" i="34" s="1"/>
  <c r="L6" i="31"/>
  <c r="L6" i="28"/>
  <c r="F27" i="12"/>
  <c r="F28" i="12"/>
  <c r="R7" i="26"/>
  <c r="K6" i="22"/>
  <c r="F12" i="12"/>
  <c r="G69" i="12" s="1"/>
  <c r="I7" i="5"/>
  <c r="M8" i="21"/>
  <c r="O8" i="21" s="1"/>
  <c r="I10" i="4"/>
  <c r="B45" i="25"/>
  <c r="B43" i="25"/>
  <c r="W6" i="4"/>
  <c r="K23" i="23"/>
  <c r="K22" i="20"/>
  <c r="Q9" i="23"/>
  <c r="I15" i="22"/>
  <c r="M17" i="22"/>
  <c r="O17" i="22" s="1"/>
  <c r="M13" i="22"/>
  <c r="O13" i="22" s="1"/>
  <c r="M7" i="21"/>
  <c r="O7" i="21" s="1"/>
  <c r="Q10" i="23"/>
  <c r="K27" i="23"/>
  <c r="Q7" i="17"/>
  <c r="Q9" i="17"/>
  <c r="L6" i="15"/>
  <c r="K21" i="17"/>
  <c r="F8" i="37"/>
  <c r="H8" i="37" s="1"/>
  <c r="J8" i="37" s="1"/>
  <c r="G24" i="37" s="1"/>
  <c r="R8" i="26"/>
  <c r="Q10" i="17"/>
  <c r="L22" i="26"/>
  <c r="K19" i="13"/>
  <c r="L17" i="34"/>
  <c r="L16" i="35"/>
  <c r="L20" i="35"/>
  <c r="L11" i="34"/>
  <c r="L16" i="34"/>
  <c r="L7" i="35"/>
  <c r="L13" i="34"/>
  <c r="L8" i="34"/>
  <c r="X6" i="26"/>
  <c r="AD6" i="26" s="1"/>
  <c r="L6" i="26"/>
  <c r="M9" i="21"/>
  <c r="O9" i="21" s="1"/>
  <c r="M11" i="21"/>
  <c r="O11" i="21" s="1"/>
  <c r="M12" i="22"/>
  <c r="O12" i="22" s="1"/>
  <c r="I12" i="22"/>
  <c r="L18" i="26"/>
  <c r="K18" i="20"/>
  <c r="H12" i="34"/>
  <c r="J12" i="34" s="1"/>
  <c r="G6" i="34"/>
  <c r="H9" i="34"/>
  <c r="J9" i="34" s="1"/>
  <c r="H7" i="34"/>
  <c r="J7" i="34" s="1"/>
  <c r="H11" i="34"/>
  <c r="J11" i="34" s="1"/>
  <c r="L6" i="32"/>
  <c r="M10" i="21"/>
  <c r="O10" i="21" s="1"/>
  <c r="I10" i="21"/>
  <c r="M14" i="22"/>
  <c r="O14" i="22" s="1"/>
  <c r="I14" i="22"/>
  <c r="H13" i="34"/>
  <c r="K6" i="23"/>
  <c r="Q6" i="23" s="1"/>
  <c r="H10" i="34"/>
  <c r="J10" i="34" s="1"/>
  <c r="K24" i="23"/>
  <c r="Q7" i="20"/>
  <c r="K23" i="17"/>
  <c r="K28" i="23"/>
  <c r="I16" i="22"/>
  <c r="Q8" i="20"/>
  <c r="Q9" i="20"/>
  <c r="L10" i="35"/>
  <c r="L12" i="35"/>
  <c r="W6" i="20"/>
  <c r="AC6" i="20" s="1"/>
  <c r="K6" i="13"/>
  <c r="L9" i="35"/>
  <c r="L15" i="35"/>
  <c r="L19" i="35"/>
  <c r="W6" i="13"/>
  <c r="AC6" i="13" s="1"/>
  <c r="L10" i="34"/>
  <c r="L12" i="34"/>
  <c r="L11" i="35"/>
  <c r="K6" i="17"/>
  <c r="Q6" i="17" s="1"/>
  <c r="L15" i="34"/>
  <c r="L14" i="35"/>
  <c r="L18" i="35"/>
  <c r="L6" i="9"/>
  <c r="L7" i="34"/>
  <c r="L9" i="34"/>
  <c r="L8" i="35"/>
  <c r="L13" i="35"/>
  <c r="L17" i="35"/>
  <c r="C9" i="31"/>
  <c r="C9" i="32"/>
  <c r="H14" i="30"/>
  <c r="H7" i="11"/>
  <c r="Z7" i="11" s="1"/>
  <c r="AF7" i="11" s="1"/>
  <c r="G7" i="11"/>
  <c r="H8" i="13"/>
  <c r="Z8" i="13" s="1"/>
  <c r="AF8" i="13" s="1"/>
  <c r="G8" i="13"/>
  <c r="G7" i="13"/>
  <c r="H7" i="4"/>
  <c r="H10" i="20"/>
  <c r="Z10" i="20" s="1"/>
  <c r="AF10" i="20" s="1"/>
  <c r="G9" i="17"/>
  <c r="G7" i="17"/>
  <c r="H10" i="17"/>
  <c r="Z10" i="17" s="1"/>
  <c r="AF10" i="17" s="1"/>
  <c r="G10" i="17"/>
  <c r="G8" i="17"/>
  <c r="G7" i="26"/>
  <c r="G8" i="26"/>
  <c r="H9" i="26"/>
  <c r="AA9" i="26" s="1"/>
  <c r="AG9" i="26" s="1"/>
  <c r="G9" i="26"/>
  <c r="G8" i="23"/>
  <c r="G11" i="23"/>
  <c r="G9" i="23"/>
  <c r="G7" i="23"/>
  <c r="G12" i="23"/>
  <c r="G10" i="23"/>
  <c r="H12" i="23"/>
  <c r="Z12" i="23" s="1"/>
  <c r="AF12" i="23" s="1"/>
  <c r="U20" i="22"/>
  <c r="U21" i="22" s="1"/>
  <c r="I7" i="22"/>
  <c r="I8" i="22"/>
  <c r="I9" i="22"/>
  <c r="I10" i="22"/>
  <c r="I11" i="22"/>
  <c r="F13" i="22"/>
  <c r="O6" i="20"/>
  <c r="P6" i="26"/>
  <c r="O6" i="13"/>
  <c r="O6" i="4"/>
  <c r="AE19" i="24"/>
  <c r="O6" i="23"/>
  <c r="O6" i="17"/>
  <c r="I9" i="5"/>
  <c r="I58" i="12" s="1"/>
  <c r="Q8" i="37" l="1"/>
  <c r="E38" i="12"/>
  <c r="J38" i="12" s="1"/>
  <c r="O8" i="14"/>
  <c r="I38" i="12" s="1"/>
  <c r="G38" i="12" s="1"/>
  <c r="N8" i="14"/>
  <c r="H38" i="12" s="1"/>
  <c r="H14" i="5"/>
  <c r="I14" i="5" s="1"/>
  <c r="J9" i="12" s="1"/>
  <c r="F26" i="37"/>
  <c r="I26" i="37" s="1"/>
  <c r="F25" i="37"/>
  <c r="I25" i="37" s="1"/>
  <c r="F24" i="37"/>
  <c r="I24" i="37" s="1"/>
  <c r="J24" i="37" s="1"/>
  <c r="F23" i="37"/>
  <c r="I23" i="37" s="1"/>
  <c r="E41" i="12"/>
  <c r="J41" i="12" s="1"/>
  <c r="I10" i="5"/>
  <c r="J58" i="12" s="1"/>
  <c r="AS12" i="24"/>
  <c r="AA79" i="12"/>
  <c r="G7" i="34"/>
  <c r="G8" i="34" s="1"/>
  <c r="G9" i="34" s="1"/>
  <c r="G10" i="34" s="1"/>
  <c r="G11" i="34" s="1"/>
  <c r="G12" i="34" s="1"/>
  <c r="G13" i="34" s="1"/>
  <c r="U11" i="5"/>
  <c r="U12" i="5"/>
  <c r="N7" i="14"/>
  <c r="H37" i="12" s="1"/>
  <c r="G37" i="12" s="1"/>
  <c r="C88" i="40"/>
  <c r="H12" i="5"/>
  <c r="I12" i="5" s="1"/>
  <c r="AE7" i="24"/>
  <c r="AM7" i="24"/>
  <c r="AE8" i="24"/>
  <c r="AM8" i="24"/>
  <c r="AE9" i="24"/>
  <c r="AM9" i="24"/>
  <c r="R6" i="26"/>
  <c r="I14" i="34"/>
  <c r="I15" i="34"/>
  <c r="I16" i="34"/>
  <c r="I17" i="34"/>
  <c r="I13" i="34"/>
  <c r="F69" i="12"/>
  <c r="AA76" i="12" s="1"/>
  <c r="G88" i="12"/>
  <c r="I9" i="12"/>
  <c r="H9" i="12"/>
  <c r="D31" i="24" s="1"/>
  <c r="H31" i="24" s="1"/>
  <c r="I20" i="22"/>
  <c r="I13" i="21"/>
  <c r="F9" i="37"/>
  <c r="H7" i="37"/>
  <c r="J7" i="37" s="1"/>
  <c r="H24" i="22"/>
  <c r="I24" i="22" s="1"/>
  <c r="H26" i="22"/>
  <c r="I26" i="22" s="1"/>
  <c r="H25" i="22"/>
  <c r="I25" i="22" s="1"/>
  <c r="H16" i="21"/>
  <c r="I16" i="21" s="1"/>
  <c r="H17" i="21"/>
  <c r="I17" i="21" s="1"/>
  <c r="H18" i="21"/>
  <c r="I18" i="21" s="1"/>
  <c r="Y8" i="23"/>
  <c r="AE8" i="23" s="1"/>
  <c r="I8" i="23"/>
  <c r="AA8" i="23" s="1"/>
  <c r="AG8" i="23" s="1"/>
  <c r="Y8" i="13"/>
  <c r="AE8" i="13" s="1"/>
  <c r="I8" i="13"/>
  <c r="AA8" i="13" s="1"/>
  <c r="AG8" i="13" s="1"/>
  <c r="Y10" i="23"/>
  <c r="AE10" i="23" s="1"/>
  <c r="I10" i="23"/>
  <c r="AA10" i="23" s="1"/>
  <c r="AG10" i="23" s="1"/>
  <c r="Z9" i="26"/>
  <c r="AF9" i="26" s="1"/>
  <c r="I9" i="26"/>
  <c r="AB9" i="26" s="1"/>
  <c r="AH9" i="26" s="1"/>
  <c r="I8" i="17"/>
  <c r="Y8" i="17"/>
  <c r="Y12" i="23"/>
  <c r="AE12" i="23" s="1"/>
  <c r="I12" i="23"/>
  <c r="AA12" i="23" s="1"/>
  <c r="AG12" i="23" s="1"/>
  <c r="I10" i="17"/>
  <c r="Y10" i="17"/>
  <c r="I7" i="11"/>
  <c r="AA7" i="11" s="1"/>
  <c r="AG7" i="11" s="1"/>
  <c r="Y7" i="11"/>
  <c r="AE7" i="11" s="1"/>
  <c r="I7" i="23"/>
  <c r="AA7" i="23" s="1"/>
  <c r="AG7" i="23" s="1"/>
  <c r="Y7" i="23"/>
  <c r="AE7" i="23" s="1"/>
  <c r="I9" i="23"/>
  <c r="AA9" i="23" s="1"/>
  <c r="AG9" i="23" s="1"/>
  <c r="Y9" i="23"/>
  <c r="AE9" i="23" s="1"/>
  <c r="I7" i="17"/>
  <c r="Y7" i="17"/>
  <c r="I11" i="23"/>
  <c r="AA11" i="23" s="1"/>
  <c r="AG11" i="23" s="1"/>
  <c r="Y11" i="23"/>
  <c r="AE11" i="23" s="1"/>
  <c r="I8" i="26"/>
  <c r="AB8" i="26" s="1"/>
  <c r="AH8" i="26" s="1"/>
  <c r="Z8" i="26"/>
  <c r="AF8" i="26" s="1"/>
  <c r="Y9" i="17"/>
  <c r="I9" i="17"/>
  <c r="I7" i="13"/>
  <c r="AA7" i="13" s="1"/>
  <c r="AG7" i="13" s="1"/>
  <c r="Y7" i="13"/>
  <c r="AE7" i="13" s="1"/>
  <c r="Z7" i="26"/>
  <c r="AF7" i="26" s="1"/>
  <c r="I7" i="26"/>
  <c r="AB7" i="26" s="1"/>
  <c r="AH7" i="26" s="1"/>
  <c r="L13" i="22"/>
  <c r="F14" i="22"/>
  <c r="G23" i="37" l="1"/>
  <c r="J23" i="37" s="1"/>
  <c r="Q7" i="37"/>
  <c r="P31" i="24"/>
  <c r="AJ31" i="24"/>
  <c r="AS13" i="24"/>
  <c r="AT12" i="24"/>
  <c r="AU12" i="24" s="1"/>
  <c r="G14" i="34"/>
  <c r="H14" i="34" s="1"/>
  <c r="J14" i="34" s="1"/>
  <c r="X31" i="24"/>
  <c r="C89" i="40"/>
  <c r="J13" i="34"/>
  <c r="J17" i="12"/>
  <c r="I17" i="12"/>
  <c r="J19" i="12"/>
  <c r="I19" i="12"/>
  <c r="I21" i="22"/>
  <c r="G19" i="12" s="1"/>
  <c r="AA83" i="12" s="1"/>
  <c r="H19" i="12"/>
  <c r="D36" i="24" s="1"/>
  <c r="H36" i="24" s="1"/>
  <c r="I14" i="21"/>
  <c r="G17" i="12" s="1"/>
  <c r="AA80" i="12" s="1"/>
  <c r="H17" i="12"/>
  <c r="D35" i="24" s="1"/>
  <c r="H35" i="24" s="1"/>
  <c r="G9" i="12"/>
  <c r="AA73" i="12" s="1"/>
  <c r="Z73" i="12"/>
  <c r="F10" i="37"/>
  <c r="H10" i="37" s="1"/>
  <c r="J10" i="37" s="1"/>
  <c r="H9" i="37"/>
  <c r="J9" i="37" s="1"/>
  <c r="Q7" i="16"/>
  <c r="I11" i="26"/>
  <c r="F72" i="12" s="1"/>
  <c r="AA78" i="12" s="1"/>
  <c r="I9" i="11"/>
  <c r="E70" i="12" s="1"/>
  <c r="D7" i="24" s="1"/>
  <c r="H7" i="24" s="1"/>
  <c r="I12" i="17"/>
  <c r="I14" i="23"/>
  <c r="I10" i="13"/>
  <c r="E71" i="12" s="1"/>
  <c r="D9" i="24" s="1"/>
  <c r="H9" i="24" s="1"/>
  <c r="AA9" i="17"/>
  <c r="AG9" i="17" s="1"/>
  <c r="AE9" i="17"/>
  <c r="I7" i="4"/>
  <c r="AA7" i="4" s="1"/>
  <c r="Y7" i="4"/>
  <c r="AE10" i="17"/>
  <c r="AA10" i="17"/>
  <c r="AG10" i="17" s="1"/>
  <c r="AE8" i="17"/>
  <c r="AA8" i="17"/>
  <c r="AG8" i="17" s="1"/>
  <c r="I7" i="20"/>
  <c r="AA7" i="20" s="1"/>
  <c r="AG7" i="20" s="1"/>
  <c r="Y7" i="20"/>
  <c r="AE7" i="20" s="1"/>
  <c r="G8" i="20"/>
  <c r="AA7" i="17"/>
  <c r="AG7" i="17" s="1"/>
  <c r="AE7" i="17"/>
  <c r="F15" i="22"/>
  <c r="L14" i="22"/>
  <c r="G25" i="37" l="1"/>
  <c r="J25" i="37" s="1"/>
  <c r="Q9" i="37"/>
  <c r="J12" i="37"/>
  <c r="H25" i="12" s="1"/>
  <c r="G26" i="37"/>
  <c r="J26" i="37" s="1"/>
  <c r="Q10" i="37"/>
  <c r="G15" i="34"/>
  <c r="G16" i="34" s="1"/>
  <c r="G17" i="34" s="1"/>
  <c r="H17" i="34" s="1"/>
  <c r="J17" i="34" s="1"/>
  <c r="P36" i="24"/>
  <c r="AJ36" i="24"/>
  <c r="AN36" i="24" s="1"/>
  <c r="P35" i="24"/>
  <c r="AJ35" i="24"/>
  <c r="AN35" i="24" s="1"/>
  <c r="P7" i="24"/>
  <c r="AJ7" i="24"/>
  <c r="AG11" i="12"/>
  <c r="AJ11" i="12" s="1"/>
  <c r="AJ13" i="12" s="1"/>
  <c r="AN31" i="24"/>
  <c r="AD92" i="12"/>
  <c r="X35" i="24"/>
  <c r="X36" i="24"/>
  <c r="X9" i="24"/>
  <c r="C90" i="40"/>
  <c r="AF31" i="24"/>
  <c r="AF36" i="24"/>
  <c r="AF35" i="24"/>
  <c r="AF9" i="24"/>
  <c r="AD93" i="12"/>
  <c r="I9" i="4"/>
  <c r="E69" i="12" s="1"/>
  <c r="D8" i="24" s="1"/>
  <c r="H8" i="24" s="1"/>
  <c r="AF7" i="24"/>
  <c r="Z80" i="12"/>
  <c r="Z83" i="12"/>
  <c r="F8" i="33"/>
  <c r="Q7" i="33"/>
  <c r="Q8" i="16"/>
  <c r="N7" i="16"/>
  <c r="G9" i="20"/>
  <c r="I8" i="20"/>
  <c r="Y8" i="20"/>
  <c r="AE8" i="20" s="1"/>
  <c r="E74" i="12"/>
  <c r="I13" i="17"/>
  <c r="F74" i="12" s="1"/>
  <c r="X40" i="4"/>
  <c r="X32" i="4"/>
  <c r="Y32" i="4" s="1"/>
  <c r="X39" i="4"/>
  <c r="Y39" i="4" s="1"/>
  <c r="X31" i="4"/>
  <c r="Y31" i="4" s="1"/>
  <c r="X38" i="4"/>
  <c r="Y38" i="4" s="1"/>
  <c r="X30" i="4"/>
  <c r="Y30" i="4" s="1"/>
  <c r="X34" i="4"/>
  <c r="Y34" i="4" s="1"/>
  <c r="X37" i="4"/>
  <c r="Y37" i="4" s="1"/>
  <c r="X29" i="4"/>
  <c r="Y29" i="4" s="1"/>
  <c r="X33" i="4"/>
  <c r="Y33" i="4" s="1"/>
  <c r="X36" i="4"/>
  <c r="Y36" i="4" s="1"/>
  <c r="X28" i="4"/>
  <c r="Y28" i="4" s="1"/>
  <c r="X35" i="4"/>
  <c r="Y35" i="4" s="1"/>
  <c r="X27" i="4"/>
  <c r="Y27" i="4" s="1"/>
  <c r="D89" i="12"/>
  <c r="X29" i="11"/>
  <c r="Y29" i="11" s="1"/>
  <c r="X37" i="11"/>
  <c r="Y37" i="11" s="1"/>
  <c r="X33" i="11"/>
  <c r="Y33" i="11" s="1"/>
  <c r="X31" i="11"/>
  <c r="Y31" i="11" s="1"/>
  <c r="X35" i="11"/>
  <c r="Y35" i="11" s="1"/>
  <c r="X28" i="11"/>
  <c r="Y28" i="11" s="1"/>
  <c r="X26" i="11"/>
  <c r="Y26" i="11" s="1"/>
  <c r="X34" i="11"/>
  <c r="Y34" i="11" s="1"/>
  <c r="X39" i="11"/>
  <c r="X30" i="11"/>
  <c r="Y30" i="11" s="1"/>
  <c r="X27" i="11"/>
  <c r="Y27" i="11" s="1"/>
  <c r="X38" i="11"/>
  <c r="Y38" i="11" s="1"/>
  <c r="X36" i="11"/>
  <c r="Y36" i="11" s="1"/>
  <c r="X32" i="11"/>
  <c r="Y32" i="11" s="1"/>
  <c r="E72" i="12"/>
  <c r="D11" i="24" s="1"/>
  <c r="H11" i="24" s="1"/>
  <c r="I7" i="30"/>
  <c r="G8" i="30"/>
  <c r="D90" i="12"/>
  <c r="Y39" i="26"/>
  <c r="Y31" i="26"/>
  <c r="Z31" i="26" s="1"/>
  <c r="Y32" i="26"/>
  <c r="Z32" i="26" s="1"/>
  <c r="Y38" i="26"/>
  <c r="Z38" i="26" s="1"/>
  <c r="Y30" i="26"/>
  <c r="Z30" i="26" s="1"/>
  <c r="Y33" i="26"/>
  <c r="Z33" i="26" s="1"/>
  <c r="Y37" i="26"/>
  <c r="Z37" i="26" s="1"/>
  <c r="H91" i="12" s="1"/>
  <c r="Y29" i="26"/>
  <c r="Z29" i="26" s="1"/>
  <c r="Y36" i="26"/>
  <c r="Z36" i="26" s="1"/>
  <c r="Y28" i="26"/>
  <c r="Z28" i="26" s="1"/>
  <c r="Y40" i="26"/>
  <c r="Z40" i="26" s="1"/>
  <c r="Y35" i="26"/>
  <c r="Z35" i="26" s="1"/>
  <c r="Y27" i="26"/>
  <c r="Z27" i="26" s="1"/>
  <c r="Y34" i="26"/>
  <c r="Z34" i="26" s="1"/>
  <c r="Y26" i="26"/>
  <c r="Z26" i="26" s="1"/>
  <c r="I15" i="23"/>
  <c r="F76" i="12" s="1"/>
  <c r="E76" i="12"/>
  <c r="D15" i="24" s="1"/>
  <c r="H15" i="24" s="1"/>
  <c r="X37" i="23"/>
  <c r="Y37" i="23" s="1"/>
  <c r="X29" i="23"/>
  <c r="Y29" i="23" s="1"/>
  <c r="X38" i="23"/>
  <c r="Y38" i="23" s="1"/>
  <c r="X36" i="23"/>
  <c r="Y36" i="23" s="1"/>
  <c r="X30" i="23"/>
  <c r="Y30" i="23" s="1"/>
  <c r="X35" i="23"/>
  <c r="Y35" i="23" s="1"/>
  <c r="X28" i="23"/>
  <c r="Y28" i="23" s="1"/>
  <c r="X34" i="23"/>
  <c r="Y34" i="23" s="1"/>
  <c r="X41" i="23"/>
  <c r="Y41" i="23" s="1"/>
  <c r="X33" i="23"/>
  <c r="Y33" i="23" s="1"/>
  <c r="X27" i="23"/>
  <c r="Y27" i="23" s="1"/>
  <c r="X40" i="23"/>
  <c r="Y40" i="23" s="1"/>
  <c r="X32" i="23"/>
  <c r="Y32" i="23" s="1"/>
  <c r="X39" i="23"/>
  <c r="X31" i="23"/>
  <c r="Y31" i="23" s="1"/>
  <c r="X26" i="23"/>
  <c r="Y26" i="23" s="1"/>
  <c r="X40" i="13"/>
  <c r="Y40" i="13" s="1"/>
  <c r="X33" i="13"/>
  <c r="Y33" i="13" s="1"/>
  <c r="X39" i="13"/>
  <c r="X32" i="13"/>
  <c r="Y32" i="13" s="1"/>
  <c r="X38" i="13"/>
  <c r="Y38" i="13" s="1"/>
  <c r="X31" i="13"/>
  <c r="Y31" i="13" s="1"/>
  <c r="X26" i="13"/>
  <c r="Y26" i="13" s="1"/>
  <c r="X37" i="13"/>
  <c r="Y37" i="13" s="1"/>
  <c r="X30" i="13"/>
  <c r="Y30" i="13" s="1"/>
  <c r="X27" i="13"/>
  <c r="Y27" i="13" s="1"/>
  <c r="X36" i="13"/>
  <c r="Y36" i="13" s="1"/>
  <c r="X29" i="13"/>
  <c r="Y29" i="13" s="1"/>
  <c r="X35" i="13"/>
  <c r="Y35" i="13" s="1"/>
  <c r="X28" i="13"/>
  <c r="Y28" i="13" s="1"/>
  <c r="X34" i="13"/>
  <c r="Y34" i="13" s="1"/>
  <c r="X36" i="17"/>
  <c r="Y36" i="17" s="1"/>
  <c r="X28" i="17"/>
  <c r="Y28" i="17" s="1"/>
  <c r="X35" i="17"/>
  <c r="Y35" i="17" s="1"/>
  <c r="X27" i="17"/>
  <c r="Y27" i="17" s="1"/>
  <c r="X34" i="17"/>
  <c r="Y34" i="17" s="1"/>
  <c r="X26" i="17"/>
  <c r="Y26" i="17" s="1"/>
  <c r="X29" i="17"/>
  <c r="Y29" i="17" s="1"/>
  <c r="X33" i="17"/>
  <c r="Y33" i="17" s="1"/>
  <c r="X38" i="17"/>
  <c r="X37" i="17"/>
  <c r="Y37" i="17" s="1"/>
  <c r="X40" i="17"/>
  <c r="Y40" i="17" s="1"/>
  <c r="X32" i="17"/>
  <c r="Y32" i="17" s="1"/>
  <c r="X39" i="17"/>
  <c r="Y39" i="17" s="1"/>
  <c r="X31" i="17"/>
  <c r="Y31" i="17" s="1"/>
  <c r="X30" i="17"/>
  <c r="Y30" i="17" s="1"/>
  <c r="L15" i="22"/>
  <c r="F16" i="22"/>
  <c r="H16" i="34" l="1"/>
  <c r="J16" i="34" s="1"/>
  <c r="D13" i="24"/>
  <c r="H13" i="24" s="1"/>
  <c r="D14" i="24"/>
  <c r="H14" i="24" s="1"/>
  <c r="Q11" i="37"/>
  <c r="Q14" i="37" s="1"/>
  <c r="Q15" i="37" s="1"/>
  <c r="J22" i="37"/>
  <c r="J29" i="37" s="1"/>
  <c r="H15" i="34"/>
  <c r="J15" i="34" s="1"/>
  <c r="J19" i="34" s="1"/>
  <c r="M9" i="37"/>
  <c r="N9" i="37" s="1"/>
  <c r="M10" i="37"/>
  <c r="N10" i="37" s="1"/>
  <c r="M8" i="37"/>
  <c r="N8" i="37" s="1"/>
  <c r="M7" i="37"/>
  <c r="P13" i="24"/>
  <c r="AJ13" i="24"/>
  <c r="AN13" i="24" s="1"/>
  <c r="P11" i="24"/>
  <c r="AJ11" i="24"/>
  <c r="AN11" i="24" s="1"/>
  <c r="P8" i="24"/>
  <c r="AJ8" i="24"/>
  <c r="AN8" i="24" s="1"/>
  <c r="P9" i="24"/>
  <c r="AJ9" i="24"/>
  <c r="AN9" i="24" s="1"/>
  <c r="P15" i="24"/>
  <c r="AJ15" i="24"/>
  <c r="AN15" i="24" s="1"/>
  <c r="X8" i="24"/>
  <c r="X15" i="24"/>
  <c r="X13" i="24"/>
  <c r="X11" i="24"/>
  <c r="X7" i="24"/>
  <c r="AN7" i="24"/>
  <c r="C91" i="40"/>
  <c r="C92" i="40" s="1"/>
  <c r="C93" i="40" s="1"/>
  <c r="C94" i="40" s="1"/>
  <c r="C95" i="40" s="1"/>
  <c r="C96" i="40" s="1"/>
  <c r="C97" i="40" s="1"/>
  <c r="C98" i="40" s="1"/>
  <c r="C99" i="40" s="1"/>
  <c r="C100" i="40" s="1"/>
  <c r="C101" i="40" s="1"/>
  <c r="C102" i="40" s="1"/>
  <c r="C103" i="40" s="1"/>
  <c r="C104" i="40" s="1"/>
  <c r="C105" i="40" s="1"/>
  <c r="C106" i="40" s="1"/>
  <c r="C107" i="40" s="1"/>
  <c r="C108" i="40" s="1"/>
  <c r="C109" i="40" s="1"/>
  <c r="C110" i="40" s="1"/>
  <c r="C111" i="40" s="1"/>
  <c r="C112" i="40" s="1"/>
  <c r="C113" i="40" s="1"/>
  <c r="C114" i="40" s="1"/>
  <c r="C115" i="40" s="1"/>
  <c r="C116" i="40" s="1"/>
  <c r="C117" i="40" s="1"/>
  <c r="C118" i="40" s="1"/>
  <c r="C119" i="40" s="1"/>
  <c r="C120" i="40" s="1"/>
  <c r="C121" i="40" s="1"/>
  <c r="C122" i="40" s="1"/>
  <c r="C123" i="40" s="1"/>
  <c r="C124" i="40" s="1"/>
  <c r="AD94" i="12"/>
  <c r="AF11" i="24"/>
  <c r="AF15" i="24"/>
  <c r="AD97" i="12"/>
  <c r="AF13" i="24"/>
  <c r="AD96" i="12"/>
  <c r="AD91" i="12"/>
  <c r="K51" i="25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K84" i="25" s="1"/>
  <c r="K85" i="25" s="1"/>
  <c r="K86" i="25" s="1"/>
  <c r="K87" i="25" s="1"/>
  <c r="K88" i="25" s="1"/>
  <c r="K89" i="25" s="1"/>
  <c r="K90" i="25" s="1"/>
  <c r="K91" i="25" s="1"/>
  <c r="K92" i="25" s="1"/>
  <c r="K93" i="25" s="1"/>
  <c r="K94" i="25" s="1"/>
  <c r="J7" i="33"/>
  <c r="S7" i="33"/>
  <c r="Q8" i="33"/>
  <c r="F9" i="33"/>
  <c r="D88" i="12"/>
  <c r="AF8" i="24"/>
  <c r="N8" i="16"/>
  <c r="Q10" i="16"/>
  <c r="Q9" i="16"/>
  <c r="P7" i="16"/>
  <c r="R7" i="16" s="1"/>
  <c r="J7" i="16"/>
  <c r="E91" i="12"/>
  <c r="AH6" i="26"/>
  <c r="AH11" i="26" s="1"/>
  <c r="AH12" i="26" s="1"/>
  <c r="G91" i="12" s="1"/>
  <c r="Z39" i="26"/>
  <c r="D93" i="12"/>
  <c r="E88" i="12"/>
  <c r="H88" i="12" s="1"/>
  <c r="Y40" i="4"/>
  <c r="E90" i="12"/>
  <c r="H90" i="12" s="1"/>
  <c r="AG6" i="13"/>
  <c r="AG10" i="13" s="1"/>
  <c r="AG11" i="13" s="1"/>
  <c r="G90" i="12" s="1"/>
  <c r="Y39" i="13"/>
  <c r="AA8" i="20"/>
  <c r="E94" i="12"/>
  <c r="H94" i="12" s="1"/>
  <c r="AG6" i="23"/>
  <c r="AG14" i="23" s="1"/>
  <c r="AG15" i="23" s="1"/>
  <c r="G94" i="12" s="1"/>
  <c r="Y39" i="23"/>
  <c r="AG6" i="17"/>
  <c r="AG12" i="17" s="1"/>
  <c r="AG13" i="17" s="1"/>
  <c r="G93" i="12" s="1"/>
  <c r="E93" i="12"/>
  <c r="H93" i="12" s="1"/>
  <c r="Y38" i="17"/>
  <c r="I8" i="30"/>
  <c r="G9" i="30"/>
  <c r="G10" i="20"/>
  <c r="I9" i="20"/>
  <c r="AA9" i="20" s="1"/>
  <c r="AG9" i="20" s="1"/>
  <c r="Y9" i="20"/>
  <c r="AE9" i="20" s="1"/>
  <c r="D94" i="12"/>
  <c r="D91" i="12"/>
  <c r="AG6" i="11"/>
  <c r="AG9" i="11" s="1"/>
  <c r="AG10" i="11" s="1"/>
  <c r="G89" i="12" s="1"/>
  <c r="E89" i="12"/>
  <c r="H89" i="12" s="1"/>
  <c r="Y39" i="11"/>
  <c r="L16" i="22"/>
  <c r="F17" i="22"/>
  <c r="L17" i="22" s="1"/>
  <c r="K95" i="25" l="1"/>
  <c r="K96" i="25" s="1"/>
  <c r="K97" i="25" s="1"/>
  <c r="K98" i="25" s="1"/>
  <c r="K99" i="25" s="1"/>
  <c r="K100" i="25" s="1"/>
  <c r="K101" i="25" s="1"/>
  <c r="K102" i="25" s="1"/>
  <c r="K103" i="25" s="1"/>
  <c r="K104" i="25" s="1"/>
  <c r="K105" i="25" s="1"/>
  <c r="K106" i="25" s="1"/>
  <c r="K107" i="25" s="1"/>
  <c r="K108" i="25" s="1"/>
  <c r="K109" i="25" s="1"/>
  <c r="K110" i="25" s="1"/>
  <c r="K111" i="25" s="1"/>
  <c r="K112" i="25" s="1"/>
  <c r="K113" i="25" s="1"/>
  <c r="K114" i="25" s="1"/>
  <c r="K115" i="25" s="1"/>
  <c r="K116" i="25" s="1"/>
  <c r="K117" i="25" s="1"/>
  <c r="K118" i="25" s="1"/>
  <c r="K119" i="25" s="1"/>
  <c r="K120" i="25" s="1"/>
  <c r="K121" i="25" s="1"/>
  <c r="K122" i="25" s="1"/>
  <c r="K123" i="25" s="1"/>
  <c r="K124" i="25" s="1"/>
  <c r="K125" i="25" s="1"/>
  <c r="K126" i="25" s="1"/>
  <c r="K127" i="25" s="1"/>
  <c r="K128" i="25" s="1"/>
  <c r="K129" i="25" s="1"/>
  <c r="K130" i="25" s="1"/>
  <c r="K131" i="25" s="1"/>
  <c r="K132" i="25" s="1"/>
  <c r="K133" i="25" s="1"/>
  <c r="K134" i="25" s="1"/>
  <c r="K135" i="25" s="1"/>
  <c r="K136" i="25" s="1"/>
  <c r="K137" i="25" s="1"/>
  <c r="K138" i="25" s="1"/>
  <c r="K139" i="25" s="1"/>
  <c r="K140" i="25" s="1"/>
  <c r="K141" i="25" s="1"/>
  <c r="K142" i="25" s="1"/>
  <c r="K143" i="25" s="1"/>
  <c r="K144" i="25" s="1"/>
  <c r="K145" i="25" s="1"/>
  <c r="K146" i="25" s="1"/>
  <c r="K147" i="25" s="1"/>
  <c r="K148" i="25" s="1"/>
  <c r="K149" i="25" s="1"/>
  <c r="K150" i="25" s="1"/>
  <c r="K151" i="25" s="1"/>
  <c r="K152" i="25" s="1"/>
  <c r="K153" i="25" s="1"/>
  <c r="K154" i="25" s="1"/>
  <c r="K155" i="25" s="1"/>
  <c r="K156" i="25" s="1"/>
  <c r="K157" i="25" s="1"/>
  <c r="K158" i="25" s="1"/>
  <c r="K159" i="25" s="1"/>
  <c r="K160" i="25" s="1"/>
  <c r="K161" i="25" s="1"/>
  <c r="K162" i="25" s="1"/>
  <c r="K163" i="25" s="1"/>
  <c r="K164" i="25" s="1"/>
  <c r="K165" i="25" s="1"/>
  <c r="K166" i="25" s="1"/>
  <c r="K167" i="25" s="1"/>
  <c r="K168" i="25" s="1"/>
  <c r="K169" i="25" s="1"/>
  <c r="K170" i="25" s="1"/>
  <c r="K171" i="25" s="1"/>
  <c r="K172" i="25" s="1"/>
  <c r="K173" i="25" s="1"/>
  <c r="K174" i="25" s="1"/>
  <c r="K175" i="25" s="1"/>
  <c r="K176" i="25" s="1"/>
  <c r="K177" i="25" s="1"/>
  <c r="K178" i="25" s="1"/>
  <c r="K179" i="25" s="1"/>
  <c r="K180" i="25" s="1"/>
  <c r="K181" i="25" s="1"/>
  <c r="K182" i="25" s="1"/>
  <c r="K183" i="25" s="1"/>
  <c r="K184" i="25" s="1"/>
  <c r="K185" i="25" s="1"/>
  <c r="K186" i="25" s="1"/>
  <c r="K187" i="25" s="1"/>
  <c r="K188" i="25" s="1"/>
  <c r="K189" i="25" s="1"/>
  <c r="K190" i="25" s="1"/>
  <c r="K191" i="25" s="1"/>
  <c r="K192" i="25" s="1"/>
  <c r="K193" i="25" s="1"/>
  <c r="K194" i="25" s="1"/>
  <c r="K195" i="25" s="1"/>
  <c r="K196" i="25" s="1"/>
  <c r="K197" i="25" s="1"/>
  <c r="K198" i="25" s="1"/>
  <c r="K199" i="25" s="1"/>
  <c r="K200" i="25" s="1"/>
  <c r="K201" i="25" s="1"/>
  <c r="K202" i="25" s="1"/>
  <c r="K203" i="25" s="1"/>
  <c r="K204" i="25" s="1"/>
  <c r="K205" i="25" s="1"/>
  <c r="K206" i="25" s="1"/>
  <c r="K207" i="25" s="1"/>
  <c r="K208" i="25" s="1"/>
  <c r="K209" i="25" s="1"/>
  <c r="K210" i="25" s="1"/>
  <c r="K211" i="25" s="1"/>
  <c r="K212" i="25" s="1"/>
  <c r="K213" i="25" s="1"/>
  <c r="K214" i="25" s="1"/>
  <c r="K215" i="25" s="1"/>
  <c r="K216" i="25" s="1"/>
  <c r="K217" i="25" s="1"/>
  <c r="K218" i="25" s="1"/>
  <c r="K219" i="25" s="1"/>
  <c r="K220" i="25" s="1"/>
  <c r="K221" i="25" s="1"/>
  <c r="K222" i="25" s="1"/>
  <c r="K223" i="25" s="1"/>
  <c r="K224" i="25" s="1"/>
  <c r="K225" i="25" s="1"/>
  <c r="K226" i="25" s="1"/>
  <c r="K227" i="25" s="1"/>
  <c r="K228" i="25" s="1"/>
  <c r="K229" i="25" s="1"/>
  <c r="K230" i="25" s="1"/>
  <c r="K231" i="25" s="1"/>
  <c r="K232" i="25" s="1"/>
  <c r="K233" i="25" s="1"/>
  <c r="K234" i="25" s="1"/>
  <c r="K235" i="25" s="1"/>
  <c r="K236" i="25" s="1"/>
  <c r="K237" i="25" s="1"/>
  <c r="K238" i="25" s="1"/>
  <c r="K239" i="25" s="1"/>
  <c r="K240" i="25" s="1"/>
  <c r="K241" i="25" s="1"/>
  <c r="K242" i="25" s="1"/>
  <c r="K243" i="25" s="1"/>
  <c r="K244" i="25" s="1"/>
  <c r="K245" i="25" s="1"/>
  <c r="K246" i="25" s="1"/>
  <c r="K247" i="25" s="1"/>
  <c r="K248" i="25" s="1"/>
  <c r="K249" i="25" s="1"/>
  <c r="K250" i="25" s="1"/>
  <c r="K251" i="25" s="1"/>
  <c r="K252" i="25" s="1"/>
  <c r="K253" i="25" s="1"/>
  <c r="K254" i="25" s="1"/>
  <c r="K255" i="25" s="1"/>
  <c r="K256" i="25" s="1"/>
  <c r="K257" i="25" s="1"/>
  <c r="K258" i="25" s="1"/>
  <c r="K259" i="25" s="1"/>
  <c r="K260" i="25" s="1"/>
  <c r="K261" i="25" s="1"/>
  <c r="K262" i="25" s="1"/>
  <c r="K263" i="25" s="1"/>
  <c r="K264" i="25" s="1"/>
  <c r="K265" i="25" s="1"/>
  <c r="K266" i="25" s="1"/>
  <c r="K267" i="25" s="1"/>
  <c r="K268" i="25" s="1"/>
  <c r="K269" i="25" s="1"/>
  <c r="K270" i="25" s="1"/>
  <c r="K271" i="25" s="1"/>
  <c r="K272" i="25" s="1"/>
  <c r="K273" i="25" s="1"/>
  <c r="K274" i="25" s="1"/>
  <c r="K275" i="25" s="1"/>
  <c r="K276" i="25" s="1"/>
  <c r="K277" i="25" s="1"/>
  <c r="K278" i="25" s="1"/>
  <c r="K279" i="25" s="1"/>
  <c r="K280" i="25" s="1"/>
  <c r="K281" i="25" s="1"/>
  <c r="K282" i="25" s="1"/>
  <c r="K283" i="25" s="1"/>
  <c r="K284" i="25" s="1"/>
  <c r="K285" i="25" s="1"/>
  <c r="K286" i="25" s="1"/>
  <c r="K287" i="25" s="1"/>
  <c r="K288" i="25" s="1"/>
  <c r="K289" i="25" s="1"/>
  <c r="K290" i="25" s="1"/>
  <c r="K291" i="25" s="1"/>
  <c r="K292" i="25" s="1"/>
  <c r="K293" i="25" s="1"/>
  <c r="K294" i="25" s="1"/>
  <c r="K295" i="25" s="1"/>
  <c r="K296" i="25" s="1"/>
  <c r="K297" i="25" s="1"/>
  <c r="K298" i="25" s="1"/>
  <c r="K299" i="25" s="1"/>
  <c r="K300" i="25" s="1"/>
  <c r="K301" i="25" s="1"/>
  <c r="K302" i="25" s="1"/>
  <c r="K303" i="25" s="1"/>
  <c r="K304" i="25" s="1"/>
  <c r="K305" i="25" s="1"/>
  <c r="K306" i="25" s="1"/>
  <c r="K307" i="25" s="1"/>
  <c r="K308" i="25" s="1"/>
  <c r="K309" i="25" s="1"/>
  <c r="K310" i="25" s="1"/>
  <c r="K311" i="25" s="1"/>
  <c r="K312" i="25" s="1"/>
  <c r="K313" i="25" s="1"/>
  <c r="K314" i="25" s="1"/>
  <c r="K315" i="25" s="1"/>
  <c r="K316" i="25" s="1"/>
  <c r="K317" i="25" s="1"/>
  <c r="K318" i="25" s="1"/>
  <c r="K319" i="25" s="1"/>
  <c r="K320" i="25" s="1"/>
  <c r="K321" i="25" s="1"/>
  <c r="K322" i="25" s="1"/>
  <c r="K323" i="25" s="1"/>
  <c r="K324" i="25" s="1"/>
  <c r="K325" i="25" s="1"/>
  <c r="K326" i="25" s="1"/>
  <c r="K327" i="25" s="1"/>
  <c r="K328" i="25" s="1"/>
  <c r="K329" i="25" s="1"/>
  <c r="K330" i="25" s="1"/>
  <c r="K331" i="25" s="1"/>
  <c r="K332" i="25" s="1"/>
  <c r="K333" i="25" s="1"/>
  <c r="K334" i="25" s="1"/>
  <c r="K335" i="25" s="1"/>
  <c r="K336" i="25" s="1"/>
  <c r="K337" i="25" s="1"/>
  <c r="K338" i="25" s="1"/>
  <c r="K339" i="25" s="1"/>
  <c r="K340" i="25" s="1"/>
  <c r="K341" i="25" s="1"/>
  <c r="K342" i="25" s="1"/>
  <c r="K343" i="25" s="1"/>
  <c r="K344" i="25" s="1"/>
  <c r="K345" i="25" s="1"/>
  <c r="K346" i="25" s="1"/>
  <c r="K347" i="25" s="1"/>
  <c r="K348" i="25" s="1"/>
  <c r="K349" i="25" s="1"/>
  <c r="K350" i="25" s="1"/>
  <c r="K351" i="25" s="1"/>
  <c r="K352" i="25" s="1"/>
  <c r="K353" i="25" s="1"/>
  <c r="K354" i="25" s="1"/>
  <c r="K355" i="25" s="1"/>
  <c r="K356" i="25" s="1"/>
  <c r="K357" i="25" s="1"/>
  <c r="K358" i="25" s="1"/>
  <c r="K359" i="25" s="1"/>
  <c r="K360" i="25" s="1"/>
  <c r="K361" i="25" s="1"/>
  <c r="K362" i="25" s="1"/>
  <c r="K363" i="25" s="1"/>
  <c r="K364" i="25" s="1"/>
  <c r="K365" i="25" s="1"/>
  <c r="K366" i="25" s="1"/>
  <c r="K367" i="25" s="1"/>
  <c r="K368" i="25" s="1"/>
  <c r="K369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N84" i="25" s="1"/>
  <c r="N85" i="25" s="1"/>
  <c r="N86" i="25" s="1"/>
  <c r="N87" i="25" s="1"/>
  <c r="N88" i="25" s="1"/>
  <c r="N89" i="25" s="1"/>
  <c r="N90" i="25" s="1"/>
  <c r="N91" i="25" s="1"/>
  <c r="N92" i="25" s="1"/>
  <c r="N93" i="25" s="1"/>
  <c r="N94" i="25" s="1"/>
  <c r="N95" i="25" s="1"/>
  <c r="N96" i="25" s="1"/>
  <c r="N97" i="25" s="1"/>
  <c r="N98" i="25" s="1"/>
  <c r="N99" i="25" s="1"/>
  <c r="N100" i="25" s="1"/>
  <c r="N101" i="25" s="1"/>
  <c r="N102" i="25" s="1"/>
  <c r="N103" i="25" s="1"/>
  <c r="N104" i="25" s="1"/>
  <c r="N105" i="25" s="1"/>
  <c r="N106" i="25" s="1"/>
  <c r="N107" i="25" s="1"/>
  <c r="N108" i="25" s="1"/>
  <c r="N109" i="25" s="1"/>
  <c r="N110" i="25" s="1"/>
  <c r="N111" i="25" s="1"/>
  <c r="N112" i="25" s="1"/>
  <c r="N113" i="25" s="1"/>
  <c r="N114" i="25" s="1"/>
  <c r="N115" i="25" s="1"/>
  <c r="N116" i="25" s="1"/>
  <c r="N117" i="25" s="1"/>
  <c r="N118" i="25" s="1"/>
  <c r="N119" i="25" s="1"/>
  <c r="N120" i="25" s="1"/>
  <c r="N121" i="25" s="1"/>
  <c r="N122" i="25" s="1"/>
  <c r="N123" i="25" s="1"/>
  <c r="N124" i="25" s="1"/>
  <c r="N125" i="25" s="1"/>
  <c r="N126" i="25" s="1"/>
  <c r="N127" i="25" s="1"/>
  <c r="N128" i="25" s="1"/>
  <c r="N129" i="25" s="1"/>
  <c r="N130" i="25" s="1"/>
  <c r="N131" i="25" s="1"/>
  <c r="N132" i="25" s="1"/>
  <c r="N133" i="25" s="1"/>
  <c r="N134" i="25" s="1"/>
  <c r="N135" i="25" s="1"/>
  <c r="N136" i="25" s="1"/>
  <c r="N137" i="25" s="1"/>
  <c r="N138" i="25" s="1"/>
  <c r="N139" i="25" s="1"/>
  <c r="N140" i="25" s="1"/>
  <c r="N141" i="25" s="1"/>
  <c r="N142" i="25" s="1"/>
  <c r="N143" i="25" s="1"/>
  <c r="N144" i="25" s="1"/>
  <c r="N145" i="25" s="1"/>
  <c r="N146" i="25" s="1"/>
  <c r="N147" i="25" s="1"/>
  <c r="N148" i="25" s="1"/>
  <c r="N149" i="25" s="1"/>
  <c r="N150" i="25" s="1"/>
  <c r="N151" i="25" s="1"/>
  <c r="N152" i="25" s="1"/>
  <c r="N153" i="25" s="1"/>
  <c r="N154" i="25" s="1"/>
  <c r="N155" i="25" s="1"/>
  <c r="N156" i="25" s="1"/>
  <c r="N157" i="25" s="1"/>
  <c r="N158" i="25" s="1"/>
  <c r="N159" i="25" s="1"/>
  <c r="N160" i="25" s="1"/>
  <c r="N161" i="25" s="1"/>
  <c r="N162" i="25" s="1"/>
  <c r="N163" i="25" s="1"/>
  <c r="N164" i="25" s="1"/>
  <c r="N165" i="25" s="1"/>
  <c r="N166" i="25" s="1"/>
  <c r="N167" i="25" s="1"/>
  <c r="N168" i="25" s="1"/>
  <c r="N169" i="25" s="1"/>
  <c r="N170" i="25" s="1"/>
  <c r="N171" i="25" s="1"/>
  <c r="N172" i="25" s="1"/>
  <c r="N173" i="25" s="1"/>
  <c r="N174" i="25" s="1"/>
  <c r="N175" i="25" s="1"/>
  <c r="N176" i="25" s="1"/>
  <c r="N177" i="25" s="1"/>
  <c r="N178" i="25" s="1"/>
  <c r="N179" i="25" s="1"/>
  <c r="N180" i="25" s="1"/>
  <c r="N181" i="25" s="1"/>
  <c r="N182" i="25" s="1"/>
  <c r="N183" i="25" s="1"/>
  <c r="N184" i="25" s="1"/>
  <c r="N185" i="25" s="1"/>
  <c r="N186" i="25" s="1"/>
  <c r="N187" i="25" s="1"/>
  <c r="N188" i="25" s="1"/>
  <c r="N189" i="25" s="1"/>
  <c r="N190" i="25" s="1"/>
  <c r="N191" i="25" s="1"/>
  <c r="N192" i="25" s="1"/>
  <c r="N193" i="25" s="1"/>
  <c r="N194" i="25" s="1"/>
  <c r="N195" i="25" s="1"/>
  <c r="N196" i="25" s="1"/>
  <c r="N197" i="25" s="1"/>
  <c r="N198" i="25" s="1"/>
  <c r="N199" i="25" s="1"/>
  <c r="N200" i="25" s="1"/>
  <c r="N201" i="25" s="1"/>
  <c r="N202" i="25" s="1"/>
  <c r="N203" i="25" s="1"/>
  <c r="N204" i="25" s="1"/>
  <c r="N205" i="25" s="1"/>
  <c r="N206" i="25" s="1"/>
  <c r="N207" i="25" s="1"/>
  <c r="N208" i="25" s="1"/>
  <c r="N209" i="25" s="1"/>
  <c r="N210" i="25" s="1"/>
  <c r="N211" i="25" s="1"/>
  <c r="N212" i="25" s="1"/>
  <c r="N213" i="25" s="1"/>
  <c r="N214" i="25" s="1"/>
  <c r="N215" i="25" s="1"/>
  <c r="N216" i="25" s="1"/>
  <c r="N217" i="25" s="1"/>
  <c r="N218" i="25" s="1"/>
  <c r="N219" i="25" s="1"/>
  <c r="N220" i="25" s="1"/>
  <c r="N221" i="25" s="1"/>
  <c r="N222" i="25" s="1"/>
  <c r="N223" i="25" s="1"/>
  <c r="N224" i="25" s="1"/>
  <c r="N225" i="25" s="1"/>
  <c r="N226" i="25" s="1"/>
  <c r="N227" i="25" s="1"/>
  <c r="N228" i="25" s="1"/>
  <c r="N229" i="25" s="1"/>
  <c r="N230" i="25" s="1"/>
  <c r="N231" i="25" s="1"/>
  <c r="N232" i="25" s="1"/>
  <c r="N233" i="25" s="1"/>
  <c r="N234" i="25" s="1"/>
  <c r="N235" i="25" s="1"/>
  <c r="N236" i="25" s="1"/>
  <c r="N237" i="25" s="1"/>
  <c r="N238" i="25" s="1"/>
  <c r="N239" i="25" s="1"/>
  <c r="N240" i="25" s="1"/>
  <c r="N241" i="25" s="1"/>
  <c r="N242" i="25" s="1"/>
  <c r="N243" i="25" s="1"/>
  <c r="N244" i="25" s="1"/>
  <c r="N245" i="25" s="1"/>
  <c r="N246" i="25" s="1"/>
  <c r="N247" i="25" s="1"/>
  <c r="N248" i="25" s="1"/>
  <c r="N249" i="25" s="1"/>
  <c r="N250" i="25" s="1"/>
  <c r="N251" i="25" s="1"/>
  <c r="N252" i="25" s="1"/>
  <c r="N253" i="25" s="1"/>
  <c r="N254" i="25" s="1"/>
  <c r="N255" i="25" s="1"/>
  <c r="N256" i="25" s="1"/>
  <c r="N257" i="25" s="1"/>
  <c r="N258" i="25" s="1"/>
  <c r="N259" i="25" s="1"/>
  <c r="N260" i="25" s="1"/>
  <c r="N261" i="25" s="1"/>
  <c r="N262" i="25" s="1"/>
  <c r="N263" i="25" s="1"/>
  <c r="N264" i="25" s="1"/>
  <c r="N265" i="25" s="1"/>
  <c r="N266" i="25" s="1"/>
  <c r="N267" i="25" s="1"/>
  <c r="N268" i="25" s="1"/>
  <c r="N269" i="25" s="1"/>
  <c r="N270" i="25" s="1"/>
  <c r="N271" i="25" s="1"/>
  <c r="N272" i="25" s="1"/>
  <c r="N273" i="25" s="1"/>
  <c r="N274" i="25" s="1"/>
  <c r="N275" i="25" s="1"/>
  <c r="N276" i="25" s="1"/>
  <c r="N277" i="25" s="1"/>
  <c r="N278" i="25" s="1"/>
  <c r="N279" i="25" s="1"/>
  <c r="N280" i="25" s="1"/>
  <c r="N281" i="25" s="1"/>
  <c r="N282" i="25" s="1"/>
  <c r="N283" i="25" s="1"/>
  <c r="N284" i="25" s="1"/>
  <c r="N285" i="25" s="1"/>
  <c r="N286" i="25" s="1"/>
  <c r="N287" i="25" s="1"/>
  <c r="N288" i="25" s="1"/>
  <c r="N289" i="25" s="1"/>
  <c r="N290" i="25" s="1"/>
  <c r="N291" i="25" s="1"/>
  <c r="N292" i="25" s="1"/>
  <c r="N293" i="25" s="1"/>
  <c r="N294" i="25" s="1"/>
  <c r="N295" i="25" s="1"/>
  <c r="N296" i="25" s="1"/>
  <c r="N297" i="25" s="1"/>
  <c r="N298" i="25" s="1"/>
  <c r="N299" i="25" s="1"/>
  <c r="N300" i="25" s="1"/>
  <c r="N301" i="25" s="1"/>
  <c r="N302" i="25" s="1"/>
  <c r="N303" i="25" s="1"/>
  <c r="N304" i="25" s="1"/>
  <c r="N305" i="25" s="1"/>
  <c r="N306" i="25" s="1"/>
  <c r="N307" i="25" s="1"/>
  <c r="N308" i="25" s="1"/>
  <c r="N309" i="25" s="1"/>
  <c r="N310" i="25" s="1"/>
  <c r="N311" i="25" s="1"/>
  <c r="N312" i="25" s="1"/>
  <c r="N313" i="25" s="1"/>
  <c r="N314" i="25" s="1"/>
  <c r="N315" i="25" s="1"/>
  <c r="N316" i="25" s="1"/>
  <c r="N317" i="25" s="1"/>
  <c r="N318" i="25" s="1"/>
  <c r="N319" i="25" s="1"/>
  <c r="N320" i="25" s="1"/>
  <c r="N321" i="25" s="1"/>
  <c r="N322" i="25" s="1"/>
  <c r="N323" i="25" s="1"/>
  <c r="N324" i="25" s="1"/>
  <c r="N325" i="25" s="1"/>
  <c r="N326" i="25" s="1"/>
  <c r="N327" i="25" s="1"/>
  <c r="N328" i="25" s="1"/>
  <c r="N329" i="25" s="1"/>
  <c r="N330" i="25" s="1"/>
  <c r="N331" i="25" s="1"/>
  <c r="N332" i="25" s="1"/>
  <c r="N333" i="25" s="1"/>
  <c r="N334" i="25" s="1"/>
  <c r="N335" i="25" s="1"/>
  <c r="N336" i="25" s="1"/>
  <c r="N337" i="25" s="1"/>
  <c r="N338" i="25" s="1"/>
  <c r="N339" i="25" s="1"/>
  <c r="N340" i="25" s="1"/>
  <c r="N341" i="25" s="1"/>
  <c r="N342" i="25" s="1"/>
  <c r="N343" i="25" s="1"/>
  <c r="N344" i="25" s="1"/>
  <c r="N345" i="25" s="1"/>
  <c r="N346" i="25" s="1"/>
  <c r="N347" i="25" s="1"/>
  <c r="N348" i="25" s="1"/>
  <c r="N349" i="25" s="1"/>
  <c r="N350" i="25" s="1"/>
  <c r="N351" i="25" s="1"/>
  <c r="N352" i="25" s="1"/>
  <c r="N353" i="25" s="1"/>
  <c r="N354" i="25" s="1"/>
  <c r="N355" i="25" s="1"/>
  <c r="N356" i="25" s="1"/>
  <c r="N357" i="25" s="1"/>
  <c r="N358" i="25" s="1"/>
  <c r="N359" i="25" s="1"/>
  <c r="N360" i="25" s="1"/>
  <c r="N361" i="25" s="1"/>
  <c r="N362" i="25" s="1"/>
  <c r="N363" i="25" s="1"/>
  <c r="N364" i="25" s="1"/>
  <c r="N365" i="25" s="1"/>
  <c r="N366" i="25" s="1"/>
  <c r="N367" i="25" s="1"/>
  <c r="N368" i="25" s="1"/>
  <c r="N369" i="25" s="1"/>
  <c r="Q5" i="25" s="1"/>
  <c r="G10" i="14"/>
  <c r="N24" i="45"/>
  <c r="O24" i="45" s="1"/>
  <c r="M9" i="45" s="1"/>
  <c r="M12" i="37"/>
  <c r="N7" i="37"/>
  <c r="N12" i="37" s="1"/>
  <c r="C125" i="40"/>
  <c r="C126" i="40" s="1"/>
  <c r="C127" i="40" s="1"/>
  <c r="C128" i="40" s="1"/>
  <c r="C129" i="40" s="1"/>
  <c r="C130" i="40" s="1"/>
  <c r="C131" i="40" s="1"/>
  <c r="C132" i="40" s="1"/>
  <c r="C133" i="40" s="1"/>
  <c r="C134" i="40" s="1"/>
  <c r="C135" i="40" s="1"/>
  <c r="C136" i="40" s="1"/>
  <c r="C137" i="40" s="1"/>
  <c r="C138" i="40" s="1"/>
  <c r="C139" i="40" s="1"/>
  <c r="C140" i="40" s="1"/>
  <c r="C141" i="40" s="1"/>
  <c r="C142" i="40" s="1"/>
  <c r="C143" i="40" s="1"/>
  <c r="S9" i="45"/>
  <c r="U9" i="45" s="1"/>
  <c r="O9" i="45"/>
  <c r="N21" i="44"/>
  <c r="O21" i="44" s="1"/>
  <c r="M8" i="44" s="1"/>
  <c r="S8" i="44" s="1"/>
  <c r="U7" i="33"/>
  <c r="J8" i="33"/>
  <c r="S8" i="33"/>
  <c r="F10" i="33"/>
  <c r="Q9" i="33"/>
  <c r="M17" i="34"/>
  <c r="N17" i="34" s="1"/>
  <c r="E78" i="12"/>
  <c r="D16" i="24" s="1"/>
  <c r="H16" i="24" s="1"/>
  <c r="J8" i="16"/>
  <c r="P8" i="16"/>
  <c r="R8" i="16" s="1"/>
  <c r="M7" i="34"/>
  <c r="N7" i="34" s="1"/>
  <c r="M12" i="34"/>
  <c r="N12" i="34" s="1"/>
  <c r="M13" i="34"/>
  <c r="N13" i="34" s="1"/>
  <c r="M10" i="34"/>
  <c r="N10" i="34" s="1"/>
  <c r="M8" i="34"/>
  <c r="N8" i="34" s="1"/>
  <c r="M11" i="34"/>
  <c r="N11" i="34" s="1"/>
  <c r="M9" i="34"/>
  <c r="N9" i="34" s="1"/>
  <c r="M14" i="34"/>
  <c r="N14" i="34" s="1"/>
  <c r="M15" i="34"/>
  <c r="N15" i="34" s="1"/>
  <c r="N9" i="16"/>
  <c r="M16" i="34"/>
  <c r="N16" i="34" s="1"/>
  <c r="Y10" i="20"/>
  <c r="AE10" i="20" s="1"/>
  <c r="I10" i="20"/>
  <c r="AA10" i="20" s="1"/>
  <c r="AG10" i="20" s="1"/>
  <c r="G10" i="30"/>
  <c r="I9" i="30"/>
  <c r="AG8" i="20"/>
  <c r="AG15" i="12" l="1"/>
  <c r="G9" i="14"/>
  <c r="K9" i="14" s="1"/>
  <c r="L9" i="14" s="1"/>
  <c r="M9" i="14" s="1"/>
  <c r="X16" i="24"/>
  <c r="C144" i="40"/>
  <c r="C145" i="40" s="1"/>
  <c r="C146" i="40" s="1"/>
  <c r="C147" i="40" s="1"/>
  <c r="C148" i="40" s="1"/>
  <c r="C149" i="40" s="1"/>
  <c r="C150" i="40" s="1"/>
  <c r="C151" i="40" s="1"/>
  <c r="C152" i="40" s="1"/>
  <c r="C153" i="40" s="1"/>
  <c r="C154" i="40" s="1"/>
  <c r="C155" i="40" s="1"/>
  <c r="C156" i="40" s="1"/>
  <c r="C157" i="40" s="1"/>
  <c r="C158" i="40" s="1"/>
  <c r="C159" i="40" s="1"/>
  <c r="C160" i="40" s="1"/>
  <c r="C161" i="40" s="1"/>
  <c r="C162" i="40" s="1"/>
  <c r="C163" i="40" s="1"/>
  <c r="C8" i="10"/>
  <c r="O8" i="44"/>
  <c r="AF16" i="24"/>
  <c r="AD98" i="12"/>
  <c r="U8" i="33"/>
  <c r="F11" i="33"/>
  <c r="Q10" i="33"/>
  <c r="S9" i="33"/>
  <c r="J9" i="33"/>
  <c r="X39" i="20"/>
  <c r="Y39" i="20" s="1"/>
  <c r="X29" i="20"/>
  <c r="Y29" i="20" s="1"/>
  <c r="X35" i="20"/>
  <c r="Y35" i="20" s="1"/>
  <c r="X30" i="20"/>
  <c r="Y30" i="20" s="1"/>
  <c r="X31" i="20"/>
  <c r="Y31" i="20" s="1"/>
  <c r="X36" i="20"/>
  <c r="Y36" i="20" s="1"/>
  <c r="X38" i="20"/>
  <c r="Y38" i="20" s="1"/>
  <c r="X25" i="20"/>
  <c r="Y25" i="20" s="1"/>
  <c r="X26" i="20"/>
  <c r="Y26" i="20" s="1"/>
  <c r="X27" i="20"/>
  <c r="Y27" i="20" s="1"/>
  <c r="N18" i="34"/>
  <c r="M18" i="34"/>
  <c r="N10" i="16"/>
  <c r="X33" i="20"/>
  <c r="Y33" i="20" s="1"/>
  <c r="I12" i="20"/>
  <c r="E73" i="12" s="1"/>
  <c r="D12" i="24" s="1"/>
  <c r="H12" i="24" s="1"/>
  <c r="X37" i="20"/>
  <c r="E92" i="12" s="1"/>
  <c r="H92" i="12" s="1"/>
  <c r="X28" i="20"/>
  <c r="Y28" i="20" s="1"/>
  <c r="J9" i="16"/>
  <c r="P9" i="16"/>
  <c r="R9" i="16" s="1"/>
  <c r="X32" i="20"/>
  <c r="Y32" i="20" s="1"/>
  <c r="I10" i="30"/>
  <c r="G11" i="30"/>
  <c r="X34" i="20"/>
  <c r="Y34" i="20" s="1"/>
  <c r="M18" i="20"/>
  <c r="N18" i="20" s="1"/>
  <c r="O18" i="20" s="1"/>
  <c r="O9" i="14" l="1"/>
  <c r="I39" i="12" s="1"/>
  <c r="G39" i="12" s="1"/>
  <c r="N9" i="14"/>
  <c r="H39" i="12" s="1"/>
  <c r="P12" i="24"/>
  <c r="AJ12" i="24"/>
  <c r="AN12" i="24" s="1"/>
  <c r="P16" i="24"/>
  <c r="AJ16" i="24"/>
  <c r="AN16" i="24" s="1"/>
  <c r="G11" i="14"/>
  <c r="K10" i="14"/>
  <c r="L10" i="14" s="1"/>
  <c r="M10" i="14" s="1"/>
  <c r="U8" i="44"/>
  <c r="L32" i="44"/>
  <c r="F39" i="12"/>
  <c r="X12" i="24"/>
  <c r="C164" i="40"/>
  <c r="C165" i="40" s="1"/>
  <c r="C166" i="40" s="1"/>
  <c r="C167" i="40" s="1"/>
  <c r="C168" i="40" s="1"/>
  <c r="C169" i="40" s="1"/>
  <c r="C170" i="40" s="1"/>
  <c r="C171" i="40" s="1"/>
  <c r="C172" i="40" s="1"/>
  <c r="C173" i="40" s="1"/>
  <c r="C174" i="40" s="1"/>
  <c r="C175" i="40" s="1"/>
  <c r="C176" i="40" s="1"/>
  <c r="C177" i="40" s="1"/>
  <c r="C178" i="40" s="1"/>
  <c r="C179" i="40" s="1"/>
  <c r="C180" i="40" s="1"/>
  <c r="C181" i="40" s="1"/>
  <c r="C182" i="40" s="1"/>
  <c r="C183" i="40" s="1"/>
  <c r="C184" i="40" s="1"/>
  <c r="C185" i="40" s="1"/>
  <c r="C186" i="40" s="1"/>
  <c r="C187" i="40" s="1"/>
  <c r="C188" i="40" s="1"/>
  <c r="C189" i="40" s="1"/>
  <c r="C190" i="40" s="1"/>
  <c r="C191" i="40" s="1"/>
  <c r="C192" i="40" s="1"/>
  <c r="C193" i="40" s="1"/>
  <c r="C194" i="40" s="1"/>
  <c r="M9" i="40" s="1"/>
  <c r="M10" i="40" s="1"/>
  <c r="P5" i="40" s="1"/>
  <c r="P6" i="40" s="1"/>
  <c r="G9" i="40"/>
  <c r="G10" i="40" s="1"/>
  <c r="J5" i="40" s="1"/>
  <c r="C9" i="10"/>
  <c r="C11" i="10"/>
  <c r="C280" i="41"/>
  <c r="C281" i="41" s="1"/>
  <c r="C282" i="41" s="1"/>
  <c r="C283" i="41" s="1"/>
  <c r="C284" i="41" s="1"/>
  <c r="C285" i="41" s="1"/>
  <c r="C286" i="41" s="1"/>
  <c r="C287" i="41" s="1"/>
  <c r="C288" i="41" s="1"/>
  <c r="C289" i="41" s="1"/>
  <c r="C290" i="41" s="1"/>
  <c r="C291" i="41" s="1"/>
  <c r="C292" i="41" s="1"/>
  <c r="C293" i="41" s="1"/>
  <c r="AF12" i="24"/>
  <c r="AD95" i="12"/>
  <c r="U9" i="33"/>
  <c r="J10" i="33"/>
  <c r="S10" i="33"/>
  <c r="F12" i="33"/>
  <c r="Q11" i="33"/>
  <c r="N20" i="34"/>
  <c r="J20" i="34" s="1"/>
  <c r="Y37" i="20"/>
  <c r="F73" i="12"/>
  <c r="P10" i="16"/>
  <c r="R10" i="16" s="1"/>
  <c r="J10" i="16"/>
  <c r="N11" i="16"/>
  <c r="AG6" i="20"/>
  <c r="AG12" i="20" s="1"/>
  <c r="AG13" i="20" s="1"/>
  <c r="G92" i="12" s="1"/>
  <c r="G12" i="30"/>
  <c r="I11" i="30"/>
  <c r="D92" i="12"/>
  <c r="O10" i="14" l="1"/>
  <c r="I40" i="12" s="1"/>
  <c r="G40" i="12" s="1"/>
  <c r="N10" i="14"/>
  <c r="H40" i="12" s="1"/>
  <c r="M22" i="44"/>
  <c r="N22" i="44" s="1"/>
  <c r="O22" i="44" s="1"/>
  <c r="M9" i="44" s="1"/>
  <c r="S9" i="44" s="1"/>
  <c r="K11" i="14"/>
  <c r="L11" i="14" s="1"/>
  <c r="M11" i="14" s="1"/>
  <c r="J6" i="40"/>
  <c r="J8" i="40" s="1"/>
  <c r="H49" i="12" s="1"/>
  <c r="G49" i="12" s="1"/>
  <c r="J19" i="40"/>
  <c r="F40" i="12"/>
  <c r="P8" i="40"/>
  <c r="H50" i="12" s="1"/>
  <c r="G50" i="12" s="1"/>
  <c r="P9" i="40"/>
  <c r="I50" i="12" s="1"/>
  <c r="F50" i="12"/>
  <c r="C8" i="43"/>
  <c r="U10" i="33"/>
  <c r="C294" i="41"/>
  <c r="C295" i="41" s="1"/>
  <c r="C296" i="41" s="1"/>
  <c r="C297" i="41" s="1"/>
  <c r="C298" i="41" s="1"/>
  <c r="C299" i="41" s="1"/>
  <c r="C8" i="9" s="1"/>
  <c r="C10" i="9" s="1"/>
  <c r="C11" i="9" s="1"/>
  <c r="C10" i="31"/>
  <c r="C11" i="31" s="1"/>
  <c r="C11" i="32"/>
  <c r="F13" i="33"/>
  <c r="Q12" i="33"/>
  <c r="S11" i="33"/>
  <c r="J11" i="33"/>
  <c r="F78" i="12"/>
  <c r="AH15" i="12" s="1"/>
  <c r="P11" i="16"/>
  <c r="R11" i="16" s="1"/>
  <c r="I16" i="16" s="1"/>
  <c r="J16" i="16" s="1"/>
  <c r="J11" i="16"/>
  <c r="J13" i="16" s="1"/>
  <c r="H13" i="12" s="1"/>
  <c r="D33" i="24" s="1"/>
  <c r="H33" i="24" s="1"/>
  <c r="I12" i="30"/>
  <c r="G13" i="30"/>
  <c r="N19" i="26"/>
  <c r="O19" i="26" s="1"/>
  <c r="P19" i="26" s="1"/>
  <c r="O11" i="14" l="1"/>
  <c r="I41" i="12" s="1"/>
  <c r="G41" i="12" s="1"/>
  <c r="N11" i="14"/>
  <c r="H41" i="12" s="1"/>
  <c r="O9" i="44"/>
  <c r="U9" i="44" s="1"/>
  <c r="F41" i="12"/>
  <c r="J9" i="40"/>
  <c r="I49" i="12" s="1"/>
  <c r="F49" i="12"/>
  <c r="P33" i="24"/>
  <c r="AJ33" i="24"/>
  <c r="AN33" i="24" s="1"/>
  <c r="N25" i="45"/>
  <c r="O25" i="45" s="1"/>
  <c r="M10" i="45" s="1"/>
  <c r="O10" i="45" s="1"/>
  <c r="X33" i="24"/>
  <c r="AF33" i="24"/>
  <c r="H7" i="31"/>
  <c r="H14" i="9"/>
  <c r="H12" i="9"/>
  <c r="H13" i="9"/>
  <c r="H19" i="9"/>
  <c r="H20" i="9"/>
  <c r="H21" i="9"/>
  <c r="H11" i="9"/>
  <c r="H15" i="9"/>
  <c r="H18" i="9"/>
  <c r="H22" i="9"/>
  <c r="H10" i="9"/>
  <c r="H17" i="9"/>
  <c r="H8" i="9"/>
  <c r="H16" i="9"/>
  <c r="H9" i="9"/>
  <c r="C10" i="43"/>
  <c r="C11" i="43" s="1"/>
  <c r="C9" i="43"/>
  <c r="N26" i="45"/>
  <c r="O26" i="45" s="1"/>
  <c r="M11" i="45" s="1"/>
  <c r="U11" i="33"/>
  <c r="H7" i="32"/>
  <c r="H8" i="32"/>
  <c r="H9" i="32"/>
  <c r="C300" i="41"/>
  <c r="C301" i="41" s="1"/>
  <c r="C302" i="41" s="1"/>
  <c r="C303" i="41" s="1"/>
  <c r="C304" i="41" s="1"/>
  <c r="C305" i="41" s="1"/>
  <c r="C306" i="41" s="1"/>
  <c r="C307" i="41" s="1"/>
  <c r="C308" i="41" s="1"/>
  <c r="C309" i="41" s="1"/>
  <c r="C9" i="9"/>
  <c r="I13" i="12"/>
  <c r="Z72" i="12"/>
  <c r="I17" i="16"/>
  <c r="J17" i="16" s="1"/>
  <c r="J12" i="33"/>
  <c r="S12" i="33"/>
  <c r="F14" i="33"/>
  <c r="Q13" i="33"/>
  <c r="I15" i="16"/>
  <c r="J15" i="16" s="1"/>
  <c r="G14" i="30"/>
  <c r="I14" i="30" s="1"/>
  <c r="I13" i="30"/>
  <c r="M22" i="23"/>
  <c r="N22" i="23" s="1"/>
  <c r="O22" i="23" s="1"/>
  <c r="M21" i="17"/>
  <c r="N21" i="17" s="1"/>
  <c r="O21" i="17" s="1"/>
  <c r="M23" i="44" l="1"/>
  <c r="N23" i="44" s="1"/>
  <c r="O23" i="44" s="1"/>
  <c r="M10" i="44" s="1"/>
  <c r="S10" i="44" s="1"/>
  <c r="S10" i="45"/>
  <c r="U10" i="45" s="1"/>
  <c r="I21" i="30"/>
  <c r="I22" i="30" s="1"/>
  <c r="F77" i="12" s="1"/>
  <c r="H17" i="43"/>
  <c r="H10" i="43"/>
  <c r="H12" i="43"/>
  <c r="H13" i="43"/>
  <c r="H9" i="43"/>
  <c r="H14" i="43"/>
  <c r="H11" i="43"/>
  <c r="H15" i="43"/>
  <c r="H8" i="43"/>
  <c r="H16" i="43"/>
  <c r="C8" i="42"/>
  <c r="Q6" i="25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Q84" i="25" s="1"/>
  <c r="Q85" i="25" s="1"/>
  <c r="Q86" i="25" s="1"/>
  <c r="Q87" i="25" s="1"/>
  <c r="Q88" i="25" s="1"/>
  <c r="Q89" i="25" s="1"/>
  <c r="Q90" i="25" s="1"/>
  <c r="Q91" i="25" s="1"/>
  <c r="Q92" i="25" s="1"/>
  <c r="Q93" i="25" s="1"/>
  <c r="Q94" i="25" s="1"/>
  <c r="Q95" i="25" s="1"/>
  <c r="Q96" i="25" s="1"/>
  <c r="Q97" i="25" s="1"/>
  <c r="Q98" i="25" s="1"/>
  <c r="Q99" i="25" s="1"/>
  <c r="Q100" i="25" s="1"/>
  <c r="Q101" i="25" s="1"/>
  <c r="Q102" i="25" s="1"/>
  <c r="Q103" i="25" s="1"/>
  <c r="Q104" i="25" s="1"/>
  <c r="Q105" i="25" s="1"/>
  <c r="Q106" i="25" s="1"/>
  <c r="Q107" i="25" s="1"/>
  <c r="Q108" i="25" s="1"/>
  <c r="Q109" i="25" s="1"/>
  <c r="Q110" i="25" s="1"/>
  <c r="Q111" i="25" s="1"/>
  <c r="Q112" i="25" s="1"/>
  <c r="Q113" i="25" s="1"/>
  <c r="Q114" i="25" s="1"/>
  <c r="Q115" i="25" s="1"/>
  <c r="Q116" i="25" s="1"/>
  <c r="Q117" i="25" s="1"/>
  <c r="Q118" i="25" s="1"/>
  <c r="Q119" i="25" s="1"/>
  <c r="Q120" i="25" s="1"/>
  <c r="Q121" i="25" s="1"/>
  <c r="Q122" i="25" s="1"/>
  <c r="Q123" i="25" s="1"/>
  <c r="Q124" i="25" s="1"/>
  <c r="Q125" i="25" s="1"/>
  <c r="Q126" i="25" s="1"/>
  <c r="Q127" i="25" s="1"/>
  <c r="Q128" i="25" s="1"/>
  <c r="Q129" i="25" s="1"/>
  <c r="Q130" i="25" s="1"/>
  <c r="Q131" i="25" s="1"/>
  <c r="Q132" i="25" s="1"/>
  <c r="Q133" i="25" s="1"/>
  <c r="Q134" i="25" s="1"/>
  <c r="Q135" i="25" s="1"/>
  <c r="Q136" i="25" s="1"/>
  <c r="Q137" i="25" s="1"/>
  <c r="Q138" i="25" s="1"/>
  <c r="Q139" i="25" s="1"/>
  <c r="Q140" i="25" s="1"/>
  <c r="Q141" i="25" s="1"/>
  <c r="Q142" i="25" s="1"/>
  <c r="Q143" i="25" s="1"/>
  <c r="Q144" i="25" s="1"/>
  <c r="Q145" i="25" s="1"/>
  <c r="Q146" i="25" s="1"/>
  <c r="Q147" i="25" s="1"/>
  <c r="Q148" i="25" s="1"/>
  <c r="Q149" i="25" s="1"/>
  <c r="Q150" i="25" s="1"/>
  <c r="Q151" i="25" s="1"/>
  <c r="Q152" i="25" s="1"/>
  <c r="Q153" i="25" s="1"/>
  <c r="Q154" i="25" s="1"/>
  <c r="Q155" i="25" s="1"/>
  <c r="Q156" i="25" s="1"/>
  <c r="Q157" i="25" s="1"/>
  <c r="Q158" i="25" s="1"/>
  <c r="Q159" i="25" s="1"/>
  <c r="Q160" i="25" s="1"/>
  <c r="Q161" i="25" s="1"/>
  <c r="Q162" i="25" s="1"/>
  <c r="Q163" i="25" s="1"/>
  <c r="Q164" i="25" s="1"/>
  <c r="Q165" i="25" s="1"/>
  <c r="Q166" i="25" s="1"/>
  <c r="Q167" i="25" s="1"/>
  <c r="Q168" i="25" s="1"/>
  <c r="Q169" i="25" s="1"/>
  <c r="Q170" i="25" s="1"/>
  <c r="Q171" i="25" s="1"/>
  <c r="Q172" i="25" s="1"/>
  <c r="Q173" i="25" s="1"/>
  <c r="Q174" i="25" s="1"/>
  <c r="Q175" i="25" s="1"/>
  <c r="Q176" i="25" s="1"/>
  <c r="Q177" i="25" s="1"/>
  <c r="Q178" i="25" s="1"/>
  <c r="Q179" i="25" s="1"/>
  <c r="Q180" i="25" s="1"/>
  <c r="Q181" i="25" s="1"/>
  <c r="Q182" i="25" s="1"/>
  <c r="Q183" i="25" s="1"/>
  <c r="Q184" i="25" s="1"/>
  <c r="Q185" i="25" s="1"/>
  <c r="Q186" i="25" s="1"/>
  <c r="Q187" i="25" s="1"/>
  <c r="Q188" i="25" s="1"/>
  <c r="Q189" i="25" s="1"/>
  <c r="Q190" i="25" s="1"/>
  <c r="Q191" i="25" s="1"/>
  <c r="Q192" i="25" s="1"/>
  <c r="Q193" i="25" s="1"/>
  <c r="Q194" i="25" s="1"/>
  <c r="Q195" i="25" s="1"/>
  <c r="Q196" i="25" s="1"/>
  <c r="Q197" i="25" s="1"/>
  <c r="Q198" i="25" s="1"/>
  <c r="Q199" i="25" s="1"/>
  <c r="Q200" i="25" s="1"/>
  <c r="Q201" i="25" s="1"/>
  <c r="Q202" i="25" s="1"/>
  <c r="Q203" i="25" s="1"/>
  <c r="Q204" i="25" s="1"/>
  <c r="Q205" i="25" s="1"/>
  <c r="Q206" i="25" s="1"/>
  <c r="Q207" i="25" s="1"/>
  <c r="Q208" i="25" s="1"/>
  <c r="Q209" i="25" s="1"/>
  <c r="Q210" i="25" s="1"/>
  <c r="Q211" i="25" s="1"/>
  <c r="Q212" i="25" s="1"/>
  <c r="Q213" i="25" s="1"/>
  <c r="Q214" i="25" s="1"/>
  <c r="Q215" i="25" s="1"/>
  <c r="Q216" i="25" s="1"/>
  <c r="Q217" i="25" s="1"/>
  <c r="Q218" i="25" s="1"/>
  <c r="Q219" i="25" s="1"/>
  <c r="Q220" i="25" s="1"/>
  <c r="Q221" i="25" s="1"/>
  <c r="Q222" i="25" s="1"/>
  <c r="Q223" i="25" s="1"/>
  <c r="Q224" i="25" s="1"/>
  <c r="Q225" i="25" s="1"/>
  <c r="Q226" i="25" s="1"/>
  <c r="Q227" i="25" s="1"/>
  <c r="Q228" i="25" s="1"/>
  <c r="Q229" i="25" s="1"/>
  <c r="Q230" i="25" s="1"/>
  <c r="Q231" i="25" s="1"/>
  <c r="Q232" i="25" s="1"/>
  <c r="Q233" i="25" s="1"/>
  <c r="Q234" i="25" s="1"/>
  <c r="Q235" i="25" s="1"/>
  <c r="Q236" i="25" s="1"/>
  <c r="Q237" i="25" s="1"/>
  <c r="Q238" i="25" s="1"/>
  <c r="Q239" i="25" s="1"/>
  <c r="Q240" i="25" s="1"/>
  <c r="Q241" i="25" s="1"/>
  <c r="Q242" i="25" s="1"/>
  <c r="Q243" i="25" s="1"/>
  <c r="Q244" i="25" s="1"/>
  <c r="Q245" i="25" s="1"/>
  <c r="Q246" i="25" s="1"/>
  <c r="Q247" i="25" s="1"/>
  <c r="Q248" i="25" s="1"/>
  <c r="Q249" i="25" s="1"/>
  <c r="Q250" i="25" s="1"/>
  <c r="Q251" i="25" s="1"/>
  <c r="Q252" i="25" s="1"/>
  <c r="Q253" i="25" s="1"/>
  <c r="Q254" i="25" s="1"/>
  <c r="Q255" i="25" s="1"/>
  <c r="Q256" i="25" s="1"/>
  <c r="Q257" i="25" s="1"/>
  <c r="Q258" i="25" s="1"/>
  <c r="Q259" i="25" s="1"/>
  <c r="Q260" i="25" s="1"/>
  <c r="Q261" i="25" s="1"/>
  <c r="Q262" i="25" s="1"/>
  <c r="Q263" i="25" s="1"/>
  <c r="Q264" i="25" s="1"/>
  <c r="Q265" i="25" s="1"/>
  <c r="Q266" i="25" s="1"/>
  <c r="Q267" i="25" s="1"/>
  <c r="Q268" i="25" s="1"/>
  <c r="Q269" i="25" s="1"/>
  <c r="Q270" i="25" s="1"/>
  <c r="Q271" i="25" s="1"/>
  <c r="Q272" i="25" s="1"/>
  <c r="Q273" i="25" s="1"/>
  <c r="Q274" i="25" s="1"/>
  <c r="Q275" i="25" s="1"/>
  <c r="Q276" i="25" s="1"/>
  <c r="Q277" i="25" s="1"/>
  <c r="Q278" i="25" s="1"/>
  <c r="Q279" i="25" s="1"/>
  <c r="Q280" i="25" s="1"/>
  <c r="Q281" i="25" s="1"/>
  <c r="Q282" i="25" s="1"/>
  <c r="Q283" i="25" s="1"/>
  <c r="Q284" i="25" s="1"/>
  <c r="Q285" i="25" s="1"/>
  <c r="Q286" i="25" s="1"/>
  <c r="Q287" i="25" s="1"/>
  <c r="Q288" i="25" s="1"/>
  <c r="Q289" i="25" s="1"/>
  <c r="Q290" i="25" s="1"/>
  <c r="Q291" i="25" s="1"/>
  <c r="Q292" i="25" s="1"/>
  <c r="Q293" i="25" s="1"/>
  <c r="Q294" i="25" s="1"/>
  <c r="Q295" i="25" s="1"/>
  <c r="Q296" i="25" s="1"/>
  <c r="Q297" i="25" s="1"/>
  <c r="Q298" i="25" s="1"/>
  <c r="Q299" i="25" s="1"/>
  <c r="Q300" i="25" s="1"/>
  <c r="Q301" i="25" s="1"/>
  <c r="Q302" i="25" s="1"/>
  <c r="Q303" i="25" s="1"/>
  <c r="Q304" i="25" s="1"/>
  <c r="Q305" i="25" s="1"/>
  <c r="Q306" i="25" s="1"/>
  <c r="Q307" i="25" s="1"/>
  <c r="Q308" i="25" s="1"/>
  <c r="Q309" i="25" s="1"/>
  <c r="Q310" i="25" s="1"/>
  <c r="Q311" i="25" s="1"/>
  <c r="Q312" i="25" s="1"/>
  <c r="Q313" i="25" s="1"/>
  <c r="Q314" i="25" s="1"/>
  <c r="Q315" i="25" s="1"/>
  <c r="Q316" i="25" s="1"/>
  <c r="Q317" i="25" s="1"/>
  <c r="Q318" i="25" s="1"/>
  <c r="Q319" i="25" s="1"/>
  <c r="Q320" i="25" s="1"/>
  <c r="Q321" i="25" s="1"/>
  <c r="Q322" i="25" s="1"/>
  <c r="Q323" i="25" s="1"/>
  <c r="Q324" i="25" s="1"/>
  <c r="Q325" i="25" s="1"/>
  <c r="Q326" i="25" s="1"/>
  <c r="Q327" i="25" s="1"/>
  <c r="Q328" i="25" s="1"/>
  <c r="Q329" i="25" s="1"/>
  <c r="Q330" i="25" s="1"/>
  <c r="Q331" i="25" s="1"/>
  <c r="Q332" i="25" s="1"/>
  <c r="Q333" i="25" s="1"/>
  <c r="Q334" i="25" s="1"/>
  <c r="Q335" i="25" s="1"/>
  <c r="Q336" i="25" s="1"/>
  <c r="Q337" i="25" s="1"/>
  <c r="Q338" i="25" s="1"/>
  <c r="Q339" i="25" s="1"/>
  <c r="Q340" i="25" s="1"/>
  <c r="Q341" i="25" s="1"/>
  <c r="Q342" i="25" s="1"/>
  <c r="Q343" i="25" s="1"/>
  <c r="Q344" i="25" s="1"/>
  <c r="Q345" i="25" s="1"/>
  <c r="Q346" i="25" s="1"/>
  <c r="Q347" i="25" s="1"/>
  <c r="Q348" i="25" s="1"/>
  <c r="Q349" i="25" s="1"/>
  <c r="Q350" i="25" s="1"/>
  <c r="Q351" i="25" s="1"/>
  <c r="Q352" i="25" s="1"/>
  <c r="Q353" i="25" s="1"/>
  <c r="Q354" i="25" s="1"/>
  <c r="Q355" i="25" s="1"/>
  <c r="Q356" i="25" s="1"/>
  <c r="Q357" i="25" s="1"/>
  <c r="Q358" i="25" s="1"/>
  <c r="Q359" i="25" s="1"/>
  <c r="Q360" i="25" s="1"/>
  <c r="Q361" i="25" s="1"/>
  <c r="Q362" i="25" s="1"/>
  <c r="Q363" i="25" s="1"/>
  <c r="Q364" i="25" s="1"/>
  <c r="Q365" i="25" s="1"/>
  <c r="Q366" i="25" s="1"/>
  <c r="Q367" i="25" s="1"/>
  <c r="Q368" i="25" s="1"/>
  <c r="Q369" i="25" s="1"/>
  <c r="Q370" i="25" s="1"/>
  <c r="N27" i="45"/>
  <c r="O27" i="45" s="1"/>
  <c r="M12" i="45" s="1"/>
  <c r="M24" i="44"/>
  <c r="N24" i="44" s="1"/>
  <c r="O24" i="44" s="1"/>
  <c r="M11" i="44" s="1"/>
  <c r="O11" i="45"/>
  <c r="S11" i="45"/>
  <c r="U11" i="45" s="1"/>
  <c r="U12" i="33"/>
  <c r="J7" i="31"/>
  <c r="Q7" i="31" s="1"/>
  <c r="O7" i="31"/>
  <c r="C310" i="41"/>
  <c r="C311" i="41" s="1"/>
  <c r="C312" i="41" s="1"/>
  <c r="C313" i="41" s="1"/>
  <c r="C314" i="41" s="1"/>
  <c r="C315" i="41" s="1"/>
  <c r="O9" i="32"/>
  <c r="Q9" i="32" s="1"/>
  <c r="J9" i="32"/>
  <c r="J8" i="32"/>
  <c r="O8" i="32"/>
  <c r="Q8" i="32" s="1"/>
  <c r="O7" i="32"/>
  <c r="Q7" i="32" s="1"/>
  <c r="J7" i="32"/>
  <c r="J13" i="12"/>
  <c r="Q14" i="33"/>
  <c r="J13" i="33"/>
  <c r="S13" i="33"/>
  <c r="O10" i="44" l="1"/>
  <c r="U10" i="44" s="1"/>
  <c r="J14" i="43"/>
  <c r="Q14" i="43" s="1"/>
  <c r="O14" i="43"/>
  <c r="O9" i="43"/>
  <c r="J9" i="43"/>
  <c r="Q9" i="43" s="1"/>
  <c r="J8" i="43"/>
  <c r="Q8" i="43" s="1"/>
  <c r="O8" i="43"/>
  <c r="J10" i="43"/>
  <c r="Q10" i="43" s="1"/>
  <c r="O10" i="43"/>
  <c r="O16" i="43"/>
  <c r="J16" i="43"/>
  <c r="Q16" i="43" s="1"/>
  <c r="J7" i="43"/>
  <c r="Q7" i="43" s="1"/>
  <c r="O7" i="43"/>
  <c r="O17" i="43"/>
  <c r="J17" i="43"/>
  <c r="Q17" i="43" s="1"/>
  <c r="C10" i="42"/>
  <c r="C11" i="42" s="1"/>
  <c r="C9" i="42"/>
  <c r="O13" i="43"/>
  <c r="J13" i="43"/>
  <c r="Q13" i="43" s="1"/>
  <c r="J12" i="43"/>
  <c r="Q12" i="43" s="1"/>
  <c r="O12" i="43"/>
  <c r="O15" i="43"/>
  <c r="J15" i="43"/>
  <c r="Q15" i="43" s="1"/>
  <c r="O11" i="43"/>
  <c r="J11" i="43"/>
  <c r="Q11" i="43" s="1"/>
  <c r="C8" i="15"/>
  <c r="N11" i="44"/>
  <c r="T11" i="44" s="1"/>
  <c r="O12" i="45"/>
  <c r="S12" i="45"/>
  <c r="U12" i="45" s="1"/>
  <c r="N28" i="45"/>
  <c r="O28" i="45" s="1"/>
  <c r="S11" i="44"/>
  <c r="J9" i="31"/>
  <c r="J16" i="9"/>
  <c r="O16" i="9"/>
  <c r="O17" i="9"/>
  <c r="J17" i="9"/>
  <c r="J11" i="9"/>
  <c r="O11" i="9"/>
  <c r="O21" i="9"/>
  <c r="J21" i="9"/>
  <c r="C316" i="41"/>
  <c r="C10" i="15"/>
  <c r="C11" i="15" s="1"/>
  <c r="O8" i="9"/>
  <c r="J8" i="9"/>
  <c r="J13" i="9"/>
  <c r="O13" i="9"/>
  <c r="J15" i="9"/>
  <c r="O15" i="9"/>
  <c r="O18" i="9"/>
  <c r="J18" i="9"/>
  <c r="J19" i="9"/>
  <c r="O19" i="9"/>
  <c r="J9" i="9"/>
  <c r="O9" i="9"/>
  <c r="I16" i="32"/>
  <c r="J16" i="32" s="1"/>
  <c r="I18" i="32"/>
  <c r="J18" i="32" s="1"/>
  <c r="J14" i="12" s="1"/>
  <c r="I17" i="32"/>
  <c r="J17" i="32" s="1"/>
  <c r="I14" i="12" s="1"/>
  <c r="O7" i="9"/>
  <c r="J7" i="9"/>
  <c r="O20" i="9"/>
  <c r="J20" i="9"/>
  <c r="J11" i="32"/>
  <c r="O22" i="9"/>
  <c r="J22" i="9"/>
  <c r="O10" i="9"/>
  <c r="J10" i="9"/>
  <c r="H9" i="42"/>
  <c r="H8" i="42"/>
  <c r="J14" i="9"/>
  <c r="O14" i="9"/>
  <c r="O12" i="9"/>
  <c r="J12" i="9"/>
  <c r="E77" i="12"/>
  <c r="D17" i="24" s="1"/>
  <c r="H17" i="24" s="1"/>
  <c r="U13" i="33"/>
  <c r="J14" i="33"/>
  <c r="S14" i="33"/>
  <c r="N17" i="4"/>
  <c r="O17" i="4" s="1"/>
  <c r="J16" i="33" l="1"/>
  <c r="M14" i="33" s="1"/>
  <c r="P17" i="24"/>
  <c r="AJ17" i="24"/>
  <c r="AN17" i="24" s="1"/>
  <c r="X17" i="24"/>
  <c r="AF17" i="24"/>
  <c r="O11" i="44"/>
  <c r="U11" i="44" s="1"/>
  <c r="H29" i="44" s="1"/>
  <c r="I29" i="44" s="1"/>
  <c r="I21" i="12" s="1"/>
  <c r="C9" i="15"/>
  <c r="O7" i="15"/>
  <c r="Q7" i="15" s="1"/>
  <c r="C317" i="41"/>
  <c r="C318" i="41" s="1"/>
  <c r="C319" i="41" s="1"/>
  <c r="C320" i="41" s="1"/>
  <c r="C321" i="41" s="1"/>
  <c r="C322" i="41" s="1"/>
  <c r="C323" i="41" s="1"/>
  <c r="C324" i="41" s="1"/>
  <c r="C325" i="41" s="1"/>
  <c r="C326" i="41" s="1"/>
  <c r="C327" i="41" s="1"/>
  <c r="C328" i="41" s="1"/>
  <c r="C329" i="41" s="1"/>
  <c r="C8" i="28" s="1"/>
  <c r="N13" i="45"/>
  <c r="T13" i="45" s="1"/>
  <c r="M13" i="45"/>
  <c r="U14" i="33"/>
  <c r="I20" i="33" s="1"/>
  <c r="J20" i="33" s="1"/>
  <c r="I14" i="31"/>
  <c r="J14" i="31" s="1"/>
  <c r="I13" i="31"/>
  <c r="J13" i="31" s="1"/>
  <c r="Q8" i="9"/>
  <c r="V8" i="9"/>
  <c r="X8" i="9" s="1"/>
  <c r="H7" i="15"/>
  <c r="J7" i="15" s="1"/>
  <c r="J10" i="31"/>
  <c r="V10" i="9"/>
  <c r="X10" i="9" s="1"/>
  <c r="Q10" i="9"/>
  <c r="J8" i="42"/>
  <c r="Q8" i="42" s="1"/>
  <c r="O8" i="42"/>
  <c r="O7" i="42"/>
  <c r="J7" i="42"/>
  <c r="Q7" i="42" s="1"/>
  <c r="Q22" i="9"/>
  <c r="V22" i="9"/>
  <c r="X22" i="9" s="1"/>
  <c r="J24" i="9"/>
  <c r="J25" i="9" s="1"/>
  <c r="G28" i="12" s="1"/>
  <c r="J12" i="32"/>
  <c r="G14" i="12" s="1"/>
  <c r="AA77" i="12" s="1"/>
  <c r="H14" i="12"/>
  <c r="D34" i="24" s="1"/>
  <c r="H34" i="24" s="1"/>
  <c r="V9" i="9"/>
  <c r="X9" i="9" s="1"/>
  <c r="Q9" i="9"/>
  <c r="Q15" i="9"/>
  <c r="V15" i="9"/>
  <c r="X15" i="9" s="1"/>
  <c r="Q14" i="9"/>
  <c r="V14" i="9"/>
  <c r="X14" i="9" s="1"/>
  <c r="Q18" i="9"/>
  <c r="V18" i="9"/>
  <c r="X18" i="9" s="1"/>
  <c r="O9" i="42"/>
  <c r="J9" i="42"/>
  <c r="Q9" i="42" s="1"/>
  <c r="Q21" i="9"/>
  <c r="V21" i="9"/>
  <c r="X21" i="9" s="1"/>
  <c r="V17" i="9"/>
  <c r="X17" i="9" s="1"/>
  <c r="Q17" i="9"/>
  <c r="V7" i="9"/>
  <c r="X7" i="9" s="1"/>
  <c r="Q7" i="9"/>
  <c r="Q11" i="9"/>
  <c r="V11" i="9"/>
  <c r="X11" i="9" s="1"/>
  <c r="Q16" i="9"/>
  <c r="V16" i="9"/>
  <c r="X16" i="9" s="1"/>
  <c r="Q20" i="9"/>
  <c r="V20" i="9"/>
  <c r="X20" i="9" s="1"/>
  <c r="Q19" i="9"/>
  <c r="V19" i="9"/>
  <c r="X19" i="9" s="1"/>
  <c r="Q13" i="9"/>
  <c r="V13" i="9"/>
  <c r="X13" i="9" s="1"/>
  <c r="Q12" i="9"/>
  <c r="V12" i="9"/>
  <c r="X12" i="9" s="1"/>
  <c r="M15" i="11"/>
  <c r="N15" i="11" s="1"/>
  <c r="O15" i="11" s="1"/>
  <c r="M7" i="4"/>
  <c r="N7" i="4"/>
  <c r="T7" i="4" s="1"/>
  <c r="M7" i="33" l="1"/>
  <c r="N7" i="33" s="1"/>
  <c r="M8" i="33"/>
  <c r="N8" i="33" s="1"/>
  <c r="M9" i="33"/>
  <c r="N9" i="33" s="1"/>
  <c r="M10" i="33"/>
  <c r="N10" i="33" s="1"/>
  <c r="M11" i="33"/>
  <c r="N11" i="33" s="1"/>
  <c r="M12" i="33"/>
  <c r="N12" i="33" s="1"/>
  <c r="M13" i="33"/>
  <c r="N13" i="33" s="1"/>
  <c r="P34" i="24"/>
  <c r="AJ34" i="24"/>
  <c r="AN34" i="24" s="1"/>
  <c r="X34" i="24"/>
  <c r="X37" i="24"/>
  <c r="AF37" i="24"/>
  <c r="H28" i="44"/>
  <c r="I28" i="44" s="1"/>
  <c r="H30" i="44"/>
  <c r="I30" i="44" s="1"/>
  <c r="J21" i="12" s="1"/>
  <c r="O13" i="44"/>
  <c r="O14" i="44" s="1"/>
  <c r="G21" i="12" s="1"/>
  <c r="AA85" i="12" s="1"/>
  <c r="C330" i="41"/>
  <c r="C331" i="41" s="1"/>
  <c r="C332" i="41" s="1"/>
  <c r="C333" i="41" s="1"/>
  <c r="C334" i="41" s="1"/>
  <c r="C335" i="41" s="1"/>
  <c r="C336" i="41" s="1"/>
  <c r="C337" i="41" s="1"/>
  <c r="C338" i="41" s="1"/>
  <c r="C339" i="41" s="1"/>
  <c r="C340" i="41" s="1"/>
  <c r="C341" i="41" s="1"/>
  <c r="C10" i="28"/>
  <c r="C11" i="28" s="1"/>
  <c r="H14" i="28" s="1"/>
  <c r="C9" i="28"/>
  <c r="H29" i="12"/>
  <c r="D38" i="24" s="1"/>
  <c r="H38" i="24" s="1"/>
  <c r="G29" i="12"/>
  <c r="I25" i="43"/>
  <c r="J25" i="43" s="1"/>
  <c r="I29" i="12" s="1"/>
  <c r="I26" i="43"/>
  <c r="J26" i="43" s="1"/>
  <c r="J29" i="12" s="1"/>
  <c r="I15" i="15"/>
  <c r="J15" i="15" s="1"/>
  <c r="I17" i="15"/>
  <c r="J17" i="15" s="1"/>
  <c r="J10" i="12" s="1"/>
  <c r="I16" i="15"/>
  <c r="J16" i="15" s="1"/>
  <c r="I10" i="12" s="1"/>
  <c r="I21" i="33"/>
  <c r="J21" i="33" s="1"/>
  <c r="S13" i="45"/>
  <c r="U13" i="45" s="1"/>
  <c r="O13" i="45"/>
  <c r="O15" i="45" s="1"/>
  <c r="O16" i="45" s="1"/>
  <c r="Z77" i="12"/>
  <c r="C12" i="10"/>
  <c r="J10" i="15"/>
  <c r="N14" i="33"/>
  <c r="J11" i="42"/>
  <c r="H20" i="28"/>
  <c r="H28" i="28"/>
  <c r="H13" i="28"/>
  <c r="H15" i="28"/>
  <c r="H23" i="28"/>
  <c r="H8" i="28"/>
  <c r="H24" i="28"/>
  <c r="H32" i="28"/>
  <c r="H19" i="28"/>
  <c r="H9" i="28"/>
  <c r="H25" i="28"/>
  <c r="H10" i="28"/>
  <c r="H18" i="28"/>
  <c r="H26" i="28"/>
  <c r="H11" i="28"/>
  <c r="H37" i="9"/>
  <c r="I37" i="9" s="1"/>
  <c r="I28" i="12" s="1"/>
  <c r="H36" i="9"/>
  <c r="I36" i="9" s="1"/>
  <c r="J28" i="12" s="1"/>
  <c r="H35" i="9"/>
  <c r="I35" i="9" s="1"/>
  <c r="H28" i="12"/>
  <c r="D41" i="24" s="1"/>
  <c r="H41" i="24" s="1"/>
  <c r="S7" i="4"/>
  <c r="U7" i="4" s="1"/>
  <c r="O7" i="4"/>
  <c r="N7" i="11"/>
  <c r="T7" i="11" s="1"/>
  <c r="M7" i="11"/>
  <c r="M19" i="20"/>
  <c r="N19" i="20" s="1"/>
  <c r="O19" i="20" s="1"/>
  <c r="M7" i="20" s="1"/>
  <c r="M17" i="33" l="1"/>
  <c r="N17" i="33"/>
  <c r="H10" i="12"/>
  <c r="D32" i="24" s="1"/>
  <c r="H32" i="24" s="1"/>
  <c r="I57" i="12"/>
  <c r="P41" i="24"/>
  <c r="AJ41" i="24"/>
  <c r="P32" i="24"/>
  <c r="AJ32" i="24"/>
  <c r="AN32" i="24" s="1"/>
  <c r="P38" i="24"/>
  <c r="AJ38" i="24"/>
  <c r="AN38" i="24" s="1"/>
  <c r="H27" i="28"/>
  <c r="H29" i="28"/>
  <c r="H21" i="28"/>
  <c r="X42" i="24"/>
  <c r="AU13" i="24"/>
  <c r="AU15" i="24" s="1"/>
  <c r="AU16" i="24" s="1"/>
  <c r="X39" i="24"/>
  <c r="X32" i="24"/>
  <c r="AF34" i="24"/>
  <c r="AF42" i="24"/>
  <c r="AF39" i="24"/>
  <c r="H21" i="12"/>
  <c r="Z85" i="12" s="1"/>
  <c r="H17" i="28"/>
  <c r="H7" i="28"/>
  <c r="O7" i="28" s="1"/>
  <c r="H12" i="28"/>
  <c r="J12" i="28" s="1"/>
  <c r="Q12" i="28" s="1"/>
  <c r="H16" i="28"/>
  <c r="O16" i="28" s="1"/>
  <c r="H30" i="28"/>
  <c r="J30" i="28" s="1"/>
  <c r="Q30" i="28" s="1"/>
  <c r="H22" i="28"/>
  <c r="O22" i="28" s="1"/>
  <c r="H33" i="28"/>
  <c r="O33" i="28" s="1"/>
  <c r="H31" i="28"/>
  <c r="J31" i="28" s="1"/>
  <c r="Q31" i="28" s="1"/>
  <c r="O10" i="4"/>
  <c r="O11" i="4" s="1"/>
  <c r="G12" i="12" s="1"/>
  <c r="O20" i="4"/>
  <c r="H31" i="45"/>
  <c r="I31" i="45" s="1"/>
  <c r="H33" i="45"/>
  <c r="I33" i="45" s="1"/>
  <c r="H32" i="45"/>
  <c r="I32" i="45" s="1"/>
  <c r="H9" i="10"/>
  <c r="H8" i="10"/>
  <c r="H10" i="10"/>
  <c r="J11" i="15"/>
  <c r="O15" i="28"/>
  <c r="J15" i="28"/>
  <c r="Q15" i="28" s="1"/>
  <c r="J21" i="28"/>
  <c r="Q21" i="28" s="1"/>
  <c r="O21" i="28"/>
  <c r="J29" i="28"/>
  <c r="Q29" i="28" s="1"/>
  <c r="O29" i="28"/>
  <c r="J9" i="28"/>
  <c r="Q9" i="28" s="1"/>
  <c r="O9" i="28"/>
  <c r="J13" i="28"/>
  <c r="Q13" i="28" s="1"/>
  <c r="O13" i="28"/>
  <c r="O10" i="28"/>
  <c r="J10" i="28"/>
  <c r="Q10" i="28" s="1"/>
  <c r="J8" i="28"/>
  <c r="Q8" i="28" s="1"/>
  <c r="O8" i="28"/>
  <c r="O25" i="28"/>
  <c r="J25" i="28"/>
  <c r="Q25" i="28" s="1"/>
  <c r="O23" i="28"/>
  <c r="J23" i="28"/>
  <c r="Q23" i="28" s="1"/>
  <c r="O17" i="28"/>
  <c r="J17" i="28"/>
  <c r="Q17" i="28" s="1"/>
  <c r="J11" i="28"/>
  <c r="Q11" i="28" s="1"/>
  <c r="O11" i="28"/>
  <c r="J27" i="28"/>
  <c r="Q27" i="28" s="1"/>
  <c r="O27" i="28"/>
  <c r="J28" i="28"/>
  <c r="Q28" i="28" s="1"/>
  <c r="O28" i="28"/>
  <c r="J19" i="28"/>
  <c r="Q19" i="28" s="1"/>
  <c r="O19" i="28"/>
  <c r="O26" i="28"/>
  <c r="J26" i="28"/>
  <c r="Q26" i="28" s="1"/>
  <c r="J32" i="28"/>
  <c r="Q32" i="28" s="1"/>
  <c r="O32" i="28"/>
  <c r="J16" i="28"/>
  <c r="Q16" i="28" s="1"/>
  <c r="O20" i="28"/>
  <c r="J20" i="28"/>
  <c r="Q20" i="28" s="1"/>
  <c r="J18" i="28"/>
  <c r="Q18" i="28" s="1"/>
  <c r="O18" i="28"/>
  <c r="O24" i="28"/>
  <c r="J24" i="28"/>
  <c r="Q24" i="28" s="1"/>
  <c r="H26" i="12"/>
  <c r="D37" i="24" s="1"/>
  <c r="H37" i="24" s="1"/>
  <c r="J12" i="42"/>
  <c r="G26" i="12" s="1"/>
  <c r="J14" i="28"/>
  <c r="Q14" i="28" s="1"/>
  <c r="O14" i="28"/>
  <c r="I15" i="42"/>
  <c r="J15" i="42" s="1"/>
  <c r="I26" i="12" s="1"/>
  <c r="I16" i="42"/>
  <c r="J16" i="42" s="1"/>
  <c r="J26" i="12" s="1"/>
  <c r="S7" i="11"/>
  <c r="U7" i="11" s="1"/>
  <c r="O7" i="11"/>
  <c r="O7" i="20"/>
  <c r="S7" i="20"/>
  <c r="U7" i="20" s="1"/>
  <c r="H13" i="4"/>
  <c r="I13" i="4" s="1"/>
  <c r="H15" i="4"/>
  <c r="I15" i="4" s="1"/>
  <c r="H14" i="4"/>
  <c r="I14" i="4" s="1"/>
  <c r="M18" i="13"/>
  <c r="N18" i="13" s="1"/>
  <c r="O18" i="13" s="1"/>
  <c r="M7" i="13" s="1"/>
  <c r="S7" i="13" s="1"/>
  <c r="N19" i="33" l="1"/>
  <c r="J17" i="33" s="1"/>
  <c r="Z74" i="12"/>
  <c r="G10" i="12"/>
  <c r="AA74" i="12" s="1"/>
  <c r="J57" i="12"/>
  <c r="P37" i="24"/>
  <c r="AJ37" i="24"/>
  <c r="AN37" i="24" s="1"/>
  <c r="O12" i="28"/>
  <c r="J7" i="28"/>
  <c r="Q7" i="28" s="1"/>
  <c r="AN41" i="24"/>
  <c r="X38" i="24"/>
  <c r="AF32" i="24"/>
  <c r="AF38" i="24"/>
  <c r="O30" i="28"/>
  <c r="J33" i="28"/>
  <c r="Q33" i="28" s="1"/>
  <c r="O31" i="28"/>
  <c r="J22" i="28"/>
  <c r="Q22" i="28" s="1"/>
  <c r="H12" i="12"/>
  <c r="O9" i="11"/>
  <c r="H11" i="12" s="1"/>
  <c r="O18" i="11"/>
  <c r="F55" i="12"/>
  <c r="O22" i="4"/>
  <c r="I55" i="12" s="1"/>
  <c r="O21" i="4"/>
  <c r="H55" i="12" s="1"/>
  <c r="G55" i="12" s="1"/>
  <c r="O10" i="10"/>
  <c r="Q10" i="10" s="1"/>
  <c r="J10" i="10"/>
  <c r="O8" i="10"/>
  <c r="Q8" i="10" s="1"/>
  <c r="J8" i="10"/>
  <c r="J9" i="10"/>
  <c r="O9" i="10"/>
  <c r="Q9" i="10" s="1"/>
  <c r="J7" i="10"/>
  <c r="O7" i="10"/>
  <c r="Q7" i="10" s="1"/>
  <c r="J12" i="12"/>
  <c r="I12" i="12"/>
  <c r="S6" i="13"/>
  <c r="O7" i="13"/>
  <c r="U7" i="13" s="1"/>
  <c r="N20" i="26"/>
  <c r="O20" i="26" s="1"/>
  <c r="P20" i="26" s="1"/>
  <c r="N7" i="26" s="1"/>
  <c r="H19" i="11"/>
  <c r="I19" i="11" s="1"/>
  <c r="H20" i="11"/>
  <c r="I20" i="11" s="1"/>
  <c r="H21" i="11"/>
  <c r="I21" i="11" s="1"/>
  <c r="Z76" i="12" l="1"/>
  <c r="J35" i="28"/>
  <c r="H30" i="12" s="1"/>
  <c r="D39" i="24" s="1"/>
  <c r="H39" i="24" s="1"/>
  <c r="O10" i="11"/>
  <c r="G11" i="12" s="1"/>
  <c r="F56" i="12"/>
  <c r="G61" i="12" s="1"/>
  <c r="O20" i="11"/>
  <c r="I56" i="12" s="1"/>
  <c r="O19" i="11"/>
  <c r="H56" i="12" s="1"/>
  <c r="G56" i="12" s="1"/>
  <c r="I17" i="10"/>
  <c r="J17" i="10" s="1"/>
  <c r="I27" i="12" s="1"/>
  <c r="I18" i="10"/>
  <c r="J18" i="10" s="1"/>
  <c r="J27" i="12" s="1"/>
  <c r="I16" i="10"/>
  <c r="J16" i="10" s="1"/>
  <c r="I39" i="28"/>
  <c r="J39" i="28" s="1"/>
  <c r="I30" i="12" s="1"/>
  <c r="I40" i="28"/>
  <c r="J40" i="28" s="1"/>
  <c r="J30" i="12" s="1"/>
  <c r="I11" i="12"/>
  <c r="J11" i="12"/>
  <c r="Z75" i="12"/>
  <c r="T7" i="26"/>
  <c r="V7" i="26" s="1"/>
  <c r="P7" i="26"/>
  <c r="M22" i="17"/>
  <c r="N22" i="17" s="1"/>
  <c r="O22" i="17" s="1"/>
  <c r="M7" i="17" s="1"/>
  <c r="M23" i="23"/>
  <c r="N23" i="23" s="1"/>
  <c r="O23" i="23" s="1"/>
  <c r="M7" i="23" s="1"/>
  <c r="P39" i="24" l="1"/>
  <c r="AJ39" i="24"/>
  <c r="AN39" i="24" s="1"/>
  <c r="X40" i="24"/>
  <c r="AF40" i="24"/>
  <c r="J36" i="28"/>
  <c r="G30" i="12" s="1"/>
  <c r="H27" i="12"/>
  <c r="D40" i="24" s="1"/>
  <c r="H40" i="24" s="1"/>
  <c r="J13" i="10"/>
  <c r="G27" i="12" s="1"/>
  <c r="S7" i="17"/>
  <c r="U7" i="17" s="1"/>
  <c r="O7" i="17"/>
  <c r="H372" i="25"/>
  <c r="O7" i="23"/>
  <c r="S7" i="23"/>
  <c r="U7" i="23" s="1"/>
  <c r="P40" i="24" l="1"/>
  <c r="AJ40" i="24"/>
  <c r="AN40" i="24" s="1"/>
  <c r="X41" i="24"/>
  <c r="M20" i="20"/>
  <c r="N20" i="20" s="1"/>
  <c r="O20" i="20" s="1"/>
  <c r="M8" i="20" s="1"/>
  <c r="AF41" i="24" l="1"/>
  <c r="S8" i="20"/>
  <c r="U8" i="20" s="1"/>
  <c r="O8" i="20"/>
  <c r="M19" i="13"/>
  <c r="N19" i="13" s="1"/>
  <c r="O19" i="13" s="1"/>
  <c r="N8" i="13" l="1"/>
  <c r="T8" i="13" s="1"/>
  <c r="M8" i="13"/>
  <c r="N21" i="26"/>
  <c r="O21" i="26" s="1"/>
  <c r="P21" i="26" s="1"/>
  <c r="N8" i="26" s="1"/>
  <c r="T8" i="26" l="1"/>
  <c r="V8" i="26" s="1"/>
  <c r="P8" i="26"/>
  <c r="S8" i="13"/>
  <c r="U8" i="13" s="1"/>
  <c r="H17" i="13" s="1"/>
  <c r="O8" i="13"/>
  <c r="O10" i="13" s="1"/>
  <c r="M24" i="23"/>
  <c r="N24" i="23" s="1"/>
  <c r="O24" i="23" s="1"/>
  <c r="M8" i="23" s="1"/>
  <c r="M23" i="17"/>
  <c r="N23" i="17" s="1"/>
  <c r="O23" i="17" s="1"/>
  <c r="M8" i="17" s="1"/>
  <c r="H15" i="12" l="1"/>
  <c r="S8" i="17"/>
  <c r="U8" i="17" s="1"/>
  <c r="O8" i="17"/>
  <c r="O8" i="23"/>
  <c r="S8" i="23"/>
  <c r="U8" i="23" s="1"/>
  <c r="U18" i="23" s="1"/>
  <c r="O11" i="13"/>
  <c r="G15" i="12" s="1"/>
  <c r="M21" i="20"/>
  <c r="N21" i="20" s="1"/>
  <c r="O21" i="20" s="1"/>
  <c r="M9" i="20" s="1"/>
  <c r="H18" i="13"/>
  <c r="I18" i="13" s="1"/>
  <c r="I17" i="13"/>
  <c r="H19" i="13"/>
  <c r="I19" i="13" s="1"/>
  <c r="J15" i="12" l="1"/>
  <c r="I15" i="12"/>
  <c r="Z79" i="12"/>
  <c r="N22" i="26"/>
  <c r="O22" i="26" s="1"/>
  <c r="P22" i="26" s="1"/>
  <c r="S9" i="20"/>
  <c r="U9" i="20" s="1"/>
  <c r="O9" i="20"/>
  <c r="O9" i="26" l="1"/>
  <c r="U9" i="26" s="1"/>
  <c r="N9" i="26"/>
  <c r="M24" i="17"/>
  <c r="N24" i="17" s="1"/>
  <c r="O24" i="17" s="1"/>
  <c r="M9" i="17" s="1"/>
  <c r="M25" i="23"/>
  <c r="N25" i="23" s="1"/>
  <c r="O25" i="23" s="1"/>
  <c r="M9" i="23" s="1"/>
  <c r="O9" i="23" l="1"/>
  <c r="S9" i="23"/>
  <c r="U9" i="23" s="1"/>
  <c r="T9" i="26"/>
  <c r="V9" i="26" s="1"/>
  <c r="P9" i="26"/>
  <c r="P11" i="26" s="1"/>
  <c r="P12" i="26" s="1"/>
  <c r="S9" i="17"/>
  <c r="U9" i="17" s="1"/>
  <c r="O9" i="17"/>
  <c r="K372" i="25"/>
  <c r="H16" i="12" l="1"/>
  <c r="Z78" i="12" s="1"/>
  <c r="M22" i="20"/>
  <c r="N22" i="20" s="1"/>
  <c r="O22" i="20" s="1"/>
  <c r="H25" i="26"/>
  <c r="I25" i="26" s="1"/>
  <c r="H24" i="26"/>
  <c r="I24" i="26" s="1"/>
  <c r="H26" i="26"/>
  <c r="I26" i="26" s="1"/>
  <c r="G16" i="12"/>
  <c r="J16" i="12" l="1"/>
  <c r="I16" i="12"/>
  <c r="M10" i="20"/>
  <c r="N10" i="20"/>
  <c r="T10" i="20" s="1"/>
  <c r="M25" i="17"/>
  <c r="N25" i="17" s="1"/>
  <c r="O25" i="17" s="1"/>
  <c r="M26" i="23"/>
  <c r="N26" i="23" s="1"/>
  <c r="O26" i="23" s="1"/>
  <c r="M10" i="23" s="1"/>
  <c r="N10" i="17" l="1"/>
  <c r="T10" i="17" s="1"/>
  <c r="M10" i="17"/>
  <c r="O10" i="23"/>
  <c r="S10" i="23"/>
  <c r="U10" i="23" s="1"/>
  <c r="M27" i="23"/>
  <c r="N27" i="23" s="1"/>
  <c r="O27" i="23" s="1"/>
  <c r="M11" i="23" s="1"/>
  <c r="S10" i="20"/>
  <c r="U10" i="20" s="1"/>
  <c r="O10" i="20"/>
  <c r="O12" i="20" s="1"/>
  <c r="H18" i="12" l="1"/>
  <c r="N372" i="25"/>
  <c r="O11" i="23"/>
  <c r="S11" i="23"/>
  <c r="U11" i="23" s="1"/>
  <c r="O13" i="20"/>
  <c r="G18" i="12" s="1"/>
  <c r="AA81" i="12" s="1"/>
  <c r="H31" i="20"/>
  <c r="I31" i="20" s="1"/>
  <c r="H33" i="20"/>
  <c r="I33" i="20" s="1"/>
  <c r="H32" i="20"/>
  <c r="I32" i="20" s="1"/>
  <c r="S10" i="17"/>
  <c r="U10" i="17" s="1"/>
  <c r="O10" i="17"/>
  <c r="O12" i="17" s="1"/>
  <c r="H20" i="12" l="1"/>
  <c r="I18" i="12"/>
  <c r="J18" i="12"/>
  <c r="Z81" i="12"/>
  <c r="O13" i="17"/>
  <c r="G20" i="12" s="1"/>
  <c r="AA82" i="12" s="1"/>
  <c r="H29" i="17"/>
  <c r="I29" i="17" s="1"/>
  <c r="H30" i="17"/>
  <c r="I30" i="17" s="1"/>
  <c r="H28" i="17"/>
  <c r="I28" i="17" s="1"/>
  <c r="Q372" i="25"/>
  <c r="M28" i="23"/>
  <c r="N28" i="23" s="1"/>
  <c r="O28" i="23" s="1"/>
  <c r="J20" i="12" l="1"/>
  <c r="I20" i="12"/>
  <c r="Z82" i="12"/>
  <c r="M12" i="23"/>
  <c r="N12" i="23"/>
  <c r="T12" i="23" s="1"/>
  <c r="S12" i="23" l="1"/>
  <c r="U12" i="23" s="1"/>
  <c r="O12" i="23"/>
  <c r="O14" i="23" s="1"/>
  <c r="H22" i="12" l="1"/>
  <c r="O15" i="23"/>
  <c r="G22" i="12" s="1"/>
  <c r="AA84" i="12" s="1"/>
  <c r="H33" i="23"/>
  <c r="I33" i="23" s="1"/>
  <c r="H31" i="23"/>
  <c r="I31" i="23" s="1"/>
  <c r="H32" i="23"/>
  <c r="I32" i="23" s="1"/>
  <c r="I22" i="12" l="1"/>
  <c r="J22" i="12"/>
  <c r="Z84" i="12"/>
  <c r="H10" i="35" l="1"/>
  <c r="J10" i="35" s="1"/>
  <c r="H9" i="35"/>
  <c r="J9" i="35" s="1"/>
  <c r="H8" i="35"/>
  <c r="J8" i="35" s="1"/>
  <c r="H7" i="35"/>
  <c r="J7" i="35" s="1"/>
  <c r="H11" i="35"/>
  <c r="J11" i="35" s="1"/>
  <c r="H12" i="35"/>
  <c r="G6" i="35"/>
  <c r="I20" i="35" l="1"/>
  <c r="I13" i="35"/>
  <c r="I14" i="35"/>
  <c r="I12" i="35"/>
  <c r="J12" i="35" s="1"/>
  <c r="G7" i="35"/>
  <c r="I19" i="35"/>
  <c r="I21" i="35"/>
  <c r="I15" i="35"/>
  <c r="I16" i="35"/>
  <c r="I17" i="35"/>
  <c r="I18" i="35"/>
  <c r="G8" i="35" l="1"/>
  <c r="G9" i="35" l="1"/>
  <c r="G10" i="35" l="1"/>
  <c r="G11" i="35" l="1"/>
  <c r="G12" i="35" l="1"/>
  <c r="G13" i="35" l="1"/>
  <c r="G14" i="35" s="1"/>
  <c r="G15" i="35" s="1"/>
  <c r="G16" i="35" s="1"/>
  <c r="G17" i="35" s="1"/>
  <c r="G18" i="35" s="1"/>
  <c r="G19" i="35" s="1"/>
  <c r="G20" i="35" s="1"/>
  <c r="G21" i="35" s="1"/>
  <c r="H13" i="35" l="1"/>
  <c r="J13" i="35" s="1"/>
  <c r="H14" i="35" l="1"/>
  <c r="J14" i="35" s="1"/>
  <c r="H15" i="35" l="1"/>
  <c r="J15" i="35" s="1"/>
  <c r="H16" i="35" l="1"/>
  <c r="J16" i="35" s="1"/>
  <c r="H17" i="35" l="1"/>
  <c r="J17" i="35" s="1"/>
  <c r="H18" i="35" l="1"/>
  <c r="J18" i="35" s="1"/>
  <c r="H19" i="35" l="1"/>
  <c r="J19" i="35" s="1"/>
  <c r="H21" i="35" l="1"/>
  <c r="J21" i="35" s="1"/>
  <c r="H20" i="35"/>
  <c r="J20" i="35" s="1"/>
  <c r="J23" i="35" l="1"/>
  <c r="M20" i="35" s="1"/>
  <c r="N20" i="35" s="1"/>
  <c r="M13" i="35" l="1"/>
  <c r="N13" i="35" s="1"/>
  <c r="M17" i="35"/>
  <c r="N17" i="35" s="1"/>
  <c r="M18" i="35"/>
  <c r="N18" i="35" s="1"/>
  <c r="E79" i="12"/>
  <c r="D18" i="24" s="1"/>
  <c r="H18" i="24" s="1"/>
  <c r="M16" i="35"/>
  <c r="N16" i="35" s="1"/>
  <c r="M15" i="35"/>
  <c r="N15" i="35" s="1"/>
  <c r="M7" i="35"/>
  <c r="N7" i="35" s="1"/>
  <c r="M8" i="35"/>
  <c r="N8" i="35" s="1"/>
  <c r="M14" i="35"/>
  <c r="N14" i="35" s="1"/>
  <c r="M11" i="35"/>
  <c r="N11" i="35" s="1"/>
  <c r="M12" i="35"/>
  <c r="N12" i="35" s="1"/>
  <c r="M9" i="35"/>
  <c r="N9" i="35" s="1"/>
  <c r="M21" i="35"/>
  <c r="N21" i="35" s="1"/>
  <c r="M19" i="35"/>
  <c r="N19" i="35" s="1"/>
  <c r="M10" i="35"/>
  <c r="N10" i="35" s="1"/>
  <c r="P18" i="24" l="1"/>
  <c r="AJ18" i="24"/>
  <c r="AN18" i="24" s="1"/>
  <c r="X18" i="24"/>
  <c r="AF18" i="24"/>
  <c r="AD99" i="12"/>
  <c r="AD104" i="12" s="1"/>
  <c r="N22" i="35"/>
  <c r="M22" i="35"/>
  <c r="N23" i="35" l="1"/>
  <c r="J24" i="35" s="1"/>
  <c r="F79" i="12" s="1"/>
  <c r="N14" i="37"/>
  <c r="J13" i="37" s="1"/>
  <c r="G25" i="12" s="1"/>
</calcChain>
</file>

<file path=xl/sharedStrings.xml><?xml version="1.0" encoding="utf-8"?>
<sst xmlns="http://schemas.openxmlformats.org/spreadsheetml/2006/main" count="1525" uniqueCount="265">
  <si>
    <t>Emisión</t>
  </si>
  <si>
    <t>Vencimiento</t>
  </si>
  <si>
    <t>CER Inicial</t>
  </si>
  <si>
    <t>CER actual</t>
  </si>
  <si>
    <t>Coeficiente</t>
  </si>
  <si>
    <t>Cupón</t>
  </si>
  <si>
    <t>Fecha de pago</t>
  </si>
  <si>
    <t>VR</t>
  </si>
  <si>
    <t>Interes</t>
  </si>
  <si>
    <t>Total</t>
  </si>
  <si>
    <t>TIR</t>
  </si>
  <si>
    <t>Paridad</t>
  </si>
  <si>
    <t>Elaboración @robertoaxleord en base a cálculos propios y BCRA</t>
  </si>
  <si>
    <t>TIR (+CER)</t>
  </si>
  <si>
    <t>Fecha</t>
  </si>
  <si>
    <t>Amortización</t>
  </si>
  <si>
    <t>VN * CER</t>
  </si>
  <si>
    <t>TNA</t>
  </si>
  <si>
    <t>Upside</t>
  </si>
  <si>
    <t>VT</t>
  </si>
  <si>
    <t>TO21</t>
  </si>
  <si>
    <t>Días</t>
  </si>
  <si>
    <t>Duration</t>
  </si>
  <si>
    <t>Fecha de Vto.</t>
  </si>
  <si>
    <t>CER</t>
  </si>
  <si>
    <t>Datos PBA25</t>
  </si>
  <si>
    <t>PBA25</t>
  </si>
  <si>
    <t>Último pago</t>
  </si>
  <si>
    <t>BADLAR</t>
  </si>
  <si>
    <t>MD</t>
  </si>
  <si>
    <t>Cupon</t>
  </si>
  <si>
    <t>Datos PBY22</t>
  </si>
  <si>
    <t>PBY22</t>
  </si>
  <si>
    <t>Amort.</t>
  </si>
  <si>
    <t>Datos de emisión</t>
  </si>
  <si>
    <t>Flujo de fondos TX21</t>
  </si>
  <si>
    <t>Flujo de fondos TC21</t>
  </si>
  <si>
    <t>Datos de emision</t>
  </si>
  <si>
    <t>BONCER 2021 - TC21</t>
  </si>
  <si>
    <t>Bono en pesos CER al 1% Vto. 2021 - TX21</t>
  </si>
  <si>
    <t>Precio</t>
  </si>
  <si>
    <t>TC21</t>
  </si>
  <si>
    <t>TX21</t>
  </si>
  <si>
    <t>Fecha de liquidación</t>
  </si>
  <si>
    <t>Flujo de fondos TX22</t>
  </si>
  <si>
    <t>TX22</t>
  </si>
  <si>
    <t>Titulo</t>
  </si>
  <si>
    <t>Px. Mercado</t>
  </si>
  <si>
    <t>Valor a Finish</t>
  </si>
  <si>
    <t>Ticker</t>
  </si>
  <si>
    <t>Bono en pesos BADLAR + 200bps Vto. 2021</t>
  </si>
  <si>
    <t>Flujo de fondos TB21</t>
  </si>
  <si>
    <t>TB21</t>
  </si>
  <si>
    <t>Bono de Consolidación - Serie 8</t>
  </si>
  <si>
    <t>Flujo de fondos PR15</t>
  </si>
  <si>
    <t>PR15</t>
  </si>
  <si>
    <t>Días al Vto.</t>
  </si>
  <si>
    <t>Rend. Directo</t>
  </si>
  <si>
    <t>Fecha de CER</t>
  </si>
  <si>
    <t>Capital Actualizado</t>
  </si>
  <si>
    <t>Cuadro IV</t>
  </si>
  <si>
    <t>Inflación Anual</t>
  </si>
  <si>
    <t>TIR 40%</t>
  </si>
  <si>
    <t>Bonos CER (expresados en TIR + CER)</t>
  </si>
  <si>
    <t>DM</t>
  </si>
  <si>
    <t>TX23</t>
  </si>
  <si>
    <t>Flujo de fondos TX23</t>
  </si>
  <si>
    <t>Letras CER</t>
  </si>
  <si>
    <t>Fecha CER Inicio</t>
  </si>
  <si>
    <t>Valor CER Inicio</t>
  </si>
  <si>
    <t>LECERs</t>
  </si>
  <si>
    <t>Fecha CER Fin</t>
  </si>
  <si>
    <t>CER Finish Estimado</t>
  </si>
  <si>
    <t>DICP</t>
  </si>
  <si>
    <t>CUAP</t>
  </si>
  <si>
    <t>PARP</t>
  </si>
  <si>
    <t>BONCER 2023 - TC23</t>
  </si>
  <si>
    <t>Flujo de fondos TC23</t>
  </si>
  <si>
    <t>TC23</t>
  </si>
  <si>
    <t>TO23</t>
  </si>
  <si>
    <t>TO26</t>
  </si>
  <si>
    <t>TX24</t>
  </si>
  <si>
    <t>Upside a distintas TIRs</t>
  </si>
  <si>
    <t>Px.</t>
  </si>
  <si>
    <t>Var(%)</t>
  </si>
  <si>
    <t>Flujo de fondos TC21 - Ajustado por IPC</t>
  </si>
  <si>
    <t>Flujo de fondos TX21 - Ajustado por IPC</t>
  </si>
  <si>
    <t>Flujo de fondos TX22 - Ajustado por IPC</t>
  </si>
  <si>
    <t>Flujo de fondos TC23 - Ajustado por IPC</t>
  </si>
  <si>
    <t>Flujo de fondos TX23 - Ajustado por IPC</t>
  </si>
  <si>
    <t>TC25P</t>
  </si>
  <si>
    <t>PR13</t>
  </si>
  <si>
    <t>Upside a TIR</t>
  </si>
  <si>
    <t>Serie CER 2020</t>
  </si>
  <si>
    <t>Serie CER 2021</t>
  </si>
  <si>
    <t>Serie CER 2022</t>
  </si>
  <si>
    <t>Serie CER 2023</t>
  </si>
  <si>
    <t>Serie CER 2024</t>
  </si>
  <si>
    <t>CER T-10</t>
  </si>
  <si>
    <t>Bono en pesos CER al 1,40% Vto. 2023 - TX23</t>
  </si>
  <si>
    <t>Bono en pesos CER al 1,40% Vto. 2024 - TX24</t>
  </si>
  <si>
    <t>Upside a</t>
  </si>
  <si>
    <t>T2X2</t>
  </si>
  <si>
    <t>Bono en pesos CER al 1,20% Vto. 2022 - TX22</t>
  </si>
  <si>
    <t>Bono en pesos CER al 1,30% Vto. 2022 - T2X2</t>
  </si>
  <si>
    <t>Flujo de fondos T2X2</t>
  </si>
  <si>
    <t>Flujo de fondos T2X2 - Ajustado por IPC</t>
  </si>
  <si>
    <t>Px. Actual</t>
  </si>
  <si>
    <t>Px. Obj.</t>
  </si>
  <si>
    <t>Flujo de fondos TX24</t>
  </si>
  <si>
    <t>Flujo de fondos TX24 - Ajustado por IPC</t>
  </si>
  <si>
    <t>Bono en pesos BADLAR + 375bps Vto. 2028</t>
  </si>
  <si>
    <t>Flujo de fondos BCD28</t>
  </si>
  <si>
    <t>LEDEs</t>
  </si>
  <si>
    <t>Bullet</t>
  </si>
  <si>
    <t>BONCER 2025 - TC25P</t>
  </si>
  <si>
    <t>Datos PMJ21</t>
  </si>
  <si>
    <t>PMJ21</t>
  </si>
  <si>
    <t>Mendoza 2021 - PMJ21</t>
  </si>
  <si>
    <t>Flujo de fondos AA22</t>
  </si>
  <si>
    <t>AA22</t>
  </si>
  <si>
    <t>Bonos de deuda proveedores 2020 - Municipalidad de Córdoba</t>
  </si>
  <si>
    <t>Flujo de fondos BAY23</t>
  </si>
  <si>
    <t>Flujo de fondos TX26</t>
  </si>
  <si>
    <t>TX26</t>
  </si>
  <si>
    <t>Bono en pesos CER al 2% Vto. 2026 - TX26</t>
  </si>
  <si>
    <t>VPFF</t>
  </si>
  <si>
    <t>t x VPFF</t>
  </si>
  <si>
    <t>Bono en pesos CER al 2,25% Vto. 2028 - TX28</t>
  </si>
  <si>
    <t>TX28</t>
  </si>
  <si>
    <t>Fecha Emisión</t>
  </si>
  <si>
    <t>Coef.</t>
  </si>
  <si>
    <t>Bonos de deuda proveedores 2022 Neuquen</t>
  </si>
  <si>
    <t>Flujo de fondos BNY22</t>
  </si>
  <si>
    <t>IPC 2021</t>
  </si>
  <si>
    <t>IPC 2022</t>
  </si>
  <si>
    <t>IPC 2023</t>
  </si>
  <si>
    <t>IPC 2024</t>
  </si>
  <si>
    <t>Neto</t>
  </si>
  <si>
    <t>Anual</t>
  </si>
  <si>
    <t>Plazo</t>
  </si>
  <si>
    <t>Monto</t>
  </si>
  <si>
    <t>Tasa</t>
  </si>
  <si>
    <t>Pasiva</t>
  </si>
  <si>
    <t>Activa</t>
  </si>
  <si>
    <t>Fuente: BAVSA Research en base a cálculos propios y IAMC</t>
  </si>
  <si>
    <t>Lepase</t>
  </si>
  <si>
    <t>Vto.</t>
  </si>
  <si>
    <t>Empieza</t>
  </si>
  <si>
    <t>Termina</t>
  </si>
  <si>
    <t>TEA</t>
  </si>
  <si>
    <t>VN</t>
  </si>
  <si>
    <t>T+2</t>
  </si>
  <si>
    <t>T+0</t>
  </si>
  <si>
    <t>Bonos Soberanos</t>
  </si>
  <si>
    <t>BDC28</t>
  </si>
  <si>
    <t>Bonos Provinciales</t>
  </si>
  <si>
    <t>Margen</t>
  </si>
  <si>
    <t>Tasa Total</t>
  </si>
  <si>
    <t>Tasa Promedio</t>
  </si>
  <si>
    <t>Pases Pasivos 7D</t>
  </si>
  <si>
    <t>Próxima BADLAR</t>
  </si>
  <si>
    <t>BADLAR Cupón</t>
  </si>
  <si>
    <t>Cupón Actual</t>
  </si>
  <si>
    <t>Cupón Próximo</t>
  </si>
  <si>
    <t>Cupon Actual</t>
  </si>
  <si>
    <t>BADLAR Cupon</t>
  </si>
  <si>
    <t>Próximo Cupón</t>
  </si>
  <si>
    <t>BADLAR Última</t>
  </si>
  <si>
    <t>TIR 45%</t>
  </si>
  <si>
    <t>CABA 2022 - BDC22</t>
  </si>
  <si>
    <t>BDC22</t>
  </si>
  <si>
    <t>BDC24</t>
  </si>
  <si>
    <t>CABA 2024 - BDC24</t>
  </si>
  <si>
    <t>Total 2021</t>
  </si>
  <si>
    <t>X13S1</t>
  </si>
  <si>
    <t>CER Actual</t>
  </si>
  <si>
    <t>Flujo de fondos T2X3</t>
  </si>
  <si>
    <t>Bono en pesos CER al 1,45% Vto. 2023 - T2x3</t>
  </si>
  <si>
    <t>SJ301</t>
  </si>
  <si>
    <t>T2X3</t>
  </si>
  <si>
    <t>Flujo de fondos T2X3 - Ajustado por IPC</t>
  </si>
  <si>
    <t>Rendimientos expresados como TIR + CER</t>
  </si>
  <si>
    <t>LEPASE Vto. 30/06/2021</t>
  </si>
  <si>
    <t>Directo</t>
  </si>
  <si>
    <t>Variaciones de bonos ajustables por CER</t>
  </si>
  <si>
    <t>Variaciones de bonos a tasa fija y BADLAR</t>
  </si>
  <si>
    <t>Cuadro I</t>
  </si>
  <si>
    <t>Bono en pesos CER al 1,55% Vto. 2024 - T2X4</t>
  </si>
  <si>
    <t>S30L1</t>
  </si>
  <si>
    <t>MAR</t>
  </si>
  <si>
    <t>AB</t>
  </si>
  <si>
    <t>MAYO</t>
  </si>
  <si>
    <t>JUNIO</t>
  </si>
  <si>
    <t>Cuadro III</t>
  </si>
  <si>
    <t>LEPASE Vto. 30/07/2021</t>
  </si>
  <si>
    <t>SL301</t>
  </si>
  <si>
    <t>JULIO</t>
  </si>
  <si>
    <t>AGOSTO</t>
  </si>
  <si>
    <t>SEPT</t>
  </si>
  <si>
    <t>OCTUBRE</t>
  </si>
  <si>
    <t>NOVIEMBRE</t>
  </si>
  <si>
    <t>DICIEMBRE</t>
  </si>
  <si>
    <t>ENERO</t>
  </si>
  <si>
    <t>T2V1</t>
  </si>
  <si>
    <t>S31G1</t>
  </si>
  <si>
    <t>LEPASE Vto. 31/08/2021</t>
  </si>
  <si>
    <t>SG311</t>
  </si>
  <si>
    <t>Last</t>
  </si>
  <si>
    <t>Variaciones</t>
  </si>
  <si>
    <t>Px. (%)</t>
  </si>
  <si>
    <t>BPs</t>
  </si>
  <si>
    <t>Evolución de precios y tasas durante Marzo 2021</t>
  </si>
  <si>
    <t>S30S1</t>
  </si>
  <si>
    <t>LEPASE Vto. 30/09/2021</t>
  </si>
  <si>
    <t>SS301</t>
  </si>
  <si>
    <t>Evolución de precios y tasas YTD</t>
  </si>
  <si>
    <t>X28F2</t>
  </si>
  <si>
    <t>X31M2</t>
  </si>
  <si>
    <t>X18A2</t>
  </si>
  <si>
    <t>S29O1</t>
  </si>
  <si>
    <t>SO291</t>
  </si>
  <si>
    <t>LEPASE Vto. 29/10/2021</t>
  </si>
  <si>
    <t>Infla</t>
  </si>
  <si>
    <t>VN Anterior</t>
  </si>
  <si>
    <t>TEM Equiv.</t>
  </si>
  <si>
    <t>Evolución de precios y tasas durante Abril 2021</t>
  </si>
  <si>
    <t>Bonos</t>
  </si>
  <si>
    <t>Cuadro VII</t>
  </si>
  <si>
    <t>CCL</t>
  </si>
  <si>
    <t>BARBELL</t>
  </si>
  <si>
    <t>MARZO</t>
  </si>
  <si>
    <t>FEBRERO</t>
  </si>
  <si>
    <t>Evolución de precios y tasas durante Mayo 2021</t>
  </si>
  <si>
    <t>Rdo.</t>
  </si>
  <si>
    <t>Rdo (%)</t>
  </si>
  <si>
    <t>S30N1</t>
  </si>
  <si>
    <t>X23Y2</t>
  </si>
  <si>
    <t>A evaluar</t>
  </si>
  <si>
    <t>Dias</t>
  </si>
  <si>
    <t>TNA Objetivo</t>
  </si>
  <si>
    <t>Px. Letra</t>
  </si>
  <si>
    <t>Rdo</t>
  </si>
  <si>
    <t>Caución TNA</t>
  </si>
  <si>
    <t>Caución Directa</t>
  </si>
  <si>
    <t>Hoy</t>
  </si>
  <si>
    <t>Cuadro IX</t>
  </si>
  <si>
    <t xml:space="preserve">Último pago </t>
  </si>
  <si>
    <t>Tope</t>
  </si>
  <si>
    <t>BNY22</t>
  </si>
  <si>
    <t>Evolución de precios y tasas durante Junio 2021</t>
  </si>
  <si>
    <t>Cuadro V</t>
  </si>
  <si>
    <t>Flujo</t>
  </si>
  <si>
    <t>Caución</t>
  </si>
  <si>
    <t>Directa</t>
  </si>
  <si>
    <t>VPN</t>
  </si>
  <si>
    <t>BNY22 vs caución</t>
  </si>
  <si>
    <t>Gcia c/ VN 10.000.0000</t>
  </si>
  <si>
    <t>Valor VN 10.000.000</t>
  </si>
  <si>
    <t>X31D2</t>
  </si>
  <si>
    <t>IPC 06/2021</t>
  </si>
  <si>
    <t>IPC 07/2021</t>
  </si>
  <si>
    <t>IPC 08/2021</t>
  </si>
  <si>
    <t>IPC 09/2021</t>
  </si>
  <si>
    <t>IPC 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</si>
</sst>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0"/>
    <numFmt numFmtId="165" formatCode="dd/mm/yyyy;@"/>
    <numFmt numFmtId="166" formatCode="#,##0.0000"/>
    <numFmt numFmtId="167" formatCode="#,##0.000"/>
    <numFmt numFmtId="168" formatCode="0.000"/>
    <numFmt numFmtId="169" formatCode="_(* #,##0_);_(* \(#,##0\);_(* &quot;-&quot;_);_(@_)"/>
    <numFmt numFmtId="170" formatCode="_(* #,##0.00_);_(* \(#,##0.00\);_(* &quot;-&quot;??_);_(@_)"/>
    <numFmt numFmtId="171" formatCode="_(&quot;$&quot;* #,##0_);_(&quot;$&quot;* \(#,##0\);_(&quot;$&quot;* &quot;-&quot;_);_(@_)"/>
    <numFmt numFmtId="172" formatCode="_(&quot;$&quot;* #,##0.00_);_(&quot;$&quot;* \(#,##0.00\);_(&quot;$&quot;* &quot;-&quot;??_);_(@_)"/>
    <numFmt numFmtId="173" formatCode="_(* #,##0.0000000_);_(* \(#,##0.0000000\);_(* &quot;-&quot;??_);_(@_)"/>
    <numFmt numFmtId="174" formatCode="#,##0,;\-\ #,##0,;&quot;--- &quot;"/>
    <numFmt numFmtId="175" formatCode="#,##0,,;\-\ #,##0,,;&quot;--- &quot;"/>
    <numFmt numFmtId="176" formatCode="_-* #,##0.00\ [$€]_-;\-* #,##0.00\ [$€]_-;_-* &quot;-&quot;??\ [$€]_-;_-@_-"/>
    <numFmt numFmtId="177" formatCode="_-* #,##0\ _P_t_s_-;\-* #,##0\ _P_t_s_-;_-* &quot;-&quot;\ _P_t_s_-;_-@_-"/>
    <numFmt numFmtId="178" formatCode="_-* #,##0\ _€_-;\-* #,##0\ _€_-;_-* &quot;-&quot;\ _€_-;_-@_-"/>
    <numFmt numFmtId="179" formatCode="_-* #,##0\ _P_t_a_-;\-* #,##0\ _P_t_a_-;_-* &quot;-&quot;\ _P_t_a_-;_-@_-"/>
    <numFmt numFmtId="180" formatCode="_-* #,##0\ _$_-;\-* #,##0\ _$_-;_-* &quot;-&quot;\ _$_-;_-@_-"/>
    <numFmt numFmtId="181" formatCode="_ * #,##0.00_ ;_ * \-#,##0.00_ ;_ * &quot;-&quot;????_ ;_ @_ "/>
    <numFmt numFmtId="182" formatCode="_ * #,##0.0000_ ;_ * \-#,##0.0000_ ;_ * &quot;-&quot;????_ ;_ @_ "/>
    <numFmt numFmtId="183" formatCode="_-* #,##0.00\ _P_t_s_-;\-* #,##0.00\ _P_t_s_-;_-* &quot;-&quot;??\ _P_t_s_-;_-@_-"/>
    <numFmt numFmtId="184" formatCode="_-* #,##0.00\ _€_-;\-* #,##0.00\ _€_-;_-* &quot;-&quot;??\ _€_-;_-@_-"/>
    <numFmt numFmtId="185" formatCode="_-* #,##0.00\ _P_t_a_-;\-* #,##0.00\ _P_t_a_-;_-* &quot;-&quot;??\ _P_t_a_-;_-@_-"/>
    <numFmt numFmtId="186" formatCode="#,##0.00_);\(#,##0.00\);&quot; --- &quot;"/>
    <numFmt numFmtId="187" formatCode="#,"/>
    <numFmt numFmtId="188" formatCode="_-* #,##0_-;\-* #,##0_-;_-* &quot;-&quot;??_-;_-@_-"/>
    <numFmt numFmtId="189" formatCode="_-* #,##0.0000_-;\-* #,##0.0000_-;_-* &quot;-&quot;??_-;_-@_-"/>
    <numFmt numFmtId="190" formatCode="0.00000"/>
    <numFmt numFmtId="191" formatCode="#,##0.00_ ;\-#,##0.00\ "/>
    <numFmt numFmtId="192" formatCode="0.0%"/>
    <numFmt numFmtId="193" formatCode="_-* #,##0.000_-;\-* #,##0.000_-;_-* &quot;-&quot;??_-;_-@_-"/>
    <numFmt numFmtId="194" formatCode="0.00000%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Bahnschrift SemiBold"/>
      <family val="2"/>
    </font>
    <font>
      <sz val="11"/>
      <color theme="1"/>
      <name val="Bahnschrift SemiLight"/>
      <family val="2"/>
    </font>
    <font>
      <i/>
      <sz val="10"/>
      <color theme="1"/>
      <name val="Candara Light"/>
      <family val="2"/>
    </font>
    <font>
      <sz val="11"/>
      <color theme="1"/>
      <name val="Bahnschrift SemiBold"/>
      <family val="2"/>
    </font>
    <font>
      <sz val="11"/>
      <color theme="0"/>
      <name val="Bahnschrift SemiBold"/>
      <family val="2"/>
    </font>
    <font>
      <b/>
      <sz val="11"/>
      <name val="Bahnschrift SemiBold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color indexed="22"/>
      <name val="MS Sans Serif"/>
      <family val="2"/>
    </font>
    <font>
      <sz val="11"/>
      <name val="Book Antiqua"/>
      <family val="1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7.5"/>
      <color indexed="12"/>
      <name val="Arial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sz val="11"/>
      <color indexed="60"/>
      <name val="Calibri"/>
      <family val="2"/>
    </font>
    <font>
      <i/>
      <sz val="10"/>
      <name val="Arial"/>
      <family val="2"/>
    </font>
    <font>
      <b/>
      <sz val="1"/>
      <color indexed="8"/>
      <name val="Courier"/>
      <family val="3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i/>
      <sz val="9"/>
      <color theme="1" tint="0.34998626667073579"/>
      <name val="Bahnschrift SemiLight"/>
      <family val="2"/>
    </font>
    <font>
      <sz val="8"/>
      <color theme="1" tint="0.34998626667073579"/>
      <name val="Bahnschrift SemiLight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8"/>
      <color theme="1" tint="0.34998626667073579"/>
      <name val="Arial"/>
      <family val="2"/>
    </font>
    <font>
      <i/>
      <sz val="9"/>
      <color theme="1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1"/>
      <name val="Arial Nova"/>
      <family val="2"/>
    </font>
    <font>
      <b/>
      <sz val="11"/>
      <color theme="0"/>
      <name val="Arial Nova"/>
      <family val="2"/>
    </font>
    <font>
      <b/>
      <sz val="11"/>
      <color theme="1"/>
      <name val="Arial Nova"/>
      <family val="2"/>
    </font>
    <font>
      <i/>
      <sz val="10"/>
      <color theme="1"/>
      <name val="Arial Nova"/>
      <family val="2"/>
    </font>
    <font>
      <i/>
      <sz val="9"/>
      <color theme="0"/>
      <name val="Arial"/>
      <family val="2"/>
    </font>
    <font>
      <sz val="11"/>
      <name val="Calibri"/>
      <family val="2"/>
      <scheme val="minor"/>
    </font>
    <font>
      <sz val="8"/>
      <color theme="0"/>
      <name val="Arial"/>
      <family val="2"/>
    </font>
    <font>
      <sz val="11"/>
      <name val="Bahnschrift SemiBold"/>
      <family val="2"/>
    </font>
  </fonts>
  <fills count="4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4.9989318521683403E-2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/>
      <bottom/>
      <diagonal/>
    </border>
  </borders>
  <cellStyleXfs count="501">
    <xf numFmtId="0" fontId="0" fillId="0" borderId="0"/>
    <xf numFmtId="9" fontId="1" fillId="0" borderId="0" applyFont="0" applyFill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5" fillId="25" borderId="11" applyNumberFormat="0" applyAlignment="0" applyProtection="0"/>
    <xf numFmtId="0" fontId="16" fillId="26" borderId="11" applyNumberFormat="0" applyAlignment="0" applyProtection="0"/>
    <xf numFmtId="0" fontId="16" fillId="26" borderId="11" applyNumberFormat="0" applyAlignment="0" applyProtection="0"/>
    <xf numFmtId="0" fontId="16" fillId="26" borderId="11" applyNumberFormat="0" applyAlignment="0" applyProtection="0"/>
    <xf numFmtId="0" fontId="16" fillId="26" borderId="11" applyNumberFormat="0" applyAlignment="0" applyProtection="0"/>
    <xf numFmtId="0" fontId="16" fillId="26" borderId="11" applyNumberFormat="0" applyAlignment="0" applyProtection="0"/>
    <xf numFmtId="0" fontId="17" fillId="27" borderId="12" applyNumberFormat="0" applyAlignment="0" applyProtection="0"/>
    <xf numFmtId="0" fontId="17" fillId="27" borderId="12" applyNumberFormat="0" applyAlignment="0" applyProtection="0"/>
    <xf numFmtId="0" fontId="17" fillId="27" borderId="12" applyNumberFormat="0" applyAlignment="0" applyProtection="0"/>
    <xf numFmtId="0" fontId="17" fillId="27" borderId="12" applyNumberFormat="0" applyAlignment="0" applyProtection="0"/>
    <xf numFmtId="0" fontId="17" fillId="27" borderId="12" applyNumberFormat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7" fillId="27" borderId="12" applyNumberFormat="0" applyAlignment="0" applyProtection="0"/>
    <xf numFmtId="0" fontId="17" fillId="27" borderId="12" applyNumberFormat="0" applyAlignment="0" applyProtection="0"/>
    <xf numFmtId="0" fontId="17" fillId="27" borderId="12" applyNumberFormat="0" applyAlignment="0" applyProtection="0"/>
    <xf numFmtId="0" fontId="17" fillId="27" borderId="12" applyNumberFormat="0" applyAlignment="0" applyProtection="0"/>
    <xf numFmtId="0" fontId="17" fillId="27" borderId="12" applyNumberFormat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3" fontId="19" fillId="0" borderId="0" applyFont="0" applyFill="0" applyBorder="0" applyAlignment="0" applyProtection="0"/>
    <xf numFmtId="171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22" fillId="8" borderId="11" applyNumberFormat="0" applyAlignment="0" applyProtection="0"/>
    <xf numFmtId="0" fontId="22" fillId="8" borderId="11" applyNumberFormat="0" applyAlignment="0" applyProtection="0"/>
    <xf numFmtId="0" fontId="22" fillId="8" borderId="11" applyNumberFormat="0" applyAlignment="0" applyProtection="0"/>
    <xf numFmtId="0" fontId="22" fillId="8" borderId="11" applyNumberFormat="0" applyAlignment="0" applyProtection="0"/>
    <xf numFmtId="0" fontId="22" fillId="8" borderId="11" applyNumberFormat="0" applyAlignment="0" applyProtection="0"/>
    <xf numFmtId="0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5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26" fillId="0" borderId="14" applyNumberFormat="0" applyFill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22" fillId="14" borderId="11" applyNumberFormat="0" applyAlignment="0" applyProtection="0"/>
    <xf numFmtId="0" fontId="22" fillId="14" borderId="11" applyNumberFormat="0" applyAlignment="0" applyProtection="0"/>
    <xf numFmtId="0" fontId="22" fillId="14" borderId="11" applyNumberFormat="0" applyAlignment="0" applyProtection="0"/>
    <xf numFmtId="0" fontId="22" fillId="14" borderId="11" applyNumberFormat="0" applyAlignment="0" applyProtection="0"/>
    <xf numFmtId="0" fontId="22" fillId="14" borderId="11" applyNumberFormat="0" applyAlignment="0" applyProtection="0"/>
    <xf numFmtId="15" fontId="12" fillId="0" borderId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7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4" fontId="31" fillId="0" borderId="0" applyFont="0" applyFill="0" applyBorder="0" applyAlignment="0" applyProtection="0"/>
    <xf numFmtId="4" fontId="31" fillId="0" borderId="0" applyFont="0" applyFill="0" applyBorder="0" applyAlignment="0" applyProtection="0"/>
    <xf numFmtId="4" fontId="31" fillId="0" borderId="0" applyFont="0" applyFill="0" applyBorder="0" applyAlignment="0" applyProtection="0"/>
    <xf numFmtId="4" fontId="31" fillId="0" borderId="0" applyFont="0" applyFill="0" applyBorder="0" applyAlignment="0" applyProtection="0"/>
    <xf numFmtId="4" fontId="3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82" fontId="1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4" fontId="10" fillId="0" borderId="0" applyFont="0" applyFill="0" applyBorder="0" applyAlignment="0" applyProtection="0"/>
    <xf numFmtId="185" fontId="12" fillId="0" borderId="0" applyFont="0" applyFill="0" applyBorder="0" applyAlignment="0" applyProtection="0"/>
    <xf numFmtId="184" fontId="10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" fillId="0" borderId="0" applyFont="0" applyFill="0" applyBorder="0" applyAlignment="0" applyProtection="0"/>
    <xf numFmtId="184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85" fontId="12" fillId="0" borderId="0" applyFont="0" applyFill="0" applyBorder="0" applyAlignment="0" applyProtection="0"/>
    <xf numFmtId="184" fontId="10" fillId="0" borderId="0" applyFont="0" applyFill="0" applyBorder="0" applyAlignment="0" applyProtection="0"/>
    <xf numFmtId="185" fontId="12" fillId="0" borderId="0" applyFont="0" applyFill="0" applyBorder="0" applyAlignment="0" applyProtection="0"/>
    <xf numFmtId="184" fontId="1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8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7" borderId="18" applyNumberFormat="0" applyFont="0" applyAlignment="0" applyProtection="0"/>
    <xf numFmtId="0" fontId="10" fillId="7" borderId="18" applyNumberFormat="0" applyFont="0" applyAlignment="0" applyProtection="0"/>
    <xf numFmtId="0" fontId="10" fillId="7" borderId="18" applyNumberFormat="0" applyFont="0" applyAlignment="0" applyProtection="0"/>
    <xf numFmtId="0" fontId="10" fillId="7" borderId="18" applyNumberFormat="0" applyFont="0" applyAlignment="0" applyProtection="0"/>
    <xf numFmtId="0" fontId="10" fillId="7" borderId="18" applyNumberFormat="0" applyFont="0" applyAlignment="0" applyProtection="0"/>
    <xf numFmtId="0" fontId="12" fillId="7" borderId="18" applyNumberFormat="0" applyFont="0" applyAlignment="0" applyProtection="0"/>
    <xf numFmtId="186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4" fillId="0" borderId="0">
      <protection locked="0"/>
    </xf>
    <xf numFmtId="0" fontId="35" fillId="25" borderId="19" applyNumberFormat="0" applyAlignment="0" applyProtection="0"/>
    <xf numFmtId="0" fontId="35" fillId="25" borderId="19" applyNumberFormat="0" applyAlignment="0" applyProtection="0"/>
    <xf numFmtId="0" fontId="35" fillId="25" borderId="19" applyNumberFormat="0" applyAlignment="0" applyProtection="0"/>
    <xf numFmtId="0" fontId="35" fillId="25" borderId="19" applyNumberFormat="0" applyAlignment="0" applyProtection="0"/>
    <xf numFmtId="0" fontId="35" fillId="25" borderId="19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26" borderId="19" applyNumberFormat="0" applyAlignment="0" applyProtection="0"/>
    <xf numFmtId="0" fontId="35" fillId="26" borderId="19" applyNumberFormat="0" applyAlignment="0" applyProtection="0"/>
    <xf numFmtId="0" fontId="35" fillId="26" borderId="19" applyNumberFormat="0" applyAlignment="0" applyProtection="0"/>
    <xf numFmtId="0" fontId="35" fillId="26" borderId="19" applyNumberFormat="0" applyAlignment="0" applyProtection="0"/>
    <xf numFmtId="0" fontId="35" fillId="26" borderId="19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21" fillId="0" borderId="22" applyNumberFormat="0" applyFill="0" applyAlignment="0" applyProtection="0"/>
    <xf numFmtId="0" fontId="21" fillId="0" borderId="22" applyNumberFormat="0" applyFill="0" applyAlignment="0" applyProtection="0"/>
    <xf numFmtId="0" fontId="21" fillId="0" borderId="22" applyNumberFormat="0" applyFill="0" applyAlignment="0" applyProtection="0"/>
    <xf numFmtId="0" fontId="21" fillId="0" borderId="22" applyNumberFormat="0" applyFill="0" applyAlignment="0" applyProtection="0"/>
    <xf numFmtId="0" fontId="21" fillId="0" borderId="22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3" applyNumberFormat="0" applyFill="0" applyAlignment="0" applyProtection="0"/>
    <xf numFmtId="0" fontId="40" fillId="0" borderId="23" applyNumberFormat="0" applyFill="0" applyAlignment="0" applyProtection="0"/>
    <xf numFmtId="0" fontId="40" fillId="0" borderId="23" applyNumberFormat="0" applyFill="0" applyAlignment="0" applyProtection="0"/>
    <xf numFmtId="0" fontId="40" fillId="0" borderId="23" applyNumberFormat="0" applyFill="0" applyAlignment="0" applyProtection="0"/>
    <xf numFmtId="0" fontId="40" fillId="0" borderId="23" applyNumberFormat="0" applyFill="0" applyAlignment="0" applyProtection="0"/>
    <xf numFmtId="0" fontId="2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7">
    <xf numFmtId="0" fontId="0" fillId="0" borderId="0" xfId="0"/>
    <xf numFmtId="0" fontId="0" fillId="3" borderId="0" xfId="0" applyFill="1" applyBorder="1"/>
    <xf numFmtId="10" fontId="0" fillId="0" borderId="0" xfId="1" applyNumberFormat="1" applyFont="1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7" fillId="0" borderId="0" xfId="0" applyFont="1"/>
    <xf numFmtId="3" fontId="0" fillId="3" borderId="0" xfId="0" applyNumberFormat="1" applyFill="1" applyBorder="1"/>
    <xf numFmtId="16" fontId="0" fillId="3" borderId="0" xfId="0" applyNumberFormat="1" applyFill="1" applyBorder="1"/>
    <xf numFmtId="166" fontId="0" fillId="3" borderId="0" xfId="0" applyNumberFormat="1" applyFill="1" applyBorder="1"/>
    <xf numFmtId="4" fontId="0" fillId="3" borderId="0" xfId="0" applyNumberFormat="1" applyFill="1" applyBorder="1"/>
    <xf numFmtId="165" fontId="0" fillId="0" borderId="0" xfId="0" applyNumberFormat="1"/>
    <xf numFmtId="0" fontId="43" fillId="0" borderId="0" xfId="0" applyFont="1"/>
    <xf numFmtId="10" fontId="43" fillId="0" borderId="24" xfId="1" applyNumberFormat="1" applyFont="1" applyBorder="1"/>
    <xf numFmtId="2" fontId="43" fillId="0" borderId="0" xfId="0" applyNumberFormat="1" applyFont="1"/>
    <xf numFmtId="165" fontId="43" fillId="0" borderId="0" xfId="0" applyNumberFormat="1" applyFont="1"/>
    <xf numFmtId="10" fontId="43" fillId="0" borderId="0" xfId="0" applyNumberFormat="1" applyFont="1"/>
    <xf numFmtId="16" fontId="43" fillId="0" borderId="0" xfId="0" applyNumberFormat="1" applyFont="1" applyBorder="1"/>
    <xf numFmtId="10" fontId="43" fillId="0" borderId="0" xfId="1" applyNumberFormat="1" applyFont="1" applyBorder="1"/>
    <xf numFmtId="188" fontId="43" fillId="0" borderId="0" xfId="499" applyNumberFormat="1" applyFont="1"/>
    <xf numFmtId="0" fontId="44" fillId="3" borderId="0" xfId="0" applyFont="1" applyFill="1" applyAlignment="1">
      <alignment horizontal="left" vertical="center" wrapText="1"/>
    </xf>
    <xf numFmtId="0" fontId="46" fillId="0" borderId="0" xfId="0" applyFont="1" applyAlignment="1"/>
    <xf numFmtId="10" fontId="43" fillId="0" borderId="0" xfId="1" applyNumberFormat="1" applyFont="1"/>
    <xf numFmtId="10" fontId="43" fillId="0" borderId="25" xfId="1" applyNumberFormat="1" applyFont="1" applyBorder="1"/>
    <xf numFmtId="0" fontId="43" fillId="3" borderId="3" xfId="0" applyFont="1" applyFill="1" applyBorder="1"/>
    <xf numFmtId="0" fontId="43" fillId="3" borderId="4" xfId="0" applyFont="1" applyFill="1" applyBorder="1"/>
    <xf numFmtId="0" fontId="43" fillId="3" borderId="0" xfId="0" applyFont="1" applyFill="1" applyBorder="1"/>
    <xf numFmtId="0" fontId="43" fillId="0" borderId="0" xfId="0" applyFont="1" applyBorder="1"/>
    <xf numFmtId="16" fontId="43" fillId="0" borderId="0" xfId="0" applyNumberFormat="1" applyFont="1" applyFill="1" applyBorder="1"/>
    <xf numFmtId="0" fontId="47" fillId="3" borderId="0" xfId="0" applyFont="1" applyFill="1" applyBorder="1" applyAlignment="1">
      <alignment horizontal="center"/>
    </xf>
    <xf numFmtId="168" fontId="43" fillId="0" borderId="0" xfId="0" applyNumberFormat="1" applyFont="1"/>
    <xf numFmtId="14" fontId="43" fillId="0" borderId="0" xfId="0" applyNumberFormat="1" applyFont="1"/>
    <xf numFmtId="14" fontId="43" fillId="3" borderId="4" xfId="0" applyNumberFormat="1" applyFont="1" applyFill="1" applyBorder="1"/>
    <xf numFmtId="165" fontId="43" fillId="3" borderId="4" xfId="0" applyNumberFormat="1" applyFont="1" applyFill="1" applyBorder="1"/>
    <xf numFmtId="164" fontId="43" fillId="3" borderId="4" xfId="0" applyNumberFormat="1" applyFont="1" applyFill="1" applyBorder="1"/>
    <xf numFmtId="10" fontId="43" fillId="3" borderId="4" xfId="1" applyNumberFormat="1" applyFont="1" applyFill="1" applyBorder="1"/>
    <xf numFmtId="0" fontId="43" fillId="3" borderId="5" xfId="0" applyFont="1" applyFill="1" applyBorder="1"/>
    <xf numFmtId="2" fontId="43" fillId="3" borderId="6" xfId="0" applyNumberFormat="1" applyFont="1" applyFill="1" applyBorder="1"/>
    <xf numFmtId="0" fontId="51" fillId="0" borderId="7" xfId="0" applyFont="1" applyBorder="1" applyAlignment="1">
      <alignment horizontal="center"/>
    </xf>
    <xf numFmtId="10" fontId="51" fillId="0" borderId="7" xfId="1" applyNumberFormat="1" applyFont="1" applyBorder="1"/>
    <xf numFmtId="0" fontId="43" fillId="0" borderId="8" xfId="0" applyFont="1" applyBorder="1"/>
    <xf numFmtId="0" fontId="51" fillId="0" borderId="0" xfId="0" applyFont="1" applyBorder="1" applyAlignment="1">
      <alignment horizontal="left"/>
    </xf>
    <xf numFmtId="10" fontId="51" fillId="0" borderId="0" xfId="1" applyNumberFormat="1" applyFont="1" applyBorder="1"/>
    <xf numFmtId="2" fontId="43" fillId="0" borderId="8" xfId="0" applyNumberFormat="1" applyFont="1" applyBorder="1"/>
    <xf numFmtId="0" fontId="52" fillId="0" borderId="0" xfId="0" applyFont="1" applyAlignment="1"/>
    <xf numFmtId="0" fontId="42" fillId="4" borderId="0" xfId="0" applyFont="1" applyFill="1" applyAlignment="1">
      <alignment horizontal="center" vertical="center" wrapText="1"/>
    </xf>
    <xf numFmtId="189" fontId="43" fillId="0" borderId="0" xfId="0" applyNumberFormat="1" applyFont="1"/>
    <xf numFmtId="164" fontId="43" fillId="0" borderId="0" xfId="0" applyNumberFormat="1" applyFont="1"/>
    <xf numFmtId="0" fontId="43" fillId="0" borderId="0" xfId="0" applyFont="1" applyAlignment="1">
      <alignment horizontal="center"/>
    </xf>
    <xf numFmtId="2" fontId="43" fillId="0" borderId="0" xfId="0" applyNumberFormat="1" applyFont="1" applyBorder="1"/>
    <xf numFmtId="189" fontId="43" fillId="0" borderId="26" xfId="499" applyNumberFormat="1" applyFont="1" applyBorder="1"/>
    <xf numFmtId="0" fontId="0" fillId="0" borderId="0" xfId="0" applyFill="1"/>
    <xf numFmtId="0" fontId="7" fillId="0" borderId="0" xfId="0" applyFont="1" applyFill="1"/>
    <xf numFmtId="0" fontId="4" fillId="0" borderId="0" xfId="0" applyFont="1" applyFill="1"/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10" fontId="5" fillId="0" borderId="0" xfId="1" applyNumberFormat="1" applyFont="1" applyFill="1" applyAlignment="1">
      <alignment horizontal="center"/>
    </xf>
    <xf numFmtId="0" fontId="45" fillId="0" borderId="0" xfId="0" applyFont="1" applyFill="1" applyAlignment="1"/>
    <xf numFmtId="0" fontId="6" fillId="0" borderId="0" xfId="0" applyFont="1" applyFill="1" applyAlignment="1"/>
    <xf numFmtId="0" fontId="51" fillId="0" borderId="0" xfId="0" applyFont="1" applyFill="1" applyBorder="1" applyAlignment="1">
      <alignment horizontal="center"/>
    </xf>
    <xf numFmtId="10" fontId="51" fillId="0" borderId="0" xfId="1" applyNumberFormat="1" applyFont="1" applyFill="1" applyBorder="1"/>
    <xf numFmtId="10" fontId="43" fillId="0" borderId="9" xfId="1" applyNumberFormat="1" applyFont="1" applyBorder="1"/>
    <xf numFmtId="2" fontId="43" fillId="0" borderId="9" xfId="0" applyNumberFormat="1" applyFont="1" applyBorder="1"/>
    <xf numFmtId="10" fontId="43" fillId="0" borderId="10" xfId="1" applyNumberFormat="1" applyFont="1" applyBorder="1"/>
    <xf numFmtId="2" fontId="43" fillId="0" borderId="10" xfId="0" applyNumberFormat="1" applyFont="1" applyBorder="1"/>
    <xf numFmtId="3" fontId="43" fillId="0" borderId="0" xfId="0" applyNumberFormat="1" applyFont="1"/>
    <xf numFmtId="0" fontId="47" fillId="0" borderId="0" xfId="0" applyFont="1" applyAlignment="1">
      <alignment horizontal="center"/>
    </xf>
    <xf numFmtId="1" fontId="43" fillId="0" borderId="0" xfId="0" applyNumberFormat="1" applyFont="1"/>
    <xf numFmtId="0" fontId="44" fillId="3" borderId="0" xfId="0" applyFont="1" applyFill="1" applyBorder="1" applyAlignment="1">
      <alignment horizontal="center"/>
    </xf>
    <xf numFmtId="165" fontId="43" fillId="3" borderId="0" xfId="0" applyNumberFormat="1" applyFont="1" applyFill="1" applyBorder="1"/>
    <xf numFmtId="0" fontId="43" fillId="3" borderId="0" xfId="0" applyFont="1" applyFill="1" applyBorder="1" applyAlignment="1">
      <alignment horizontal="center"/>
    </xf>
    <xf numFmtId="4" fontId="43" fillId="3" borderId="0" xfId="0" applyNumberFormat="1" applyFont="1" applyFill="1" applyBorder="1"/>
    <xf numFmtId="164" fontId="43" fillId="3" borderId="0" xfId="0" applyNumberFormat="1" applyFont="1" applyFill="1" applyBorder="1"/>
    <xf numFmtId="167" fontId="43" fillId="3" borderId="0" xfId="0" applyNumberFormat="1" applyFont="1" applyFill="1" applyBorder="1"/>
    <xf numFmtId="2" fontId="43" fillId="3" borderId="0" xfId="0" applyNumberFormat="1" applyFont="1" applyFill="1" applyBorder="1"/>
    <xf numFmtId="0" fontId="42" fillId="2" borderId="0" xfId="0" applyFont="1" applyFill="1" applyAlignment="1">
      <alignment horizontal="center" vertical="center" wrapText="1"/>
    </xf>
    <xf numFmtId="10" fontId="51" fillId="0" borderId="9" xfId="1" applyNumberFormat="1" applyFont="1" applyBorder="1"/>
    <xf numFmtId="2" fontId="51" fillId="0" borderId="9" xfId="0" applyNumberFormat="1" applyFont="1" applyBorder="1"/>
    <xf numFmtId="10" fontId="51" fillId="0" borderId="10" xfId="1" applyNumberFormat="1" applyFont="1" applyBorder="1"/>
    <xf numFmtId="2" fontId="51" fillId="0" borderId="10" xfId="0" applyNumberFormat="1" applyFont="1" applyBorder="1"/>
    <xf numFmtId="0" fontId="41" fillId="3" borderId="0" xfId="0" applyFont="1" applyFill="1" applyBorder="1" applyAlignment="1">
      <alignment horizontal="center"/>
    </xf>
    <xf numFmtId="0" fontId="54" fillId="3" borderId="0" xfId="0" applyFont="1" applyFill="1" applyBorder="1" applyAlignment="1">
      <alignment horizontal="center"/>
    </xf>
    <xf numFmtId="3" fontId="43" fillId="3" borderId="0" xfId="0" applyNumberFormat="1" applyFont="1" applyFill="1" applyBorder="1"/>
    <xf numFmtId="16" fontId="43" fillId="3" borderId="0" xfId="0" applyNumberFormat="1" applyFont="1" applyFill="1" applyBorder="1"/>
    <xf numFmtId="166" fontId="43" fillId="3" borderId="0" xfId="0" applyNumberFormat="1" applyFont="1" applyFill="1" applyBorder="1"/>
    <xf numFmtId="0" fontId="43" fillId="3" borderId="0" xfId="0" applyFont="1" applyFill="1" applyBorder="1" applyAlignment="1">
      <alignment horizontal="right"/>
    </xf>
    <xf numFmtId="10" fontId="43" fillId="3" borderId="0" xfId="1" applyNumberFormat="1" applyFont="1" applyFill="1" applyBorder="1"/>
    <xf numFmtId="0" fontId="51" fillId="0" borderId="0" xfId="0" applyFont="1" applyBorder="1" applyAlignment="1">
      <alignment horizontal="center"/>
    </xf>
    <xf numFmtId="2" fontId="43" fillId="3" borderId="4" xfId="0" applyNumberFormat="1" applyFont="1" applyFill="1" applyBorder="1"/>
    <xf numFmtId="10" fontId="43" fillId="3" borderId="6" xfId="0" applyNumberFormat="1" applyFont="1" applyFill="1" applyBorder="1"/>
    <xf numFmtId="14" fontId="43" fillId="3" borderId="0" xfId="0" applyNumberFormat="1" applyFont="1" applyFill="1" applyBorder="1"/>
    <xf numFmtId="10" fontId="43" fillId="3" borderId="0" xfId="0" applyNumberFormat="1" applyFont="1" applyFill="1" applyBorder="1"/>
    <xf numFmtId="0" fontId="47" fillId="3" borderId="0" xfId="0" applyFont="1" applyFill="1" applyBorder="1" applyAlignment="1">
      <alignment horizontal="right"/>
    </xf>
    <xf numFmtId="0" fontId="53" fillId="0" borderId="0" xfId="0" applyFont="1" applyAlignment="1"/>
    <xf numFmtId="0" fontId="43" fillId="0" borderId="0" xfId="0" applyFont="1" applyFill="1" applyBorder="1" applyAlignment="1">
      <alignment horizontal="center"/>
    </xf>
    <xf numFmtId="0" fontId="43" fillId="0" borderId="0" xfId="0" applyFont="1" applyFill="1" applyBorder="1"/>
    <xf numFmtId="2" fontId="43" fillId="0" borderId="0" xfId="0" applyNumberFormat="1" applyFont="1" applyFill="1" applyBorder="1"/>
    <xf numFmtId="165" fontId="43" fillId="0" borderId="0" xfId="0" applyNumberFormat="1" applyFont="1" applyFill="1" applyBorder="1"/>
    <xf numFmtId="4" fontId="43" fillId="0" borderId="0" xfId="0" applyNumberFormat="1" applyFont="1" applyFill="1" applyBorder="1"/>
    <xf numFmtId="0" fontId="47" fillId="0" borderId="0" xfId="0" applyFont="1" applyFill="1" applyBorder="1" applyAlignment="1">
      <alignment horizontal="right"/>
    </xf>
    <xf numFmtId="0" fontId="55" fillId="3" borderId="0" xfId="0" applyFont="1" applyFill="1" applyBorder="1" applyAlignment="1">
      <alignment horizontal="center"/>
    </xf>
    <xf numFmtId="0" fontId="55" fillId="3" borderId="0" xfId="0" applyFont="1" applyFill="1" applyBorder="1"/>
    <xf numFmtId="4" fontId="55" fillId="3" borderId="0" xfId="0" applyNumberFormat="1" applyFont="1" applyFill="1" applyBorder="1"/>
    <xf numFmtId="2" fontId="55" fillId="3" borderId="0" xfId="0" applyNumberFormat="1" applyFont="1" applyFill="1" applyBorder="1"/>
    <xf numFmtId="167" fontId="55" fillId="3" borderId="0" xfId="0" applyNumberFormat="1" applyFont="1" applyFill="1" applyBorder="1"/>
    <xf numFmtId="0" fontId="55" fillId="0" borderId="0" xfId="0" applyFont="1"/>
    <xf numFmtId="0" fontId="55" fillId="3" borderId="0" xfId="0" applyFont="1" applyFill="1" applyBorder="1" applyAlignment="1">
      <alignment horizontal="right"/>
    </xf>
    <xf numFmtId="16" fontId="43" fillId="0" borderId="0" xfId="0" applyNumberFormat="1" applyFont="1"/>
    <xf numFmtId="0" fontId="43" fillId="0" borderId="0" xfId="0" applyFont="1" applyBorder="1" applyAlignment="1">
      <alignment horizontal="center"/>
    </xf>
    <xf numFmtId="2" fontId="51" fillId="0" borderId="0" xfId="0" applyNumberFormat="1" applyFont="1" applyBorder="1"/>
    <xf numFmtId="0" fontId="43" fillId="0" borderId="0" xfId="0" applyFont="1" applyFill="1"/>
    <xf numFmtId="0" fontId="41" fillId="0" borderId="0" xfId="0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14" fontId="43" fillId="0" borderId="0" xfId="0" applyNumberFormat="1" applyFont="1" applyFill="1"/>
    <xf numFmtId="164" fontId="43" fillId="0" borderId="0" xfId="0" applyNumberFormat="1" applyFont="1" applyFill="1"/>
    <xf numFmtId="10" fontId="43" fillId="0" borderId="0" xfId="1" applyNumberFormat="1" applyFont="1" applyFill="1"/>
    <xf numFmtId="0" fontId="47" fillId="0" borderId="0" xfId="0" applyFont="1" applyFill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3" fontId="43" fillId="0" borderId="0" xfId="0" applyNumberFormat="1" applyFont="1" applyFill="1" applyBorder="1"/>
    <xf numFmtId="165" fontId="43" fillId="0" borderId="0" xfId="0" applyNumberFormat="1" applyFont="1" applyFill="1"/>
    <xf numFmtId="0" fontId="43" fillId="0" borderId="3" xfId="0" applyFont="1" applyFill="1" applyBorder="1"/>
    <xf numFmtId="165" fontId="43" fillId="0" borderId="4" xfId="0" applyNumberFormat="1" applyFont="1" applyFill="1" applyBorder="1"/>
    <xf numFmtId="10" fontId="43" fillId="0" borderId="4" xfId="1" applyNumberFormat="1" applyFont="1" applyFill="1" applyBorder="1"/>
    <xf numFmtId="0" fontId="43" fillId="0" borderId="5" xfId="0" applyFont="1" applyFill="1" applyBorder="1"/>
    <xf numFmtId="14" fontId="43" fillId="0" borderId="6" xfId="0" applyNumberFormat="1" applyFont="1" applyFill="1" applyBorder="1"/>
    <xf numFmtId="167" fontId="43" fillId="0" borderId="0" xfId="0" applyNumberFormat="1" applyFont="1" applyFill="1" applyBorder="1"/>
    <xf numFmtId="2" fontId="43" fillId="0" borderId="0" xfId="0" applyNumberFormat="1" applyFont="1" applyAlignment="1">
      <alignment horizontal="center"/>
    </xf>
    <xf numFmtId="0" fontId="43" fillId="0" borderId="9" xfId="0" applyFont="1" applyBorder="1"/>
    <xf numFmtId="0" fontId="43" fillId="0" borderId="10" xfId="0" applyFont="1" applyBorder="1"/>
    <xf numFmtId="10" fontId="47" fillId="0" borderId="0" xfId="1" applyNumberFormat="1" applyFont="1" applyBorder="1"/>
    <xf numFmtId="10" fontId="43" fillId="0" borderId="0" xfId="0" applyNumberFormat="1" applyFont="1" applyFill="1"/>
    <xf numFmtId="0" fontId="42" fillId="31" borderId="0" xfId="0" applyFont="1" applyFill="1" applyAlignment="1">
      <alignment horizontal="center" vertical="center" wrapText="1"/>
    </xf>
    <xf numFmtId="0" fontId="47" fillId="0" borderId="0" xfId="0" applyFont="1" applyFill="1" applyAlignment="1"/>
    <xf numFmtId="16" fontId="41" fillId="0" borderId="0" xfId="0" applyNumberFormat="1" applyFont="1" applyFill="1" applyBorder="1" applyAlignment="1">
      <alignment horizontal="center"/>
    </xf>
    <xf numFmtId="168" fontId="43" fillId="0" borderId="0" xfId="0" applyNumberFormat="1" applyFont="1" applyFill="1" applyBorder="1"/>
    <xf numFmtId="166" fontId="43" fillId="0" borderId="0" xfId="0" applyNumberFormat="1" applyFont="1" applyFill="1" applyBorder="1"/>
    <xf numFmtId="0" fontId="42" fillId="30" borderId="0" xfId="0" applyFont="1" applyFill="1" applyAlignment="1">
      <alignment horizontal="center" vertical="center" wrapText="1"/>
    </xf>
    <xf numFmtId="2" fontId="43" fillId="0" borderId="0" xfId="0" applyNumberFormat="1" applyFont="1" applyFill="1"/>
    <xf numFmtId="0" fontId="41" fillId="0" borderId="0" xfId="0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2" fontId="43" fillId="3" borderId="0" xfId="0" applyNumberFormat="1" applyFont="1" applyFill="1"/>
    <xf numFmtId="165" fontId="43" fillId="3" borderId="0" xfId="0" applyNumberFormat="1" applyFont="1" applyFill="1"/>
    <xf numFmtId="10" fontId="43" fillId="3" borderId="0" xfId="1" applyNumberFormat="1" applyFont="1" applyFill="1"/>
    <xf numFmtId="0" fontId="43" fillId="3" borderId="0" xfId="0" applyFont="1" applyFill="1"/>
    <xf numFmtId="10" fontId="43" fillId="3" borderId="0" xfId="0" applyNumberFormat="1" applyFont="1" applyFill="1"/>
    <xf numFmtId="0" fontId="50" fillId="0" borderId="0" xfId="0" applyFont="1" applyFill="1" applyAlignment="1"/>
    <xf numFmtId="4" fontId="43" fillId="0" borderId="0" xfId="0" applyNumberFormat="1" applyFont="1"/>
    <xf numFmtId="0" fontId="50" fillId="0" borderId="0" xfId="0" applyFont="1"/>
    <xf numFmtId="0" fontId="47" fillId="0" borderId="0" xfId="0" applyFont="1"/>
    <xf numFmtId="0" fontId="54" fillId="3" borderId="0" xfId="0" applyFont="1" applyFill="1" applyBorder="1" applyAlignment="1">
      <alignment horizontal="center"/>
    </xf>
    <xf numFmtId="2" fontId="43" fillId="3" borderId="4" xfId="0" applyNumberFormat="1" applyFont="1" applyFill="1" applyBorder="1" applyAlignment="1">
      <alignment horizontal="center"/>
    </xf>
    <xf numFmtId="0" fontId="50" fillId="0" borderId="0" xfId="0" applyFont="1" applyAlignment="1">
      <alignment horizontal="center"/>
    </xf>
    <xf numFmtId="0" fontId="41" fillId="0" borderId="0" xfId="0" applyFont="1" applyFill="1" applyAlignment="1">
      <alignment horizontal="center"/>
    </xf>
    <xf numFmtId="165" fontId="43" fillId="0" borderId="0" xfId="0" applyNumberFormat="1" applyFont="1" applyAlignment="1">
      <alignment horizontal="center"/>
    </xf>
    <xf numFmtId="0" fontId="47" fillId="0" borderId="0" xfId="0" applyFont="1" applyAlignment="1">
      <alignment horizontal="center" vertical="center" wrapText="1"/>
    </xf>
    <xf numFmtId="10" fontId="43" fillId="0" borderId="0" xfId="1" applyNumberFormat="1" applyFont="1" applyAlignment="1">
      <alignment horizontal="center"/>
    </xf>
    <xf numFmtId="14" fontId="43" fillId="0" borderId="0" xfId="0" applyNumberFormat="1" applyFont="1" applyAlignment="1">
      <alignment horizontal="center"/>
    </xf>
    <xf numFmtId="164" fontId="43" fillId="0" borderId="0" xfId="0" applyNumberFormat="1" applyFont="1" applyAlignment="1">
      <alignment horizontal="center"/>
    </xf>
    <xf numFmtId="168" fontId="43" fillId="0" borderId="0" xfId="0" applyNumberFormat="1" applyFont="1" applyAlignment="1">
      <alignment horizontal="center"/>
    </xf>
    <xf numFmtId="165" fontId="52" fillId="0" borderId="0" xfId="0" applyNumberFormat="1" applyFont="1" applyAlignment="1"/>
    <xf numFmtId="4" fontId="0" fillId="0" borderId="0" xfId="0" applyNumberFormat="1"/>
    <xf numFmtId="0" fontId="58" fillId="32" borderId="0" xfId="0" applyFont="1" applyFill="1" applyAlignment="1">
      <alignment horizontal="center" vertical="center" wrapText="1"/>
    </xf>
    <xf numFmtId="10" fontId="57" fillId="0" borderId="0" xfId="1" applyNumberFormat="1" applyFont="1" applyAlignment="1">
      <alignment horizontal="center"/>
    </xf>
    <xf numFmtId="164" fontId="0" fillId="0" borderId="0" xfId="0" applyNumberFormat="1"/>
    <xf numFmtId="2" fontId="43" fillId="33" borderId="0" xfId="0" applyNumberFormat="1" applyFont="1" applyFill="1"/>
    <xf numFmtId="0" fontId="43" fillId="0" borderId="5" xfId="0" applyFont="1" applyBorder="1"/>
    <xf numFmtId="16" fontId="43" fillId="0" borderId="6" xfId="0" applyNumberFormat="1" applyFont="1" applyBorder="1"/>
    <xf numFmtId="10" fontId="0" fillId="0" borderId="8" xfId="1" applyNumberFormat="1" applyFont="1" applyBorder="1"/>
    <xf numFmtId="0" fontId="47" fillId="0" borderId="0" xfId="0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10" fontId="57" fillId="3" borderId="0" xfId="1" applyNumberFormat="1" applyFont="1" applyFill="1" applyAlignment="1">
      <alignment horizontal="center"/>
    </xf>
    <xf numFmtId="4" fontId="57" fillId="3" borderId="0" xfId="0" applyNumberFormat="1" applyFont="1" applyFill="1" applyAlignment="1">
      <alignment horizontal="center"/>
    </xf>
    <xf numFmtId="0" fontId="57" fillId="3" borderId="0" xfId="0" applyFont="1" applyFill="1"/>
    <xf numFmtId="0" fontId="43" fillId="3" borderId="0" xfId="0" applyFont="1" applyFill="1" applyAlignment="1">
      <alignment horizontal="center"/>
    </xf>
    <xf numFmtId="16" fontId="43" fillId="0" borderId="24" xfId="0" applyNumberFormat="1" applyFont="1" applyBorder="1"/>
    <xf numFmtId="16" fontId="43" fillId="0" borderId="29" xfId="0" applyNumberFormat="1" applyFont="1" applyBorder="1"/>
    <xf numFmtId="165" fontId="0" fillId="0" borderId="30" xfId="0" applyNumberFormat="1" applyBorder="1"/>
    <xf numFmtId="165" fontId="0" fillId="0" borderId="4" xfId="0" applyNumberFormat="1" applyBorder="1"/>
    <xf numFmtId="0" fontId="0" fillId="0" borderId="4" xfId="0" applyBorder="1"/>
    <xf numFmtId="0" fontId="0" fillId="0" borderId="31" xfId="0" applyBorder="1"/>
    <xf numFmtId="0" fontId="0" fillId="0" borderId="24" xfId="0" applyBorder="1"/>
    <xf numFmtId="10" fontId="0" fillId="0" borderId="32" xfId="1" applyNumberFormat="1" applyFont="1" applyBorder="1"/>
    <xf numFmtId="0" fontId="0" fillId="0" borderId="32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0" fillId="35" borderId="0" xfId="0" applyNumberFormat="1" applyFill="1"/>
    <xf numFmtId="165" fontId="0" fillId="0" borderId="8" xfId="0" applyNumberFormat="1" applyBorder="1"/>
    <xf numFmtId="10" fontId="0" fillId="0" borderId="4" xfId="1" applyNumberFormat="1" applyFont="1" applyBorder="1"/>
    <xf numFmtId="10" fontId="0" fillId="0" borderId="4" xfId="0" applyNumberFormat="1" applyBorder="1" applyAlignment="1">
      <alignment horizontal="right"/>
    </xf>
    <xf numFmtId="0" fontId="0" fillId="0" borderId="25" xfId="0" applyFill="1" applyBorder="1"/>
    <xf numFmtId="10" fontId="0" fillId="0" borderId="6" xfId="0" applyNumberFormat="1" applyBorder="1"/>
    <xf numFmtId="10" fontId="0" fillId="0" borderId="8" xfId="0" applyNumberFormat="1" applyBorder="1"/>
    <xf numFmtId="0" fontId="47" fillId="0" borderId="0" xfId="0" applyFont="1" applyAlignment="1">
      <alignment horizontal="center"/>
    </xf>
    <xf numFmtId="0" fontId="61" fillId="0" borderId="0" xfId="0" applyFont="1" applyAlignment="1">
      <alignment horizontal="right"/>
    </xf>
    <xf numFmtId="0" fontId="43" fillId="0" borderId="0" xfId="0" applyFont="1" applyAlignment="1">
      <alignment horizontal="center"/>
    </xf>
    <xf numFmtId="165" fontId="43" fillId="3" borderId="6" xfId="0" applyNumberFormat="1" applyFont="1" applyFill="1" applyBorder="1"/>
    <xf numFmtId="164" fontId="0" fillId="36" borderId="0" xfId="0" applyNumberFormat="1" applyFill="1"/>
    <xf numFmtId="164" fontId="0" fillId="0" borderId="0" xfId="0" applyNumberFormat="1" applyFill="1"/>
    <xf numFmtId="165" fontId="43" fillId="0" borderId="6" xfId="0" applyNumberFormat="1" applyFont="1" applyFill="1" applyBorder="1"/>
    <xf numFmtId="10" fontId="43" fillId="3" borderId="6" xfId="1" applyNumberFormat="1" applyFont="1" applyFill="1" applyBorder="1"/>
    <xf numFmtId="2" fontId="43" fillId="0" borderId="0" xfId="0" applyNumberFormat="1" applyFont="1" applyFill="1" applyBorder="1" applyAlignment="1">
      <alignment horizontal="center"/>
    </xf>
    <xf numFmtId="4" fontId="43" fillId="0" borderId="0" xfId="0" applyNumberFormat="1" applyFont="1" applyFill="1" applyBorder="1" applyAlignment="1">
      <alignment horizontal="center"/>
    </xf>
    <xf numFmtId="4" fontId="43" fillId="0" borderId="0" xfId="0" applyNumberFormat="1" applyFont="1" applyFill="1" applyBorder="1" applyAlignment="1">
      <alignment horizontal="right"/>
    </xf>
    <xf numFmtId="167" fontId="43" fillId="0" borderId="0" xfId="0" applyNumberFormat="1" applyFont="1" applyFill="1" applyBorder="1" applyAlignment="1">
      <alignment horizontal="right"/>
    </xf>
    <xf numFmtId="10" fontId="43" fillId="3" borderId="0" xfId="1" applyNumberFormat="1" applyFont="1" applyFill="1" applyBorder="1" applyAlignment="1">
      <alignment horizontal="right"/>
    </xf>
    <xf numFmtId="4" fontId="43" fillId="3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right"/>
    </xf>
    <xf numFmtId="2" fontId="43" fillId="0" borderId="0" xfId="0" applyNumberFormat="1" applyFont="1" applyFill="1" applyBorder="1" applyAlignment="1">
      <alignment horizontal="right"/>
    </xf>
    <xf numFmtId="10" fontId="43" fillId="34" borderId="0" xfId="1" applyNumberFormat="1" applyFont="1" applyFill="1"/>
    <xf numFmtId="0" fontId="43" fillId="34" borderId="0" xfId="0" applyFont="1" applyFill="1"/>
    <xf numFmtId="3" fontId="43" fillId="34" borderId="0" xfId="0" applyNumberFormat="1" applyFont="1" applyFill="1"/>
    <xf numFmtId="3" fontId="43" fillId="0" borderId="0" xfId="0" applyNumberFormat="1" applyFont="1" applyAlignment="1">
      <alignment horizontal="center"/>
    </xf>
    <xf numFmtId="3" fontId="43" fillId="0" borderId="8" xfId="0" applyNumberFormat="1" applyFont="1" applyBorder="1"/>
    <xf numFmtId="10" fontId="43" fillId="0" borderId="8" xfId="1" applyNumberFormat="1" applyFont="1" applyBorder="1"/>
    <xf numFmtId="3" fontId="43" fillId="0" borderId="8" xfId="0" applyNumberFormat="1" applyFont="1" applyBorder="1" applyAlignment="1">
      <alignment horizontal="center"/>
    </xf>
    <xf numFmtId="164" fontId="62" fillId="0" borderId="0" xfId="0" applyNumberFormat="1" applyFont="1" applyFill="1"/>
    <xf numFmtId="0" fontId="43" fillId="3" borderId="32" xfId="0" applyFont="1" applyFill="1" applyBorder="1"/>
    <xf numFmtId="2" fontId="43" fillId="3" borderId="32" xfId="0" applyNumberFormat="1" applyFont="1" applyFill="1" applyBorder="1"/>
    <xf numFmtId="0" fontId="42" fillId="0" borderId="0" xfId="0" applyFont="1" applyFill="1" applyBorder="1"/>
    <xf numFmtId="0" fontId="41" fillId="0" borderId="0" xfId="0" applyFont="1" applyFill="1" applyBorder="1"/>
    <xf numFmtId="0" fontId="43" fillId="0" borderId="3" xfId="0" applyFont="1" applyBorder="1"/>
    <xf numFmtId="10" fontId="43" fillId="0" borderId="3" xfId="0" applyNumberFormat="1" applyFont="1" applyBorder="1" applyAlignment="1">
      <alignment horizontal="center"/>
    </xf>
    <xf numFmtId="10" fontId="43" fillId="0" borderId="0" xfId="0" applyNumberFormat="1" applyFont="1" applyBorder="1" applyAlignment="1">
      <alignment horizontal="center"/>
    </xf>
    <xf numFmtId="10" fontId="43" fillId="3" borderId="0" xfId="0" applyNumberFormat="1" applyFont="1" applyFill="1" applyAlignment="1">
      <alignment horizontal="center"/>
    </xf>
    <xf numFmtId="2" fontId="43" fillId="3" borderId="0" xfId="0" applyNumberFormat="1" applyFont="1" applyFill="1" applyAlignment="1">
      <alignment horizontal="center"/>
    </xf>
    <xf numFmtId="10" fontId="43" fillId="0" borderId="0" xfId="0" applyNumberFormat="1" applyFont="1" applyAlignment="1">
      <alignment horizontal="center"/>
    </xf>
    <xf numFmtId="4" fontId="43" fillId="0" borderId="0" xfId="0" applyNumberFormat="1" applyFont="1" applyAlignment="1">
      <alignment horizontal="center"/>
    </xf>
    <xf numFmtId="0" fontId="41" fillId="31" borderId="0" xfId="0" applyFont="1" applyFill="1" applyAlignment="1">
      <alignment horizontal="center" vertical="center" wrapText="1"/>
    </xf>
    <xf numFmtId="0" fontId="41" fillId="37" borderId="0" xfId="0" applyFont="1" applyFill="1" applyAlignment="1">
      <alignment horizontal="center" vertical="center" wrapText="1"/>
    </xf>
    <xf numFmtId="44" fontId="43" fillId="0" borderId="0" xfId="500" applyFont="1" applyFill="1"/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164" fontId="0" fillId="35" borderId="0" xfId="0" applyNumberFormat="1" applyFill="1"/>
    <xf numFmtId="14" fontId="0" fillId="0" borderId="0" xfId="0" applyNumberFormat="1" applyFill="1"/>
    <xf numFmtId="0" fontId="43" fillId="0" borderId="0" xfId="0" applyFont="1" applyAlignment="1">
      <alignment horizontal="center"/>
    </xf>
    <xf numFmtId="17" fontId="0" fillId="0" borderId="0" xfId="0" applyNumberFormat="1"/>
    <xf numFmtId="165" fontId="43" fillId="35" borderId="0" xfId="0" applyNumberFormat="1" applyFont="1" applyFill="1"/>
    <xf numFmtId="165" fontId="43" fillId="36" borderId="0" xfId="0" applyNumberFormat="1" applyFont="1" applyFill="1"/>
    <xf numFmtId="189" fontId="43" fillId="0" borderId="0" xfId="0" applyNumberFormat="1" applyFont="1" applyAlignment="1">
      <alignment horizontal="center"/>
    </xf>
    <xf numFmtId="2" fontId="43" fillId="0" borderId="0" xfId="0" applyNumberFormat="1" applyFont="1" applyBorder="1" applyAlignment="1">
      <alignment horizontal="center"/>
    </xf>
    <xf numFmtId="10" fontId="43" fillId="0" borderId="0" xfId="1" applyNumberFormat="1" applyFont="1" applyBorder="1" applyAlignment="1">
      <alignment horizontal="center"/>
    </xf>
    <xf numFmtId="0" fontId="43" fillId="0" borderId="0" xfId="0" applyFont="1" applyAlignment="1">
      <alignment horizontal="right"/>
    </xf>
    <xf numFmtId="168" fontId="43" fillId="0" borderId="0" xfId="0" applyNumberFormat="1" applyFont="1" applyAlignment="1">
      <alignment horizontal="right"/>
    </xf>
    <xf numFmtId="2" fontId="43" fillId="0" borderId="0" xfId="0" applyNumberFormat="1" applyFont="1" applyAlignment="1">
      <alignment horizontal="right"/>
    </xf>
    <xf numFmtId="165" fontId="0" fillId="0" borderId="0" xfId="0" applyNumberFormat="1" applyFill="1"/>
    <xf numFmtId="0" fontId="0" fillId="0" borderId="0" xfId="0" applyBorder="1"/>
    <xf numFmtId="0" fontId="50" fillId="0" borderId="0" xfId="0" applyFont="1" applyAlignment="1">
      <alignment horizontal="center"/>
    </xf>
    <xf numFmtId="0" fontId="41" fillId="0" borderId="0" xfId="0" applyFont="1" applyFill="1" applyAlignment="1">
      <alignment horizontal="center"/>
    </xf>
    <xf numFmtId="0" fontId="50" fillId="0" borderId="0" xfId="0" applyFont="1" applyAlignment="1"/>
    <xf numFmtId="0" fontId="41" fillId="32" borderId="1" xfId="0" applyFont="1" applyFill="1" applyBorder="1"/>
    <xf numFmtId="0" fontId="42" fillId="32" borderId="7" xfId="0" applyFont="1" applyFill="1" applyBorder="1"/>
    <xf numFmtId="0" fontId="41" fillId="32" borderId="3" xfId="0" applyFont="1" applyFill="1" applyBorder="1"/>
    <xf numFmtId="0" fontId="42" fillId="32" borderId="0" xfId="0" applyFont="1" applyFill="1" applyBorder="1"/>
    <xf numFmtId="0" fontId="41" fillId="32" borderId="5" xfId="0" applyFont="1" applyFill="1" applyBorder="1"/>
    <xf numFmtId="0" fontId="42" fillId="32" borderId="8" xfId="0" applyFont="1" applyFill="1" applyBorder="1"/>
    <xf numFmtId="0" fontId="41" fillId="32" borderId="0" xfId="0" applyFont="1" applyFill="1" applyAlignment="1">
      <alignment horizontal="center" vertical="center" wrapText="1"/>
    </xf>
    <xf numFmtId="0" fontId="41" fillId="32" borderId="33" xfId="0" applyFont="1" applyFill="1" applyBorder="1" applyAlignment="1">
      <alignment horizontal="center" vertical="center" wrapText="1"/>
    </xf>
    <xf numFmtId="0" fontId="41" fillId="32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/>
    <xf numFmtId="165" fontId="43" fillId="3" borderId="32" xfId="0" applyNumberFormat="1" applyFont="1" applyFill="1" applyBorder="1"/>
    <xf numFmtId="14" fontId="43" fillId="0" borderId="4" xfId="0" applyNumberFormat="1" applyFont="1" applyFill="1" applyBorder="1"/>
    <xf numFmtId="10" fontId="43" fillId="0" borderId="6" xfId="0" applyNumberFormat="1" applyFont="1" applyBorder="1"/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1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190" fontId="43" fillId="0" borderId="0" xfId="0" applyNumberFormat="1" applyFont="1"/>
    <xf numFmtId="0" fontId="43" fillId="0" borderId="34" xfId="0" applyFont="1" applyBorder="1" applyAlignment="1">
      <alignment horizontal="center"/>
    </xf>
    <xf numFmtId="10" fontId="43" fillId="0" borderId="34" xfId="1" applyNumberFormat="1" applyFont="1" applyBorder="1"/>
    <xf numFmtId="10" fontId="0" fillId="35" borderId="0" xfId="0" applyNumberFormat="1" applyFill="1"/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1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10" fontId="43" fillId="0" borderId="0" xfId="1" applyNumberFormat="1" applyFont="1" applyFill="1" applyBorder="1"/>
    <xf numFmtId="0" fontId="8" fillId="0" borderId="0" xfId="0" applyFont="1" applyFill="1"/>
    <xf numFmtId="0" fontId="43" fillId="0" borderId="0" xfId="0" applyFont="1" applyAlignment="1">
      <alignment horizontal="center"/>
    </xf>
    <xf numFmtId="10" fontId="0" fillId="38" borderId="0" xfId="1" applyNumberFormat="1" applyFont="1" applyFill="1"/>
    <xf numFmtId="0" fontId="41" fillId="0" borderId="0" xfId="0" applyFont="1" applyFill="1" applyAlignment="1">
      <alignment horizontal="center" vertical="center" wrapText="1"/>
    </xf>
    <xf numFmtId="10" fontId="43" fillId="0" borderId="0" xfId="0" applyNumberFormat="1" applyFont="1" applyFill="1" applyAlignment="1">
      <alignment horizontal="center"/>
    </xf>
    <xf numFmtId="43" fontId="43" fillId="0" borderId="0" xfId="0" applyNumberFormat="1" applyFont="1"/>
    <xf numFmtId="0" fontId="43" fillId="0" borderId="0" xfId="0" applyFont="1" applyAlignment="1">
      <alignment horizontal="center"/>
    </xf>
    <xf numFmtId="167" fontId="43" fillId="0" borderId="0" xfId="0" applyNumberFormat="1" applyFont="1"/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2" fontId="43" fillId="3" borderId="0" xfId="0" applyNumberFormat="1" applyFont="1" applyFill="1" applyBorder="1" applyAlignment="1">
      <alignment horizontal="center"/>
    </xf>
    <xf numFmtId="10" fontId="0" fillId="35" borderId="4" xfId="0" applyNumberFormat="1" applyFill="1" applyBorder="1" applyAlignment="1">
      <alignment horizontal="right"/>
    </xf>
    <xf numFmtId="0" fontId="58" fillId="32" borderId="33" xfId="0" applyFont="1" applyFill="1" applyBorder="1" applyAlignment="1">
      <alignment horizontal="center" vertical="center" wrapText="1"/>
    </xf>
    <xf numFmtId="0" fontId="58" fillId="32" borderId="38" xfId="0" applyFont="1" applyFill="1" applyBorder="1" applyAlignment="1">
      <alignment horizontal="center" vertical="center" wrapText="1"/>
    </xf>
    <xf numFmtId="0" fontId="43" fillId="39" borderId="39" xfId="0" applyFont="1" applyFill="1" applyBorder="1" applyAlignment="1">
      <alignment horizontal="center"/>
    </xf>
    <xf numFmtId="4" fontId="43" fillId="3" borderId="0" xfId="0" applyNumberFormat="1" applyFont="1" applyFill="1" applyAlignment="1">
      <alignment horizontal="center"/>
    </xf>
    <xf numFmtId="10" fontId="43" fillId="3" borderId="4" xfId="1" applyNumberFormat="1" applyFont="1" applyFill="1" applyBorder="1" applyAlignment="1">
      <alignment horizontal="center"/>
    </xf>
    <xf numFmtId="10" fontId="43" fillId="3" borderId="0" xfId="1" applyNumberFormat="1" applyFont="1" applyFill="1" applyAlignment="1">
      <alignment horizontal="center"/>
    </xf>
    <xf numFmtId="10" fontId="43" fillId="3" borderId="3" xfId="1" applyNumberFormat="1" applyFont="1" applyFill="1" applyBorder="1" applyAlignment="1">
      <alignment horizontal="center"/>
    </xf>
    <xf numFmtId="191" fontId="43" fillId="3" borderId="0" xfId="499" applyNumberFormat="1" applyFont="1" applyFill="1" applyBorder="1" applyAlignment="1">
      <alignment horizontal="center"/>
    </xf>
    <xf numFmtId="2" fontId="43" fillId="39" borderId="39" xfId="0" applyNumberFormat="1" applyFont="1" applyFill="1" applyBorder="1" applyAlignment="1">
      <alignment horizontal="center"/>
    </xf>
    <xf numFmtId="0" fontId="47" fillId="0" borderId="0" xfId="0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8" fillId="0" borderId="0" xfId="0" applyFont="1"/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2" fillId="3" borderId="0" xfId="0" applyFont="1" applyFill="1"/>
    <xf numFmtId="0" fontId="41" fillId="3" borderId="0" xfId="0" applyFont="1" applyFill="1" applyAlignment="1">
      <alignment horizontal="center" vertical="center" wrapText="1"/>
    </xf>
    <xf numFmtId="10" fontId="42" fillId="3" borderId="0" xfId="0" applyNumberFormat="1" applyFont="1" applyFill="1" applyAlignment="1">
      <alignment horizontal="center"/>
    </xf>
    <xf numFmtId="10" fontId="42" fillId="3" borderId="0" xfId="1" applyNumberFormat="1" applyFont="1" applyFill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8" fillId="3" borderId="0" xfId="0" applyFont="1" applyFill="1"/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10" fontId="43" fillId="3" borderId="0" xfId="1" applyNumberFormat="1" applyFont="1" applyFill="1" applyBorder="1" applyAlignment="1">
      <alignment horizontal="center"/>
    </xf>
    <xf numFmtId="0" fontId="64" fillId="3" borderId="0" xfId="0" applyFont="1" applyFill="1"/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4" fontId="43" fillId="0" borderId="0" xfId="0" applyNumberFormat="1" applyFont="1" applyFill="1"/>
    <xf numFmtId="16" fontId="0" fillId="0" borderId="0" xfId="0" applyNumberFormat="1"/>
    <xf numFmtId="10" fontId="0" fillId="40" borderId="0" xfId="1" applyNumberFormat="1" applyFont="1" applyFill="1"/>
    <xf numFmtId="0" fontId="43" fillId="0" borderId="0" xfId="0" applyFont="1" applyAlignment="1">
      <alignment horizontal="center"/>
    </xf>
    <xf numFmtId="188" fontId="43" fillId="0" borderId="8" xfId="0" applyNumberFormat="1" applyFont="1" applyBorder="1"/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14" fontId="43" fillId="34" borderId="0" xfId="0" applyNumberFormat="1" applyFont="1" applyFill="1"/>
    <xf numFmtId="189" fontId="43" fillId="34" borderId="0" xfId="0" applyNumberFormat="1" applyFont="1" applyFill="1"/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7" fillId="0" borderId="0" xfId="0" applyFont="1" applyFill="1" applyBorder="1" applyAlignment="1">
      <alignment horizontal="center"/>
    </xf>
    <xf numFmtId="17" fontId="43" fillId="0" borderId="0" xfId="0" applyNumberFormat="1" applyFont="1" applyFill="1" applyBorder="1"/>
    <xf numFmtId="189" fontId="43" fillId="0" borderId="0" xfId="0" applyNumberFormat="1" applyFont="1" applyFill="1" applyBorder="1"/>
    <xf numFmtId="43" fontId="43" fillId="0" borderId="0" xfId="499" applyFont="1" applyFill="1" applyBorder="1"/>
    <xf numFmtId="14" fontId="43" fillId="0" borderId="0" xfId="0" applyNumberFormat="1" applyFont="1" applyFill="1" applyBorder="1"/>
    <xf numFmtId="164" fontId="43" fillId="0" borderId="0" xfId="0" applyNumberFormat="1" applyFont="1" applyFill="1" applyBorder="1"/>
    <xf numFmtId="0" fontId="0" fillId="0" borderId="0" xfId="0" applyFill="1" applyBorder="1"/>
    <xf numFmtId="192" fontId="43" fillId="0" borderId="0" xfId="1" applyNumberFormat="1" applyFont="1"/>
    <xf numFmtId="4" fontId="43" fillId="36" borderId="0" xfId="0" applyNumberFormat="1" applyFont="1" applyFill="1" applyAlignment="1">
      <alignment horizontal="center"/>
    </xf>
    <xf numFmtId="0" fontId="64" fillId="0" borderId="0" xfId="0" applyFont="1"/>
    <xf numFmtId="193" fontId="0" fillId="0" borderId="0" xfId="499" applyNumberFormat="1" applyFont="1"/>
    <xf numFmtId="43" fontId="0" fillId="0" borderId="0" xfId="0" applyNumberFormat="1"/>
    <xf numFmtId="10" fontId="2" fillId="0" borderId="8" xfId="1" applyNumberFormat="1" applyFont="1" applyBorder="1" applyAlignment="1">
      <alignment horizontal="center"/>
    </xf>
    <xf numFmtId="0" fontId="43" fillId="0" borderId="32" xfId="0" applyFont="1" applyBorder="1"/>
    <xf numFmtId="0" fontId="0" fillId="0" borderId="32" xfId="0" applyBorder="1"/>
    <xf numFmtId="0" fontId="0" fillId="0" borderId="8" xfId="0" applyBorder="1"/>
    <xf numFmtId="188" fontId="43" fillId="0" borderId="8" xfId="499" applyNumberFormat="1" applyFont="1" applyBorder="1"/>
    <xf numFmtId="188" fontId="43" fillId="0" borderId="32" xfId="499" applyNumberFormat="1" applyFont="1" applyBorder="1"/>
    <xf numFmtId="2" fontId="0" fillId="0" borderId="0" xfId="0" applyNumberFormat="1" applyAlignment="1">
      <alignment horizontal="center"/>
    </xf>
    <xf numFmtId="194" fontId="0" fillId="0" borderId="0" xfId="1" applyNumberFormat="1" applyFont="1"/>
    <xf numFmtId="0" fontId="43" fillId="0" borderId="0" xfId="0" applyFont="1" applyAlignment="1">
      <alignment horizontal="center"/>
    </xf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52" fillId="0" borderId="0" xfId="0" applyFont="1" applyFill="1" applyAlignment="1">
      <alignment horizontal="right"/>
    </xf>
    <xf numFmtId="0" fontId="47" fillId="0" borderId="0" xfId="0" applyFont="1" applyBorder="1" applyAlignment="1">
      <alignment horizontal="center"/>
    </xf>
    <xf numFmtId="0" fontId="52" fillId="0" borderId="0" xfId="0" applyFont="1" applyAlignment="1">
      <alignment horizontal="right"/>
    </xf>
    <xf numFmtId="0" fontId="49" fillId="0" borderId="0" xfId="0" applyFont="1" applyAlignment="1">
      <alignment horizontal="center"/>
    </xf>
    <xf numFmtId="0" fontId="41" fillId="4" borderId="1" xfId="0" applyFont="1" applyFill="1" applyBorder="1" applyAlignment="1">
      <alignment horizontal="center"/>
    </xf>
    <xf numFmtId="0" fontId="41" fillId="4" borderId="2" xfId="0" applyFont="1" applyFill="1" applyBorder="1" applyAlignment="1">
      <alignment horizontal="center"/>
    </xf>
    <xf numFmtId="0" fontId="41" fillId="4" borderId="0" xfId="0" applyFont="1" applyFill="1" applyAlignment="1">
      <alignment horizontal="center"/>
    </xf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165" fontId="52" fillId="0" borderId="0" xfId="0" applyNumberFormat="1" applyFont="1" applyAlignment="1">
      <alignment horizontal="right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58" fillId="32" borderId="35" xfId="0" applyFont="1" applyFill="1" applyBorder="1" applyAlignment="1">
      <alignment horizontal="center" vertical="center" wrapText="1"/>
    </xf>
    <xf numFmtId="0" fontId="58" fillId="32" borderId="37" xfId="0" applyFont="1" applyFill="1" applyBorder="1" applyAlignment="1">
      <alignment horizontal="center" vertical="center" wrapText="1"/>
    </xf>
    <xf numFmtId="16" fontId="58" fillId="32" borderId="37" xfId="0" applyNumberFormat="1" applyFont="1" applyFill="1" applyBorder="1" applyAlignment="1">
      <alignment horizontal="center" vertical="center" wrapText="1"/>
    </xf>
    <xf numFmtId="16" fontId="58" fillId="32" borderId="36" xfId="0" applyNumberFormat="1" applyFont="1" applyFill="1" applyBorder="1" applyAlignment="1">
      <alignment horizontal="center" vertical="center" wrapText="1"/>
    </xf>
    <xf numFmtId="165" fontId="63" fillId="0" borderId="0" xfId="0" applyNumberFormat="1" applyFont="1" applyAlignment="1">
      <alignment horizontal="right"/>
    </xf>
    <xf numFmtId="165" fontId="63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30" xfId="0" applyFont="1" applyBorder="1" applyAlignment="1">
      <alignment horizontal="center"/>
    </xf>
    <xf numFmtId="0" fontId="41" fillId="31" borderId="27" xfId="0" applyFont="1" applyFill="1" applyBorder="1" applyAlignment="1">
      <alignment horizontal="center"/>
    </xf>
    <xf numFmtId="0" fontId="41" fillId="31" borderId="28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2" fillId="4" borderId="1" xfId="0" applyFont="1" applyFill="1" applyBorder="1" applyAlignment="1">
      <alignment horizontal="center"/>
    </xf>
    <xf numFmtId="0" fontId="42" fillId="4" borderId="2" xfId="0" applyFont="1" applyFill="1" applyBorder="1" applyAlignment="1">
      <alignment horizontal="center"/>
    </xf>
    <xf numFmtId="0" fontId="42" fillId="4" borderId="0" xfId="0" applyFont="1" applyFill="1" applyAlignment="1">
      <alignment horizontal="center"/>
    </xf>
    <xf numFmtId="0" fontId="47" fillId="0" borderId="0" xfId="0" applyFont="1" applyBorder="1" applyAlignment="1">
      <alignment horizontal="center" vertical="center" wrapText="1"/>
    </xf>
    <xf numFmtId="0" fontId="52" fillId="0" borderId="0" xfId="0" applyFont="1" applyFill="1" applyAlignment="1">
      <alignment horizontal="right"/>
    </xf>
    <xf numFmtId="0" fontId="41" fillId="4" borderId="0" xfId="0" applyFont="1" applyFill="1" applyBorder="1" applyAlignment="1">
      <alignment horizontal="center"/>
    </xf>
    <xf numFmtId="0" fontId="53" fillId="0" borderId="0" xfId="0" applyFont="1" applyAlignment="1">
      <alignment horizontal="right"/>
    </xf>
    <xf numFmtId="0" fontId="54" fillId="3" borderId="0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52" fillId="0" borderId="0" xfId="0" applyFont="1" applyAlignment="1">
      <alignment horizontal="right"/>
    </xf>
    <xf numFmtId="0" fontId="49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47" fillId="0" borderId="0" xfId="0" applyFont="1" applyFill="1" applyAlignment="1">
      <alignment horizontal="center"/>
    </xf>
    <xf numFmtId="0" fontId="50" fillId="0" borderId="0" xfId="0" applyFont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46" fillId="0" borderId="0" xfId="0" applyFont="1" applyAlignment="1">
      <alignment horizontal="right"/>
    </xf>
    <xf numFmtId="0" fontId="53" fillId="0" borderId="0" xfId="0" applyFont="1" applyBorder="1" applyAlignment="1">
      <alignment horizontal="right"/>
    </xf>
    <xf numFmtId="0" fontId="47" fillId="0" borderId="8" xfId="0" applyFont="1" applyBorder="1" applyAlignment="1">
      <alignment horizontal="center"/>
    </xf>
    <xf numFmtId="0" fontId="56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3" fillId="0" borderId="0" xfId="0" applyFont="1" applyAlignment="1">
      <alignment horizontal="center"/>
    </xf>
  </cellXfs>
  <cellStyles count="501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Énfasis1 2" xfId="8"/>
    <cellStyle name="20% - Énfasis1 2 2" xfId="9"/>
    <cellStyle name="20% - Énfasis1 3" xfId="10"/>
    <cellStyle name="20% - Énfasis1 3 2" xfId="11"/>
    <cellStyle name="20% - Énfasis1 4" xfId="12"/>
    <cellStyle name="20% - Énfasis2 2" xfId="13"/>
    <cellStyle name="20% - Énfasis2 2 2" xfId="14"/>
    <cellStyle name="20% - Énfasis2 3" xfId="15"/>
    <cellStyle name="20% - Énfasis2 3 2" xfId="16"/>
    <cellStyle name="20% - Énfasis2 4" xfId="17"/>
    <cellStyle name="20% - Énfasis3 2" xfId="18"/>
    <cellStyle name="20% - Énfasis3 2 2" xfId="19"/>
    <cellStyle name="20% - Énfasis3 3" xfId="20"/>
    <cellStyle name="20% - Énfasis3 3 2" xfId="21"/>
    <cellStyle name="20% - Énfasis3 4" xfId="22"/>
    <cellStyle name="20% - Énfasis4 2" xfId="23"/>
    <cellStyle name="20% - Énfasis4 2 2" xfId="24"/>
    <cellStyle name="20% - Énfasis4 3" xfId="25"/>
    <cellStyle name="20% - Énfasis4 3 2" xfId="26"/>
    <cellStyle name="20% - Énfasis4 4" xfId="27"/>
    <cellStyle name="20% - Énfasis5 2" xfId="28"/>
    <cellStyle name="20% - Énfasis5 2 2" xfId="29"/>
    <cellStyle name="20% - Énfasis5 3" xfId="30"/>
    <cellStyle name="20% - Énfasis5 3 2" xfId="31"/>
    <cellStyle name="20% - Énfasis5 4" xfId="32"/>
    <cellStyle name="20% - Énfasis6 2" xfId="33"/>
    <cellStyle name="20% - Énfasis6 2 2" xfId="34"/>
    <cellStyle name="20% - Énfasis6 3" xfId="35"/>
    <cellStyle name="20% - Énfasis6 3 2" xfId="36"/>
    <cellStyle name="20% - Énfasis6 4" xfId="37"/>
    <cellStyle name="40% - Accent1" xfId="38"/>
    <cellStyle name="40% - Accent2" xfId="39"/>
    <cellStyle name="40% - Accent3" xfId="40"/>
    <cellStyle name="40% - Accent4" xfId="41"/>
    <cellStyle name="40% - Accent5" xfId="42"/>
    <cellStyle name="40% - Accent6" xfId="43"/>
    <cellStyle name="40% - Énfasis1 2" xfId="44"/>
    <cellStyle name="40% - Énfasis1 2 2" xfId="45"/>
    <cellStyle name="40% - Énfasis1 3" xfId="46"/>
    <cellStyle name="40% - Énfasis1 3 2" xfId="47"/>
    <cellStyle name="40% - Énfasis1 4" xfId="48"/>
    <cellStyle name="40% - Énfasis2 2" xfId="49"/>
    <cellStyle name="40% - Énfasis2 2 2" xfId="50"/>
    <cellStyle name="40% - Énfasis2 3" xfId="51"/>
    <cellStyle name="40% - Énfasis2 3 2" xfId="52"/>
    <cellStyle name="40% - Énfasis2 4" xfId="53"/>
    <cellStyle name="40% - Énfasis3 2" xfId="54"/>
    <cellStyle name="40% - Énfasis3 2 2" xfId="55"/>
    <cellStyle name="40% - Énfasis3 3" xfId="56"/>
    <cellStyle name="40% - Énfasis3 3 2" xfId="57"/>
    <cellStyle name="40% - Énfasis3 4" xfId="58"/>
    <cellStyle name="40% - Énfasis4 2" xfId="59"/>
    <cellStyle name="40% - Énfasis4 2 2" xfId="60"/>
    <cellStyle name="40% - Énfasis4 3" xfId="61"/>
    <cellStyle name="40% - Énfasis4 3 2" xfId="62"/>
    <cellStyle name="40% - Énfasis4 4" xfId="63"/>
    <cellStyle name="40% - Énfasis5 2" xfId="64"/>
    <cellStyle name="40% - Énfasis5 2 2" xfId="65"/>
    <cellStyle name="40% - Énfasis5 3" xfId="66"/>
    <cellStyle name="40% - Énfasis5 3 2" xfId="67"/>
    <cellStyle name="40% - Énfasis5 4" xfId="68"/>
    <cellStyle name="40% - Énfasis6 2" xfId="69"/>
    <cellStyle name="40% - Énfasis6 2 2" xfId="70"/>
    <cellStyle name="40% - Énfasis6 3" xfId="71"/>
    <cellStyle name="40% - Énfasis6 3 2" xfId="72"/>
    <cellStyle name="40% - Énfasis6 4" xfId="73"/>
    <cellStyle name="60% - Accent1" xfId="74"/>
    <cellStyle name="60% - Accent1 2" xfId="75"/>
    <cellStyle name="60% - Accent1 3" xfId="76"/>
    <cellStyle name="60% - Accent1 4" xfId="77"/>
    <cellStyle name="60% - Accent1 5" xfId="78"/>
    <cellStyle name="60% - Accent2" xfId="79"/>
    <cellStyle name="60% - Accent2 2" xfId="80"/>
    <cellStyle name="60% - Accent2 3" xfId="81"/>
    <cellStyle name="60% - Accent2 4" xfId="82"/>
    <cellStyle name="60% - Accent2 5" xfId="83"/>
    <cellStyle name="60% - Accent3" xfId="84"/>
    <cellStyle name="60% - Accent3 2" xfId="85"/>
    <cellStyle name="60% - Accent3 3" xfId="86"/>
    <cellStyle name="60% - Accent3 4" xfId="87"/>
    <cellStyle name="60% - Accent3 5" xfId="88"/>
    <cellStyle name="60% - Accent4" xfId="89"/>
    <cellStyle name="60% - Accent4 2" xfId="90"/>
    <cellStyle name="60% - Accent4 3" xfId="91"/>
    <cellStyle name="60% - Accent4 4" xfId="92"/>
    <cellStyle name="60% - Accent4 5" xfId="93"/>
    <cellStyle name="60% - Accent5" xfId="94"/>
    <cellStyle name="60% - Accent5 2" xfId="95"/>
    <cellStyle name="60% - Accent5 3" xfId="96"/>
    <cellStyle name="60% - Accent5 4" xfId="97"/>
    <cellStyle name="60% - Accent5 5" xfId="98"/>
    <cellStyle name="60% - Accent6" xfId="99"/>
    <cellStyle name="60% - Accent6 2" xfId="100"/>
    <cellStyle name="60% - Accent6 3" xfId="101"/>
    <cellStyle name="60% - Accent6 4" xfId="102"/>
    <cellStyle name="60% - Accent6 5" xfId="103"/>
    <cellStyle name="60% - Énfasis1 2" xfId="104"/>
    <cellStyle name="60% - Énfasis1 2 2" xfId="105"/>
    <cellStyle name="60% - Énfasis1 3" xfId="106"/>
    <cellStyle name="60% - Énfasis1 3 2" xfId="107"/>
    <cellStyle name="60% - Énfasis1 4" xfId="108"/>
    <cellStyle name="60% - Énfasis2 2" xfId="109"/>
    <cellStyle name="60% - Énfasis2 2 2" xfId="110"/>
    <cellStyle name="60% - Énfasis2 3" xfId="111"/>
    <cellStyle name="60% - Énfasis2 3 2" xfId="112"/>
    <cellStyle name="60% - Énfasis2 4" xfId="113"/>
    <cellStyle name="60% - Énfasis3 2" xfId="114"/>
    <cellStyle name="60% - Énfasis3 2 2" xfId="115"/>
    <cellStyle name="60% - Énfasis3 3" xfId="116"/>
    <cellStyle name="60% - Énfasis3 3 2" xfId="117"/>
    <cellStyle name="60% - Énfasis3 4" xfId="118"/>
    <cellStyle name="60% - Énfasis4 2" xfId="119"/>
    <cellStyle name="60% - Énfasis4 2 2" xfId="120"/>
    <cellStyle name="60% - Énfasis4 3" xfId="121"/>
    <cellStyle name="60% - Énfasis4 3 2" xfId="122"/>
    <cellStyle name="60% - Énfasis4 4" xfId="123"/>
    <cellStyle name="60% - Énfasis5 2" xfId="124"/>
    <cellStyle name="60% - Énfasis5 2 2" xfId="125"/>
    <cellStyle name="60% - Énfasis5 3" xfId="126"/>
    <cellStyle name="60% - Énfasis5 3 2" xfId="127"/>
    <cellStyle name="60% - Énfasis5 4" xfId="128"/>
    <cellStyle name="60% - Énfasis6 2" xfId="129"/>
    <cellStyle name="60% - Énfasis6 2 2" xfId="130"/>
    <cellStyle name="60% - Énfasis6 3" xfId="131"/>
    <cellStyle name="60% - Énfasis6 3 2" xfId="132"/>
    <cellStyle name="60% - Énfasis6 4" xfId="133"/>
    <cellStyle name="Accent1" xfId="134"/>
    <cellStyle name="Accent1 2" xfId="135"/>
    <cellStyle name="Accent1 3" xfId="136"/>
    <cellStyle name="Accent1 4" xfId="137"/>
    <cellStyle name="Accent1 5" xfId="138"/>
    <cellStyle name="Accent2" xfId="139"/>
    <cellStyle name="Accent2 2" xfId="140"/>
    <cellStyle name="Accent2 3" xfId="141"/>
    <cellStyle name="Accent2 4" xfId="142"/>
    <cellStyle name="Accent2 5" xfId="143"/>
    <cellStyle name="Accent3" xfId="144"/>
    <cellStyle name="Accent3 2" xfId="145"/>
    <cellStyle name="Accent3 3" xfId="146"/>
    <cellStyle name="Accent3 4" xfId="147"/>
    <cellStyle name="Accent3 5" xfId="148"/>
    <cellStyle name="Accent4" xfId="149"/>
    <cellStyle name="Accent4 2" xfId="150"/>
    <cellStyle name="Accent4 3" xfId="151"/>
    <cellStyle name="Accent4 4" xfId="152"/>
    <cellStyle name="Accent4 5" xfId="153"/>
    <cellStyle name="Accent5" xfId="154"/>
    <cellStyle name="Accent5 2" xfId="155"/>
    <cellStyle name="Accent5 3" xfId="156"/>
    <cellStyle name="Accent5 4" xfId="157"/>
    <cellStyle name="Accent5 5" xfId="158"/>
    <cellStyle name="Accent6" xfId="159"/>
    <cellStyle name="Accent6 2" xfId="160"/>
    <cellStyle name="Accent6 3" xfId="161"/>
    <cellStyle name="Accent6 4" xfId="162"/>
    <cellStyle name="Accent6 5" xfId="163"/>
    <cellStyle name="ANCLAS,REZONES Y SUS PARTES,DE FUNDICION,DE HIERRO O DE ACERO" xfId="164"/>
    <cellStyle name="ANCLAS,REZONES Y SUS PARTES,DE FUNDICION,DE HIERRO O DE ACERO 2" xfId="165"/>
    <cellStyle name="ANCLAS,REZONES Y SUS PARTES,DE FUNDICION,DE HIERRO O DE ACERO 2 2" xfId="166"/>
    <cellStyle name="Bad" xfId="167"/>
    <cellStyle name="Bad 2" xfId="168"/>
    <cellStyle name="Bad 3" xfId="169"/>
    <cellStyle name="Bad 4" xfId="170"/>
    <cellStyle name="Bad 5" xfId="171"/>
    <cellStyle name="Buena 2" xfId="172"/>
    <cellStyle name="Buena 2 2" xfId="173"/>
    <cellStyle name="Buena 3" xfId="174"/>
    <cellStyle name="Buena 3 2" xfId="175"/>
    <cellStyle name="Buena 4" xfId="176"/>
    <cellStyle name="Calculation" xfId="177"/>
    <cellStyle name="Cálculo 2" xfId="178"/>
    <cellStyle name="Cálculo 2 2" xfId="179"/>
    <cellStyle name="Cálculo 3" xfId="180"/>
    <cellStyle name="Cálculo 3 2" xfId="181"/>
    <cellStyle name="Cálculo 4" xfId="182"/>
    <cellStyle name="Celda de comprobación 2" xfId="183"/>
    <cellStyle name="Celda de comprobación 2 2" xfId="184"/>
    <cellStyle name="Celda de comprobación 3" xfId="185"/>
    <cellStyle name="Celda de comprobación 3 2" xfId="186"/>
    <cellStyle name="Celda de comprobación 4" xfId="187"/>
    <cellStyle name="Celda vinculada 2" xfId="188"/>
    <cellStyle name="Celda vinculada 2 2" xfId="189"/>
    <cellStyle name="Celda vinculada 3" xfId="190"/>
    <cellStyle name="Celda vinculada 3 2" xfId="191"/>
    <cellStyle name="Celda vinculada 4" xfId="192"/>
    <cellStyle name="Check Cell" xfId="193"/>
    <cellStyle name="Check Cell 2" xfId="194"/>
    <cellStyle name="Check Cell 3" xfId="195"/>
    <cellStyle name="Check Cell 4" xfId="196"/>
    <cellStyle name="Check Cell 5" xfId="197"/>
    <cellStyle name="Comma [0]_hojas adicionales" xfId="198"/>
    <cellStyle name="Comma_aaa Stock Deuda Provincias I 2006" xfId="199"/>
    <cellStyle name="Comma0" xfId="200"/>
    <cellStyle name="Currency [0]_aaa Stock Deuda Provincias I 2006" xfId="201"/>
    <cellStyle name="Currency_aaa Stock Deuda Provincias I 2006" xfId="202"/>
    <cellStyle name="Currency0" xfId="203"/>
    <cellStyle name="En miles" xfId="204"/>
    <cellStyle name="En millones" xfId="205"/>
    <cellStyle name="Encabezado 4 2" xfId="206"/>
    <cellStyle name="Encabezado 4 2 2" xfId="207"/>
    <cellStyle name="Encabezado 4 3" xfId="208"/>
    <cellStyle name="Encabezado 4 3 2" xfId="209"/>
    <cellStyle name="Encabezado 4 4" xfId="210"/>
    <cellStyle name="Énfasis1 2" xfId="211"/>
    <cellStyle name="Énfasis1 2 2" xfId="212"/>
    <cellStyle name="Énfasis1 3" xfId="213"/>
    <cellStyle name="Énfasis1 3 2" xfId="214"/>
    <cellStyle name="Énfasis1 4" xfId="215"/>
    <cellStyle name="Énfasis2 2" xfId="216"/>
    <cellStyle name="Énfasis2 2 2" xfId="217"/>
    <cellStyle name="Énfasis2 3" xfId="218"/>
    <cellStyle name="Énfasis2 3 2" xfId="219"/>
    <cellStyle name="Énfasis2 4" xfId="220"/>
    <cellStyle name="Énfasis3 2" xfId="221"/>
    <cellStyle name="Énfasis3 2 2" xfId="222"/>
    <cellStyle name="Énfasis3 3" xfId="223"/>
    <cellStyle name="Énfasis3 3 2" xfId="224"/>
    <cellStyle name="Énfasis3 4" xfId="225"/>
    <cellStyle name="Énfasis4 2" xfId="226"/>
    <cellStyle name="Énfasis4 2 2" xfId="227"/>
    <cellStyle name="Énfasis4 3" xfId="228"/>
    <cellStyle name="Énfasis4 3 2" xfId="229"/>
    <cellStyle name="Énfasis4 4" xfId="230"/>
    <cellStyle name="Énfasis5 2" xfId="231"/>
    <cellStyle name="Énfasis5 2 2" xfId="232"/>
    <cellStyle name="Énfasis5 3" xfId="233"/>
    <cellStyle name="Énfasis5 3 2" xfId="234"/>
    <cellStyle name="Énfasis5 4" xfId="235"/>
    <cellStyle name="Énfasis6 2" xfId="236"/>
    <cellStyle name="Énfasis6 2 2" xfId="237"/>
    <cellStyle name="Énfasis6 3" xfId="238"/>
    <cellStyle name="Énfasis6 3 2" xfId="239"/>
    <cellStyle name="Énfasis6 4" xfId="240"/>
    <cellStyle name="Entrada 2" xfId="241"/>
    <cellStyle name="Entrada 2 2" xfId="242"/>
    <cellStyle name="Entrada 3" xfId="243"/>
    <cellStyle name="Entrada 3 2" xfId="244"/>
    <cellStyle name="Entrada 4" xfId="245"/>
    <cellStyle name="Euro" xfId="246"/>
    <cellStyle name="Euro 2" xfId="247"/>
    <cellStyle name="Euro 2 2" xfId="248"/>
    <cellStyle name="Euro 2 2 2" xfId="249"/>
    <cellStyle name="Euro 3" xfId="250"/>
    <cellStyle name="Explanatory Text" xfId="251"/>
    <cellStyle name="Explanatory Text 2" xfId="252"/>
    <cellStyle name="Explanatory Text 3" xfId="253"/>
    <cellStyle name="Explanatory Text 4" xfId="254"/>
    <cellStyle name="Explanatory Text 5" xfId="255"/>
    <cellStyle name="F2" xfId="256"/>
    <cellStyle name="F3" xfId="257"/>
    <cellStyle name="F4" xfId="258"/>
    <cellStyle name="F5" xfId="259"/>
    <cellStyle name="F6" xfId="260"/>
    <cellStyle name="F7" xfId="261"/>
    <cellStyle name="F8" xfId="262"/>
    <cellStyle name="facha" xfId="263"/>
    <cellStyle name="Followed Hyperlink_aaa Stock Deuda Provincias I 2006" xfId="264"/>
    <cellStyle name="Good" xfId="265"/>
    <cellStyle name="Good 2" xfId="266"/>
    <cellStyle name="Good 3" xfId="267"/>
    <cellStyle name="Good 4" xfId="268"/>
    <cellStyle name="Good 5" xfId="269"/>
    <cellStyle name="Heading 1" xfId="270"/>
    <cellStyle name="Heading 2" xfId="271"/>
    <cellStyle name="Heading 3" xfId="272"/>
    <cellStyle name="Heading 4" xfId="273"/>
    <cellStyle name="Hyperlink_aaa Stock Deuda Provincias I 2006" xfId="274"/>
    <cellStyle name="Incorrecto 2" xfId="275"/>
    <cellStyle name="Incorrecto 2 2" xfId="276"/>
    <cellStyle name="Incorrecto 3" xfId="277"/>
    <cellStyle name="Incorrecto 3 2" xfId="278"/>
    <cellStyle name="Incorrecto 4" xfId="279"/>
    <cellStyle name="Input" xfId="280"/>
    <cellStyle name="Input 2" xfId="281"/>
    <cellStyle name="Input 3" xfId="282"/>
    <cellStyle name="Input 4" xfId="283"/>
    <cellStyle name="Input 5" xfId="284"/>
    <cellStyle name="jo[" xfId="285"/>
    <cellStyle name="Linked Cell" xfId="286"/>
    <cellStyle name="Linked Cell 2" xfId="287"/>
    <cellStyle name="Linked Cell 3" xfId="288"/>
    <cellStyle name="Linked Cell 4" xfId="289"/>
    <cellStyle name="Linked Cell 5" xfId="290"/>
    <cellStyle name="Millares" xfId="499" builtinId="3"/>
    <cellStyle name="Millares [0] 2" xfId="291"/>
    <cellStyle name="Millares [0] 2 2" xfId="292"/>
    <cellStyle name="Millares [0] 2 2 2" xfId="293"/>
    <cellStyle name="Millares [0] 2 2 2 2" xfId="294"/>
    <cellStyle name="Millares [0] 2 2 3" xfId="295"/>
    <cellStyle name="Millares [0] 2 2 4" xfId="296"/>
    <cellStyle name="Millares [0] 2 3" xfId="297"/>
    <cellStyle name="Millares [0] 3" xfId="298"/>
    <cellStyle name="Millares [0] 3 2" xfId="299"/>
    <cellStyle name="Millares [0] 4" xfId="300"/>
    <cellStyle name="Millares [0] 4 2" xfId="301"/>
    <cellStyle name="Millares [0] 5" xfId="302"/>
    <cellStyle name="Millares [0] 5 2" xfId="303"/>
    <cellStyle name="Millares [0] 6" xfId="304"/>
    <cellStyle name="Millares [0] 8" xfId="305"/>
    <cellStyle name="Millares [2]" xfId="306"/>
    <cellStyle name="Millares [2] 2" xfId="307"/>
    <cellStyle name="Millares [2] 3" xfId="308"/>
    <cellStyle name="Millares [2] 4" xfId="309"/>
    <cellStyle name="Millares [2] 5" xfId="310"/>
    <cellStyle name="Millares 10" xfId="311"/>
    <cellStyle name="Millares 10 2" xfId="312"/>
    <cellStyle name="Millares 11" xfId="313"/>
    <cellStyle name="Millares 11 2" xfId="314"/>
    <cellStyle name="Millares 12" xfId="315"/>
    <cellStyle name="Millares 12 2" xfId="316"/>
    <cellStyle name="Millares 13" xfId="317"/>
    <cellStyle name="Millares 13 2" xfId="318"/>
    <cellStyle name="Millares 14" xfId="319"/>
    <cellStyle name="Millares 15" xfId="320"/>
    <cellStyle name="Millares 16" xfId="321"/>
    <cellStyle name="Millares 16 2" xfId="322"/>
    <cellStyle name="Millares 17" xfId="323"/>
    <cellStyle name="Millares 18" xfId="324"/>
    <cellStyle name="Millares 18 2" xfId="325"/>
    <cellStyle name="Millares 19" xfId="326"/>
    <cellStyle name="Millares 2" xfId="327"/>
    <cellStyle name="Millares 2 2" xfId="328"/>
    <cellStyle name="Millares 2 2 2" xfId="329"/>
    <cellStyle name="Millares 2 2 2 2" xfId="330"/>
    <cellStyle name="Millares 2 2 2 2 2" xfId="331"/>
    <cellStyle name="Millares 2 2 3" xfId="332"/>
    <cellStyle name="Millares 2 2 4" xfId="333"/>
    <cellStyle name="Millares 2 3" xfId="334"/>
    <cellStyle name="Millares 2 4" xfId="335"/>
    <cellStyle name="Millares 2 5" xfId="336"/>
    <cellStyle name="Millares 2 6" xfId="337"/>
    <cellStyle name="Millares 3" xfId="338"/>
    <cellStyle name="Millares 3 2" xfId="339"/>
    <cellStyle name="Millares 3 2 2" xfId="340"/>
    <cellStyle name="Millares 3 3" xfId="341"/>
    <cellStyle name="Millares 3 3 2" xfId="342"/>
    <cellStyle name="Millares 3 4" xfId="343"/>
    <cellStyle name="Millares 3 4 2" xfId="344"/>
    <cellStyle name="Millares 3 5" xfId="345"/>
    <cellStyle name="Millares 4" xfId="346"/>
    <cellStyle name="Millares 4 2" xfId="347"/>
    <cellStyle name="Millares 4 2 2" xfId="348"/>
    <cellStyle name="Millares 4 2 2 2" xfId="349"/>
    <cellStyle name="Millares 4 3" xfId="350"/>
    <cellStyle name="Millares 5" xfId="351"/>
    <cellStyle name="Millares 5 2" xfId="352"/>
    <cellStyle name="Millares 5 2 2" xfId="353"/>
    <cellStyle name="Millares 5 2 2 2" xfId="354"/>
    <cellStyle name="Millares 5 3" xfId="355"/>
    <cellStyle name="Millares 5 4" xfId="356"/>
    <cellStyle name="Millares 5 5" xfId="357"/>
    <cellStyle name="Millares 5 5 2" xfId="358"/>
    <cellStyle name="Millares 5 6" xfId="359"/>
    <cellStyle name="Millares 6" xfId="360"/>
    <cellStyle name="Millares 6 2" xfId="361"/>
    <cellStyle name="Millares 7" xfId="362"/>
    <cellStyle name="Millares 7 2" xfId="363"/>
    <cellStyle name="Millares 7 3" xfId="364"/>
    <cellStyle name="Millares 7 3 2" xfId="365"/>
    <cellStyle name="Millares 7 3 2 2" xfId="366"/>
    <cellStyle name="Millares 7 3 3" xfId="367"/>
    <cellStyle name="Millares 8" xfId="368"/>
    <cellStyle name="Millares 9" xfId="369"/>
    <cellStyle name="Moneda" xfId="500" builtinId="4"/>
    <cellStyle name="Neutral 2" xfId="370"/>
    <cellStyle name="Neutral 2 2" xfId="371"/>
    <cellStyle name="Neutral 3" xfId="372"/>
    <cellStyle name="Neutral 3 2" xfId="373"/>
    <cellStyle name="Neutral 4" xfId="374"/>
    <cellStyle name="Normal" xfId="0" builtinId="0"/>
    <cellStyle name="Normal 10" xfId="375"/>
    <cellStyle name="Normal 10 2" xfId="376"/>
    <cellStyle name="Normal 10 3" xfId="377"/>
    <cellStyle name="Normal 11" xfId="378"/>
    <cellStyle name="Normal 12" xfId="379"/>
    <cellStyle name="Normal 12 2" xfId="380"/>
    <cellStyle name="Normal 13" xfId="381"/>
    <cellStyle name="Normal 13 2" xfId="382"/>
    <cellStyle name="Normal 14" xfId="383"/>
    <cellStyle name="Normal 2" xfId="384"/>
    <cellStyle name="Normal 2 2" xfId="385"/>
    <cellStyle name="Normal 2 2 2" xfId="386"/>
    <cellStyle name="Normal 2 2 3" xfId="387"/>
    <cellStyle name="Normal 2 2 3 2" xfId="388"/>
    <cellStyle name="Normal 2 2 4" xfId="389"/>
    <cellStyle name="Normal 2 3" xfId="390"/>
    <cellStyle name="Normal 2 3 2" xfId="391"/>
    <cellStyle name="Normal 2 3 2 2" xfId="392"/>
    <cellStyle name="Normal 2 3 3" xfId="393"/>
    <cellStyle name="Normal 3" xfId="394"/>
    <cellStyle name="Normal 3 2" xfId="395"/>
    <cellStyle name="Normal 4" xfId="396"/>
    <cellStyle name="Normal 5" xfId="397"/>
    <cellStyle name="Normal 5 2" xfId="398"/>
    <cellStyle name="Normal 5 2 2" xfId="399"/>
    <cellStyle name="Normal 5 2 2 2" xfId="400"/>
    <cellStyle name="Normal 5 3" xfId="401"/>
    <cellStyle name="Normal 5 4" xfId="402"/>
    <cellStyle name="Normal 5 4 2" xfId="403"/>
    <cellStyle name="Normal 5 5" xfId="404"/>
    <cellStyle name="Normal 5 5 2" xfId="405"/>
    <cellStyle name="Normal 5 6" xfId="406"/>
    <cellStyle name="Normal 5 6 2" xfId="407"/>
    <cellStyle name="Normal 5 7" xfId="408"/>
    <cellStyle name="Normal 5_CUADRO 8 - Bonos y Prestamos Garantizados en Pesos 2do. Trim-15 (A 1.8) Mari en construcción" xfId="409"/>
    <cellStyle name="Normal 6" xfId="410"/>
    <cellStyle name="Normal 7" xfId="411"/>
    <cellStyle name="Normal 7 2" xfId="412"/>
    <cellStyle name="Normal 7 2 2" xfId="413"/>
    <cellStyle name="Normal 7 3" xfId="414"/>
    <cellStyle name="Normal 7 3 2" xfId="415"/>
    <cellStyle name="Normal 7 4" xfId="416"/>
    <cellStyle name="Normal 7 4 2" xfId="417"/>
    <cellStyle name="Normal 7 5" xfId="418"/>
    <cellStyle name="Normal 8" xfId="419"/>
    <cellStyle name="Normal 8 2" xfId="420"/>
    <cellStyle name="Normal 9" xfId="421"/>
    <cellStyle name="Normal 9 2" xfId="422"/>
    <cellStyle name="Normal 9 2 2" xfId="423"/>
    <cellStyle name="Normal 9 3" xfId="424"/>
    <cellStyle name="Notas 2" xfId="425"/>
    <cellStyle name="Notas 2 2" xfId="426"/>
    <cellStyle name="Notas 3" xfId="427"/>
    <cellStyle name="Notas 3 2" xfId="428"/>
    <cellStyle name="Notas 4" xfId="429"/>
    <cellStyle name="Note" xfId="430"/>
    <cellStyle name="Nulos" xfId="431"/>
    <cellStyle name="Nulos 2" xfId="432"/>
    <cellStyle name="Nulos 2 2" xfId="433"/>
    <cellStyle name="Nulos 3" xfId="434"/>
    <cellStyle name="Nulos 4" xfId="435"/>
    <cellStyle name="Oficio" xfId="436"/>
    <cellStyle name="Output" xfId="437"/>
    <cellStyle name="Output 2" xfId="438"/>
    <cellStyle name="Output 3" xfId="439"/>
    <cellStyle name="Output 4" xfId="440"/>
    <cellStyle name="Output 5" xfId="441"/>
    <cellStyle name="Porcentaje" xfId="1" builtinId="5"/>
    <cellStyle name="Porcentaje 2" xfId="442"/>
    <cellStyle name="Porcentaje 2 2" xfId="443"/>
    <cellStyle name="Porcentaje 2 2 2" xfId="444"/>
    <cellStyle name="Porcentaje 2 2 2 2" xfId="445"/>
    <cellStyle name="Porcentaje 2 3" xfId="446"/>
    <cellStyle name="Porcentaje 3" xfId="447"/>
    <cellStyle name="Porcentaje 3 2" xfId="448"/>
    <cellStyle name="Porcentaje 4" xfId="449"/>
    <cellStyle name="Porcentaje 4 2" xfId="450"/>
    <cellStyle name="Porcentaje 5" xfId="451"/>
    <cellStyle name="Salida 2" xfId="452"/>
    <cellStyle name="Salida 2 2" xfId="453"/>
    <cellStyle name="Salida 3" xfId="454"/>
    <cellStyle name="Salida 3 2" xfId="455"/>
    <cellStyle name="Salida 4" xfId="456"/>
    <cellStyle name="Texto de advertencia 2" xfId="457"/>
    <cellStyle name="Texto de advertencia 2 2" xfId="458"/>
    <cellStyle name="Texto de advertencia 3" xfId="459"/>
    <cellStyle name="Texto de advertencia 3 2" xfId="460"/>
    <cellStyle name="Texto de advertencia 4" xfId="461"/>
    <cellStyle name="Texto explicativo 2" xfId="462"/>
    <cellStyle name="Texto explicativo 2 2" xfId="463"/>
    <cellStyle name="Texto explicativo 3" xfId="464"/>
    <cellStyle name="Texto explicativo 3 2" xfId="465"/>
    <cellStyle name="Texto explicativo 4" xfId="466"/>
    <cellStyle name="Title" xfId="467"/>
    <cellStyle name="Título 1 2" xfId="468"/>
    <cellStyle name="Título 1 2 2" xfId="469"/>
    <cellStyle name="Título 1 3" xfId="470"/>
    <cellStyle name="Título 1 3 2" xfId="471"/>
    <cellStyle name="Título 1 4" xfId="472"/>
    <cellStyle name="Título 2 2" xfId="473"/>
    <cellStyle name="Título 2 2 2" xfId="474"/>
    <cellStyle name="Título 2 3" xfId="475"/>
    <cellStyle name="Título 2 3 2" xfId="476"/>
    <cellStyle name="Título 2 4" xfId="477"/>
    <cellStyle name="Título 3 2" xfId="478"/>
    <cellStyle name="Título 3 2 2" xfId="479"/>
    <cellStyle name="Título 3 3" xfId="480"/>
    <cellStyle name="Título 3 3 2" xfId="481"/>
    <cellStyle name="Título 3 4" xfId="482"/>
    <cellStyle name="Título 4" xfId="483"/>
    <cellStyle name="Título 4 2" xfId="484"/>
    <cellStyle name="Título 5" xfId="485"/>
    <cellStyle name="Título 5 2" xfId="486"/>
    <cellStyle name="Título 6" xfId="487"/>
    <cellStyle name="Total 2" xfId="488"/>
    <cellStyle name="Total 2 2" xfId="489"/>
    <cellStyle name="Total 3" xfId="490"/>
    <cellStyle name="Total 3 2" xfId="491"/>
    <cellStyle name="Total 4" xfId="492"/>
    <cellStyle name="vaca" xfId="493"/>
    <cellStyle name="Warning Text" xfId="494"/>
    <cellStyle name="Warning Text 2" xfId="495"/>
    <cellStyle name="Warning Text 3" xfId="496"/>
    <cellStyle name="Warning Text 4" xfId="497"/>
    <cellStyle name="Warning Text 5" xfId="498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E76F"/>
      <color rgb="FF0B991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Variaciones YTD bonos ajustables por</a:t>
            </a:r>
            <a:r>
              <a:rPr lang="es-AR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CER vs dólar CCL</a:t>
            </a:r>
            <a:endParaRPr lang="es-AR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2950919577826084"/>
          <c:y val="2.5065142279292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2636790987956144E-2"/>
          <c:y val="0.18670798322101861"/>
          <c:w val="0.88483761416381024"/>
          <c:h val="0.726553075486342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</a:schemeClr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D-41DF-AEFF-82FEC8A534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 Light" panose="020B0304020202020204" pitchFamily="34" charset="0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Variaciones!$AH$7:$AH$22</c:f>
              <c:strCache>
                <c:ptCount val="16"/>
                <c:pt idx="0">
                  <c:v>TX21</c:v>
                </c:pt>
                <c:pt idx="1">
                  <c:v>TC21</c:v>
                </c:pt>
                <c:pt idx="2">
                  <c:v>TX22</c:v>
                </c:pt>
                <c:pt idx="3">
                  <c:v>PR13</c:v>
                </c:pt>
                <c:pt idx="4">
                  <c:v>T2X2</c:v>
                </c:pt>
                <c:pt idx="5">
                  <c:v>TC23</c:v>
                </c:pt>
                <c:pt idx="6">
                  <c:v>TX23</c:v>
                </c:pt>
                <c:pt idx="7">
                  <c:v>T2X3</c:v>
                </c:pt>
                <c:pt idx="8">
                  <c:v>TX24</c:v>
                </c:pt>
                <c:pt idx="9">
                  <c:v>TX26</c:v>
                </c:pt>
                <c:pt idx="10">
                  <c:v>TC25P</c:v>
                </c:pt>
                <c:pt idx="11">
                  <c:v>TX28</c:v>
                </c:pt>
                <c:pt idx="12">
                  <c:v>DICP</c:v>
                </c:pt>
                <c:pt idx="13">
                  <c:v>PARP</c:v>
                </c:pt>
                <c:pt idx="14">
                  <c:v>CUAP</c:v>
                </c:pt>
                <c:pt idx="15">
                  <c:v>CCL</c:v>
                </c:pt>
              </c:strCache>
            </c:strRef>
          </c:cat>
          <c:val>
            <c:numRef>
              <c:f>Variaciones!$AM$7:$AM$22</c:f>
              <c:numCache>
                <c:formatCode>0.00%</c:formatCode>
                <c:ptCount val="16"/>
                <c:pt idx="0">
                  <c:v>0.21862374491200959</c:v>
                </c:pt>
                <c:pt idx="1">
                  <c:v>0.21880060842487942</c:v>
                </c:pt>
                <c:pt idx="2">
                  <c:v>0.21180035173119438</c:v>
                </c:pt>
                <c:pt idx="3">
                  <c:v>0.22694294040165799</c:v>
                </c:pt>
                <c:pt idx="4">
                  <c:v>0.26591150008322595</c:v>
                </c:pt>
                <c:pt idx="5">
                  <c:v>0.26342746577744097</c:v>
                </c:pt>
                <c:pt idx="6">
                  <c:v>0.24517685078636398</c:v>
                </c:pt>
                <c:pt idx="8">
                  <c:v>0.2858630161877822</c:v>
                </c:pt>
                <c:pt idx="9">
                  <c:v>0.33304785840599516</c:v>
                </c:pt>
                <c:pt idx="10">
                  <c:v>0.36978678412588339</c:v>
                </c:pt>
                <c:pt idx="11">
                  <c:v>0.30599467275098935</c:v>
                </c:pt>
                <c:pt idx="12">
                  <c:v>0.24893617021276596</c:v>
                </c:pt>
                <c:pt idx="13">
                  <c:v>0.20524802870923753</c:v>
                </c:pt>
                <c:pt idx="14">
                  <c:v>0.22277227722772278</c:v>
                </c:pt>
                <c:pt idx="15">
                  <c:v>0.15505775288764442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D-41DF-AEFF-82FEC8A5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618736"/>
        <c:axId val="572613160"/>
      </c:barChart>
      <c:catAx>
        <c:axId val="5726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ova Light" panose="020B0304020202020204" pitchFamily="34" charset="0"/>
                <a:ea typeface="+mn-ea"/>
                <a:cs typeface="+mn-cs"/>
              </a:defRPr>
            </a:pPr>
            <a:endParaRPr lang="es-AR"/>
          </a:p>
        </c:txPr>
        <c:crossAx val="572613160"/>
        <c:crosses val="autoZero"/>
        <c:auto val="1"/>
        <c:lblAlgn val="ctr"/>
        <c:lblOffset val="100"/>
        <c:noMultiLvlLbl val="0"/>
      </c:catAx>
      <c:valAx>
        <c:axId val="57261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ova Light" panose="020B0304020202020204" pitchFamily="34" charset="0"/>
                <a:ea typeface="+mn-ea"/>
                <a:cs typeface="+mn-cs"/>
              </a:defRPr>
            </a:pPr>
            <a:endParaRPr lang="es-AR"/>
          </a:p>
        </c:txPr>
        <c:crossAx val="57261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4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Tramo CER 2022</a:t>
            </a:r>
            <a:endParaRPr lang="es-AR" sz="1400" b="1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8713742737017226"/>
          <c:y val="7.186471159495005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04512801967333"/>
          <c:y val="0.19601690164878297"/>
          <c:w val="0.81084992015518587"/>
          <c:h val="0.64183288015140894"/>
        </c:manualLayout>
      </c:layout>
      <c:scatterChart>
        <c:scatterStyle val="lineMarker"/>
        <c:varyColors val="0"/>
        <c:ser>
          <c:idx val="1"/>
          <c:order val="0"/>
          <c:tx>
            <c:v>BONCER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3.5562363851244269E-2"/>
                  <c:y val="4.2649897490618184E-2"/>
                </c:manualLayout>
              </c:layout>
              <c:tx>
                <c:rich>
                  <a:bodyPr/>
                  <a:lstStyle/>
                  <a:p>
                    <a:fld id="{C1B7E4D5-6FDB-42D8-BBF2-BDDD4672476F}" type="CELLRANGE">
                      <a:rPr lang="en-US"/>
                      <a:pPr/>
                      <a:t>[CELLRANGE]</a:t>
                    </a:fld>
                    <a:endParaRPr lang="en-US"/>
                  </a:p>
                  <a:p>
                    <a:fld id="{FFB5D9E7-4A2B-4AAE-9BEB-3B73B2CB13D0}" type="YVALUE">
                      <a:rPr lang="en-US" baseline="0"/>
                      <a:pPr/>
                      <a:t>[VALOR DE Y]</a:t>
                    </a:fld>
                    <a:endParaRPr lang="es-A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9FE-4A6D-A416-32673EE6A637}"/>
                </c:ext>
              </c:extLst>
            </c:dLbl>
            <c:dLbl>
              <c:idx val="1"/>
              <c:layout>
                <c:manualLayout>
                  <c:x val="-2.7087847603987796E-2"/>
                  <c:y val="4.240243624635822E-2"/>
                </c:manualLayout>
              </c:layout>
              <c:tx>
                <c:rich>
                  <a:bodyPr/>
                  <a:lstStyle/>
                  <a:p>
                    <a:fld id="{41CF5929-D9E3-4AD8-BAD3-7881462DBA2F}" type="CELLRANGE">
                      <a:rPr lang="en-US"/>
                      <a:pPr/>
                      <a:t>[CELLRANGE]</a:t>
                    </a:fld>
                    <a:r>
                      <a:rPr lang="en-US"/>
                      <a:t/>
                    </a:r>
                    <a:br>
                      <a:rPr lang="en-US"/>
                    </a:br>
                    <a:r>
                      <a:rPr lang="en-US" baseline="0"/>
                      <a:t> </a:t>
                    </a:r>
                    <a:fld id="{13F3CB64-F573-4AF6-9BDF-39B879FE2628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C36-4344-85DB-2296486A4B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317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</c15:leaderLines>
              </c:ext>
            </c:extLst>
          </c:dLbls>
          <c:xVal>
            <c:numRef>
              <c:f>'Planilla de datos'!$F$71:$F$72</c:f>
              <c:numCache>
                <c:formatCode>#,##0.00</c:formatCode>
                <c:ptCount val="2"/>
                <c:pt idx="0" formatCode="0.00">
                  <c:v>0.69703557312252973</c:v>
                </c:pt>
                <c:pt idx="1">
                  <c:v>1.195992044030298</c:v>
                </c:pt>
              </c:numCache>
            </c:numRef>
          </c:xVal>
          <c:yVal>
            <c:numRef>
              <c:f>'Planilla de datos'!$E$71:$E$72</c:f>
              <c:numCache>
                <c:formatCode>0.00%</c:formatCode>
                <c:ptCount val="2"/>
                <c:pt idx="0">
                  <c:v>2.7927407226562506E-2</c:v>
                </c:pt>
                <c:pt idx="1">
                  <c:v>3.2965014648437499E-2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datos'!$B$71:$B$72</c15:f>
                <c15:dlblRangeCache>
                  <c:ptCount val="2"/>
                  <c:pt idx="0">
                    <c:v>TX22</c:v>
                  </c:pt>
                  <c:pt idx="1">
                    <c:v>T2X2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A9FE-4A6D-A416-32673EE6A637}"/>
            </c:ext>
          </c:extLst>
        </c:ser>
        <c:ser>
          <c:idx val="0"/>
          <c:order val="1"/>
          <c:tx>
            <c:v>LECER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2285569570212624E-2"/>
                  <c:y val="4.2578680446485308E-2"/>
                </c:manualLayout>
              </c:layout>
              <c:tx>
                <c:rich>
                  <a:bodyPr/>
                  <a:lstStyle/>
                  <a:p>
                    <a:fld id="{C2D0E901-9382-4EB2-90DB-EC9D7FBDD34A}" type="CELLRANGE">
                      <a:rPr lang="en-US"/>
                      <a:pPr/>
                      <a:t>[CELLRANGE]</a:t>
                    </a:fld>
                    <a:r>
                      <a:rPr lang="en-US"/>
                      <a:t/>
                    </a:r>
                    <a:br>
                      <a:rPr lang="en-US"/>
                    </a:br>
                    <a:fld id="{18C65261-C0B4-4EEA-9C32-40A4CF92FCB5}" type="YVALUE">
                      <a:rPr lang="en-US" baseline="0"/>
                      <a:pPr/>
                      <a:t>[VALOR DE Y]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A9FE-4A6D-A416-32673EE6A637}"/>
                </c:ext>
              </c:extLst>
            </c:dLbl>
            <c:dLbl>
              <c:idx val="1"/>
              <c:layout>
                <c:manualLayout>
                  <c:x val="-3.1378556339333182E-2"/>
                  <c:y val="3.9542484443751726E-2"/>
                </c:manualLayout>
              </c:layout>
              <c:tx>
                <c:rich>
                  <a:bodyPr/>
                  <a:lstStyle/>
                  <a:p>
                    <a:fld id="{01090752-219D-4EBD-B088-2D5372968412}" type="CELLRANGE">
                      <a:rPr lang="en-US"/>
                      <a:pPr/>
                      <a:t>[CELLRANGE]</a:t>
                    </a:fld>
                    <a:r>
                      <a:rPr lang="en-US"/>
                      <a:t/>
                    </a:r>
                    <a:br>
                      <a:rPr lang="en-US"/>
                    </a:br>
                    <a:fld id="{8A4F01B8-A14F-4002-8433-5D15E6BB7D35}" type="YVALUE">
                      <a:rPr lang="en-US" baseline="0"/>
                      <a:pPr/>
                      <a:t>[VALOR DE Y]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A9FE-4A6D-A416-32673EE6A637}"/>
                </c:ext>
              </c:extLst>
            </c:dLbl>
            <c:dLbl>
              <c:idx val="2"/>
              <c:layout>
                <c:manualLayout>
                  <c:x val="-3.7654267607199809E-2"/>
                  <c:y val="3.965878163703275E-2"/>
                </c:manualLayout>
              </c:layout>
              <c:tx>
                <c:rich>
                  <a:bodyPr/>
                  <a:lstStyle/>
                  <a:p>
                    <a:fld id="{573D5890-A04B-4978-AE7A-6CCF766A4885}" type="CELLRANGE">
                      <a:rPr lang="en-US"/>
                      <a:pPr/>
                      <a:t>[CELLRANGE]</a:t>
                    </a:fld>
                    <a:r>
                      <a:rPr lang="en-US"/>
                      <a:t/>
                    </a:r>
                    <a:br>
                      <a:rPr lang="en-US"/>
                    </a:br>
                    <a:r>
                      <a:rPr lang="en-US" baseline="0"/>
                      <a:t> </a:t>
                    </a:r>
                    <a:fld id="{EC0D2138-E6F0-43CE-85FE-190850E59284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A9FE-4A6D-A416-32673EE6A637}"/>
                </c:ext>
              </c:extLst>
            </c:dLbl>
            <c:dLbl>
              <c:idx val="3"/>
              <c:layout>
                <c:manualLayout>
                  <c:x val="-3.9746171363155315E-2"/>
                  <c:y val="4.26343112688384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X23Y2</a:t>
                    </a:r>
                    <a:br>
                      <a:rPr lang="en-US"/>
                    </a:br>
                    <a:fld id="{AF410CAF-C3CC-4AD0-93C1-BE8EC1EA0247}" type="YVALUE">
                      <a:rPr lang="en-US"/>
                      <a:pPr/>
                      <a:t>[VALOR DE Y]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887-42BF-B1A4-1687C34A09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'Planilla de datos'!$J$38:$J$41</c:f>
              <c:numCache>
                <c:formatCode>0.00</c:formatCode>
                <c:ptCount val="4"/>
                <c:pt idx="0">
                  <c:v>0.64931506849315068</c:v>
                </c:pt>
                <c:pt idx="1">
                  <c:v>0.73424657534246573</c:v>
                </c:pt>
                <c:pt idx="2">
                  <c:v>0.78356164383561644</c:v>
                </c:pt>
                <c:pt idx="3">
                  <c:v>0.8794520547945206</c:v>
                </c:pt>
              </c:numCache>
            </c:numRef>
          </c:xVal>
          <c:yVal>
            <c:numRef>
              <c:f>'Planilla de datos'!$K$38:$K$41</c:f>
              <c:numCache>
                <c:formatCode>0.00%</c:formatCode>
                <c:ptCount val="4"/>
                <c:pt idx="0">
                  <c:v>3.0749306082725525E-2</c:v>
                </c:pt>
                <c:pt idx="1">
                  <c:v>3.2676270604133612E-2</c:v>
                </c:pt>
                <c:pt idx="2">
                  <c:v>2.568953335285187E-2</c:v>
                </c:pt>
                <c:pt idx="3">
                  <c:v>2.8710618615150455E-2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datos'!$B$38:$B$40</c15:f>
                <c15:dlblRangeCache>
                  <c:ptCount val="3"/>
                  <c:pt idx="0">
                    <c:v>X28F2</c:v>
                  </c:pt>
                  <c:pt idx="1">
                    <c:v>X31M2</c:v>
                  </c:pt>
                  <c:pt idx="2">
                    <c:v>X18A2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A9FE-4A6D-A416-32673EE6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24256"/>
        <c:axId val="141710848"/>
        <c:extLst/>
      </c:scatterChart>
      <c:valAx>
        <c:axId val="137424256"/>
        <c:scaling>
          <c:orientation val="minMax"/>
          <c:max val="1.3"/>
          <c:min val="0.60000000000000009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50958916975831758"/>
              <c:y val="0.8744467929759042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710848"/>
        <c:crossesAt val="-5.000000000000001E-3"/>
        <c:crossBetween val="midCat"/>
        <c:majorUnit val="0.1"/>
      </c:valAx>
      <c:valAx>
        <c:axId val="141710848"/>
        <c:scaling>
          <c:orientation val="minMax"/>
          <c:max val="2.8000000000000004E-2"/>
          <c:min val="2.0000000000000004E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TEA</a:t>
                </a:r>
              </a:p>
            </c:rich>
          </c:tx>
          <c:layout>
            <c:manualLayout>
              <c:xMode val="edge"/>
              <c:yMode val="edge"/>
              <c:x val="3.9759836887341873E-2"/>
              <c:y val="0.45533121750286987"/>
            </c:manualLayout>
          </c:layout>
          <c:overlay val="0"/>
        </c:title>
        <c:numFmt formatCode="0.0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37424256"/>
        <c:crossesAt val="0"/>
        <c:crossBetween val="midCat"/>
        <c:majorUnit val="2.0000000000000005E-3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15008061243045653"/>
          <c:y val="0.88979716647522966"/>
          <c:w val="0.32946940590756912"/>
          <c:h val="3.5379764288369073E-2"/>
        </c:manualLayout>
      </c:layout>
      <c:overlay val="0"/>
      <c:spPr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sz="800">
              <a:latin typeface="Arial Nova Light" panose="020B03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3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Tasas de bonos y letras en pesos con duration hasta 1 año</a:t>
            </a:r>
            <a:endParaRPr lang="es-AR" sz="1300" b="1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4011521477226174"/>
          <c:y val="6.619277342017823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0388622713441391E-2"/>
          <c:y val="0.18946852525219193"/>
          <c:w val="0.85250649366410591"/>
          <c:h val="0.64838124859492341"/>
        </c:manualLayout>
      </c:layout>
      <c:scatterChart>
        <c:scatterStyle val="lineMarker"/>
        <c:varyColors val="0"/>
        <c:ser>
          <c:idx val="0"/>
          <c:order val="0"/>
          <c:tx>
            <c:v>Soberanos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2638806896497216E-2"/>
                  <c:y val="4.8773017021755934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</a:rPr>
                      <a:t>T2X1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939406637439845E-2"/>
                      <c:h val="4.631485277405148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CD0-4F6D-9650-8B0FD8AD89C1}"/>
                </c:ext>
              </c:extLst>
            </c:dLbl>
            <c:dLbl>
              <c:idx val="1"/>
              <c:layout>
                <c:manualLayout>
                  <c:x val="-1.0473749656005544E-2"/>
                  <c:y val="-3.9549684540960174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/>
                      <a:t>PR15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855748881901966E-2"/>
                      <c:h val="3.44763468420021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CD0-4F6D-9650-8B0FD8AD89C1}"/>
                </c:ext>
              </c:extLst>
            </c:dLbl>
            <c:dLbl>
              <c:idx val="2"/>
              <c:layout>
                <c:manualLayout>
                  <c:x val="-2.7876261053333202E-2"/>
                  <c:y val="2.74103380640158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D0-4F6D-9650-8B0FD8AD89C1}"/>
                </c:ext>
              </c:extLst>
            </c:dLbl>
            <c:dLbl>
              <c:idx val="3"/>
              <c:layout>
                <c:manualLayout>
                  <c:x val="-6.8590280381311514E-2"/>
                  <c:y val="4.177073686859207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TB21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D0-4F6D-9650-8B0FD8AD89C1}"/>
                </c:ext>
              </c:extLst>
            </c:dLbl>
            <c:dLbl>
              <c:idx val="4"/>
              <c:layout>
                <c:manualLayout>
                  <c:x val="-1.1877076643967531E-2"/>
                  <c:y val="1.557452670003112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D0-4F6D-9650-8B0FD8AD89C1}"/>
                </c:ext>
              </c:extLst>
            </c:dLbl>
            <c:dLbl>
              <c:idx val="5"/>
              <c:layout>
                <c:manualLayout>
                  <c:x val="-1.1862601644416498E-2"/>
                  <c:y val="-2.780247045987513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D0-4F6D-9650-8B0FD8AD89C1}"/>
                </c:ext>
              </c:extLst>
            </c:dLbl>
            <c:dLbl>
              <c:idx val="6"/>
              <c:layout>
                <c:manualLayout>
                  <c:x val="-3.3354588008623967E-2"/>
                  <c:y val="2.29024912911030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AA22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D0-4F6D-9650-8B0FD8AD89C1}"/>
                </c:ext>
              </c:extLst>
            </c:dLbl>
            <c:dLbl>
              <c:idx val="7"/>
              <c:layout>
                <c:manualLayout>
                  <c:x val="-3.4754263077486913E-2"/>
                  <c:y val="2.32398807092839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D0-4F6D-9650-8B0FD8AD89C1}"/>
                </c:ext>
              </c:extLst>
            </c:dLbl>
            <c:dLbl>
              <c:idx val="8"/>
              <c:layout>
                <c:manualLayout>
                  <c:x val="-4.8717650991015639E-2"/>
                  <c:y val="2.77096580584883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D0-4F6D-9650-8B0FD8AD89C1}"/>
                </c:ext>
              </c:extLst>
            </c:dLbl>
            <c:dLbl>
              <c:idx val="9"/>
              <c:layout>
                <c:manualLayout>
                  <c:x val="-1.2746776697509893E-2"/>
                  <c:y val="2.10324983874767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D0-4F6D-9650-8B0FD8AD89C1}"/>
                </c:ext>
              </c:extLst>
            </c:dLbl>
            <c:dLbl>
              <c:idx val="10"/>
              <c:layout>
                <c:manualLayout>
                  <c:x val="-9.8555021598494483E-3"/>
                  <c:y val="-1.296190947443572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D0-4F6D-9650-8B0FD8AD89C1}"/>
                </c:ext>
              </c:extLst>
            </c:dLbl>
            <c:dLbl>
              <c:idx val="11"/>
              <c:layout>
                <c:manualLayout>
                  <c:x val="-3.6284482439126915E-2"/>
                  <c:y val="2.68272949009288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D0-4F6D-9650-8B0FD8AD89C1}"/>
                </c:ext>
              </c:extLst>
            </c:dLbl>
            <c:dLbl>
              <c:idx val="12"/>
              <c:layout>
                <c:manualLayout>
                  <c:x val="-9.3340102098098988E-3"/>
                  <c:y val="7.963854808171494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CD0-4F6D-9650-8B0FD8AD89C1}"/>
                </c:ext>
              </c:extLst>
            </c:dLbl>
            <c:dLbl>
              <c:idx val="13"/>
              <c:layout>
                <c:manualLayout>
                  <c:x val="-3.2109734352930672E-2"/>
                  <c:y val="2.65940182875988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CD0-4F6D-9650-8B0FD8AD89C1}"/>
                </c:ext>
              </c:extLst>
            </c:dLbl>
            <c:dLbl>
              <c:idx val="14"/>
              <c:layout>
                <c:manualLayout>
                  <c:x val="-3.0843556071668447E-2"/>
                  <c:y val="2.52569492808711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CD0-4F6D-9650-8B0FD8AD8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</c15:leaderLines>
              </c:ext>
            </c:extLst>
          </c:dLbls>
          <c:xVal>
            <c:numRef>
              <c:f>'Planilla de datos'!$AA$71:$AA$85</c:f>
              <c:numCache>
                <c:formatCode>0.00</c:formatCode>
                <c:ptCount val="15"/>
                <c:pt idx="1">
                  <c:v>0.52</c:v>
                </c:pt>
                <c:pt idx="2">
                  <c:v>0.24657534246575341</c:v>
                </c:pt>
                <c:pt idx="3">
                  <c:v>7.3121599658247327E-2</c:v>
                </c:pt>
                <c:pt idx="4">
                  <c:v>8.0555555555555602E-2</c:v>
                </c:pt>
                <c:pt idx="5">
                  <c:v>4.4444444444444391E-2</c:v>
                </c:pt>
                <c:pt idx="6">
                  <c:v>0.61227639425198632</c:v>
                </c:pt>
                <c:pt idx="7">
                  <c:v>1.195992044030298</c:v>
                </c:pt>
                <c:pt idx="8">
                  <c:v>0.69703557312252973</c:v>
                </c:pt>
                <c:pt idx="9">
                  <c:v>1.4439351777119052</c:v>
                </c:pt>
                <c:pt idx="10">
                  <c:v>1.2687863125632977</c:v>
                </c:pt>
                <c:pt idx="11">
                  <c:v>1.3559291973168417</c:v>
                </c:pt>
                <c:pt idx="12">
                  <c:v>2.0151238860575362</c:v>
                </c:pt>
                <c:pt idx="13">
                  <c:v>2.0758728559936257</c:v>
                </c:pt>
                <c:pt idx="14">
                  <c:v>1.6408743175498961</c:v>
                </c:pt>
              </c:numCache>
            </c:numRef>
          </c:xVal>
          <c:yVal>
            <c:numRef>
              <c:f>'Planilla de datos'!$Z$71:$Z$85</c:f>
              <c:numCache>
                <c:formatCode>0.00%</c:formatCode>
                <c:ptCount val="15"/>
                <c:pt idx="1">
                  <c:v>0.45841657714843753</c:v>
                </c:pt>
                <c:pt idx="2">
                  <c:v>0.41788154785156262</c:v>
                </c:pt>
                <c:pt idx="3">
                  <c:v>0.4066626513671876</c:v>
                </c:pt>
                <c:pt idx="4">
                  <c:v>0.4368206591796876</c:v>
                </c:pt>
                <c:pt idx="5">
                  <c:v>0.40090236816406255</c:v>
                </c:pt>
                <c:pt idx="6">
                  <c:v>0.45818644042968759</c:v>
                </c:pt>
                <c:pt idx="7">
                  <c:v>0.46469922363281269</c:v>
                </c:pt>
                <c:pt idx="8">
                  <c:v>0.44456767089843763</c:v>
                </c:pt>
                <c:pt idx="9">
                  <c:v>0.49368477539062516</c:v>
                </c:pt>
                <c:pt idx="10">
                  <c:v>0.48455432617187499</c:v>
                </c:pt>
                <c:pt idx="11">
                  <c:v>0.48607174804687503</c:v>
                </c:pt>
                <c:pt idx="12">
                  <c:v>0.51678725585937513</c:v>
                </c:pt>
                <c:pt idx="13">
                  <c:v>0.5084366113281249</c:v>
                </c:pt>
                <c:pt idx="14">
                  <c:v>0.48454940429687499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CD0-4F6D-9650-8B0FD8AD89C1}"/>
            </c:ext>
          </c:extLst>
        </c:ser>
        <c:ser>
          <c:idx val="1"/>
          <c:order val="1"/>
          <c:tx>
            <c:v>Provinciales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1.2226850362165967E-2"/>
                  <c:y val="-1.99804475207745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BNY22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CD0-4F6D-9650-8B0FD8AD89C1}"/>
                </c:ext>
              </c:extLst>
            </c:dLbl>
            <c:dLbl>
              <c:idx val="1"/>
              <c:layout>
                <c:manualLayout>
                  <c:x val="-1.0743943155551751E-2"/>
                  <c:y val="5.8007750866764709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CD0-4F6D-9650-8B0FD8AD89C1}"/>
                </c:ext>
              </c:extLst>
            </c:dLbl>
            <c:dLbl>
              <c:idx val="2"/>
              <c:layout>
                <c:manualLayout>
                  <c:x val="-8.5239312966097162E-3"/>
                  <c:y val="-2.017068571587348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PBY22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CD0-4F6D-9650-8B0FD8AD89C1}"/>
                </c:ext>
              </c:extLst>
            </c:dLbl>
            <c:dLbl>
              <c:idx val="3"/>
              <c:layout>
                <c:manualLayout>
                  <c:x val="-9.5805897686140323E-3"/>
                  <c:y val="1.88436330792038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CD0-4F6D-9650-8B0FD8AD89C1}"/>
                </c:ext>
              </c:extLst>
            </c:dLbl>
            <c:dLbl>
              <c:idx val="4"/>
              <c:layout>
                <c:manualLayout>
                  <c:x val="-3.6498943753320225E-2"/>
                  <c:y val="2.58451216413480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CD0-4F6D-9650-8B0FD8AD89C1}"/>
                </c:ext>
              </c:extLst>
            </c:dLbl>
            <c:dLbl>
              <c:idx val="5"/>
              <c:layout>
                <c:manualLayout>
                  <c:x val="-4.0748967431364712E-2"/>
                  <c:y val="2.60678401652540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CD0-4F6D-9650-8B0FD8AD8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317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</c15:leaderLines>
              </c:ext>
            </c:extLst>
          </c:dLbls>
          <c:xVal>
            <c:numRef>
              <c:f>'Planilla de datos'!$G$25:$G$27</c:f>
              <c:numCache>
                <c:formatCode>0.00</c:formatCode>
                <c:ptCount val="3"/>
                <c:pt idx="0">
                  <c:v>0.40222779262270447</c:v>
                </c:pt>
                <c:pt idx="1">
                  <c:v>0.43055475079959543</c:v>
                </c:pt>
                <c:pt idx="2">
                  <c:v>0.67994127522254422</c:v>
                </c:pt>
              </c:numCache>
            </c:numRef>
          </c:xVal>
          <c:yVal>
            <c:numRef>
              <c:f>'Planilla de datos'!$H$25:$H$27</c:f>
              <c:numCache>
                <c:formatCode>0.00%</c:formatCode>
                <c:ptCount val="3"/>
                <c:pt idx="0">
                  <c:v>0.55247565429687495</c:v>
                </c:pt>
                <c:pt idx="1">
                  <c:v>0.46635158691406264</c:v>
                </c:pt>
                <c:pt idx="2">
                  <c:v>0.52693625976562508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datos'!$B$25:$B$27</c15:f>
                <c15:dlblRangeCache>
                  <c:ptCount val="3"/>
                  <c:pt idx="0">
                    <c:v>BNY22</c:v>
                  </c:pt>
                  <c:pt idx="1">
                    <c:v>BDC22</c:v>
                  </c:pt>
                  <c:pt idx="2">
                    <c:v>PBY22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ECD0-4F6D-9650-8B0FD8AD89C1}"/>
            </c:ext>
          </c:extLst>
        </c:ser>
        <c:ser>
          <c:idx val="2"/>
          <c:order val="2"/>
          <c:tx>
            <c:v>Boli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3.1280945150801591E-2"/>
                  <c:y val="2.9362234427625922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T2V1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CD0-4F6D-9650-8B0FD8AD89C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'Planilla de datos'!$Z$45</c:f>
              <c:numCache>
                <c:formatCode>_(* #,##0.00_);_(* \(#,##0.00\);_(* "-"??_);_(@_)</c:formatCode>
                <c:ptCount val="1"/>
                <c:pt idx="0">
                  <c:v>0.47945205479452052</c:v>
                </c:pt>
              </c:numCache>
            </c:numRef>
          </c:xVal>
          <c:yVal>
            <c:numRef>
              <c:f>'Planilla de datos'!$Y$45</c:f>
              <c:numCache>
                <c:formatCode>0.00%</c:formatCode>
                <c:ptCount val="1"/>
                <c:pt idx="0">
                  <c:v>0.53985725585937505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CD0-4F6D-9650-8B0FD8AD89C1}"/>
            </c:ext>
          </c:extLst>
        </c:ser>
        <c:ser>
          <c:idx val="3"/>
          <c:order val="3"/>
          <c:tx>
            <c:v>Lecer</c:v>
          </c:tx>
          <c:spPr>
            <a:ln w="28575">
              <a:noFill/>
            </a:ln>
          </c:spPr>
          <c:marker>
            <c:symbol val="diamond"/>
            <c:size val="6"/>
          </c:marker>
          <c:dLbls>
            <c:dLbl>
              <c:idx val="0"/>
              <c:layout>
                <c:manualLayout>
                  <c:x val="-1.0433979140897833E-2"/>
                  <c:y val="0"/>
                </c:manualLayout>
              </c:layout>
              <c:tx>
                <c:rich>
                  <a:bodyPr/>
                  <a:lstStyle/>
                  <a:p>
                    <a:fld id="{F4A6DD19-2CD8-42DA-9AD1-C7CB5E4CCA82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ECD0-4F6D-9650-8B0FD8AD89C1}"/>
                </c:ext>
              </c:extLst>
            </c:dLbl>
            <c:dLbl>
              <c:idx val="1"/>
              <c:layout>
                <c:manualLayout>
                  <c:x val="-6.2612238953718924E-2"/>
                  <c:y val="2.2759663317857604E-2"/>
                </c:manualLayout>
              </c:layout>
              <c:tx>
                <c:rich>
                  <a:bodyPr/>
                  <a:lstStyle/>
                  <a:p>
                    <a:fld id="{40168F1C-2D9D-4464-B006-D8A04FD054FA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ECD0-4F6D-9650-8B0FD8AD89C1}"/>
                </c:ext>
              </c:extLst>
            </c:dLbl>
            <c:dLbl>
              <c:idx val="2"/>
              <c:layout>
                <c:manualLayout>
                  <c:x val="-3.5423966811218136E-2"/>
                  <c:y val="2.6140355038372771E-2"/>
                </c:manualLayout>
              </c:layout>
              <c:tx>
                <c:rich>
                  <a:bodyPr/>
                  <a:lstStyle/>
                  <a:p>
                    <a:fld id="{B3E880AB-DBCA-485F-B8C3-B92C32BB2558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ECD0-4F6D-9650-8B0FD8AD89C1}"/>
                </c:ext>
              </c:extLst>
            </c:dLbl>
            <c:dLbl>
              <c:idx val="3"/>
              <c:layout>
                <c:manualLayout>
                  <c:x val="-1.0430043089918101E-2"/>
                  <c:y val="9.8226458134388229E-3"/>
                </c:manualLayout>
              </c:layout>
              <c:tx>
                <c:rich>
                  <a:bodyPr/>
                  <a:lstStyle/>
                  <a:p>
                    <a:fld id="{F1D5BB77-119F-45AE-BC54-1A0126420E18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ECD0-4F6D-9650-8B0FD8AD89C1}"/>
                </c:ext>
              </c:extLst>
            </c:dLbl>
            <c:dLbl>
              <c:idx val="4"/>
              <c:layout>
                <c:manualLayout>
                  <c:x val="-2.2986865725884882E-2"/>
                  <c:y val="2.9325882903749354E-2"/>
                </c:manualLayout>
              </c:layout>
              <c:tx>
                <c:rich>
                  <a:bodyPr/>
                  <a:lstStyle/>
                  <a:p>
                    <a:fld id="{4BA4A1F6-7626-44EB-B722-9C5F8639DA56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ECD0-4F6D-9650-8B0FD8AD8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'Planilla de datos'!$J$37:$J$41</c:f>
              <c:numCache>
                <c:formatCode>0.00</c:formatCode>
                <c:ptCount val="5"/>
                <c:pt idx="0">
                  <c:v>0.18904109589041096</c:v>
                </c:pt>
                <c:pt idx="1">
                  <c:v>0.64931506849315068</c:v>
                </c:pt>
                <c:pt idx="2">
                  <c:v>0.73424657534246573</c:v>
                </c:pt>
                <c:pt idx="3">
                  <c:v>0.78356164383561644</c:v>
                </c:pt>
                <c:pt idx="4">
                  <c:v>0.8794520547945206</c:v>
                </c:pt>
              </c:numCache>
            </c:numRef>
          </c:xVal>
          <c:yVal>
            <c:numRef>
              <c:f>'Planilla de datos'!$I$37:$I$41</c:f>
              <c:numCache>
                <c:formatCode>0.00%</c:formatCode>
                <c:ptCount val="5"/>
                <c:pt idx="0">
                  <c:v>0.42848294779024987</c:v>
                </c:pt>
                <c:pt idx="1">
                  <c:v>0.44658874949807537</c:v>
                </c:pt>
                <c:pt idx="2">
                  <c:v>0.45063427571650694</c:v>
                </c:pt>
                <c:pt idx="3">
                  <c:v>0.4371831981091765</c:v>
                </c:pt>
                <c:pt idx="4">
                  <c:v>0.45141705058699122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datos'!$B$37:$B$41</c15:f>
                <c15:dlblRangeCache>
                  <c:ptCount val="5"/>
                  <c:pt idx="0">
                    <c:v>X13S1</c:v>
                  </c:pt>
                  <c:pt idx="1">
                    <c:v>X28F2</c:v>
                  </c:pt>
                  <c:pt idx="2">
                    <c:v>X31M2</c:v>
                  </c:pt>
                  <c:pt idx="3">
                    <c:v>X18A2</c:v>
                  </c:pt>
                  <c:pt idx="4">
                    <c:v>X23Y2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ECD0-4F6D-9650-8B0FD8AD89C1}"/>
            </c:ext>
          </c:extLst>
        </c:ser>
        <c:ser>
          <c:idx val="4"/>
          <c:order val="4"/>
          <c:tx>
            <c:v>Ledes</c:v>
          </c:tx>
          <c:spPr>
            <a:ln w="28575">
              <a:noFill/>
            </a:ln>
          </c:spPr>
          <c:marker>
            <c:symbol val="diamond"/>
            <c:size val="6"/>
          </c:marker>
          <c:dLbls>
            <c:dLbl>
              <c:idx val="0"/>
              <c:layout>
                <c:manualLayout>
                  <c:x val="-2.9159577674850043E-2"/>
                  <c:y val="2.2919506898023922E-2"/>
                </c:manualLayout>
              </c:layout>
              <c:tx>
                <c:rich>
                  <a:bodyPr/>
                  <a:lstStyle/>
                  <a:p>
                    <a:fld id="{17C59931-9BCC-4D51-AA52-822304EEB909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ECD0-4F6D-9650-8B0FD8AD89C1}"/>
                </c:ext>
              </c:extLst>
            </c:dLbl>
            <c:dLbl>
              <c:idx val="1"/>
              <c:layout>
                <c:manualLayout>
                  <c:x val="-1.0485803812130975E-2"/>
                  <c:y val="1.2937017504418781E-2"/>
                </c:manualLayout>
              </c:layout>
              <c:tx>
                <c:rich>
                  <a:bodyPr/>
                  <a:lstStyle/>
                  <a:p>
                    <a:fld id="{69AFF894-F043-4961-8735-6990F7830FB2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ECD0-4F6D-9650-8B0FD8AD89C1}"/>
                </c:ext>
              </c:extLst>
            </c:dLbl>
            <c:dLbl>
              <c:idx val="2"/>
              <c:layout>
                <c:manualLayout>
                  <c:x val="-3.547579148245128E-2"/>
                  <c:y val="-2.9592202933284382E-2"/>
                </c:manualLayout>
              </c:layout>
              <c:tx>
                <c:rich>
                  <a:bodyPr/>
                  <a:lstStyle/>
                  <a:p>
                    <a:fld id="{C89ECF95-7850-4326-85AA-32D071F54BDE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ECD0-4F6D-9650-8B0FD8AD89C1}"/>
                </c:ext>
              </c:extLst>
            </c:dLbl>
            <c:dLbl>
              <c:idx val="3"/>
              <c:layout>
                <c:manualLayout>
                  <c:x val="-2.9159577674850043E-2"/>
                  <c:y val="-2.6193722169170194E-2"/>
                </c:manualLayout>
              </c:layout>
              <c:tx>
                <c:rich>
                  <a:bodyPr/>
                  <a:lstStyle/>
                  <a:p>
                    <a:fld id="{6C4639C1-D051-4CC7-9ADE-F16D32999265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ECD0-4F6D-9650-8B0FD8AD89C1}"/>
                </c:ext>
              </c:extLst>
            </c:dLbl>
            <c:dLbl>
              <c:idx val="4"/>
              <c:layout>
                <c:manualLayout>
                  <c:x val="-1.2536814376819808E-2"/>
                  <c:y val="-9.9293800750336701E-3"/>
                </c:manualLayout>
              </c:layout>
              <c:tx>
                <c:rich>
                  <a:bodyPr/>
                  <a:lstStyle/>
                  <a:p>
                    <a:fld id="{8272777B-E42A-45F5-8ED9-22D8648A6020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ECD0-4F6D-9650-8B0FD8AD89C1}"/>
                </c:ext>
              </c:extLst>
            </c:dLbl>
            <c:dLbl>
              <c:idx val="5"/>
              <c:layout>
                <c:manualLayout>
                  <c:x val="-1.2520866056145809E-2"/>
                  <c:y val="1.3025781303285831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CD0-4F6D-9650-8B0FD8AD8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'Planilla de datos'!$J$43:$J$47</c:f>
              <c:numCache>
                <c:formatCode>0.00</c:formatCode>
                <c:ptCount val="5"/>
                <c:pt idx="0">
                  <c:v>7.6712328767123292E-2</c:v>
                </c:pt>
                <c:pt idx="1">
                  <c:v>0.15342465753424658</c:v>
                </c:pt>
                <c:pt idx="2">
                  <c:v>0.23561643835616439</c:v>
                </c:pt>
                <c:pt idx="3">
                  <c:v>0.31506849315068491</c:v>
                </c:pt>
                <c:pt idx="4">
                  <c:v>0.40273972602739727</c:v>
                </c:pt>
              </c:numCache>
            </c:numRef>
          </c:xVal>
          <c:yVal>
            <c:numRef>
              <c:f>'Planilla de datos'!$I$43:$I$47</c:f>
              <c:numCache>
                <c:formatCode>0.00%</c:formatCode>
                <c:ptCount val="5"/>
                <c:pt idx="0">
                  <c:v>0.40975021424225888</c:v>
                </c:pt>
                <c:pt idx="1">
                  <c:v>0.42119380942115936</c:v>
                </c:pt>
                <c:pt idx="2">
                  <c:v>0.42131296111167482</c:v>
                </c:pt>
                <c:pt idx="3">
                  <c:v>0.41951389677118356</c:v>
                </c:pt>
                <c:pt idx="4">
                  <c:v>0.44380887939433156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datos'!$B$43:$B$47</c15:f>
                <c15:dlblRangeCache>
                  <c:ptCount val="5"/>
                  <c:pt idx="0">
                    <c:v>S30L1</c:v>
                  </c:pt>
                  <c:pt idx="1">
                    <c:v>S31G1</c:v>
                  </c:pt>
                  <c:pt idx="2">
                    <c:v>S30S1</c:v>
                  </c:pt>
                  <c:pt idx="3">
                    <c:v>S29O1</c:v>
                  </c:pt>
                  <c:pt idx="4">
                    <c:v>S30N1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ECD0-4F6D-9650-8B0FD8AD8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24256"/>
        <c:axId val="141710848"/>
      </c:scatterChart>
      <c:valAx>
        <c:axId val="137424256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50125789629227291"/>
              <c:y val="0.8515272280648202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710848"/>
        <c:crosses val="autoZero"/>
        <c:crossBetween val="midCat"/>
        <c:majorUnit val="0.2"/>
        <c:minorUnit val="5.000000000000001E-2"/>
      </c:valAx>
      <c:valAx>
        <c:axId val="141710848"/>
        <c:scaling>
          <c:orientation val="minMax"/>
          <c:max val="0.62000000000000011"/>
          <c:min val="0.42000000000000004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2.309723915544154E-2"/>
              <c:y val="0.4717022722538357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37424256"/>
        <c:crossesAt val="0"/>
        <c:crossBetween val="midCat"/>
        <c:majorUnit val="2.0000000000000004E-2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7.5222198277912086E-2"/>
          <c:y val="0.89737320279097199"/>
          <c:w val="0.43666418367450693"/>
          <c:h val="5.1006344243259241E-2"/>
        </c:manualLayout>
      </c:layout>
      <c:overlay val="0"/>
      <c:spPr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sz="800">
              <a:latin typeface="Arial Nova Light" panose="020B03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3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Tasas de bonos y letras en pesos con duration hasta 1 año</a:t>
            </a:r>
            <a:endParaRPr lang="es-AR" sz="1300" b="1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4011521477226174"/>
          <c:y val="6.619277342017823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0388622713441391E-2"/>
          <c:y val="0.18946852525219193"/>
          <c:w val="0.85250649366410591"/>
          <c:h val="0.64838124859492341"/>
        </c:manualLayout>
      </c:layout>
      <c:scatterChart>
        <c:scatterStyle val="lineMarker"/>
        <c:varyColors val="0"/>
        <c:ser>
          <c:idx val="0"/>
          <c:order val="0"/>
          <c:tx>
            <c:v>Soberanos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2638806896497216E-2"/>
                  <c:y val="4.8773017021755934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</a:rPr>
                      <a:t>T2X1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939406637439845E-2"/>
                      <c:h val="4.631485277405148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317-47EA-9F1F-7AD18BCCC9E9}"/>
                </c:ext>
              </c:extLst>
            </c:dLbl>
            <c:dLbl>
              <c:idx val="1"/>
              <c:layout>
                <c:manualLayout>
                  <c:x val="-8.337269384313073E-2"/>
                  <c:y val="2.5934620881965312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/>
                      <a:t>PR15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855748881901966E-2"/>
                      <c:h val="3.44763468420021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317-47EA-9F1F-7AD18BCCC9E9}"/>
                </c:ext>
              </c:extLst>
            </c:dLbl>
            <c:dLbl>
              <c:idx val="2"/>
              <c:layout>
                <c:manualLayout>
                  <c:x val="-2.7876261053333202E-2"/>
                  <c:y val="2.74103380640158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17-47EA-9F1F-7AD18BCCC9E9}"/>
                </c:ext>
              </c:extLst>
            </c:dLbl>
            <c:dLbl>
              <c:idx val="3"/>
              <c:layout>
                <c:manualLayout>
                  <c:x val="-1.2246910038110828E-2"/>
                  <c:y val="-2.37135685543334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TB21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17-47EA-9F1F-7AD18BCCC9E9}"/>
                </c:ext>
              </c:extLst>
            </c:dLbl>
            <c:dLbl>
              <c:idx val="4"/>
              <c:layout>
                <c:manualLayout>
                  <c:x val="-1.1877076643967531E-2"/>
                  <c:y val="1.557452670003112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17-47EA-9F1F-7AD18BCCC9E9}"/>
                </c:ext>
              </c:extLst>
            </c:dLbl>
            <c:dLbl>
              <c:idx val="5"/>
              <c:layout>
                <c:manualLayout>
                  <c:x val="-1.1862601644416498E-2"/>
                  <c:y val="-2.780247045987513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17-47EA-9F1F-7AD18BCCC9E9}"/>
                </c:ext>
              </c:extLst>
            </c:dLbl>
            <c:dLbl>
              <c:idx val="6"/>
              <c:layout>
                <c:manualLayout>
                  <c:x val="-3.3354588008623967E-2"/>
                  <c:y val="2.29024912911030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AA22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17-47EA-9F1F-7AD18BCCC9E9}"/>
                </c:ext>
              </c:extLst>
            </c:dLbl>
            <c:dLbl>
              <c:idx val="7"/>
              <c:layout>
                <c:manualLayout>
                  <c:x val="-3.4754263077486913E-2"/>
                  <c:y val="2.32398807092839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17-47EA-9F1F-7AD18BCCC9E9}"/>
                </c:ext>
              </c:extLst>
            </c:dLbl>
            <c:dLbl>
              <c:idx val="8"/>
              <c:layout>
                <c:manualLayout>
                  <c:x val="-4.8717650991015639E-2"/>
                  <c:y val="2.77096580584883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17-47EA-9F1F-7AD18BCCC9E9}"/>
                </c:ext>
              </c:extLst>
            </c:dLbl>
            <c:dLbl>
              <c:idx val="9"/>
              <c:layout>
                <c:manualLayout>
                  <c:x val="-1.2746776697509893E-2"/>
                  <c:y val="2.10324983874767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17-47EA-9F1F-7AD18BCCC9E9}"/>
                </c:ext>
              </c:extLst>
            </c:dLbl>
            <c:dLbl>
              <c:idx val="10"/>
              <c:layout>
                <c:manualLayout>
                  <c:x val="-9.8555021598494483E-3"/>
                  <c:y val="-1.296190947443572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17-47EA-9F1F-7AD18BCCC9E9}"/>
                </c:ext>
              </c:extLst>
            </c:dLbl>
            <c:dLbl>
              <c:idx val="11"/>
              <c:layout>
                <c:manualLayout>
                  <c:x val="-3.6284482439126915E-2"/>
                  <c:y val="2.68272949009288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17-47EA-9F1F-7AD18BCCC9E9}"/>
                </c:ext>
              </c:extLst>
            </c:dLbl>
            <c:dLbl>
              <c:idx val="12"/>
              <c:layout>
                <c:manualLayout>
                  <c:x val="-9.3340102098098988E-3"/>
                  <c:y val="7.963854808171494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17-47EA-9F1F-7AD18BCCC9E9}"/>
                </c:ext>
              </c:extLst>
            </c:dLbl>
            <c:dLbl>
              <c:idx val="13"/>
              <c:layout>
                <c:manualLayout>
                  <c:x val="-3.2109734352930672E-2"/>
                  <c:y val="2.65940182875988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17-47EA-9F1F-7AD18BCCC9E9}"/>
                </c:ext>
              </c:extLst>
            </c:dLbl>
            <c:dLbl>
              <c:idx val="14"/>
              <c:layout>
                <c:manualLayout>
                  <c:x val="-3.0843556071668447E-2"/>
                  <c:y val="2.52569492808711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17-47EA-9F1F-7AD18BCCC9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</c15:leaderLines>
              </c:ext>
            </c:extLst>
          </c:dLbls>
          <c:xVal>
            <c:numRef>
              <c:f>'Planilla de datos'!$AA$71:$AA$85</c:f>
              <c:numCache>
                <c:formatCode>0.00</c:formatCode>
                <c:ptCount val="15"/>
                <c:pt idx="1">
                  <c:v>0.52</c:v>
                </c:pt>
                <c:pt idx="2">
                  <c:v>0.24657534246575341</c:v>
                </c:pt>
                <c:pt idx="3">
                  <c:v>7.3121599658247327E-2</c:v>
                </c:pt>
                <c:pt idx="4">
                  <c:v>8.0555555555555602E-2</c:v>
                </c:pt>
                <c:pt idx="5">
                  <c:v>4.4444444444444391E-2</c:v>
                </c:pt>
                <c:pt idx="6">
                  <c:v>0.61227639425198632</c:v>
                </c:pt>
                <c:pt idx="7">
                  <c:v>1.195992044030298</c:v>
                </c:pt>
                <c:pt idx="8">
                  <c:v>0.69703557312252973</c:v>
                </c:pt>
                <c:pt idx="9">
                  <c:v>1.4439351777119052</c:v>
                </c:pt>
                <c:pt idx="10">
                  <c:v>1.2687863125632977</c:v>
                </c:pt>
                <c:pt idx="11">
                  <c:v>1.3559291973168417</c:v>
                </c:pt>
                <c:pt idx="12">
                  <c:v>2.0151238860575362</c:v>
                </c:pt>
                <c:pt idx="13">
                  <c:v>2.0758728559936257</c:v>
                </c:pt>
                <c:pt idx="14">
                  <c:v>1.6408743175498961</c:v>
                </c:pt>
              </c:numCache>
            </c:numRef>
          </c:xVal>
          <c:yVal>
            <c:numRef>
              <c:f>'Planilla de datos'!$Z$71:$Z$85</c:f>
              <c:numCache>
                <c:formatCode>0.00%</c:formatCode>
                <c:ptCount val="15"/>
                <c:pt idx="1">
                  <c:v>0.45841657714843753</c:v>
                </c:pt>
                <c:pt idx="2">
                  <c:v>0.41788154785156262</c:v>
                </c:pt>
                <c:pt idx="3">
                  <c:v>0.4066626513671876</c:v>
                </c:pt>
                <c:pt idx="4">
                  <c:v>0.4368206591796876</c:v>
                </c:pt>
                <c:pt idx="5">
                  <c:v>0.40090236816406255</c:v>
                </c:pt>
                <c:pt idx="6">
                  <c:v>0.45818644042968759</c:v>
                </c:pt>
                <c:pt idx="7">
                  <c:v>0.46469922363281269</c:v>
                </c:pt>
                <c:pt idx="8">
                  <c:v>0.44456767089843763</c:v>
                </c:pt>
                <c:pt idx="9">
                  <c:v>0.49368477539062516</c:v>
                </c:pt>
                <c:pt idx="10">
                  <c:v>0.48455432617187499</c:v>
                </c:pt>
                <c:pt idx="11">
                  <c:v>0.48607174804687503</c:v>
                </c:pt>
                <c:pt idx="12">
                  <c:v>0.51678725585937513</c:v>
                </c:pt>
                <c:pt idx="13">
                  <c:v>0.5084366113281249</c:v>
                </c:pt>
                <c:pt idx="14">
                  <c:v>0.48454940429687499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317-47EA-9F1F-7AD18BCCC9E9}"/>
            </c:ext>
          </c:extLst>
        </c:ser>
        <c:ser>
          <c:idx val="1"/>
          <c:order val="1"/>
          <c:tx>
            <c:v>Provinciales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1.2226850362165967E-2"/>
                  <c:y val="-1.99804475207745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317-47EA-9F1F-7AD18BCCC9E9}"/>
                </c:ext>
              </c:extLst>
            </c:dLbl>
            <c:dLbl>
              <c:idx val="1"/>
              <c:layout>
                <c:manualLayout>
                  <c:x val="-1.0743943155551751E-2"/>
                  <c:y val="5.8007750866764709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PBY22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17-47EA-9F1F-7AD18BCCC9E9}"/>
                </c:ext>
              </c:extLst>
            </c:dLbl>
            <c:dLbl>
              <c:idx val="2"/>
              <c:layout>
                <c:manualLayout>
                  <c:x val="-8.5239312966097162E-3"/>
                  <c:y val="-2.017068571587348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PBA25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17-47EA-9F1F-7AD18BCCC9E9}"/>
                </c:ext>
              </c:extLst>
            </c:dLbl>
            <c:dLbl>
              <c:idx val="3"/>
              <c:layout>
                <c:manualLayout>
                  <c:x val="-9.5805897686140323E-3"/>
                  <c:y val="1.88436330792038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17-47EA-9F1F-7AD18BCCC9E9}"/>
                </c:ext>
              </c:extLst>
            </c:dLbl>
            <c:dLbl>
              <c:idx val="4"/>
              <c:layout>
                <c:manualLayout>
                  <c:x val="-3.6498943753320225E-2"/>
                  <c:y val="2.58451216413480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17-47EA-9F1F-7AD18BCCC9E9}"/>
                </c:ext>
              </c:extLst>
            </c:dLbl>
            <c:dLbl>
              <c:idx val="5"/>
              <c:layout>
                <c:manualLayout>
                  <c:x val="-4.0748967431364712E-2"/>
                  <c:y val="2.60678401652540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17-47EA-9F1F-7AD18BCCC9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</c15:leaderLines>
              </c:ext>
            </c:extLst>
          </c:dLbls>
          <c:xVal>
            <c:numRef>
              <c:f>'Planilla de datos'!$G$26:$G$30</c:f>
              <c:numCache>
                <c:formatCode>0.00</c:formatCode>
                <c:ptCount val="5"/>
                <c:pt idx="0">
                  <c:v>0.43055475079959543</c:v>
                </c:pt>
                <c:pt idx="1">
                  <c:v>0.67994127522254422</c:v>
                </c:pt>
                <c:pt idx="2">
                  <c:v>1.4888571268484097</c:v>
                </c:pt>
                <c:pt idx="3">
                  <c:v>1.4767834390216694</c:v>
                </c:pt>
                <c:pt idx="4">
                  <c:v>1.7876114232506264</c:v>
                </c:pt>
              </c:numCache>
            </c:numRef>
          </c:xVal>
          <c:yVal>
            <c:numRef>
              <c:f>'Planilla de datos'!$H$26:$H$30</c:f>
              <c:numCache>
                <c:formatCode>0.00%</c:formatCode>
                <c:ptCount val="5"/>
                <c:pt idx="0">
                  <c:v>0.46635158691406264</c:v>
                </c:pt>
                <c:pt idx="1">
                  <c:v>0.52693625976562508</c:v>
                </c:pt>
                <c:pt idx="2">
                  <c:v>0.54860588867187499</c:v>
                </c:pt>
                <c:pt idx="3">
                  <c:v>0.54036532226562528</c:v>
                </c:pt>
                <c:pt idx="4">
                  <c:v>0.52398575195312502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317-47EA-9F1F-7AD18BCCC9E9}"/>
            </c:ext>
          </c:extLst>
        </c:ser>
        <c:ser>
          <c:idx val="2"/>
          <c:order val="2"/>
          <c:tx>
            <c:v>Boli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3.1280945150801591E-2"/>
                  <c:y val="2.9362234427625922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T2V1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17-47EA-9F1F-7AD18BCCC9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'Planilla de datos'!$Z$45</c:f>
              <c:numCache>
                <c:formatCode>_(* #,##0.00_);_(* \(#,##0.00\);_(* "-"??_);_(@_)</c:formatCode>
                <c:ptCount val="1"/>
                <c:pt idx="0">
                  <c:v>0.47945205479452052</c:v>
                </c:pt>
              </c:numCache>
            </c:numRef>
          </c:xVal>
          <c:yVal>
            <c:numRef>
              <c:f>'Planilla de datos'!$Y$45</c:f>
              <c:numCache>
                <c:formatCode>0.00%</c:formatCode>
                <c:ptCount val="1"/>
                <c:pt idx="0">
                  <c:v>0.53985725585937505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317-47EA-9F1F-7AD18BCCC9E9}"/>
            </c:ext>
          </c:extLst>
        </c:ser>
        <c:ser>
          <c:idx val="3"/>
          <c:order val="3"/>
          <c:tx>
            <c:v>Lecer</c:v>
          </c:tx>
          <c:spPr>
            <a:ln w="28575">
              <a:noFill/>
            </a:ln>
          </c:spPr>
          <c:marker>
            <c:symbol val="diamond"/>
            <c:size val="6"/>
          </c:marker>
          <c:dLbls>
            <c:dLbl>
              <c:idx val="0"/>
              <c:layout>
                <c:manualLayout>
                  <c:x val="-1.0433979140897871E-2"/>
                  <c:y val="6.5484305422925486E-3"/>
                </c:manualLayout>
              </c:layout>
              <c:tx>
                <c:rich>
                  <a:bodyPr/>
                  <a:lstStyle/>
                  <a:p>
                    <a:fld id="{2E25BF24-1791-4D8F-B8EA-F39682C655EA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A317-47EA-9F1F-7AD18BCCC9E9}"/>
                </c:ext>
              </c:extLst>
            </c:dLbl>
            <c:dLbl>
              <c:idx val="1"/>
              <c:layout>
                <c:manualLayout>
                  <c:x val="-6.2612238953718924E-2"/>
                  <c:y val="2.2759663317857604E-2"/>
                </c:manualLayout>
              </c:layout>
              <c:tx>
                <c:rich>
                  <a:bodyPr/>
                  <a:lstStyle/>
                  <a:p>
                    <a:fld id="{4C694883-0C90-46AF-B742-55CCCE4F11A7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A317-47EA-9F1F-7AD18BCCC9E9}"/>
                </c:ext>
              </c:extLst>
            </c:dLbl>
            <c:dLbl>
              <c:idx val="2"/>
              <c:layout>
                <c:manualLayout>
                  <c:x val="-3.5423966811218136E-2"/>
                  <c:y val="2.6140355038372771E-2"/>
                </c:manualLayout>
              </c:layout>
              <c:tx>
                <c:rich>
                  <a:bodyPr/>
                  <a:lstStyle/>
                  <a:p>
                    <a:fld id="{B7DC8387-B58E-4FD8-A440-DFB623DB1A79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A317-47EA-9F1F-7AD18BCCC9E9}"/>
                </c:ext>
              </c:extLst>
            </c:dLbl>
            <c:dLbl>
              <c:idx val="3"/>
              <c:layout>
                <c:manualLayout>
                  <c:x val="-1.0430043089918101E-2"/>
                  <c:y val="9.8226458134388229E-3"/>
                </c:manualLayout>
              </c:layout>
              <c:tx>
                <c:rich>
                  <a:bodyPr/>
                  <a:lstStyle/>
                  <a:p>
                    <a:fld id="{FF6EB081-8BCF-4370-B087-9DFF7B303BA8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A317-47EA-9F1F-7AD18BCCC9E9}"/>
                </c:ext>
              </c:extLst>
            </c:dLbl>
            <c:dLbl>
              <c:idx val="4"/>
              <c:layout>
                <c:manualLayout>
                  <c:x val="-2.2986865725884882E-2"/>
                  <c:y val="2.9325882903749354E-2"/>
                </c:manualLayout>
              </c:layout>
              <c:tx>
                <c:rich>
                  <a:bodyPr/>
                  <a:lstStyle/>
                  <a:p>
                    <a:fld id="{D9BF19AA-4668-46B6-B784-85C348C113CF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A317-47EA-9F1F-7AD18BCCC9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'Planilla de datos'!$J$37:$J$41</c:f>
              <c:numCache>
                <c:formatCode>0.00</c:formatCode>
                <c:ptCount val="5"/>
                <c:pt idx="0">
                  <c:v>0.18904109589041096</c:v>
                </c:pt>
                <c:pt idx="1">
                  <c:v>0.64931506849315068</c:v>
                </c:pt>
                <c:pt idx="2">
                  <c:v>0.73424657534246573</c:v>
                </c:pt>
                <c:pt idx="3">
                  <c:v>0.78356164383561644</c:v>
                </c:pt>
                <c:pt idx="4">
                  <c:v>0.8794520547945206</c:v>
                </c:pt>
              </c:numCache>
            </c:numRef>
          </c:xVal>
          <c:yVal>
            <c:numRef>
              <c:f>'Planilla de datos'!$I$37:$I$41</c:f>
              <c:numCache>
                <c:formatCode>0.00%</c:formatCode>
                <c:ptCount val="5"/>
                <c:pt idx="0">
                  <c:v>0.42848294779024987</c:v>
                </c:pt>
                <c:pt idx="1">
                  <c:v>0.44658874949807537</c:v>
                </c:pt>
                <c:pt idx="2">
                  <c:v>0.45063427571650694</c:v>
                </c:pt>
                <c:pt idx="3">
                  <c:v>0.4371831981091765</c:v>
                </c:pt>
                <c:pt idx="4">
                  <c:v>0.45141705058699122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datos'!$B$37:$B$41</c15:f>
                <c15:dlblRangeCache>
                  <c:ptCount val="5"/>
                  <c:pt idx="0">
                    <c:v>X13S1</c:v>
                  </c:pt>
                  <c:pt idx="1">
                    <c:v>X28F2</c:v>
                  </c:pt>
                  <c:pt idx="2">
                    <c:v>X31M2</c:v>
                  </c:pt>
                  <c:pt idx="3">
                    <c:v>X18A2</c:v>
                  </c:pt>
                  <c:pt idx="4">
                    <c:v>X23Y2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A317-47EA-9F1F-7AD18BCCC9E9}"/>
            </c:ext>
          </c:extLst>
        </c:ser>
        <c:ser>
          <c:idx val="4"/>
          <c:order val="4"/>
          <c:tx>
            <c:v>Ledes</c:v>
          </c:tx>
          <c:spPr>
            <a:ln w="28575">
              <a:noFill/>
            </a:ln>
          </c:spPr>
          <c:marker>
            <c:symbol val="diamond"/>
            <c:size val="6"/>
          </c:marker>
          <c:dLbls>
            <c:dLbl>
              <c:idx val="0"/>
              <c:layout>
                <c:manualLayout>
                  <c:x val="-2.0828269767750051E-2"/>
                  <c:y val="-2.946793744031647E-2"/>
                </c:manualLayout>
              </c:layout>
              <c:tx>
                <c:rich>
                  <a:bodyPr/>
                  <a:lstStyle/>
                  <a:p>
                    <a:fld id="{46A7B2B3-3D40-4A43-BE39-055B7CB9B22A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A317-47EA-9F1F-7AD18BCCC9E9}"/>
                </c:ext>
              </c:extLst>
            </c:dLbl>
            <c:dLbl>
              <c:idx val="1"/>
              <c:layout>
                <c:manualLayout>
                  <c:x val="-1.0485803812130975E-2"/>
                  <c:y val="1.2937017504418781E-2"/>
                </c:manualLayout>
              </c:layout>
              <c:tx>
                <c:rich>
                  <a:bodyPr/>
                  <a:lstStyle/>
                  <a:p>
                    <a:fld id="{82E06759-5A2F-4FD3-8534-1B4F8C757F40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A317-47EA-9F1F-7AD18BCCC9E9}"/>
                </c:ext>
              </c:extLst>
            </c:dLbl>
            <c:dLbl>
              <c:idx val="2"/>
              <c:layout>
                <c:manualLayout>
                  <c:x val="-3.547579148245128E-2"/>
                  <c:y val="-2.9592202933284382E-2"/>
                </c:manualLayout>
              </c:layout>
              <c:tx>
                <c:rich>
                  <a:bodyPr/>
                  <a:lstStyle/>
                  <a:p>
                    <a:fld id="{9CD45621-24BC-4265-A655-D0EC573CCFCD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A317-47EA-9F1F-7AD18BCCC9E9}"/>
                </c:ext>
              </c:extLst>
            </c:dLbl>
            <c:dLbl>
              <c:idx val="3"/>
              <c:layout>
                <c:manualLayout>
                  <c:x val="-2.9159577674850043E-2"/>
                  <c:y val="-2.6193722169170194E-2"/>
                </c:manualLayout>
              </c:layout>
              <c:tx>
                <c:rich>
                  <a:bodyPr/>
                  <a:lstStyle/>
                  <a:p>
                    <a:fld id="{A2927D4A-77DF-40A1-9028-022891BB1F29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A317-47EA-9F1F-7AD18BCCC9E9}"/>
                </c:ext>
              </c:extLst>
            </c:dLbl>
            <c:dLbl>
              <c:idx val="4"/>
              <c:layout>
                <c:manualLayout>
                  <c:x val="-1.2536814376819808E-2"/>
                  <c:y val="-9.9293800750336701E-3"/>
                </c:manualLayout>
              </c:layout>
              <c:tx>
                <c:rich>
                  <a:bodyPr/>
                  <a:lstStyle/>
                  <a:p>
                    <a:fld id="{8C8230A6-3780-4253-9373-85C385674708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A317-47EA-9F1F-7AD18BCCC9E9}"/>
                </c:ext>
              </c:extLst>
            </c:dLbl>
            <c:dLbl>
              <c:idx val="5"/>
              <c:layout>
                <c:manualLayout>
                  <c:x val="-1.2520866056145809E-2"/>
                  <c:y val="1.3025781303285831E-2"/>
                </c:manualLayout>
              </c:layout>
              <c:tx>
                <c:rich>
                  <a:bodyPr/>
                  <a:lstStyle/>
                  <a:p>
                    <a:fld id="{7021E3A8-39DB-4E59-9F74-A70D64E30477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A317-47EA-9F1F-7AD18BCCC9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'Planilla de datos'!$J$43:$J$47</c:f>
              <c:numCache>
                <c:formatCode>0.00</c:formatCode>
                <c:ptCount val="5"/>
                <c:pt idx="0">
                  <c:v>7.6712328767123292E-2</c:v>
                </c:pt>
                <c:pt idx="1">
                  <c:v>0.15342465753424658</c:v>
                </c:pt>
                <c:pt idx="2">
                  <c:v>0.23561643835616439</c:v>
                </c:pt>
                <c:pt idx="3">
                  <c:v>0.31506849315068491</c:v>
                </c:pt>
                <c:pt idx="4">
                  <c:v>0.40273972602739727</c:v>
                </c:pt>
              </c:numCache>
            </c:numRef>
          </c:xVal>
          <c:yVal>
            <c:numRef>
              <c:f>'Planilla de datos'!$I$43:$I$47</c:f>
              <c:numCache>
                <c:formatCode>0.00%</c:formatCode>
                <c:ptCount val="5"/>
                <c:pt idx="0">
                  <c:v>0.40975021424225888</c:v>
                </c:pt>
                <c:pt idx="1">
                  <c:v>0.42119380942115936</c:v>
                </c:pt>
                <c:pt idx="2">
                  <c:v>0.42131296111167482</c:v>
                </c:pt>
                <c:pt idx="3">
                  <c:v>0.41951389677118356</c:v>
                </c:pt>
                <c:pt idx="4">
                  <c:v>0.44380887939433156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datos'!$B$43:$B$47</c15:f>
                <c15:dlblRangeCache>
                  <c:ptCount val="5"/>
                  <c:pt idx="0">
                    <c:v>S30L1</c:v>
                  </c:pt>
                  <c:pt idx="1">
                    <c:v>S31G1</c:v>
                  </c:pt>
                  <c:pt idx="2">
                    <c:v>S30S1</c:v>
                  </c:pt>
                  <c:pt idx="3">
                    <c:v>S29O1</c:v>
                  </c:pt>
                  <c:pt idx="4">
                    <c:v>S30N1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5-A317-47EA-9F1F-7AD18BCCC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24256"/>
        <c:axId val="141710848"/>
      </c:scatterChart>
      <c:valAx>
        <c:axId val="137424256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50125789629227291"/>
              <c:y val="0.8515272280648202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710848"/>
        <c:crosses val="autoZero"/>
        <c:crossBetween val="midCat"/>
        <c:majorUnit val="0.2"/>
        <c:minorUnit val="5.000000000000001E-2"/>
      </c:valAx>
      <c:valAx>
        <c:axId val="141710848"/>
        <c:scaling>
          <c:orientation val="minMax"/>
          <c:max val="0.56000000000000005"/>
          <c:min val="0.42000000000000004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TEA</a:t>
                </a:r>
              </a:p>
            </c:rich>
          </c:tx>
          <c:layout>
            <c:manualLayout>
              <c:xMode val="edge"/>
              <c:yMode val="edge"/>
              <c:x val="1.4338064581983759E-2"/>
              <c:y val="0.4717022722538357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37424256"/>
        <c:crossesAt val="0"/>
        <c:crossBetween val="midCat"/>
        <c:majorUnit val="2.0000000000000004E-2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5.3324440868760224E-2"/>
          <c:y val="0.89737320279097199"/>
          <c:w val="0.43666418367450693"/>
          <c:h val="5.1006344243259241E-2"/>
        </c:manualLayout>
      </c:layout>
      <c:overlay val="0"/>
      <c:spPr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sz="800">
              <a:latin typeface="Arial Nova Light" panose="020B03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Variaciones YTD bonos BADLAR y tasa fija </a:t>
            </a:r>
            <a:r>
              <a:rPr lang="es-AR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vs dólar CCL</a:t>
            </a:r>
            <a:endParaRPr lang="es-AR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2950919577826084"/>
          <c:y val="2.5065142279292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</a:schemeClr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728-4D17-9C24-4F7431A1D1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28-4D17-9C24-4F7431A1D1B8}"/>
              </c:ext>
            </c:extLst>
          </c:dPt>
          <c:cat>
            <c:strRef>
              <c:f>Variaciones!$AH$31:$AH$42</c:f>
              <c:strCache>
                <c:ptCount val="12"/>
                <c:pt idx="0">
                  <c:v>TO21</c:v>
                </c:pt>
                <c:pt idx="1">
                  <c:v>TB21</c:v>
                </c:pt>
                <c:pt idx="2">
                  <c:v>PR15</c:v>
                </c:pt>
                <c:pt idx="3">
                  <c:v>AA22</c:v>
                </c:pt>
                <c:pt idx="4">
                  <c:v>TO23</c:v>
                </c:pt>
                <c:pt idx="5">
                  <c:v>TO26</c:v>
                </c:pt>
                <c:pt idx="6">
                  <c:v>BDC22</c:v>
                </c:pt>
                <c:pt idx="7">
                  <c:v>BDC24</c:v>
                </c:pt>
                <c:pt idx="8">
                  <c:v>BDC28</c:v>
                </c:pt>
                <c:pt idx="9">
                  <c:v>PBY22</c:v>
                </c:pt>
                <c:pt idx="10">
                  <c:v>PBA25</c:v>
                </c:pt>
                <c:pt idx="11">
                  <c:v>CCL</c:v>
                </c:pt>
              </c:strCache>
            </c:strRef>
          </c:cat>
          <c:val>
            <c:numRef>
              <c:f>Variaciones!$AM$31:$AM$42</c:f>
              <c:numCache>
                <c:formatCode>0.00%</c:formatCode>
                <c:ptCount val="12"/>
                <c:pt idx="0">
                  <c:v>0.2057716436637389</c:v>
                </c:pt>
                <c:pt idx="1">
                  <c:v>0.17268211495197794</c:v>
                </c:pt>
                <c:pt idx="2">
                  <c:v>0.23990547537355983</c:v>
                </c:pt>
                <c:pt idx="3">
                  <c:v>0.23294970530119527</c:v>
                </c:pt>
                <c:pt idx="4">
                  <c:v>0.52439024390243905</c:v>
                </c:pt>
                <c:pt idx="5">
                  <c:v>0.46324786324786316</c:v>
                </c:pt>
                <c:pt idx="6">
                  <c:v>0.28758186809909242</c:v>
                </c:pt>
                <c:pt idx="7">
                  <c:v>0.52988466768364417</c:v>
                </c:pt>
                <c:pt idx="8">
                  <c:v>0.34537550808487327</c:v>
                </c:pt>
                <c:pt idx="9">
                  <c:v>0.33720438281220749</c:v>
                </c:pt>
                <c:pt idx="10">
                  <c:v>0.36714714762888945</c:v>
                </c:pt>
                <c:pt idx="11">
                  <c:v>0.15505775288764442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8-4D17-9C24-4F7431A1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618736"/>
        <c:axId val="572613160"/>
      </c:barChart>
      <c:catAx>
        <c:axId val="5726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ova Light" panose="020B0304020202020204" pitchFamily="34" charset="0"/>
                <a:ea typeface="+mn-ea"/>
                <a:cs typeface="+mn-cs"/>
              </a:defRPr>
            </a:pPr>
            <a:endParaRPr lang="es-AR"/>
          </a:p>
        </c:txPr>
        <c:crossAx val="572613160"/>
        <c:crosses val="autoZero"/>
        <c:auto val="1"/>
        <c:lblAlgn val="ctr"/>
        <c:lblOffset val="100"/>
        <c:noMultiLvlLbl val="0"/>
      </c:catAx>
      <c:valAx>
        <c:axId val="57261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ova Light" panose="020B0304020202020204" pitchFamily="34" charset="0"/>
                <a:ea typeface="+mn-ea"/>
                <a:cs typeface="+mn-cs"/>
              </a:defRPr>
            </a:pPr>
            <a:endParaRPr lang="es-AR"/>
          </a:p>
        </c:txPr>
        <c:crossAx val="57261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s-MX" sz="1200" b="1" i="0" u="none" strike="noStrike" kern="1200" baseline="0">
                <a:solidFill>
                  <a:sysClr val="windowText" lastClr="000000"/>
                </a:solidFill>
                <a:effectLst/>
                <a:latin typeface="Arial Nova" panose="020B0504020202020204" pitchFamily="34" charset="0"/>
                <a:ea typeface="+mn-ea"/>
                <a:cs typeface="Arial" pitchFamily="34" charset="0"/>
              </a:defRPr>
            </a:pPr>
            <a:r>
              <a:rPr lang="es-MX" sz="1200" b="1" i="0" u="none" strike="noStrike" kern="1200" baseline="0">
                <a:solidFill>
                  <a:sysClr val="windowText" lastClr="000000"/>
                </a:solidFill>
                <a:effectLst/>
                <a:latin typeface="Arial Nova" panose="020B0504020202020204" pitchFamily="34" charset="0"/>
                <a:ea typeface="+mn-ea"/>
                <a:cs typeface="Arial" pitchFamily="34" charset="0"/>
              </a:rPr>
              <a:t>Curva de bonos ajustables por CER</a:t>
            </a:r>
          </a:p>
        </c:rich>
      </c:tx>
      <c:layout>
        <c:manualLayout>
          <c:xMode val="edge"/>
          <c:yMode val="edge"/>
          <c:x val="0.25423007973059969"/>
          <c:y val="7.078591743293531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955442334414081"/>
          <c:y val="0.18911540772749219"/>
          <c:w val="0.79674252483145502"/>
          <c:h val="0.66202459288872517"/>
        </c:manualLayout>
      </c:layout>
      <c:scatterChart>
        <c:scatterStyle val="lineMarker"/>
        <c:varyColors val="0"/>
        <c:ser>
          <c:idx val="0"/>
          <c:order val="0"/>
          <c:tx>
            <c:v>Curva objetivo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6.0664262600067291E-2"/>
                  <c:y val="2.85456863797710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78-49FF-825C-1973E9F3EA89}"/>
                </c:ext>
              </c:extLst>
            </c:dLbl>
            <c:dLbl>
              <c:idx val="1"/>
              <c:layout>
                <c:manualLayout>
                  <c:x val="-5.3739187007490315E-2"/>
                  <c:y val="-3.33103373663745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78-49FF-825C-1973E9F3EA8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78-49FF-825C-1973E9F3EA89}"/>
                </c:ext>
              </c:extLst>
            </c:dLbl>
            <c:dLbl>
              <c:idx val="3"/>
              <c:layout>
                <c:manualLayout>
                  <c:x val="-6.4855761364832801E-2"/>
                  <c:y val="-3.65043628323799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78-49FF-825C-1973E9F3EA89}"/>
                </c:ext>
              </c:extLst>
            </c:dLbl>
            <c:dLbl>
              <c:idx val="4"/>
              <c:layout>
                <c:manualLayout>
                  <c:x val="-6.6703734780433635E-2"/>
                  <c:y val="-2.38358621567207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78-49FF-825C-1973E9F3EA89}"/>
                </c:ext>
              </c:extLst>
            </c:dLbl>
            <c:dLbl>
              <c:idx val="5"/>
              <c:layout>
                <c:manualLayout>
                  <c:x val="-6.2649182084753605E-2"/>
                  <c:y val="-2.05774796667853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</a:rPr>
                      <a:t>TC23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571326090845221E-2"/>
                      <c:h val="4.87029877432631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78-49FF-825C-1973E9F3EA89}"/>
                </c:ext>
              </c:extLst>
            </c:dLbl>
            <c:dLbl>
              <c:idx val="6"/>
              <c:layout>
                <c:manualLayout>
                  <c:x val="-2.251576985204419E-2"/>
                  <c:y val="1.15989389995083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78-49FF-825C-1973E9F3EA89}"/>
                </c:ext>
              </c:extLst>
            </c:dLbl>
            <c:dLbl>
              <c:idx val="7"/>
              <c:layout>
                <c:manualLayout>
                  <c:x val="-4.9695007425224084E-2"/>
                  <c:y val="-3.47308843007846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78-49FF-825C-1973E9F3EA89}"/>
                </c:ext>
              </c:extLst>
            </c:dLbl>
            <c:dLbl>
              <c:idx val="8"/>
              <c:layout>
                <c:manualLayout>
                  <c:x val="-2.8599272154674619E-2"/>
                  <c:y val="-3.0735370927152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DICP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78-49FF-825C-1973E9F3EA89}"/>
                </c:ext>
              </c:extLst>
            </c:dLbl>
            <c:dLbl>
              <c:idx val="9"/>
              <c:layout>
                <c:manualLayout>
                  <c:x val="-5.4271632276610512E-2"/>
                  <c:y val="3.74597447278579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PARP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78-49FF-825C-1973E9F3EA89}"/>
                </c:ext>
              </c:extLst>
            </c:dLbl>
            <c:dLbl>
              <c:idx val="10"/>
              <c:layout>
                <c:manualLayout>
                  <c:x val="-6.6154248386964293E-2"/>
                  <c:y val="-3.28205149409580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78-49FF-825C-1973E9F3E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2700">
                <a:solidFill>
                  <a:schemeClr val="tx1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'Planilla de datos'!$G$88:$G$97</c:f>
              <c:numCache>
                <c:formatCode>0.00</c:formatCode>
                <c:ptCount val="10"/>
                <c:pt idx="0">
                  <c:v>4.4444444444444391E-2</c:v>
                </c:pt>
                <c:pt idx="1">
                  <c:v>7.9757975726976654E-2</c:v>
                </c:pt>
                <c:pt idx="2">
                  <c:v>0.68839381851073378</c:v>
                </c:pt>
                <c:pt idx="3">
                  <c:v>1.1780831023270644</c:v>
                </c:pt>
                <c:pt idx="4">
                  <c:v>1.5812529174283569</c:v>
                </c:pt>
                <c:pt idx="5">
                  <c:v>1.6689790059744172</c:v>
                </c:pt>
                <c:pt idx="6">
                  <c:v>2.6130996295790356</c:v>
                </c:pt>
                <c:pt idx="7">
                  <c:v>6.37</c:v>
                </c:pt>
                <c:pt idx="8">
                  <c:v>10.83</c:v>
                </c:pt>
                <c:pt idx="9">
                  <c:v>11.87</c:v>
                </c:pt>
              </c:numCache>
            </c:numRef>
          </c:xVal>
          <c:yVal>
            <c:numRef>
              <c:f>'Planilla de datos'!$F$88:$F$97</c:f>
              <c:numCache>
                <c:formatCode>0.00%</c:formatCode>
                <c:ptCount val="10"/>
                <c:pt idx="0">
                  <c:v>0.02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C78-49FF-825C-1973E9F3EA89}"/>
            </c:ext>
          </c:extLst>
        </c:ser>
        <c:ser>
          <c:idx val="1"/>
          <c:order val="1"/>
          <c:tx>
            <c:v>Curva actual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'Planilla de datos'!$F$69:$F$82</c:f>
              <c:numCache>
                <c:formatCode>0.00</c:formatCode>
                <c:ptCount val="14"/>
                <c:pt idx="0">
                  <c:v>4.4444444444444391E-2</c:v>
                </c:pt>
                <c:pt idx="1">
                  <c:v>8.0555555555555602E-2</c:v>
                </c:pt>
                <c:pt idx="2">
                  <c:v>0.69703557312252973</c:v>
                </c:pt>
                <c:pt idx="3" formatCode="#,##0.00">
                  <c:v>1.195992044030298</c:v>
                </c:pt>
                <c:pt idx="4">
                  <c:v>1.6111111111111112</c:v>
                </c:pt>
                <c:pt idx="5">
                  <c:v>1.6597369963736781</c:v>
                </c:pt>
                <c:pt idx="6">
                  <c:v>2.0234713292376876</c:v>
                </c:pt>
                <c:pt idx="7">
                  <c:v>2.585338099883248</c:v>
                </c:pt>
                <c:pt idx="8">
                  <c:v>3.4459135389716677</c:v>
                </c:pt>
                <c:pt idx="9">
                  <c:v>3.8327476213809417</c:v>
                </c:pt>
                <c:pt idx="10">
                  <c:v>4.2912524812415604</c:v>
                </c:pt>
                <c:pt idx="11">
                  <c:v>5.62</c:v>
                </c:pt>
                <c:pt idx="12">
                  <c:v>9.43</c:v>
                </c:pt>
                <c:pt idx="13">
                  <c:v>10.76</c:v>
                </c:pt>
              </c:numCache>
            </c:numRef>
          </c:xVal>
          <c:yVal>
            <c:numRef>
              <c:f>'Planilla de datos'!$E$69:$E$82</c:f>
              <c:numCache>
                <c:formatCode>0.00%</c:formatCode>
                <c:ptCount val="14"/>
                <c:pt idx="0">
                  <c:v>-3.264036686051637E-2</c:v>
                </c:pt>
                <c:pt idx="1">
                  <c:v>-1.6136326139234013E-2</c:v>
                </c:pt>
                <c:pt idx="2">
                  <c:v>2.7927407226562506E-2</c:v>
                </c:pt>
                <c:pt idx="3">
                  <c:v>3.2965014648437499E-2</c:v>
                </c:pt>
                <c:pt idx="4">
                  <c:v>4.3932631611824036E-2</c:v>
                </c:pt>
                <c:pt idx="5">
                  <c:v>4.6011450195312512E-2</c:v>
                </c:pt>
                <c:pt idx="6">
                  <c:v>4.4258891601562503E-2</c:v>
                </c:pt>
                <c:pt idx="7">
                  <c:v>6.0383334960937521E-2</c:v>
                </c:pt>
                <c:pt idx="8">
                  <c:v>5.273611843585968E-2</c:v>
                </c:pt>
                <c:pt idx="9">
                  <c:v>7.34679638671875E-2</c:v>
                </c:pt>
                <c:pt idx="10">
                  <c:v>8.3005133271217363E-2</c:v>
                </c:pt>
                <c:pt idx="11">
                  <c:v>9.0999999999999998E-2</c:v>
                </c:pt>
                <c:pt idx="12">
                  <c:v>0.1105</c:v>
                </c:pt>
                <c:pt idx="13">
                  <c:v>0.1016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C78-49FF-825C-1973E9F3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39648"/>
        <c:axId val="137341568"/>
      </c:scatterChart>
      <c:valAx>
        <c:axId val="137339648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900"/>
                  <a:t>MD</a:t>
                </a:r>
              </a:p>
            </c:rich>
          </c:tx>
          <c:layout>
            <c:manualLayout>
              <c:xMode val="edge"/>
              <c:yMode val="edge"/>
              <c:x val="0.49459887607239622"/>
              <c:y val="0.9053852023101220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>
                <a:latin typeface="Arial Nova" panose="020B0504020202020204" pitchFamily="34" charset="0"/>
              </a:defRPr>
            </a:pPr>
            <a:endParaRPr lang="es-AR"/>
          </a:p>
        </c:txPr>
        <c:crossAx val="137341568"/>
        <c:crosses val="autoZero"/>
        <c:crossBetween val="midCat"/>
        <c:majorUnit val="1"/>
      </c:valAx>
      <c:valAx>
        <c:axId val="137341568"/>
        <c:scaling>
          <c:orientation val="minMax"/>
          <c:max val="0.1100000000000000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US" sz="900" b="0">
                    <a:latin typeface="Arial Nova" panose="020B05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1.3363819819804367E-2"/>
              <c:y val="0.4628921029816670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>
                <a:latin typeface="Arial Nova" panose="020B0504020202020204" pitchFamily="34" charset="0"/>
              </a:defRPr>
            </a:pPr>
            <a:endParaRPr lang="es-AR"/>
          </a:p>
        </c:txPr>
        <c:crossAx val="137339648"/>
        <c:crossesAt val="0"/>
        <c:crossBetween val="midCat"/>
        <c:majorUnit val="2.0000000000000004E-2"/>
      </c:valAx>
      <c:spPr>
        <a:ln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1544099940666709"/>
          <c:y val="0.93103098607088375"/>
          <c:w val="0.42903003696590125"/>
          <c:h val="6.2100586763783702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Tasas de bonos en pesos</a:t>
            </a:r>
            <a:endParaRPr lang="es-AR" sz="1200" b="1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682462591238776"/>
          <c:y val="6.61927220023081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04512801967333"/>
          <c:y val="0.19601690164878297"/>
          <c:w val="0.81084992015518587"/>
          <c:h val="0.64183288015140894"/>
        </c:manualLayout>
      </c:layout>
      <c:scatterChart>
        <c:scatterStyle val="lineMarker"/>
        <c:varyColors val="0"/>
        <c:ser>
          <c:idx val="0"/>
          <c:order val="0"/>
          <c:tx>
            <c:v>Soberanos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2638806896497216E-2"/>
                  <c:y val="4.8773017021755934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</a:rPr>
                      <a:t>T2X1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939406637439845E-2"/>
                      <c:h val="4.631485277405148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761F-45CD-B5F8-D0008F3D74F7}"/>
                </c:ext>
              </c:extLst>
            </c:dLbl>
            <c:dLbl>
              <c:idx val="1"/>
              <c:layout>
                <c:manualLayout>
                  <c:x val="-1.6669343315173342E-2"/>
                  <c:y val="-3.7948304613102434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/>
                      <a:t>PR15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855748881901966E-2"/>
                      <c:h val="3.44763468420021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61F-45CD-B5F8-D0008F3D74F7}"/>
                </c:ext>
              </c:extLst>
            </c:dLbl>
            <c:dLbl>
              <c:idx val="2"/>
              <c:layout>
                <c:manualLayout>
                  <c:x val="-1.1213592432908776E-2"/>
                  <c:y val="4.482917540652560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1F-45CD-B5F8-D0008F3D74F7}"/>
                </c:ext>
              </c:extLst>
            </c:dLbl>
            <c:dLbl>
              <c:idx val="3"/>
              <c:layout>
                <c:manualLayout>
                  <c:x val="-1.0252963873481001E-2"/>
                  <c:y val="-2.331343440193646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TB21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1F-45CD-B5F8-D0008F3D74F7}"/>
                </c:ext>
              </c:extLst>
            </c:dLbl>
            <c:dLbl>
              <c:idx val="4"/>
              <c:layout>
                <c:manualLayout>
                  <c:x val="-9.780061851170108E-3"/>
                  <c:y val="-4.955358566536258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1F-45CD-B5F8-D0008F3D74F7}"/>
                </c:ext>
              </c:extLst>
            </c:dLbl>
            <c:dLbl>
              <c:idx val="5"/>
              <c:layout>
                <c:manualLayout>
                  <c:x val="-1.1871636173463295E-2"/>
                  <c:y val="5.2593462054010014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1F-45CD-B5F8-D0008F3D74F7}"/>
                </c:ext>
              </c:extLst>
            </c:dLbl>
            <c:dLbl>
              <c:idx val="6"/>
              <c:layout>
                <c:manualLayout>
                  <c:x val="-6.1599153355487747E-3"/>
                  <c:y val="3.313259519030860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AA22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1F-45CD-B5F8-D0008F3D74F7}"/>
                </c:ext>
              </c:extLst>
            </c:dLbl>
            <c:dLbl>
              <c:idx val="7"/>
              <c:layout>
                <c:manualLayout>
                  <c:x val="-1.3835225517931486E-2"/>
                  <c:y val="1.34412943803950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1F-45CD-B5F8-D0008F3D74F7}"/>
                </c:ext>
              </c:extLst>
            </c:dLbl>
            <c:dLbl>
              <c:idx val="8"/>
              <c:layout>
                <c:manualLayout>
                  <c:x val="-9.0722736275999517E-3"/>
                  <c:y val="-1.580632849799364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1F-45CD-B5F8-D0008F3D74F7}"/>
                </c:ext>
              </c:extLst>
            </c:dLbl>
            <c:dLbl>
              <c:idx val="9"/>
              <c:layout>
                <c:manualLayout>
                  <c:x val="-1.4838680453465437E-2"/>
                  <c:y val="2.10324983874767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1F-45CD-B5F8-D0008F3D74F7}"/>
                </c:ext>
              </c:extLst>
            </c:dLbl>
            <c:dLbl>
              <c:idx val="10"/>
              <c:layout>
                <c:manualLayout>
                  <c:x val="-6.424499981469356E-2"/>
                  <c:y val="2.27337490059964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1F-45CD-B5F8-D0008F3D74F7}"/>
                </c:ext>
              </c:extLst>
            </c:dLbl>
            <c:dLbl>
              <c:idx val="11"/>
              <c:layout>
                <c:manualLayout>
                  <c:x val="-4.0468289951037996E-2"/>
                  <c:y val="2.02949040150028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F1-4FD9-89BB-7532A5BAECD2}"/>
                </c:ext>
              </c:extLst>
            </c:dLbl>
            <c:dLbl>
              <c:idx val="12"/>
              <c:layout>
                <c:manualLayout>
                  <c:x val="-9.3340102098098988E-3"/>
                  <c:y val="7.963854808171494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10-4BF9-AB60-96E5F909433B}"/>
                </c:ext>
              </c:extLst>
            </c:dLbl>
            <c:dLbl>
              <c:idx val="13"/>
              <c:layout>
                <c:manualLayout>
                  <c:x val="-3.2109734352930672E-2"/>
                  <c:y val="2.65940182875988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EA-463B-9395-1C7751929205}"/>
                </c:ext>
              </c:extLst>
            </c:dLbl>
            <c:dLbl>
              <c:idx val="14"/>
              <c:layout>
                <c:manualLayout>
                  <c:x val="-1.410832602402395E-2"/>
                  <c:y val="2.393581180130301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B8-40A5-97D0-03C2974EB8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</c15:leaderLines>
              </c:ext>
            </c:extLst>
          </c:dLbls>
          <c:xVal>
            <c:numRef>
              <c:f>'Planilla de datos'!$AA$71:$AA$85</c:f>
              <c:numCache>
                <c:formatCode>0.00</c:formatCode>
                <c:ptCount val="15"/>
                <c:pt idx="1">
                  <c:v>0.52</c:v>
                </c:pt>
                <c:pt idx="2">
                  <c:v>0.24657534246575341</c:v>
                </c:pt>
                <c:pt idx="3">
                  <c:v>7.3121599658247327E-2</c:v>
                </c:pt>
                <c:pt idx="4">
                  <c:v>8.0555555555555602E-2</c:v>
                </c:pt>
                <c:pt idx="5">
                  <c:v>4.4444444444444391E-2</c:v>
                </c:pt>
                <c:pt idx="6">
                  <c:v>0.61227639425198632</c:v>
                </c:pt>
                <c:pt idx="7">
                  <c:v>1.195992044030298</c:v>
                </c:pt>
                <c:pt idx="8">
                  <c:v>0.69703557312252973</c:v>
                </c:pt>
                <c:pt idx="9">
                  <c:v>1.4439351777119052</c:v>
                </c:pt>
                <c:pt idx="10">
                  <c:v>1.2687863125632977</c:v>
                </c:pt>
                <c:pt idx="11">
                  <c:v>1.3559291973168417</c:v>
                </c:pt>
                <c:pt idx="12">
                  <c:v>2.0151238860575362</c:v>
                </c:pt>
                <c:pt idx="13">
                  <c:v>2.0758728559936257</c:v>
                </c:pt>
                <c:pt idx="14">
                  <c:v>1.6408743175498961</c:v>
                </c:pt>
              </c:numCache>
            </c:numRef>
          </c:xVal>
          <c:yVal>
            <c:numRef>
              <c:f>'Planilla de datos'!$Z$71:$Z$85</c:f>
              <c:numCache>
                <c:formatCode>0.00%</c:formatCode>
                <c:ptCount val="15"/>
                <c:pt idx="1">
                  <c:v>0.45841657714843753</c:v>
                </c:pt>
                <c:pt idx="2">
                  <c:v>0.41788154785156262</c:v>
                </c:pt>
                <c:pt idx="3">
                  <c:v>0.4066626513671876</c:v>
                </c:pt>
                <c:pt idx="4">
                  <c:v>0.4368206591796876</c:v>
                </c:pt>
                <c:pt idx="5">
                  <c:v>0.40090236816406255</c:v>
                </c:pt>
                <c:pt idx="6">
                  <c:v>0.45818644042968759</c:v>
                </c:pt>
                <c:pt idx="7">
                  <c:v>0.46469922363281269</c:v>
                </c:pt>
                <c:pt idx="8">
                  <c:v>0.44456767089843763</c:v>
                </c:pt>
                <c:pt idx="9">
                  <c:v>0.49368477539062516</c:v>
                </c:pt>
                <c:pt idx="10">
                  <c:v>0.48455432617187499</c:v>
                </c:pt>
                <c:pt idx="11">
                  <c:v>0.48607174804687503</c:v>
                </c:pt>
                <c:pt idx="12">
                  <c:v>0.51678725585937513</c:v>
                </c:pt>
                <c:pt idx="13">
                  <c:v>0.5084366113281249</c:v>
                </c:pt>
                <c:pt idx="14">
                  <c:v>0.48454940429687499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8-47B1-9DC2-DC9BE0B62FDA}"/>
            </c:ext>
          </c:extLst>
        </c:ser>
        <c:ser>
          <c:idx val="1"/>
          <c:order val="1"/>
          <c:tx>
            <c:v>Provinciales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9.9988058029739629E-3"/>
                  <c:y val="1.76631734663540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BNY22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1F-45CD-B5F8-D0008F3D74F7}"/>
                </c:ext>
              </c:extLst>
            </c:dLbl>
            <c:dLbl>
              <c:idx val="1"/>
              <c:layout>
                <c:manualLayout>
                  <c:x val="-5.6783986229672949E-2"/>
                  <c:y val="2.67097633011308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1F-45CD-B5F8-D0008F3D74F7}"/>
                </c:ext>
              </c:extLst>
            </c:dLbl>
            <c:dLbl>
              <c:idx val="2"/>
              <c:layout>
                <c:manualLayout>
                  <c:x val="-2.5259161344254058E-2"/>
                  <c:y val="3.06448858580424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PBY22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8C-419D-922B-EB744B3DBC76}"/>
                </c:ext>
              </c:extLst>
            </c:dLbl>
            <c:dLbl>
              <c:idx val="3"/>
              <c:layout>
                <c:manualLayout>
                  <c:x val="-1.1672493524569574E-2"/>
                  <c:y val="-1.381832135042462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PBA25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8C-419D-922B-EB744B3DBC76}"/>
                </c:ext>
              </c:extLst>
            </c:dLbl>
            <c:dLbl>
              <c:idx val="4"/>
              <c:layout>
                <c:manualLayout>
                  <c:x val="-1.1396098681853558E-2"/>
                  <c:y val="6.24794898357014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8C-419D-922B-EB744B3DBC76}"/>
                </c:ext>
              </c:extLst>
            </c:dLbl>
            <c:dLbl>
              <c:idx val="5"/>
              <c:layout>
                <c:manualLayout>
                  <c:x val="-2.1921833627764668E-2"/>
                  <c:y val="2.93340356082170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8C-419D-922B-EB744B3DB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</c15:leaderLines>
              </c:ext>
            </c:extLst>
          </c:dLbls>
          <c:xVal>
            <c:numRef>
              <c:f>'Planilla de datos'!$G$25:$G$30</c:f>
              <c:numCache>
                <c:formatCode>0.00</c:formatCode>
                <c:ptCount val="6"/>
                <c:pt idx="0">
                  <c:v>0.40222779262270447</c:v>
                </c:pt>
                <c:pt idx="1">
                  <c:v>0.43055475079959543</c:v>
                </c:pt>
                <c:pt idx="2">
                  <c:v>0.67994127522254422</c:v>
                </c:pt>
                <c:pt idx="3">
                  <c:v>1.4888571268484097</c:v>
                </c:pt>
                <c:pt idx="4">
                  <c:v>1.4767834390216694</c:v>
                </c:pt>
                <c:pt idx="5">
                  <c:v>1.7876114232506264</c:v>
                </c:pt>
              </c:numCache>
            </c:numRef>
          </c:xVal>
          <c:yVal>
            <c:numRef>
              <c:f>'Planilla de datos'!$H$25:$H$30</c:f>
              <c:numCache>
                <c:formatCode>0.00%</c:formatCode>
                <c:ptCount val="6"/>
                <c:pt idx="0">
                  <c:v>0.55247565429687495</c:v>
                </c:pt>
                <c:pt idx="1">
                  <c:v>0.46635158691406264</c:v>
                </c:pt>
                <c:pt idx="2">
                  <c:v>0.52693625976562508</c:v>
                </c:pt>
                <c:pt idx="3">
                  <c:v>0.54860588867187499</c:v>
                </c:pt>
                <c:pt idx="4">
                  <c:v>0.54036532226562528</c:v>
                </c:pt>
                <c:pt idx="5">
                  <c:v>0.52398575195312502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8-47B1-9DC2-DC9BE0B62FDA}"/>
            </c:ext>
          </c:extLst>
        </c:ser>
        <c:ser>
          <c:idx val="2"/>
          <c:order val="2"/>
          <c:tx>
            <c:v>Boli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1.2543516127836772E-2"/>
                  <c:y val="1.3022346949167651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T2V1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B0-48AA-B75C-82F8C93051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'Planilla de datos'!$Z$45</c:f>
              <c:numCache>
                <c:formatCode>_(* #,##0.00_);_(* \(#,##0.00\);_(* "-"??_);_(@_)</c:formatCode>
                <c:ptCount val="1"/>
                <c:pt idx="0">
                  <c:v>0.47945205479452052</c:v>
                </c:pt>
              </c:numCache>
            </c:numRef>
          </c:xVal>
          <c:yVal>
            <c:numRef>
              <c:f>'Planilla de datos'!$Y$45</c:f>
              <c:numCache>
                <c:formatCode>0.00%</c:formatCode>
                <c:ptCount val="1"/>
                <c:pt idx="0">
                  <c:v>0.53985725585937505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0-48AA-B75C-82F8C930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24256"/>
        <c:axId val="141710848"/>
      </c:scatterChart>
      <c:valAx>
        <c:axId val="137424256"/>
        <c:scaling>
          <c:orientation val="minMax"/>
          <c:max val="2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50958916975831758"/>
              <c:y val="0.8744467929759042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710848"/>
        <c:crosses val="autoZero"/>
        <c:crossBetween val="midCat"/>
        <c:majorUnit val="0.5"/>
        <c:minorUnit val="5.000000000000001E-2"/>
      </c:valAx>
      <c:valAx>
        <c:axId val="141710848"/>
        <c:scaling>
          <c:orientation val="minMax"/>
          <c:max val="0.60000000000000009"/>
          <c:min val="0.44000000000000006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3.9759836887341873E-2"/>
              <c:y val="0.4553312175028698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37424256"/>
        <c:crossesAt val="0"/>
        <c:crossBetween val="midCat"/>
        <c:majorUnit val="2.0000000000000004E-2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13360102019033362"/>
          <c:y val="0.89094899131192451"/>
          <c:w val="0.29338439555099838"/>
          <c:h val="4.1082802383961392E-2"/>
        </c:manualLayout>
      </c:layout>
      <c:overlay val="0"/>
      <c:spPr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sz="800">
              <a:latin typeface="Arial Nova Light" panose="020B03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Curva de bonos ajustables por CER</a:t>
            </a:r>
            <a:endParaRPr lang="es-AR" sz="1200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4254817823608488"/>
          <c:y val="5.513669150167710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7131668290103335E-2"/>
          <c:y val="0.18829189037923563"/>
          <c:w val="0.84915975723174175"/>
          <c:h val="0.69923648921253523"/>
        </c:manualLayout>
      </c:layout>
      <c:scatterChart>
        <c:scatterStyle val="lineMarker"/>
        <c:varyColors val="0"/>
        <c:ser>
          <c:idx val="0"/>
          <c:order val="0"/>
          <c:tx>
            <c:v>17.02.2021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12700">
                <a:solidFill>
                  <a:schemeClr val="tx2">
                    <a:lumMod val="5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'Planilla de datos'!$F$69:$F$79</c:f>
              <c:numCache>
                <c:formatCode>0.00</c:formatCode>
                <c:ptCount val="11"/>
                <c:pt idx="0">
                  <c:v>4.4444444444444391E-2</c:v>
                </c:pt>
                <c:pt idx="1">
                  <c:v>8.0555555555555602E-2</c:v>
                </c:pt>
                <c:pt idx="2">
                  <c:v>0.69703557312252973</c:v>
                </c:pt>
                <c:pt idx="3" formatCode="#,##0.00">
                  <c:v>1.195992044030298</c:v>
                </c:pt>
                <c:pt idx="4">
                  <c:v>1.6111111111111112</c:v>
                </c:pt>
                <c:pt idx="5">
                  <c:v>1.6597369963736781</c:v>
                </c:pt>
                <c:pt idx="6">
                  <c:v>2.0234713292376876</c:v>
                </c:pt>
                <c:pt idx="7">
                  <c:v>2.585338099883248</c:v>
                </c:pt>
                <c:pt idx="8">
                  <c:v>3.4459135389716677</c:v>
                </c:pt>
                <c:pt idx="9">
                  <c:v>3.8327476213809417</c:v>
                </c:pt>
                <c:pt idx="10">
                  <c:v>4.2912524812415604</c:v>
                </c:pt>
              </c:numCache>
            </c:numRef>
          </c:xVal>
          <c:yVal>
            <c:numRef>
              <c:f>'Planilla de datos'!$E$69:$E$82</c:f>
              <c:numCache>
                <c:formatCode>0.00%</c:formatCode>
                <c:ptCount val="14"/>
                <c:pt idx="0">
                  <c:v>-3.264036686051637E-2</c:v>
                </c:pt>
                <c:pt idx="1">
                  <c:v>-1.6136326139234013E-2</c:v>
                </c:pt>
                <c:pt idx="2">
                  <c:v>2.7927407226562506E-2</c:v>
                </c:pt>
                <c:pt idx="3">
                  <c:v>3.2965014648437499E-2</c:v>
                </c:pt>
                <c:pt idx="4">
                  <c:v>4.3932631611824036E-2</c:v>
                </c:pt>
                <c:pt idx="5">
                  <c:v>4.6011450195312512E-2</c:v>
                </c:pt>
                <c:pt idx="6">
                  <c:v>4.4258891601562503E-2</c:v>
                </c:pt>
                <c:pt idx="7">
                  <c:v>6.0383334960937521E-2</c:v>
                </c:pt>
                <c:pt idx="8">
                  <c:v>5.273611843585968E-2</c:v>
                </c:pt>
                <c:pt idx="9">
                  <c:v>7.34679638671875E-2</c:v>
                </c:pt>
                <c:pt idx="10">
                  <c:v>8.3005133271217363E-2</c:v>
                </c:pt>
                <c:pt idx="11">
                  <c:v>9.0999999999999998E-2</c:v>
                </c:pt>
                <c:pt idx="12">
                  <c:v>0.1105</c:v>
                </c:pt>
                <c:pt idx="13">
                  <c:v>0.1016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B48-44A5-A6EA-645AF0316D6F}"/>
            </c:ext>
          </c:extLst>
        </c:ser>
        <c:ser>
          <c:idx val="1"/>
          <c:order val="1"/>
          <c:tx>
            <c:v>30.12.2020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trendline>
            <c:spPr>
              <a:ln>
                <a:solidFill>
                  <a:srgbClr val="FFC000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'Planilla de datos'!$AC$90:$AC$99</c:f>
              <c:numCache>
                <c:formatCode>General</c:formatCode>
                <c:ptCount val="10"/>
                <c:pt idx="1">
                  <c:v>0.4</c:v>
                </c:pt>
                <c:pt idx="2">
                  <c:v>0.44</c:v>
                </c:pt>
                <c:pt idx="3">
                  <c:v>1.05</c:v>
                </c:pt>
                <c:pt idx="4">
                  <c:v>1.55</c:v>
                </c:pt>
                <c:pt idx="5">
                  <c:v>1.91</c:v>
                </c:pt>
                <c:pt idx="6">
                  <c:v>2.02</c:v>
                </c:pt>
                <c:pt idx="7">
                  <c:v>2.93</c:v>
                </c:pt>
                <c:pt idx="8">
                  <c:v>4.29</c:v>
                </c:pt>
                <c:pt idx="9">
                  <c:v>4.83</c:v>
                </c:pt>
              </c:numCache>
            </c:numRef>
          </c:xVal>
          <c:yVal>
            <c:numRef>
              <c:f>'Planilla de datos'!$AB$90:$AB$99</c:f>
              <c:numCache>
                <c:formatCode>0.00%</c:formatCode>
                <c:ptCount val="10"/>
                <c:pt idx="1">
                  <c:v>-4.1099999999999998E-2</c:v>
                </c:pt>
                <c:pt idx="2">
                  <c:v>-4.58E-2</c:v>
                </c:pt>
                <c:pt idx="3">
                  <c:v>1E-3</c:v>
                </c:pt>
                <c:pt idx="4">
                  <c:v>8.0999999999999996E-3</c:v>
                </c:pt>
                <c:pt idx="5">
                  <c:v>2.23E-2</c:v>
                </c:pt>
                <c:pt idx="6">
                  <c:v>4.8899999999999999E-2</c:v>
                </c:pt>
                <c:pt idx="7">
                  <c:v>3.1399999999999997E-2</c:v>
                </c:pt>
                <c:pt idx="8">
                  <c:v>6.8099999999999994E-2</c:v>
                </c:pt>
                <c:pt idx="9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B48-44A5-A6EA-645AF031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8592"/>
        <c:axId val="141047296"/>
      </c:scatterChart>
      <c:valAx>
        <c:axId val="141278592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49889644941984768"/>
              <c:y val="0.9064251004072868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047296"/>
        <c:crossesAt val="-9.0000000000000024E-2"/>
        <c:crossBetween val="midCat"/>
        <c:majorUnit val="1"/>
      </c:valAx>
      <c:valAx>
        <c:axId val="141047296"/>
        <c:scaling>
          <c:orientation val="minMax"/>
          <c:max val="9.0000000000000024E-2"/>
          <c:min val="-5.000000000000001E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="0">
                    <a:latin typeface="Arial Nova" panose="020B05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2.434460463504113E-3"/>
              <c:y val="0.4929312994058703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278592"/>
        <c:crossesAt val="0"/>
        <c:crossBetween val="midCat"/>
        <c:majorUnit val="2.0000000000000004E-2"/>
      </c:valAx>
      <c:spPr>
        <a:ln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8318266132215009"/>
          <c:y val="0.73184475491376477"/>
          <c:w val="0.14734663113569832"/>
          <c:h val="0.13008547987472979"/>
        </c:manualLayout>
      </c:layout>
      <c:overlay val="0"/>
      <c:spPr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Curva de bonos ajustables por CER</a:t>
            </a:r>
            <a:endParaRPr lang="es-AR" sz="1200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5014362169081644"/>
          <c:y val="6.24689675877279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526612191949596E-2"/>
          <c:y val="0.1882917738729411"/>
          <c:w val="0.84915975723174175"/>
          <c:h val="0.699236489212535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0606701202002862E-3"/>
                  <c:y val="-1.728288858353636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279-4658-AFDE-006BA229EBE4}"/>
                </c:ext>
              </c:extLst>
            </c:dLbl>
            <c:dLbl>
              <c:idx val="1"/>
              <c:layout>
                <c:manualLayout>
                  <c:x val="-8.4876120113707085E-3"/>
                  <c:y val="-1.06419523573087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279-4658-AFDE-006BA229EBE4}"/>
                </c:ext>
              </c:extLst>
            </c:dLbl>
            <c:dLbl>
              <c:idx val="2"/>
              <c:layout>
                <c:manualLayout>
                  <c:x val="-6.7049070561183741E-2"/>
                  <c:y val="1.67722162162788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2279-4658-AFDE-006BA229EBE4}"/>
                </c:ext>
              </c:extLst>
            </c:dLbl>
            <c:dLbl>
              <c:idx val="3"/>
              <c:layout>
                <c:manualLayout>
                  <c:x val="-8.138488109159224E-2"/>
                  <c:y val="-1.2047819533721396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t>T2X2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581143183655829E-2"/>
                      <c:h val="5.24877789252029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279-4658-AFDE-006BA229EBE4}"/>
                </c:ext>
              </c:extLst>
            </c:dLbl>
            <c:dLbl>
              <c:idx val="4"/>
              <c:layout>
                <c:manualLayout>
                  <c:x val="-6.3344113733364876E-2"/>
                  <c:y val="-1.24467788809798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279-4658-AFDE-006BA229EBE4}"/>
                </c:ext>
              </c:extLst>
            </c:dLbl>
            <c:dLbl>
              <c:idx val="5"/>
              <c:layout>
                <c:manualLayout>
                  <c:x val="-6.7919381637780316E-2"/>
                  <c:y val="-3.7893610454703637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t>TX23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816628307494496E-2"/>
                      <c:h val="4.87029195805944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279-4658-AFDE-006BA229EBE4}"/>
                </c:ext>
              </c:extLst>
            </c:dLbl>
            <c:dLbl>
              <c:idx val="6"/>
              <c:layout>
                <c:manualLayout>
                  <c:x val="-3.7762847038384388E-2"/>
                  <c:y val="-2.8150085148000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279-4658-AFDE-006BA229EBE4}"/>
                </c:ext>
              </c:extLst>
            </c:dLbl>
            <c:dLbl>
              <c:idx val="7"/>
              <c:layout>
                <c:manualLayout>
                  <c:x val="-4.818542264931467E-2"/>
                  <c:y val="-2.83472486570588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279-4658-AFDE-006BA229EBE4}"/>
                </c:ext>
              </c:extLst>
            </c:dLbl>
            <c:dLbl>
              <c:idx val="8"/>
              <c:layout>
                <c:manualLayout>
                  <c:x val="-3.3012597789685648E-2"/>
                  <c:y val="2.7308593607501593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/>
                      <a:t>TC25P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84528232732615E-2"/>
                      <c:h val="5.01348105723820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279-4658-AFDE-006BA229EBE4}"/>
                </c:ext>
              </c:extLst>
            </c:dLbl>
            <c:dLbl>
              <c:idx val="9"/>
              <c:layout>
                <c:manualLayout>
                  <c:x val="-1.7144233127949132E-2"/>
                  <c:y val="2.27194785400043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279-4658-AFDE-006BA229EBE4}"/>
                </c:ext>
              </c:extLst>
            </c:dLbl>
            <c:dLbl>
              <c:idx val="10"/>
              <c:layout>
                <c:manualLayout>
                  <c:x val="-6.903226203852429E-3"/>
                  <c:y val="9.886704840803617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54B-4213-9A42-A7925E8E6491}"/>
                </c:ext>
              </c:extLst>
            </c:dLbl>
            <c:dLbl>
              <c:idx val="11"/>
              <c:layout>
                <c:manualLayout>
                  <c:x val="-9.7490101588029402E-3"/>
                  <c:y val="2.814718994228697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DICP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757-4956-9503-5AC58EABD080}"/>
                </c:ext>
              </c:extLst>
            </c:dLbl>
            <c:dLbl>
              <c:idx val="12"/>
              <c:layout>
                <c:manualLayout>
                  <c:x val="-7.1676635257788487E-2"/>
                  <c:y val="2.82028336200824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PARP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757-4956-9503-5AC58EABD080}"/>
                </c:ext>
              </c:extLst>
            </c:dLbl>
            <c:dLbl>
              <c:idx val="13"/>
              <c:layout>
                <c:manualLayout>
                  <c:x val="-1.1329384014910321E-2"/>
                  <c:y val="1.81497754119372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A9D-403D-9F6A-BAFE3F3019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2700">
                <a:solidFill>
                  <a:schemeClr val="tx2">
                    <a:lumMod val="5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'Planilla de datos'!$F$69:$F$82</c:f>
              <c:numCache>
                <c:formatCode>0.00</c:formatCode>
                <c:ptCount val="14"/>
                <c:pt idx="0">
                  <c:v>4.4444444444444391E-2</c:v>
                </c:pt>
                <c:pt idx="1">
                  <c:v>8.0555555555555602E-2</c:v>
                </c:pt>
                <c:pt idx="2">
                  <c:v>0.69703557312252973</c:v>
                </c:pt>
                <c:pt idx="3" formatCode="#,##0.00">
                  <c:v>1.195992044030298</c:v>
                </c:pt>
                <c:pt idx="4">
                  <c:v>1.6111111111111112</c:v>
                </c:pt>
                <c:pt idx="5">
                  <c:v>1.6597369963736781</c:v>
                </c:pt>
                <c:pt idx="6">
                  <c:v>2.0234713292376876</c:v>
                </c:pt>
                <c:pt idx="7">
                  <c:v>2.585338099883248</c:v>
                </c:pt>
                <c:pt idx="8">
                  <c:v>3.4459135389716677</c:v>
                </c:pt>
                <c:pt idx="9">
                  <c:v>3.8327476213809417</c:v>
                </c:pt>
                <c:pt idx="10">
                  <c:v>4.2912524812415604</c:v>
                </c:pt>
                <c:pt idx="11">
                  <c:v>5.62</c:v>
                </c:pt>
                <c:pt idx="12">
                  <c:v>9.43</c:v>
                </c:pt>
                <c:pt idx="13">
                  <c:v>10.76</c:v>
                </c:pt>
              </c:numCache>
            </c:numRef>
          </c:xVal>
          <c:yVal>
            <c:numRef>
              <c:f>'Planilla de datos'!$E$69:$E$82</c:f>
              <c:numCache>
                <c:formatCode>0.00%</c:formatCode>
                <c:ptCount val="14"/>
                <c:pt idx="0">
                  <c:v>-3.264036686051637E-2</c:v>
                </c:pt>
                <c:pt idx="1">
                  <c:v>-1.6136326139234013E-2</c:v>
                </c:pt>
                <c:pt idx="2">
                  <c:v>2.7927407226562506E-2</c:v>
                </c:pt>
                <c:pt idx="3">
                  <c:v>3.2965014648437499E-2</c:v>
                </c:pt>
                <c:pt idx="4">
                  <c:v>4.3932631611824036E-2</c:v>
                </c:pt>
                <c:pt idx="5">
                  <c:v>4.6011450195312512E-2</c:v>
                </c:pt>
                <c:pt idx="6">
                  <c:v>4.4258891601562503E-2</c:v>
                </c:pt>
                <c:pt idx="7">
                  <c:v>6.0383334960937521E-2</c:v>
                </c:pt>
                <c:pt idx="8">
                  <c:v>5.273611843585968E-2</c:v>
                </c:pt>
                <c:pt idx="9">
                  <c:v>7.34679638671875E-2</c:v>
                </c:pt>
                <c:pt idx="10">
                  <c:v>8.3005133271217363E-2</c:v>
                </c:pt>
                <c:pt idx="11">
                  <c:v>9.0999999999999998E-2</c:v>
                </c:pt>
                <c:pt idx="12">
                  <c:v>0.1105</c:v>
                </c:pt>
                <c:pt idx="13">
                  <c:v>0.1016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2-43C2-9853-823524D8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8592"/>
        <c:axId val="141047296"/>
      </c:scatterChart>
      <c:valAx>
        <c:axId val="141278592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49889644941984768"/>
              <c:y val="0.9327128010062462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047296"/>
        <c:crossesAt val="-0.1"/>
        <c:crossBetween val="midCat"/>
        <c:majorUnit val="2"/>
      </c:valAx>
      <c:valAx>
        <c:axId val="141047296"/>
        <c:scaling>
          <c:orientation val="minMax"/>
          <c:max val="0.12200000000000001"/>
          <c:min val="-4.0000000000000008E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="0">
                    <a:latin typeface="Arial Nova" panose="020B05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2.434460463504113E-3"/>
              <c:y val="0.4929312994058703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278592"/>
        <c:crossesAt val="0"/>
        <c:crossBetween val="midCat"/>
        <c:majorUnit val="2.0000000000000004E-2"/>
      </c:valAx>
      <c:spPr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Tasas en pesos de corto plazo</a:t>
            </a:r>
            <a:endParaRPr lang="es-AR" sz="1200" b="1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3693173722723924"/>
          <c:y val="6.88038702176997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04512801967333"/>
          <c:y val="0.19601690164878297"/>
          <c:w val="0.81084992015518587"/>
          <c:h val="0.64183288015140894"/>
        </c:manualLayout>
      </c:layout>
      <c:scatterChart>
        <c:scatterStyle val="lineMarker"/>
        <c:varyColors val="0"/>
        <c:ser>
          <c:idx val="0"/>
          <c:order val="0"/>
          <c:tx>
            <c:v>Soberanos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3.7647128922911333E-2"/>
                  <c:y val="2.8109676940229644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</a:rPr>
                      <a:t>T2X1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939406637439845E-2"/>
                      <c:h val="4.631485277405148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75E-4D10-AAB3-079A5B52E23B}"/>
                </c:ext>
              </c:extLst>
            </c:dLbl>
            <c:dLbl>
              <c:idx val="1"/>
              <c:layout>
                <c:manualLayout>
                  <c:x val="-3.5500512681137041E-2"/>
                  <c:y val="2.5590242361864374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/>
                      <a:t>PR15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855676959548185E-2"/>
                      <c:h val="5.40735853750466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75E-4D10-AAB3-079A5B52E23B}"/>
                </c:ext>
              </c:extLst>
            </c:dLbl>
            <c:dLbl>
              <c:idx val="2"/>
              <c:layout>
                <c:manualLayout>
                  <c:x val="-1.7365766077392202E-2"/>
                  <c:y val="2.4058084036457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75E-4D10-AAB3-079A5B52E23B}"/>
                </c:ext>
              </c:extLst>
            </c:dLbl>
            <c:dLbl>
              <c:idx val="3"/>
              <c:layout>
                <c:manualLayout>
                  <c:x val="-1.2272556940549578E-2"/>
                  <c:y val="-6.821297159503683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TB21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75E-4D10-AAB3-079A5B52E23B}"/>
                </c:ext>
              </c:extLst>
            </c:dLbl>
            <c:dLbl>
              <c:idx val="4"/>
              <c:layout>
                <c:manualLayout>
                  <c:x val="-9.8040281501064475E-3"/>
                  <c:y val="-1.4842181026529456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/>
                      <a:t>TX21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879213147697452E-2"/>
                      <c:h val="3.56445530830339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75E-4D10-AAB3-079A5B52E23B}"/>
                </c:ext>
              </c:extLst>
            </c:dLbl>
            <c:dLbl>
              <c:idx val="5"/>
              <c:layout>
                <c:manualLayout>
                  <c:x val="-9.7602958314287943E-3"/>
                  <c:y val="-1.782552191637702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75E-4D10-AAB3-079A5B52E23B}"/>
                </c:ext>
              </c:extLst>
            </c:dLbl>
            <c:dLbl>
              <c:idx val="6"/>
              <c:layout>
                <c:manualLayout>
                  <c:x val="-3.752265885908887E-2"/>
                  <c:y val="2.91460214930980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AA22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5E-4D10-AAB3-079A5B52E23B}"/>
                </c:ext>
              </c:extLst>
            </c:dLbl>
            <c:dLbl>
              <c:idx val="7"/>
              <c:layout>
                <c:manualLayout>
                  <c:x val="-3.9078244612730142E-2"/>
                  <c:y val="2.97401087051006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5E-4D10-AAB3-079A5B52E23B}"/>
                </c:ext>
              </c:extLst>
            </c:dLbl>
            <c:dLbl>
              <c:idx val="8"/>
              <c:layout>
                <c:manualLayout>
                  <c:x val="-9.0213761267660727E-3"/>
                  <c:y val="5.045369231631654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5E-4D10-AAB3-079A5B52E23B}"/>
                </c:ext>
              </c:extLst>
            </c:dLbl>
            <c:dLbl>
              <c:idx val="9"/>
              <c:layout>
                <c:manualLayout>
                  <c:x val="-3.7813713499779765E-2"/>
                  <c:y val="-2.47153139223695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5E-4D10-AAB3-079A5B52E23B}"/>
                </c:ext>
              </c:extLst>
            </c:dLbl>
            <c:dLbl>
              <c:idx val="10"/>
              <c:layout>
                <c:manualLayout>
                  <c:x val="-3.7143239128686098E-2"/>
                  <c:y val="2.9143882751449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5E-4D10-AAB3-079A5B52E23B}"/>
                </c:ext>
              </c:extLst>
            </c:dLbl>
            <c:dLbl>
              <c:idx val="11"/>
              <c:layout>
                <c:manualLayout>
                  <c:x val="-2.1593058832734175E-2"/>
                  <c:y val="2.361432372558005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5E-4D10-AAB3-079A5B52E23B}"/>
                </c:ext>
              </c:extLst>
            </c:dLbl>
            <c:dLbl>
              <c:idx val="12"/>
              <c:layout>
                <c:manualLayout>
                  <c:x val="-5.1502011604300756E-3"/>
                  <c:y val="1.43146728225417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5E-4D10-AAB3-079A5B52E23B}"/>
                </c:ext>
              </c:extLst>
            </c:dLbl>
            <c:dLbl>
              <c:idx val="13"/>
              <c:layout>
                <c:manualLayout>
                  <c:x val="-2.5834023085064044E-2"/>
                  <c:y val="2.33278245246402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5E-4D10-AAB3-079A5B52E23B}"/>
                </c:ext>
              </c:extLst>
            </c:dLbl>
            <c:dLbl>
              <c:idx val="14"/>
              <c:layout>
                <c:manualLayout>
                  <c:x val="-5.3854497387179262E-2"/>
                  <c:y val="2.83847668837785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5E-4D10-AAB3-079A5B52E2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</c15:leaderLines>
              </c:ext>
            </c:extLst>
          </c:dLbls>
          <c:xVal>
            <c:numRef>
              <c:f>'Planilla de datos'!$AA$71:$AA$77</c:f>
              <c:numCache>
                <c:formatCode>0.00</c:formatCode>
                <c:ptCount val="7"/>
                <c:pt idx="1">
                  <c:v>0.52</c:v>
                </c:pt>
                <c:pt idx="2">
                  <c:v>0.24657534246575341</c:v>
                </c:pt>
                <c:pt idx="3">
                  <c:v>7.3121599658247327E-2</c:v>
                </c:pt>
                <c:pt idx="4">
                  <c:v>8.0555555555555602E-2</c:v>
                </c:pt>
                <c:pt idx="5">
                  <c:v>4.4444444444444391E-2</c:v>
                </c:pt>
                <c:pt idx="6">
                  <c:v>0.61227639425198632</c:v>
                </c:pt>
              </c:numCache>
            </c:numRef>
          </c:xVal>
          <c:yVal>
            <c:numRef>
              <c:f>'Planilla de datos'!$Z$71:$Z$77</c:f>
              <c:numCache>
                <c:formatCode>0.00%</c:formatCode>
                <c:ptCount val="7"/>
                <c:pt idx="1">
                  <c:v>0.45841657714843753</c:v>
                </c:pt>
                <c:pt idx="2">
                  <c:v>0.41788154785156262</c:v>
                </c:pt>
                <c:pt idx="3">
                  <c:v>0.4066626513671876</c:v>
                </c:pt>
                <c:pt idx="4">
                  <c:v>0.4368206591796876</c:v>
                </c:pt>
                <c:pt idx="5">
                  <c:v>0.40090236816406255</c:v>
                </c:pt>
                <c:pt idx="6">
                  <c:v>0.45818644042968759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75E-4D10-AAB3-079A5B52E23B}"/>
            </c:ext>
          </c:extLst>
        </c:ser>
        <c:ser>
          <c:idx val="2"/>
          <c:order val="2"/>
          <c:tx>
            <c:v>Lecer</c:v>
          </c:tx>
          <c:spPr>
            <a:ln w="28575">
              <a:noFill/>
            </a:ln>
          </c:spPr>
          <c:marker>
            <c:spPr>
              <a:solidFill>
                <a:srgbClr val="FFCC66"/>
              </a:solidFill>
              <a:ln>
                <a:solidFill>
                  <a:srgbClr val="FFCC66"/>
                </a:solidFill>
              </a:ln>
            </c:spPr>
          </c:marker>
          <c:dLbls>
            <c:dLbl>
              <c:idx val="0"/>
              <c:layout>
                <c:manualLayout>
                  <c:x val="-4.1838075119110859E-3"/>
                  <c:y val="-5.3789083328244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X13S1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C61-4C35-8F7C-90276D5039A0}"/>
                </c:ext>
              </c:extLst>
            </c:dLbl>
            <c:dLbl>
              <c:idx val="1"/>
              <c:layout>
                <c:manualLayout>
                  <c:x val="-3.9636314751129845E-2"/>
                  <c:y val="2.37033644748632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X13S1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61-4C35-8F7C-90276D5039A0}"/>
                </c:ext>
              </c:extLst>
            </c:dLbl>
            <c:dLbl>
              <c:idx val="2"/>
              <c:layout>
                <c:manualLayout>
                  <c:x val="-6.2757112678666288E-3"/>
                  <c:y val="-1.6330968814793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S30A1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61-4C35-8F7C-90276D5039A0}"/>
                </c:ext>
              </c:extLst>
            </c:dLbl>
            <c:dLbl>
              <c:idx val="3"/>
              <c:layout>
                <c:manualLayout>
                  <c:x val="-8.1584246482266171E-2"/>
                  <c:y val="-6.532387525917376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S30J1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61-4C35-8F7C-90276D5039A0}"/>
                </c:ext>
              </c:extLst>
            </c:dLbl>
            <c:dLbl>
              <c:idx val="4"/>
              <c:layout>
                <c:manualLayout>
                  <c:x val="-1.0459518779777714E-2"/>
                  <c:y val="6.532387525917376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S30L1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61-4C35-8F7C-90276D5039A0}"/>
                </c:ext>
              </c:extLst>
            </c:dLbl>
            <c:dLbl>
              <c:idx val="5"/>
              <c:layout>
                <c:manualLayout>
                  <c:x val="-4.1838075119110855E-2"/>
                  <c:y val="-3.2661937629586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SA301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61-4C35-8F7C-90276D5039A0}"/>
                </c:ext>
              </c:extLst>
            </c:dLbl>
            <c:dLbl>
              <c:idx val="6"/>
              <c:layout>
                <c:manualLayout>
                  <c:x val="-1.46433262916888E-2"/>
                  <c:y val="1.63309688147934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SJ301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61-4C35-8F7C-90276D5039A0}"/>
                </c:ext>
              </c:extLst>
            </c:dLbl>
            <c:dLbl>
              <c:idx val="7"/>
              <c:layout>
                <c:manualLayout>
                  <c:x val="-3.5562363851244227E-2"/>
                  <c:y val="2.93957438666280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SL301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61-4C35-8F7C-90276D5039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'Planilla de datos'!$J$37:$J$37</c:f>
              <c:numCache>
                <c:formatCode>0.00</c:formatCode>
                <c:ptCount val="1"/>
                <c:pt idx="0">
                  <c:v>0.18904109589041096</c:v>
                </c:pt>
              </c:numCache>
            </c:numRef>
          </c:xVal>
          <c:yVal>
            <c:numRef>
              <c:f>'Planilla de datos'!$I$37:$I$37</c:f>
              <c:numCache>
                <c:formatCode>0.00%</c:formatCode>
                <c:ptCount val="1"/>
                <c:pt idx="0">
                  <c:v>0.42848294779024987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1-4C35-8F7C-90276D5039A0}"/>
            </c:ext>
          </c:extLst>
        </c:ser>
        <c:ser>
          <c:idx val="4"/>
          <c:order val="3"/>
          <c:tx>
            <c:v>Ledes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1.2551422535733258E-2"/>
                  <c:y val="2.137139444862993E-2"/>
                </c:manualLayout>
              </c:layout>
              <c:tx>
                <c:rich>
                  <a:bodyPr/>
                  <a:lstStyle/>
                  <a:p>
                    <a:fld id="{5FCCB3F4-424B-4259-ADC8-C753962F4B3D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9D4-4189-9D42-B8BA06BBB3C0}"/>
                </c:ext>
              </c:extLst>
            </c:dLbl>
            <c:dLbl>
              <c:idx val="1"/>
              <c:layout>
                <c:manualLayout>
                  <c:x val="-3.9746171363155315E-2"/>
                  <c:y val="2.4424450798434336E-2"/>
                </c:manualLayout>
              </c:layout>
              <c:tx>
                <c:rich>
                  <a:bodyPr/>
                  <a:lstStyle/>
                  <a:p>
                    <a:fld id="{672FE068-0094-4E6C-8269-349961BCF92D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9D4-4189-9D42-B8BA06BBB3C0}"/>
                </c:ext>
              </c:extLst>
            </c:dLbl>
            <c:dLbl>
              <c:idx val="2"/>
              <c:layout>
                <c:manualLayout>
                  <c:x val="-7.1124727702488455E-2"/>
                  <c:y val="2.4424450798434222E-2"/>
                </c:manualLayout>
              </c:layout>
              <c:tx>
                <c:rich>
                  <a:bodyPr/>
                  <a:lstStyle/>
                  <a:p>
                    <a:fld id="{F23CDF1B-E372-48D4-858A-7842539956F2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9D4-4189-9D42-B8BA06BBB3C0}"/>
                </c:ext>
              </c:extLst>
            </c:dLbl>
            <c:dLbl>
              <c:idx val="3"/>
              <c:layout>
                <c:manualLayout>
                  <c:x val="-2.0919037559555428E-2"/>
                  <c:y val="2.4424450798434222E-2"/>
                </c:manualLayout>
              </c:layout>
              <c:tx>
                <c:rich>
                  <a:bodyPr/>
                  <a:lstStyle/>
                  <a:p>
                    <a:fld id="{53B7FC77-7DC3-4AE8-A134-34C0749B5D04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9D4-4189-9D42-B8BA06BBB3C0}"/>
                </c:ext>
              </c:extLst>
            </c:dLbl>
            <c:dLbl>
              <c:idx val="4"/>
              <c:layout>
                <c:manualLayout>
                  <c:x val="-2.5102845071466515E-2"/>
                  <c:y val="2.7477507148238513E-2"/>
                </c:manualLayout>
              </c:layout>
              <c:tx>
                <c:rich>
                  <a:bodyPr/>
                  <a:lstStyle/>
                  <a:p>
                    <a:fld id="{6F68B46F-05F1-4D23-9D3F-4C236E256993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A5C-4FCA-85F6-6DC924883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'Planilla de datos'!$J$43:$J$47</c:f>
              <c:numCache>
                <c:formatCode>0.00</c:formatCode>
                <c:ptCount val="5"/>
                <c:pt idx="0">
                  <c:v>7.6712328767123292E-2</c:v>
                </c:pt>
                <c:pt idx="1">
                  <c:v>0.15342465753424658</c:v>
                </c:pt>
                <c:pt idx="2">
                  <c:v>0.23561643835616439</c:v>
                </c:pt>
                <c:pt idx="3">
                  <c:v>0.31506849315068491</c:v>
                </c:pt>
                <c:pt idx="4">
                  <c:v>0.40273972602739727</c:v>
                </c:pt>
              </c:numCache>
            </c:numRef>
          </c:xVal>
          <c:yVal>
            <c:numRef>
              <c:f>'Planilla de datos'!$I$43:$I$47</c:f>
              <c:numCache>
                <c:formatCode>0.00%</c:formatCode>
                <c:ptCount val="5"/>
                <c:pt idx="0">
                  <c:v>0.40975021424225888</c:v>
                </c:pt>
                <c:pt idx="1">
                  <c:v>0.42119380942115936</c:v>
                </c:pt>
                <c:pt idx="2">
                  <c:v>0.42131296111167482</c:v>
                </c:pt>
                <c:pt idx="3">
                  <c:v>0.41951389677118356</c:v>
                </c:pt>
                <c:pt idx="4">
                  <c:v>0.44380887939433156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datos'!$B$43:$B$47</c15:f>
                <c15:dlblRangeCache>
                  <c:ptCount val="5"/>
                  <c:pt idx="0">
                    <c:v>S30L1</c:v>
                  </c:pt>
                  <c:pt idx="1">
                    <c:v>S31G1</c:v>
                  </c:pt>
                  <c:pt idx="2">
                    <c:v>S30S1</c:v>
                  </c:pt>
                  <c:pt idx="3">
                    <c:v>S29O1</c:v>
                  </c:pt>
                  <c:pt idx="4">
                    <c:v>S30N1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9D4-4189-9D42-B8BA06BBB3C0}"/>
            </c:ext>
          </c:extLst>
        </c:ser>
        <c:ser>
          <c:idx val="3"/>
          <c:order val="5"/>
          <c:tx>
            <c:v>Boli</c:v>
          </c:tx>
          <c:spPr>
            <a:ln w="28575">
              <a:noFill/>
            </a:ln>
          </c:spPr>
          <c:marker>
            <c:symbol val="diamond"/>
            <c:size val="6"/>
          </c:marker>
          <c:dLbls>
            <c:dLbl>
              <c:idx val="0"/>
              <c:layout>
                <c:manualLayout>
                  <c:x val="-5.6481401410799659E-2"/>
                  <c:y val="2.411145242304495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T2V1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B6-49DB-B355-B6285713C47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'Planilla de datos'!$Z$45</c:f>
              <c:numCache>
                <c:formatCode>_(* #,##0.00_);_(* \(#,##0.00\);_(* "-"??_);_(@_)</c:formatCode>
                <c:ptCount val="1"/>
                <c:pt idx="0">
                  <c:v>0.47945205479452052</c:v>
                </c:pt>
              </c:numCache>
            </c:numRef>
          </c:xVal>
          <c:yVal>
            <c:numRef>
              <c:f>'Planilla de datos'!$Y$45</c:f>
              <c:numCache>
                <c:formatCode>0.00%</c:formatCode>
                <c:ptCount val="1"/>
                <c:pt idx="0">
                  <c:v>0.53985725585937505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B6-49DB-B355-B6285713C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24256"/>
        <c:axId val="1417108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Provinciales</c:v>
                </c:tx>
                <c:spPr>
                  <a:ln w="28575">
                    <a:noFill/>
                  </a:ln>
                </c:spPr>
                <c:marker>
                  <c:symbol val="diamond"/>
                  <c:size val="6"/>
                  <c:spPr>
                    <a:solidFill>
                      <a:schemeClr val="accent4"/>
                    </a:solidFill>
                    <a:ln>
                      <a:solidFill>
                        <a:schemeClr val="accent4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'Planilla de datos'!$G$26:$G$27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0.43055475079959543</c:v>
                      </c:pt>
                      <c:pt idx="1">
                        <c:v>0.67994127522254422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'Planilla de datos'!$H$26:$H$27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0.46635158691406264</c:v>
                      </c:pt>
                      <c:pt idx="1">
                        <c:v>0.52693625976562508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F75E-4D10-AAB3-079A5B52E23B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Lepase</c:v>
                </c:tx>
                <c:spPr>
                  <a:ln w="28575">
                    <a:noFill/>
                  </a:ln>
                </c:spPr>
                <c:marker>
                  <c:symbol val="circle"/>
                  <c:size val="6"/>
                  <c:spPr>
                    <a:solidFill>
                      <a:srgbClr val="0B991C"/>
                    </a:solidFill>
                    <a:ln>
                      <a:solidFill>
                        <a:srgbClr val="0B991C"/>
                      </a:solidFill>
                    </a:ln>
                  </c:spPr>
                </c:marker>
                <c:dLbls>
                  <c:dLbl>
                    <c:idx val="0"/>
                    <c:layout>
                      <c:manualLayout>
                        <c:x val="-4.1838082010547228E-2"/>
                        <c:y val="-3.2032811461029299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 sz="800">
                              <a:latin typeface="Arial" panose="020B0604020202020204" pitchFamily="34" charset="0"/>
                              <a:cs typeface="Arial" panose="020B0604020202020204" pitchFamily="34" charset="0"/>
                            </a:rPr>
                            <a:t>SJ301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59D4-4189-9D42-B8BA06BBB3C0}"/>
                      </c:ext>
                    </c:extLst>
                  </c:dLbl>
                  <c:dLbl>
                    <c:idx val="1"/>
                    <c:layout>
                      <c:manualLayout>
                        <c:x val="-2.2996450022269719E-2"/>
                        <c:y val="2.2406789228047924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 sz="800">
                              <a:latin typeface="Arial" panose="020B0604020202020204" pitchFamily="34" charset="0"/>
                              <a:cs typeface="Arial" panose="020B0604020202020204" pitchFamily="34" charset="0"/>
                            </a:rPr>
                            <a:t>SJ301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59D4-4189-9D42-B8BA06BBB3C0}"/>
                      </c:ext>
                    </c:extLst>
                  </c:dLbl>
                  <c:dLbl>
                    <c:idx val="2"/>
                    <c:layout>
                      <c:manualLayout>
                        <c:x val="-4.602189021160194E-2"/>
                        <c:y val="-2.6368310140522384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 sz="800">
                              <a:latin typeface="Arial" panose="020B0604020202020204" pitchFamily="34" charset="0"/>
                              <a:cs typeface="Arial" panose="020B0604020202020204" pitchFamily="34" charset="0"/>
                            </a:rPr>
                            <a:t>SL301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59D4-4189-9D42-B8BA06BBB3C0}"/>
                      </c:ext>
                    </c:extLst>
                  </c:dLbl>
                  <c:dLbl>
                    <c:idx val="3"/>
                    <c:layout>
                      <c:manualLayout>
                        <c:x val="-1.2566002045124513E-2"/>
                        <c:y val="-4.3757269038691678E-3"/>
                      </c:manualLayout>
                    </c:layout>
                    <c:tx>
                      <c:rich>
                        <a:bodyPr wrap="square" lIns="38100" tIns="19050" rIns="38100" bIns="19050" anchor="ctr">
                          <a:noAutofit/>
                        </a:bodyPr>
                        <a:lstStyle/>
                        <a:p>
                          <a:pPr>
                            <a:defRPr/>
                          </a:pPr>
                          <a:r>
                            <a:rPr lang="en-US" sz="800">
                              <a:latin typeface="Arial" panose="020B0604020202020204" pitchFamily="34" charset="0"/>
                              <a:cs typeface="Arial" panose="020B0604020202020204" pitchFamily="34" charset="0"/>
                            </a:rPr>
                            <a:t>SG301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layout>
                          <c:manualLayout>
                            <c:w val="6.8844563948355322E-2"/>
                            <c:h val="4.6279311425661405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1-2A5C-4FCA-85F6-6DC924883048}"/>
                      </c:ext>
                    </c:extLst>
                  </c:dLbl>
                  <c:dLbl>
                    <c:idx val="4"/>
                    <c:layout>
                      <c:manualLayout>
                        <c:x val="-1.0459520502636941E-2"/>
                        <c:y val="9.1002715056567526E-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 sz="800">
                              <a:latin typeface="Arial" panose="020B0604020202020204" pitchFamily="34" charset="0"/>
                              <a:cs typeface="Arial" panose="020B0604020202020204" pitchFamily="34" charset="0"/>
                            </a:rPr>
                            <a:t>SS301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E5B9-4959-8102-D83354ACD2C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'Planilla de datos'!$J$49:$J$52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-1.643835616438356E-2</c:v>
                      </c:pt>
                      <c:pt idx="1">
                        <c:v>6.575342465753424E-2</c:v>
                      </c:pt>
                      <c:pt idx="2">
                        <c:v>0.15342465753424658</c:v>
                      </c:pt>
                      <c:pt idx="3">
                        <c:v>0.23561643835616439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'Planilla de datos'!$I$49:$I$52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-7.7299265679789952E-2</c:v>
                      </c:pt>
                      <c:pt idx="1">
                        <c:v>0.66131727224953885</c:v>
                      </c:pt>
                      <c:pt idx="2">
                        <c:v>0.55705442167041097</c:v>
                      </c:pt>
                      <c:pt idx="3">
                        <c:v>0.5078183295487475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D4-4189-9D42-B8BA06BBB3C0}"/>
                  </c:ext>
                </c:extLst>
              </c15:ser>
            </c15:filteredScatterSeries>
          </c:ext>
        </c:extLst>
      </c:scatterChart>
      <c:valAx>
        <c:axId val="137424256"/>
        <c:scaling>
          <c:orientation val="minMax"/>
          <c:max val="0.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50958923740225082"/>
              <c:y val="0.850022332986999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710848"/>
        <c:crosses val="autoZero"/>
        <c:crossBetween val="midCat"/>
        <c:majorUnit val="0.1"/>
      </c:valAx>
      <c:valAx>
        <c:axId val="141710848"/>
        <c:scaling>
          <c:orientation val="minMax"/>
          <c:max val="0.46"/>
          <c:min val="0.4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TEA</a:t>
                </a:r>
              </a:p>
            </c:rich>
          </c:tx>
          <c:layout>
            <c:manualLayout>
              <c:xMode val="edge"/>
              <c:yMode val="edge"/>
              <c:x val="3.9759836887341873E-2"/>
              <c:y val="0.4553312175028698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37424256"/>
        <c:crossesAt val="0"/>
        <c:crossBetween val="midCat"/>
        <c:majorUnit val="1.0000000000000002E-2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12706964639414267"/>
          <c:y val="0.89285022282503401"/>
          <c:w val="0.39882095692243064"/>
          <c:h val="4.756108877278193E-2"/>
        </c:manualLayout>
      </c:layout>
      <c:overlay val="0"/>
      <c:spPr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sz="800">
              <a:latin typeface="Arial Nova Light" panose="020B03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Parte corta y media de la curva de bonos ajustables por CER</a:t>
            </a:r>
            <a:endParaRPr lang="es-AR" sz="1200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2958046750837138"/>
          <c:y val="6.421902382205062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526612191949596E-2"/>
          <c:y val="0.1882917738729411"/>
          <c:w val="0.84915975723174175"/>
          <c:h val="0.68143234014181076"/>
        </c:manualLayout>
      </c:layout>
      <c:scatterChart>
        <c:scatterStyle val="lineMarker"/>
        <c:varyColors val="0"/>
        <c:ser>
          <c:idx val="0"/>
          <c:order val="0"/>
          <c:tx>
            <c:v>09.04.2021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dPt>
            <c:idx val="7"/>
            <c:marker>
              <c:spPr>
                <a:solidFill>
                  <a:schemeClr val="tx2">
                    <a:lumMod val="50000"/>
                  </a:schemeClr>
                </a:solidFill>
                <a:ln>
                  <a:solidFill>
                    <a:schemeClr val="accent1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596-4C9E-9ED5-7ABC55A92E3F}"/>
              </c:ext>
            </c:extLst>
          </c:dPt>
          <c:dLbls>
            <c:dLbl>
              <c:idx val="0"/>
              <c:layout>
                <c:manualLayout>
                  <c:x val="-3.8444068868036842E-2"/>
                  <c:y val="2.99448981608423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96-4C9E-9ED5-7ABC55A92E3F}"/>
                </c:ext>
              </c:extLst>
            </c:dLbl>
            <c:dLbl>
              <c:idx val="1"/>
              <c:layout>
                <c:manualLayout>
                  <c:x val="-5.3158105376938609E-2"/>
                  <c:y val="-3.10110972862769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96-4C9E-9ED5-7ABC55A92E3F}"/>
                </c:ext>
              </c:extLst>
            </c:dLbl>
            <c:dLbl>
              <c:idx val="2"/>
              <c:layout>
                <c:manualLayout>
                  <c:x val="-5.256715979915217E-2"/>
                  <c:y val="2.95695246238413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96-4C9E-9ED5-7ABC55A92E3F}"/>
                </c:ext>
              </c:extLst>
            </c:dLbl>
            <c:dLbl>
              <c:idx val="3"/>
              <c:layout>
                <c:manualLayout>
                  <c:x val="-9.6895966756988493E-3"/>
                  <c:y val="-8.0136344426394376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t>T2X2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827266356103385E-2"/>
                      <c:h val="5.24877643495393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596-4C9E-9ED5-7ABC55A92E3F}"/>
                </c:ext>
              </c:extLst>
            </c:dLbl>
            <c:dLbl>
              <c:idx val="4"/>
              <c:layout>
                <c:manualLayout>
                  <c:x val="-4.5856921049074781E-2"/>
                  <c:y val="3.02348213962776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96-4C9E-9ED5-7ABC55A92E3F}"/>
                </c:ext>
              </c:extLst>
            </c:dLbl>
            <c:dLbl>
              <c:idx val="5"/>
              <c:layout>
                <c:manualLayout>
                  <c:x val="-7.8980901992263194E-3"/>
                  <c:y val="-4.007336994540746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t>TX23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345384837366534E-2"/>
                      <c:h val="4.8702915900483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596-4C9E-9ED5-7ABC55A92E3F}"/>
                </c:ext>
              </c:extLst>
            </c:dLbl>
            <c:dLbl>
              <c:idx val="6"/>
              <c:layout>
                <c:manualLayout>
                  <c:x val="-1.1712678087874793E-2"/>
                  <c:y val="-2.313488849130946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/>
                      <a:t>T2X3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771983345013816E-2"/>
                      <c:h val="5.9143658592726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596-4C9E-9ED5-7ABC55A92E3F}"/>
                </c:ext>
              </c:extLst>
            </c:dLbl>
            <c:dLbl>
              <c:idx val="7"/>
              <c:layout>
                <c:manualLayout>
                  <c:x val="-1.0263450235142347E-2"/>
                  <c:y val="1.9428389359441864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TX24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96-4C9E-9ED5-7ABC55A92E3F}"/>
                </c:ext>
              </c:extLst>
            </c:dLbl>
            <c:dLbl>
              <c:idx val="8"/>
              <c:layout>
                <c:manualLayout>
                  <c:x val="-5.3742837119182089E-3"/>
                  <c:y val="-9.18181532716698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96-4C9E-9ED5-7ABC55A92E3F}"/>
                </c:ext>
              </c:extLst>
            </c:dLbl>
            <c:dLbl>
              <c:idx val="9"/>
              <c:layout>
                <c:manualLayout>
                  <c:x val="-2.4653485895366627E-2"/>
                  <c:y val="2.55347988124746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96-4C9E-9ED5-7ABC55A92E3F}"/>
                </c:ext>
              </c:extLst>
            </c:dLbl>
            <c:dLbl>
              <c:idx val="10"/>
              <c:layout>
                <c:manualLayout>
                  <c:x val="-9.1838144198992232E-3"/>
                  <c:y val="-1.58167781766547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96-4C9E-9ED5-7ABC55A92E3F}"/>
                </c:ext>
              </c:extLst>
            </c:dLbl>
            <c:dLbl>
              <c:idx val="11"/>
              <c:layout>
                <c:manualLayout>
                  <c:x val="-9.8373651716435039E-3"/>
                  <c:y val="2.79332692585005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DICP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96-4C9E-9ED5-7ABC55A92E3F}"/>
                </c:ext>
              </c:extLst>
            </c:dLbl>
            <c:dLbl>
              <c:idx val="12"/>
              <c:layout>
                <c:manualLayout>
                  <c:x val="-4.6478661914875874E-2"/>
                  <c:y val="2.82028336200824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PARP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96-4C9E-9ED5-7ABC55A92E3F}"/>
                </c:ext>
              </c:extLst>
            </c:dLbl>
            <c:dLbl>
              <c:idx val="13"/>
              <c:layout>
                <c:manualLayout>
                  <c:x val="-1.3620188706471706E-2"/>
                  <c:y val="-1.8099834878706073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96-4C9E-9ED5-7ABC55A92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2700">
                <a:solidFill>
                  <a:schemeClr val="tx2">
                    <a:lumMod val="5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'Planilla de datos'!$F$69:$F$76</c:f>
              <c:numCache>
                <c:formatCode>0.00</c:formatCode>
                <c:ptCount val="8"/>
                <c:pt idx="0">
                  <c:v>4.4444444444444391E-2</c:v>
                </c:pt>
                <c:pt idx="1">
                  <c:v>8.0555555555555602E-2</c:v>
                </c:pt>
                <c:pt idx="2">
                  <c:v>0.69703557312252973</c:v>
                </c:pt>
                <c:pt idx="3" formatCode="#,##0.00">
                  <c:v>1.195992044030298</c:v>
                </c:pt>
                <c:pt idx="4">
                  <c:v>1.6111111111111112</c:v>
                </c:pt>
                <c:pt idx="5">
                  <c:v>1.6597369963736781</c:v>
                </c:pt>
                <c:pt idx="6">
                  <c:v>2.0234713292376876</c:v>
                </c:pt>
                <c:pt idx="7">
                  <c:v>2.585338099883248</c:v>
                </c:pt>
              </c:numCache>
            </c:numRef>
          </c:xVal>
          <c:yVal>
            <c:numRef>
              <c:f>'Planilla de datos'!$E$69:$E$76</c:f>
              <c:numCache>
                <c:formatCode>0.00%</c:formatCode>
                <c:ptCount val="8"/>
                <c:pt idx="0">
                  <c:v>-3.264036686051637E-2</c:v>
                </c:pt>
                <c:pt idx="1">
                  <c:v>-1.6136326139234013E-2</c:v>
                </c:pt>
                <c:pt idx="2">
                  <c:v>2.7927407226562506E-2</c:v>
                </c:pt>
                <c:pt idx="3">
                  <c:v>3.2965014648437499E-2</c:v>
                </c:pt>
                <c:pt idx="4">
                  <c:v>4.3932631611824036E-2</c:v>
                </c:pt>
                <c:pt idx="5">
                  <c:v>4.6011450195312512E-2</c:v>
                </c:pt>
                <c:pt idx="6">
                  <c:v>4.4258891601562503E-2</c:v>
                </c:pt>
                <c:pt idx="7">
                  <c:v>6.0383334960937521E-2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596-4C9E-9ED5-7ABC55A92E3F}"/>
            </c:ext>
          </c:extLst>
        </c:ser>
        <c:ser>
          <c:idx val="1"/>
          <c:order val="1"/>
          <c:tx>
            <c:v>26.02.2021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trendline>
            <c:spPr>
              <a:ln>
                <a:solidFill>
                  <a:srgbClr val="FFC000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'Planilla de datos'!$AC$91:$AC$97</c:f>
              <c:numCache>
                <c:formatCode>General</c:formatCode>
                <c:ptCount val="7"/>
                <c:pt idx="0">
                  <c:v>0.4</c:v>
                </c:pt>
                <c:pt idx="1">
                  <c:v>0.44</c:v>
                </c:pt>
                <c:pt idx="2">
                  <c:v>1.05</c:v>
                </c:pt>
                <c:pt idx="3">
                  <c:v>1.55</c:v>
                </c:pt>
                <c:pt idx="4">
                  <c:v>1.91</c:v>
                </c:pt>
                <c:pt idx="5">
                  <c:v>2.02</c:v>
                </c:pt>
                <c:pt idx="6">
                  <c:v>2.93</c:v>
                </c:pt>
              </c:numCache>
            </c:numRef>
          </c:xVal>
          <c:yVal>
            <c:numRef>
              <c:f>'Planilla de datos'!$AB$91:$AB$97</c:f>
              <c:numCache>
                <c:formatCode>0.00%</c:formatCode>
                <c:ptCount val="7"/>
                <c:pt idx="0">
                  <c:v>-4.1099999999999998E-2</c:v>
                </c:pt>
                <c:pt idx="1">
                  <c:v>-4.58E-2</c:v>
                </c:pt>
                <c:pt idx="2">
                  <c:v>1E-3</c:v>
                </c:pt>
                <c:pt idx="3">
                  <c:v>8.0999999999999996E-3</c:v>
                </c:pt>
                <c:pt idx="4">
                  <c:v>2.23E-2</c:v>
                </c:pt>
                <c:pt idx="5">
                  <c:v>4.8899999999999999E-2</c:v>
                </c:pt>
                <c:pt idx="6">
                  <c:v>3.1399999999999997E-2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596-4C9E-9ED5-7ABC55A9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8592"/>
        <c:axId val="141047296"/>
      </c:scatterChart>
      <c:valAx>
        <c:axId val="141278592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46533002228236209"/>
              <c:y val="0.9254327597597554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047296"/>
        <c:crossesAt val="-0.12000000000000001"/>
        <c:crossBetween val="midCat"/>
        <c:majorUnit val="1"/>
      </c:valAx>
      <c:valAx>
        <c:axId val="141047296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="0">
                    <a:latin typeface="Arial Nova" panose="020B05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2.434460463504113E-3"/>
              <c:y val="0.4929312994058703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278592"/>
        <c:crossesAt val="0"/>
        <c:crossBetween val="midCat"/>
        <c:majorUnit val="2.0000000000000004E-2"/>
      </c:valAx>
      <c:spPr>
        <a:ln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9.4997788555780546E-2"/>
          <c:y val="0.93018191361311375"/>
          <c:w val="0.25696420861237879"/>
          <c:h val="5.2862641918048729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Parte corta y media de la curva de bonos ajustables por CER</a:t>
            </a:r>
            <a:endParaRPr lang="es-AR" sz="1200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5041387795275588"/>
          <c:y val="6.42191236540352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526612191949596E-2"/>
          <c:y val="0.1882917738729411"/>
          <c:w val="0.89020259186351702"/>
          <c:h val="0.699236489212535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dPt>
            <c:idx val="7"/>
            <c:marker>
              <c:spPr>
                <a:solidFill>
                  <a:schemeClr val="tx2">
                    <a:lumMod val="50000"/>
                  </a:schemeClr>
                </a:solidFill>
                <a:ln>
                  <a:solidFill>
                    <a:schemeClr val="accent1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4CB-4EDA-96DF-0E85ED9EB969}"/>
              </c:ext>
            </c:extLst>
          </c:dPt>
          <c:dLbls>
            <c:dLbl>
              <c:idx val="0"/>
              <c:layout>
                <c:manualLayout>
                  <c:x val="-4.2386635196311091E-2"/>
                  <c:y val="-5.420445729427413E-2"/>
                </c:manualLayout>
              </c:layout>
              <c:tx>
                <c:rich>
                  <a:bodyPr/>
                  <a:lstStyle/>
                  <a:p>
                    <a:fld id="{A973E4BE-84BD-47E4-964B-9770DBA621E7}" type="CELLRANGE">
                      <a:rPr lang="en-US"/>
                      <a:pPr/>
                      <a:t>[CELLRANGE]</a:t>
                    </a:fld>
                    <a:r>
                      <a:rPr lang="en-US"/>
                      <a:t/>
                    </a:r>
                    <a:br>
                      <a:rPr lang="en-US"/>
                    </a:br>
                    <a:r>
                      <a:rPr lang="en-US" baseline="0"/>
                      <a:t> </a:t>
                    </a:r>
                    <a:fld id="{64EEE711-0804-42CD-8583-67F09CFE485C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CB-4EDA-96DF-0E85ED9EB969}"/>
                </c:ext>
              </c:extLst>
            </c:dLbl>
            <c:dLbl>
              <c:idx val="1"/>
              <c:layout>
                <c:manualLayout>
                  <c:x val="-3.5299318983748773E-2"/>
                  <c:y val="5.3138258168839735E-2"/>
                </c:manualLayout>
              </c:layout>
              <c:tx>
                <c:rich>
                  <a:bodyPr/>
                  <a:lstStyle/>
                  <a:p>
                    <a:fld id="{9FE73B38-761C-4DEB-B719-092CBF41007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/>
                    </a:r>
                    <a:br>
                      <a:rPr lang="en-US" baseline="0"/>
                    </a:br>
                    <a:fld id="{EEB62025-6EB3-4A7D-8987-170E6F9B3EAE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4CB-4EDA-96DF-0E85ED9EB969}"/>
                </c:ext>
              </c:extLst>
            </c:dLbl>
            <c:dLbl>
              <c:idx val="2"/>
              <c:layout>
                <c:manualLayout>
                  <c:x val="-8.94308900332655E-2"/>
                  <c:y val="-3.811582650310028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fld id="{BEE55273-2E85-472B-A17B-B19A2F9FF9C2}" type="CELLRANGE">
                      <a:rPr lang="en-US"/>
                      <a:pPr>
                        <a:defRPr sz="800">
                          <a:latin typeface="Arial Nova" panose="020B05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 </a:t>
                    </a:r>
                    <a:fld id="{6C6E036F-48BB-4C71-B50A-82A1D6D53171}" type="YVALUE">
                      <a:rPr lang="en-US" baseline="0"/>
                      <a:pPr>
                        <a:defRPr sz="800">
                          <a:latin typeface="Arial Nova" panose="020B0504020202020204" pitchFamily="34" charset="0"/>
                          <a:cs typeface="Arial" panose="020B0604020202020204" pitchFamily="34" charset="0"/>
                        </a:defRPr>
                      </a:pPr>
                      <a:t>[VALOR DE Y]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098476934843815E-2"/>
                      <c:h val="8.661910014637551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4CB-4EDA-96DF-0E85ED9EB969}"/>
                </c:ext>
              </c:extLst>
            </c:dLbl>
            <c:dLbl>
              <c:idx val="3"/>
              <c:layout>
                <c:manualLayout>
                  <c:x val="-2.7052637816035858E-2"/>
                  <c:y val="4.137837854188548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fld id="{0E7A1288-7B0D-4551-8FDF-A55DFE33C474}" type="CELLRANGE">
                      <a:rPr lang="en-US" sz="80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pPr>
                        <a:defRPr sz="800">
                          <a:latin typeface="Arial Nova" panose="020B05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sz="800" baseline="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t> </a:t>
                    </a:r>
                    <a:fld id="{4A6F5153-18DB-4317-BD08-F9A441CE4F55}" type="YVALUE">
                      <a:rPr lang="en-US" sz="800" baseline="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pPr>
                        <a:defRPr sz="800">
                          <a:latin typeface="Arial Nova" panose="020B0504020202020204" pitchFamily="34" charset="0"/>
                          <a:cs typeface="Arial" panose="020B0604020202020204" pitchFamily="34" charset="0"/>
                        </a:defRPr>
                      </a:pPr>
                      <a:t>[VALOR DE Y]</a:t>
                    </a:fld>
                    <a:endParaRPr lang="en-US" sz="800" baseline="0">
                      <a:latin typeface="Arial Nova" panose="020B05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769778576846673E-2"/>
                      <c:h val="9.273310826285596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4CB-4EDA-96DF-0E85ED9EB969}"/>
                </c:ext>
              </c:extLst>
            </c:dLbl>
            <c:dLbl>
              <c:idx val="4"/>
              <c:layout>
                <c:manualLayout>
                  <c:x val="-5.5681422953725718E-2"/>
                  <c:y val="-4.6597309467681147E-2"/>
                </c:manualLayout>
              </c:layout>
              <c:tx>
                <c:rich>
                  <a:bodyPr/>
                  <a:lstStyle/>
                  <a:p>
                    <a:fld id="{3C71C457-CCBE-46CF-8C3D-27E16C56F40E}" type="CELLRANGE">
                      <a:rPr lang="en-US"/>
                      <a:pPr/>
                      <a:t>[CELLRANGE]</a:t>
                    </a:fld>
                    <a:r>
                      <a:rPr lang="en-US"/>
                      <a:t/>
                    </a:r>
                    <a:br>
                      <a:rPr lang="en-US"/>
                    </a:br>
                    <a:r>
                      <a:rPr lang="en-US" baseline="0"/>
                      <a:t> </a:t>
                    </a:r>
                    <a:fld id="{E55B3EF1-F148-4BB1-809D-CB161BB17DA4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4CB-4EDA-96DF-0E85ED9EB969}"/>
                </c:ext>
              </c:extLst>
            </c:dLbl>
            <c:dLbl>
              <c:idx val="5"/>
              <c:layout>
                <c:manualLayout>
                  <c:x val="-4.2563428052933026E-2"/>
                  <c:y val="-5.425285541723359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fld id="{8D677465-1FA9-41CC-98E4-D5E29C237ACA}" type="CELLRANGE">
                      <a:rPr lang="en-US" sz="80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pPr>
                        <a:defRPr sz="800">
                          <a:latin typeface="Arial Nova" panose="020B05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sz="800" baseline="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t> </a:t>
                    </a:r>
                    <a:fld id="{B2ED454A-1768-4056-BD13-81310F00E222}" type="YVALUE">
                      <a:rPr lang="en-US" sz="800" baseline="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pPr>
                        <a:defRPr sz="800">
                          <a:latin typeface="Arial Nova" panose="020B0504020202020204" pitchFamily="34" charset="0"/>
                          <a:cs typeface="Arial" panose="020B0604020202020204" pitchFamily="34" charset="0"/>
                        </a:defRPr>
                      </a:pPr>
                      <a:t>[VALOR DE Y]</a:t>
                    </a:fld>
                    <a:endParaRPr lang="en-US" sz="800" baseline="0">
                      <a:latin typeface="Arial Nova" panose="020B05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929786689858047E-2"/>
                      <c:h val="8.894825981379975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4CB-4EDA-96DF-0E85ED9EB969}"/>
                </c:ext>
              </c:extLst>
            </c:dLbl>
            <c:dLbl>
              <c:idx val="6"/>
              <c:layout>
                <c:manualLayout>
                  <c:x val="-2.3129273881848812E-2"/>
                  <c:y val="4.002049430040081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fld id="{431BE3BE-22B6-4514-BF0F-1FCFB93301F9}" type="CELLRANGE">
                      <a:rPr lang="en-US"/>
                      <a:pPr>
                        <a:defRPr sz="800">
                          <a:latin typeface="Arial Nova" panose="020B05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/>
                      <a:t> </a:t>
                    </a:r>
                    <a:fld id="{8989BA14-A172-435F-9CB9-13E633490911}" type="YVALUE">
                      <a:rPr lang="en-US" baseline="0"/>
                      <a:pPr>
                        <a:defRPr sz="800">
                          <a:latin typeface="Arial Nova" panose="020B0504020202020204" pitchFamily="34" charset="0"/>
                          <a:cs typeface="Arial" panose="020B0604020202020204" pitchFamily="34" charset="0"/>
                        </a:defRPr>
                      </a:pPr>
                      <a:t>[VALOR DE Y]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582784894106589E-2"/>
                      <c:h val="9.20716672490766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4CB-4EDA-96DF-0E85ED9EB969}"/>
                </c:ext>
              </c:extLst>
            </c:dLbl>
            <c:dLbl>
              <c:idx val="7"/>
              <c:layout>
                <c:manualLayout>
                  <c:x val="-5.9859063574606144E-2"/>
                  <c:y val="-4.9317975379759647E-2"/>
                </c:manualLayout>
              </c:layout>
              <c:tx>
                <c:rich>
                  <a:bodyPr/>
                  <a:lstStyle/>
                  <a:p>
                    <a:fld id="{2D72C0D1-9B6C-4274-A1CF-430FB54FC88D}" type="CELLRANG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[CELLRANGE]</a:t>
                    </a:fld>
                    <a:r>
                      <a:rPr lang="en-US">
                        <a:solidFill>
                          <a:sysClr val="windowText" lastClr="000000"/>
                        </a:solidFill>
                      </a:rPr>
                      <a:t/>
                    </a:r>
                    <a:br>
                      <a:rPr lang="en-US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83A1E7D5-435D-4E07-AB54-0268D68CADB8}" type="Y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[VALOR DE Y]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4CB-4EDA-96DF-0E85ED9EB969}"/>
                </c:ext>
              </c:extLst>
            </c:dLbl>
            <c:dLbl>
              <c:idx val="8"/>
              <c:layout>
                <c:manualLayout>
                  <c:x val="-1.2716463876407331E-2"/>
                  <c:y val="-3.50393767704566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TX28</a:t>
                    </a:r>
                    <a:br>
                      <a:rPr lang="en-US"/>
                    </a:br>
                    <a:fld id="{BA6DF351-8691-4EB8-BFE1-A29CABACB2B6}" type="YVALUE">
                      <a:rPr lang="en-US"/>
                      <a:pPr/>
                      <a:t>[VALOR DE Y]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4CB-4EDA-96DF-0E85ED9EB969}"/>
                </c:ext>
              </c:extLst>
            </c:dLbl>
            <c:dLbl>
              <c:idx val="9"/>
              <c:layout>
                <c:manualLayout>
                  <c:x val="-3.3380279418611825E-2"/>
                  <c:y val="5.11455806896098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DICP</a:t>
                    </a:r>
                    <a:br>
                      <a:rPr lang="en-US"/>
                    </a:br>
                    <a:fld id="{CF728FE6-1E76-46DC-9044-8D54017FAE54}" type="YVALUE">
                      <a:rPr lang="en-US"/>
                      <a:pPr/>
                      <a:t>[VALOR DE Y]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4CB-4EDA-96DF-0E85ED9EB969}"/>
                </c:ext>
              </c:extLst>
            </c:dLbl>
            <c:dLbl>
              <c:idx val="10"/>
              <c:layout>
                <c:manualLayout>
                  <c:x val="-9.1838144198992232E-3"/>
                  <c:y val="-1.5816778176654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CB-4EDA-96DF-0E85ED9EB969}"/>
                </c:ext>
              </c:extLst>
            </c:dLbl>
            <c:dLbl>
              <c:idx val="11"/>
              <c:layout>
                <c:manualLayout>
                  <c:x val="-9.8373651716435039E-3"/>
                  <c:y val="2.79332692585005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CB-4EDA-96DF-0E85ED9EB969}"/>
                </c:ext>
              </c:extLst>
            </c:dLbl>
            <c:dLbl>
              <c:idx val="12"/>
              <c:layout>
                <c:manualLayout>
                  <c:x val="-4.6478661914875874E-2"/>
                  <c:y val="2.8202833620082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CB-4EDA-96DF-0E85ED9EB969}"/>
                </c:ext>
              </c:extLst>
            </c:dLbl>
            <c:dLbl>
              <c:idx val="13"/>
              <c:layout>
                <c:manualLayout>
                  <c:x val="-1.3620188706471706E-2"/>
                  <c:y val="-1.809983487870607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CB-4EDA-96DF-0E85ED9EB9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trendline>
            <c:spPr>
              <a:ln w="12700">
                <a:solidFill>
                  <a:schemeClr val="tx2">
                    <a:lumMod val="5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'Planilla de datos'!$F$71:$F$80</c:f>
              <c:numCache>
                <c:formatCode>#,##0.00</c:formatCode>
                <c:ptCount val="10"/>
                <c:pt idx="0" formatCode="0.00">
                  <c:v>0.69703557312252973</c:v>
                </c:pt>
                <c:pt idx="1">
                  <c:v>1.195992044030298</c:v>
                </c:pt>
                <c:pt idx="2" formatCode="0.00">
                  <c:v>1.6111111111111112</c:v>
                </c:pt>
                <c:pt idx="3" formatCode="0.00">
                  <c:v>1.6597369963736781</c:v>
                </c:pt>
                <c:pt idx="4" formatCode="0.00">
                  <c:v>2.0234713292376876</c:v>
                </c:pt>
                <c:pt idx="5" formatCode="0.00">
                  <c:v>2.585338099883248</c:v>
                </c:pt>
                <c:pt idx="6" formatCode="0.00">
                  <c:v>3.4459135389716677</c:v>
                </c:pt>
                <c:pt idx="7" formatCode="0.00">
                  <c:v>3.8327476213809417</c:v>
                </c:pt>
                <c:pt idx="8" formatCode="0.00">
                  <c:v>4.2912524812415604</c:v>
                </c:pt>
                <c:pt idx="9" formatCode="0.00">
                  <c:v>5.62</c:v>
                </c:pt>
              </c:numCache>
            </c:numRef>
          </c:xVal>
          <c:yVal>
            <c:numRef>
              <c:f>'Planilla de datos'!$E$71:$E$80</c:f>
              <c:numCache>
                <c:formatCode>0.00%</c:formatCode>
                <c:ptCount val="10"/>
                <c:pt idx="0">
                  <c:v>2.7927407226562506E-2</c:v>
                </c:pt>
                <c:pt idx="1">
                  <c:v>3.2965014648437499E-2</c:v>
                </c:pt>
                <c:pt idx="2">
                  <c:v>4.3932631611824036E-2</c:v>
                </c:pt>
                <c:pt idx="3">
                  <c:v>4.6011450195312512E-2</c:v>
                </c:pt>
                <c:pt idx="4">
                  <c:v>4.4258891601562503E-2</c:v>
                </c:pt>
                <c:pt idx="5">
                  <c:v>6.0383334960937521E-2</c:v>
                </c:pt>
                <c:pt idx="6">
                  <c:v>5.273611843585968E-2</c:v>
                </c:pt>
                <c:pt idx="7">
                  <c:v>7.34679638671875E-2</c:v>
                </c:pt>
                <c:pt idx="8">
                  <c:v>8.3005133271217363E-2</c:v>
                </c:pt>
                <c:pt idx="9">
                  <c:v>9.0999999999999998E-2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datos'!$B$71:$B$78</c15:f>
                <c15:dlblRangeCache>
                  <c:ptCount val="8"/>
                  <c:pt idx="0">
                    <c:v>TX22</c:v>
                  </c:pt>
                  <c:pt idx="1">
                    <c:v>T2X2</c:v>
                  </c:pt>
                  <c:pt idx="2">
                    <c:v>TC23</c:v>
                  </c:pt>
                  <c:pt idx="3">
                    <c:v>TX23</c:v>
                  </c:pt>
                  <c:pt idx="4">
                    <c:v>T2X3</c:v>
                  </c:pt>
                  <c:pt idx="5">
                    <c:v>TX24</c:v>
                  </c:pt>
                  <c:pt idx="6">
                    <c:v>TC25P</c:v>
                  </c:pt>
                  <c:pt idx="7">
                    <c:v>TX26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4CB-4EDA-96DF-0E85ED9EB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8592"/>
        <c:axId val="141047296"/>
      </c:scatterChart>
      <c:valAx>
        <c:axId val="141278592"/>
        <c:scaling>
          <c:orientation val="minMax"/>
          <c:max val="6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46533002228236209"/>
              <c:y val="0.9254327597597554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047296"/>
        <c:crossesAt val="-0.12000000000000001"/>
        <c:crossBetween val="midCat"/>
      </c:valAx>
      <c:valAx>
        <c:axId val="141047296"/>
        <c:scaling>
          <c:orientation val="minMax"/>
          <c:max val="0.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="0">
                    <a:latin typeface="Arial Nova" panose="020B05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1.2979257764472304E-2"/>
              <c:y val="0.492931425333363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278592"/>
        <c:crossesAt val="0"/>
        <c:crossBetween val="midCat"/>
        <c:majorUnit val="1.0000000000000002E-2"/>
      </c:valAx>
      <c:spPr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22</xdr:row>
      <xdr:rowOff>0</xdr:rowOff>
    </xdr:from>
    <xdr:to>
      <xdr:col>30</xdr:col>
      <xdr:colOff>218095</xdr:colOff>
      <xdr:row>56</xdr:row>
      <xdr:rowOff>132524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37B630-DF5E-4F42-AE1A-EA932802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95500" y="4201583"/>
          <a:ext cx="7838095" cy="6609524"/>
        </a:xfrm>
        <a:prstGeom prst="rect">
          <a:avLst/>
        </a:prstGeom>
      </xdr:spPr>
    </xdr:pic>
    <xdr:clientData/>
  </xdr:twoCellAnchor>
  <xdr:twoCellAnchor editAs="oneCell">
    <xdr:from>
      <xdr:col>19</xdr:col>
      <xdr:colOff>730250</xdr:colOff>
      <xdr:row>56</xdr:row>
      <xdr:rowOff>127000</xdr:rowOff>
    </xdr:from>
    <xdr:to>
      <xdr:col>29</xdr:col>
      <xdr:colOff>472155</xdr:colOff>
      <xdr:row>97</xdr:row>
      <xdr:rowOff>30786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D1AA355-74F5-4412-8D90-88E00EF38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63750" y="10805583"/>
          <a:ext cx="7361905" cy="7714286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0.06407</cdr:x>
      <cdr:y>0.12368</cdr:y>
    </cdr:from>
    <cdr:to>
      <cdr:x>0.92781</cdr:x>
      <cdr:y>0.17274</cdr:y>
    </cdr:to>
    <cdr:sp macro="" textlink="">
      <cdr:nvSpPr>
        <cdr:cNvPr id="5" name="3 CuadroTexto">
          <a:extLst xmlns:a="http://schemas.openxmlformats.org/drawingml/2006/main">
            <a:ext uri="{FF2B5EF4-FFF2-40B4-BE49-F238E27FC236}">
              <a16:creationId xmlns:a16="http://schemas.microsoft.com/office/drawing/2014/main" id="{0D5B2553-0243-4B47-9FEA-F8D31A594503}"/>
            </a:ext>
          </a:extLst>
        </cdr:cNvPr>
        <cdr:cNvSpPr txBox="1"/>
      </cdr:nvSpPr>
      <cdr:spPr>
        <a:xfrm xmlns:a="http://schemas.openxmlformats.org/drawingml/2006/main">
          <a:off x="298708" y="358510"/>
          <a:ext cx="4026965" cy="1422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Comparativo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 entre el cierre de febrero y las tasas actuales</a:t>
          </a:r>
          <a:endParaRPr lang="es-AR" sz="900" i="1">
            <a:latin typeface="Arial Nova Light" panose="020B03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0.00961</cdr:x>
      <cdr:y>0.01786</cdr:y>
    </cdr:from>
    <cdr:to>
      <cdr:x>0.18861</cdr:x>
      <cdr:y>0.07993</cdr:y>
    </cdr:to>
    <cdr:sp macro="" textlink="">
      <cdr:nvSpPr>
        <cdr:cNvPr id="3" name="CuadroTexto 5">
          <a:extLst xmlns:a="http://schemas.openxmlformats.org/drawingml/2006/main">
            <a:ext uri="{FF2B5EF4-FFF2-40B4-BE49-F238E27FC236}">
              <a16:creationId xmlns:a16="http://schemas.microsoft.com/office/drawing/2014/main" id="{6848E1CF-003C-4F43-9350-BBD4634F7F21}"/>
            </a:ext>
          </a:extLst>
        </cdr:cNvPr>
        <cdr:cNvSpPr txBox="1"/>
      </cdr:nvSpPr>
      <cdr:spPr>
        <a:xfrm xmlns:a="http://schemas.openxmlformats.org/drawingml/2006/main">
          <a:off x="44823" y="52029"/>
          <a:ext cx="834917" cy="1808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50">
              <a:solidFill>
                <a:sysClr val="windowText" lastClr="000000"/>
              </a:solidFill>
              <a:latin typeface="Bahnschrift SemiBold" panose="020B0502040204020203" pitchFamily="34" charset="0"/>
            </a:rPr>
            <a:t>Cuadro III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0.06407</cdr:x>
      <cdr:y>0.12368</cdr:y>
    </cdr:from>
    <cdr:to>
      <cdr:x>0.97222</cdr:x>
      <cdr:y>0.16769</cdr:y>
    </cdr:to>
    <cdr:sp macro="" textlink="">
      <cdr:nvSpPr>
        <cdr:cNvPr id="5" name="3 CuadroTexto">
          <a:extLst xmlns:a="http://schemas.openxmlformats.org/drawingml/2006/main">
            <a:ext uri="{FF2B5EF4-FFF2-40B4-BE49-F238E27FC236}">
              <a16:creationId xmlns:a16="http://schemas.microsoft.com/office/drawing/2014/main" id="{0D5B2553-0243-4B47-9FEA-F8D31A594503}"/>
            </a:ext>
          </a:extLst>
        </cdr:cNvPr>
        <cdr:cNvSpPr txBox="1"/>
      </cdr:nvSpPr>
      <cdr:spPr>
        <a:xfrm xmlns:a="http://schemas.openxmlformats.org/drawingml/2006/main">
          <a:off x="390571" y="429319"/>
          <a:ext cx="5536095" cy="15276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Curva 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e</a:t>
          </a:r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laborada con precios BYMA T+2 </a:t>
          </a:r>
        </a:p>
      </cdr:txBody>
    </cdr:sp>
  </cdr:relSizeAnchor>
  <cdr:relSizeAnchor xmlns:cdr="http://schemas.openxmlformats.org/drawingml/2006/chartDrawing">
    <cdr:from>
      <cdr:x>0.00961</cdr:x>
      <cdr:y>0.01786</cdr:y>
    </cdr:from>
    <cdr:to>
      <cdr:x>0.18861</cdr:x>
      <cdr:y>0.07993</cdr:y>
    </cdr:to>
    <cdr:sp macro="" textlink="">
      <cdr:nvSpPr>
        <cdr:cNvPr id="3" name="CuadroTexto 5">
          <a:extLst xmlns:a="http://schemas.openxmlformats.org/drawingml/2006/main">
            <a:ext uri="{FF2B5EF4-FFF2-40B4-BE49-F238E27FC236}">
              <a16:creationId xmlns:a16="http://schemas.microsoft.com/office/drawing/2014/main" id="{6848E1CF-003C-4F43-9350-BBD4634F7F21}"/>
            </a:ext>
          </a:extLst>
        </cdr:cNvPr>
        <cdr:cNvSpPr txBox="1"/>
      </cdr:nvSpPr>
      <cdr:spPr>
        <a:xfrm xmlns:a="http://schemas.openxmlformats.org/drawingml/2006/main">
          <a:off x="44823" y="52029"/>
          <a:ext cx="834917" cy="1808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50">
              <a:solidFill>
                <a:schemeClr val="bg1"/>
              </a:solidFill>
              <a:latin typeface="Bahnschrift SemiBold" panose="020B0502040204020203" pitchFamily="34" charset="0"/>
            </a:rPr>
            <a:t>Cuadro IX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0.12319</cdr:x>
      <cdr:y>0.12281</cdr:y>
    </cdr:from>
    <cdr:to>
      <cdr:x>0.93329</cdr:x>
      <cdr:y>0.17736</cdr:y>
    </cdr:to>
    <cdr:sp macro="" textlink="">
      <cdr:nvSpPr>
        <cdr:cNvPr id="2" name="3 CuadroTexto">
          <a:extLst xmlns:a="http://schemas.openxmlformats.org/drawingml/2006/main">
            <a:ext uri="{FF2B5EF4-FFF2-40B4-BE49-F238E27FC236}">
              <a16:creationId xmlns:a16="http://schemas.microsoft.com/office/drawing/2014/main" id="{FB43759E-6862-4565-9858-D0A985EA2DEE}"/>
            </a:ext>
          </a:extLst>
        </cdr:cNvPr>
        <cdr:cNvSpPr txBox="1"/>
      </cdr:nvSpPr>
      <cdr:spPr>
        <a:xfrm xmlns:a="http://schemas.openxmlformats.org/drawingml/2006/main">
          <a:off x="652358" y="435612"/>
          <a:ext cx="4290043" cy="1935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Comparativo de tasas entre los instrumentos CER con Vto. 2022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0.08852</cdr:x>
      <cdr:y>0.11978</cdr:y>
    </cdr:from>
    <cdr:to>
      <cdr:x>0.93329</cdr:x>
      <cdr:y>0.17736</cdr:y>
    </cdr:to>
    <cdr:sp macro="" textlink="">
      <cdr:nvSpPr>
        <cdr:cNvPr id="2" name="3 CuadroTexto">
          <a:extLst xmlns:a="http://schemas.openxmlformats.org/drawingml/2006/main">
            <a:ext uri="{FF2B5EF4-FFF2-40B4-BE49-F238E27FC236}">
              <a16:creationId xmlns:a16="http://schemas.microsoft.com/office/drawing/2014/main" id="{FB43759E-6862-4565-9858-D0A985EA2DEE}"/>
            </a:ext>
          </a:extLst>
        </cdr:cNvPr>
        <cdr:cNvSpPr txBox="1"/>
      </cdr:nvSpPr>
      <cdr:spPr>
        <a:xfrm xmlns:a="http://schemas.openxmlformats.org/drawingml/2006/main">
          <a:off x="539750" y="464610"/>
          <a:ext cx="5150969" cy="22333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Tasa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s calculadas con </a:t>
          </a:r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BADLAR actual 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e inflación proyectada de 3% mensual</a:t>
          </a:r>
          <a:endParaRPr lang="es-AR" sz="900" i="1">
            <a:latin typeface="Arial Nova Light" panose="020B0304020202020204" pitchFamily="34" charset="0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0.08852</cdr:x>
      <cdr:y>0.11978</cdr:y>
    </cdr:from>
    <cdr:to>
      <cdr:x>0.93329</cdr:x>
      <cdr:y>0.17736</cdr:y>
    </cdr:to>
    <cdr:sp macro="" textlink="">
      <cdr:nvSpPr>
        <cdr:cNvPr id="2" name="3 CuadroTexto">
          <a:extLst xmlns:a="http://schemas.openxmlformats.org/drawingml/2006/main">
            <a:ext uri="{FF2B5EF4-FFF2-40B4-BE49-F238E27FC236}">
              <a16:creationId xmlns:a16="http://schemas.microsoft.com/office/drawing/2014/main" id="{FB43759E-6862-4565-9858-D0A985EA2DEE}"/>
            </a:ext>
          </a:extLst>
        </cdr:cNvPr>
        <cdr:cNvSpPr txBox="1"/>
      </cdr:nvSpPr>
      <cdr:spPr>
        <a:xfrm xmlns:a="http://schemas.openxmlformats.org/drawingml/2006/main">
          <a:off x="539750" y="464610"/>
          <a:ext cx="5150969" cy="22333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Tasa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s calculadas con </a:t>
          </a:r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BADLAR actual 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e inflación proyectada de 3% mensual</a:t>
          </a:r>
          <a:endParaRPr lang="es-AR" sz="900" i="1">
            <a:latin typeface="Arial Nova Light" panose="020B0304020202020204" pitchFamily="34" charset="0"/>
            <a:cs typeface="Arial" pitchFamily="34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3</xdr:row>
      <xdr:rowOff>0</xdr:rowOff>
    </xdr:from>
    <xdr:to>
      <xdr:col>26</xdr:col>
      <xdr:colOff>437332</xdr:colOff>
      <xdr:row>36</xdr:row>
      <xdr:rowOff>146345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A353A6-C376-4211-B163-95C3395E4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32917" y="582083"/>
          <a:ext cx="6533333" cy="610476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613833</xdr:colOff>
      <xdr:row>0</xdr:row>
      <xdr:rowOff>42333</xdr:rowOff>
    </xdr:from>
    <xdr:to>
      <xdr:col>29</xdr:col>
      <xdr:colOff>662515</xdr:colOff>
      <xdr:row>24</xdr:row>
      <xdr:rowOff>33867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70750" y="42333"/>
          <a:ext cx="6144682" cy="4790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220133</xdr:colOff>
      <xdr:row>25</xdr:row>
      <xdr:rowOff>1</xdr:rowOff>
    </xdr:from>
    <xdr:to>
      <xdr:col>14</xdr:col>
      <xdr:colOff>76623</xdr:colOff>
      <xdr:row>47</xdr:row>
      <xdr:rowOff>46567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BD2801-A592-4664-BE89-F37CAE3ED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133" y="4665134"/>
          <a:ext cx="10573173" cy="414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296333</xdr:colOff>
      <xdr:row>1</xdr:row>
      <xdr:rowOff>10584</xdr:rowOff>
    </xdr:from>
    <xdr:to>
      <xdr:col>45</xdr:col>
      <xdr:colOff>192639</xdr:colOff>
      <xdr:row>26</xdr:row>
      <xdr:rowOff>187743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34166" y="201084"/>
          <a:ext cx="8278306" cy="51195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126999</xdr:colOff>
      <xdr:row>1</xdr:row>
      <xdr:rowOff>52917</xdr:rowOff>
    </xdr:from>
    <xdr:to>
      <xdr:col>44</xdr:col>
      <xdr:colOff>364332</xdr:colOff>
      <xdr:row>29</xdr:row>
      <xdr:rowOff>70203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49666" y="243417"/>
          <a:ext cx="6333333" cy="5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338667</xdr:colOff>
      <xdr:row>54</xdr:row>
      <xdr:rowOff>74083</xdr:rowOff>
    </xdr:from>
    <xdr:to>
      <xdr:col>59</xdr:col>
      <xdr:colOff>444501</xdr:colOff>
      <xdr:row>72</xdr:row>
      <xdr:rowOff>52918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14C8CF-E6F9-4549-BD74-DCFB43A57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412749</xdr:colOff>
      <xdr:row>74</xdr:row>
      <xdr:rowOff>148166</xdr:rowOff>
    </xdr:from>
    <xdr:to>
      <xdr:col>59</xdr:col>
      <xdr:colOff>518584</xdr:colOff>
      <xdr:row>92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B59160-9DDA-4C81-BBC7-2D96C4194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465667</xdr:colOff>
      <xdr:row>3</xdr:row>
      <xdr:rowOff>31750</xdr:rowOff>
    </xdr:from>
    <xdr:to>
      <xdr:col>42</xdr:col>
      <xdr:colOff>150524</xdr:colOff>
      <xdr:row>17</xdr:row>
      <xdr:rowOff>52559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5D8F37-A498-4D4B-8999-EE86D160C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47084" y="613833"/>
          <a:ext cx="6542857" cy="285714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21</xdr:col>
      <xdr:colOff>104000</xdr:colOff>
      <xdr:row>24</xdr:row>
      <xdr:rowOff>161429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858F76-0BAF-4450-866F-0FC36A3AA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01083" y="772583"/>
          <a:ext cx="6200000" cy="397142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391583</xdr:colOff>
      <xdr:row>2</xdr:row>
      <xdr:rowOff>74083</xdr:rowOff>
    </xdr:from>
    <xdr:to>
      <xdr:col>24</xdr:col>
      <xdr:colOff>540106</xdr:colOff>
      <xdr:row>17</xdr:row>
      <xdr:rowOff>154125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E74304-B346-47D9-B62E-94C4C0558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0" y="455083"/>
          <a:ext cx="5609523" cy="311745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3</xdr:row>
      <xdr:rowOff>0</xdr:rowOff>
    </xdr:from>
    <xdr:to>
      <xdr:col>34</xdr:col>
      <xdr:colOff>75429</xdr:colOff>
      <xdr:row>36</xdr:row>
      <xdr:rowOff>84929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C7117A-8BDE-437A-A6D2-6EE96229E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02917" y="571500"/>
          <a:ext cx="6171429" cy="63714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389466</xdr:colOff>
      <xdr:row>19</xdr:row>
      <xdr:rowOff>143934</xdr:rowOff>
    </xdr:from>
    <xdr:to>
      <xdr:col>9</xdr:col>
      <xdr:colOff>363219</xdr:colOff>
      <xdr:row>45</xdr:row>
      <xdr:rowOff>58421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E553F9-7D5B-458D-9542-DC24D4878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33" y="3699934"/>
          <a:ext cx="5714153" cy="4757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613833</xdr:colOff>
      <xdr:row>0</xdr:row>
      <xdr:rowOff>42333</xdr:rowOff>
    </xdr:from>
    <xdr:to>
      <xdr:col>29</xdr:col>
      <xdr:colOff>662516</xdr:colOff>
      <xdr:row>25</xdr:row>
      <xdr:rowOff>59267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90E0178-CCDC-444D-9523-31941BE41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78158" y="42333"/>
          <a:ext cx="6144682" cy="4792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418286</xdr:colOff>
      <xdr:row>29</xdr:row>
      <xdr:rowOff>123190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AB7D7C-1A28-4B0D-B9EA-EE20CE139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4917" y="582083"/>
          <a:ext cx="6514286" cy="507619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491066</xdr:colOff>
      <xdr:row>1</xdr:row>
      <xdr:rowOff>160866</xdr:rowOff>
    </xdr:from>
    <xdr:to>
      <xdr:col>25</xdr:col>
      <xdr:colOff>268393</xdr:colOff>
      <xdr:row>27</xdr:row>
      <xdr:rowOff>50800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91842F-72CB-4EF5-BE54-34BF1A3C5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4266" y="347133"/>
          <a:ext cx="6144260" cy="4936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558800</xdr:colOff>
      <xdr:row>1</xdr:row>
      <xdr:rowOff>160866</xdr:rowOff>
    </xdr:from>
    <xdr:to>
      <xdr:col>24</xdr:col>
      <xdr:colOff>656166</xdr:colOff>
      <xdr:row>39</xdr:row>
      <xdr:rowOff>96520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F0903A6-F4DE-4718-82DD-B1DE3C0B9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347133"/>
          <a:ext cx="5668433" cy="7030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0.03072</cdr:x>
      <cdr:y>0.09627</cdr:y>
    </cdr:from>
    <cdr:to>
      <cdr:x>0.98635</cdr:x>
      <cdr:y>0.15839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0B1AA7B3-9934-4ED7-A7A7-7932BFFA4A3D}"/>
            </a:ext>
          </a:extLst>
        </cdr:cNvPr>
        <cdr:cNvSpPr txBox="1"/>
      </cdr:nvSpPr>
      <cdr:spPr>
        <a:xfrm xmlns:a="http://schemas.openxmlformats.org/drawingml/2006/main">
          <a:off x="190499" y="328084"/>
          <a:ext cx="5926667" cy="211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AR" sz="1000">
              <a:latin typeface="Arial Nova Light" panose="020B0304020202020204" pitchFamily="34" charset="0"/>
              <a:cs typeface="Arial" panose="020B0604020202020204" pitchFamily="34" charset="0"/>
            </a:rPr>
            <a:t>En los cálculos realizados</a:t>
          </a:r>
          <a:r>
            <a:rPr lang="es-AR" sz="1000" baseline="0">
              <a:latin typeface="Arial Nova Light" panose="020B0304020202020204" pitchFamily="34" charset="0"/>
              <a:cs typeface="Arial" panose="020B0604020202020204" pitchFamily="34" charset="0"/>
            </a:rPr>
            <a:t> se incluye el cobro de los intereses correspondientes</a:t>
          </a:r>
          <a:endParaRPr lang="es-AR" sz="1000">
            <a:latin typeface="Arial Nova Light" panose="020B03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298450</xdr:colOff>
      <xdr:row>95</xdr:row>
      <xdr:rowOff>78318</xdr:rowOff>
    </xdr:from>
    <xdr:to>
      <xdr:col>20</xdr:col>
      <xdr:colOff>107949</xdr:colOff>
      <xdr:row>112</xdr:row>
      <xdr:rowOff>119328</xdr:rowOff>
    </xdr:to>
    <xdr:graphicFrame macro="">
      <xdr:nvGraphicFramePr>
        <xdr:cNvPr id="13" name="4 Gráfico">
          <a:extLst>
            <a:ext uri="{FF2B5EF4-FFF2-40B4-BE49-F238E27FC236}">
              <a16:creationId xmlns:a16="http://schemas.microsoft.com/office/drawing/2014/main" id="{1F057475-1FB6-4F7B-A032-622D2ABD1AA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575309</xdr:colOff>
      <xdr:row>1</xdr:row>
      <xdr:rowOff>16933</xdr:rowOff>
    </xdr:from>
    <xdr:to>
      <xdr:col>21</xdr:col>
      <xdr:colOff>31750</xdr:colOff>
      <xdr:row>21</xdr:row>
      <xdr:rowOff>21166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E6B987CE-EF15-476B-A226-31566F1DE309}"/>
            </a:ext>
          </a:extLst>
        </xdr:cNvPr>
        <xdr:cNvGrpSpPr/>
      </xdr:nvGrpSpPr>
      <xdr:grpSpPr>
        <a:xfrm>
          <a:off x="7126392" y="196850"/>
          <a:ext cx="6071025" cy="3888316"/>
          <a:chOff x="7020558" y="916938"/>
          <a:chExt cx="4832773" cy="3043160"/>
        </a:xfrm>
      </xdr:grpSpPr>
      <xdr:grpSp>
        <xdr:nvGrpSpPr>
          <xdr:cNvPr id="8" name="Grupo 7">
            <a:extLst>
              <a:ext uri="{FF2B5EF4-FFF2-40B4-BE49-F238E27FC236}">
                <a16:creationId xmlns:a16="http://schemas.microsoft.com/office/drawing/2014/main" id="{24461289-867E-4101-BE5A-EB44C67AB563}"/>
              </a:ext>
            </a:extLst>
          </xdr:cNvPr>
          <xdr:cNvGrpSpPr/>
        </xdr:nvGrpSpPr>
        <xdr:grpSpPr>
          <a:xfrm>
            <a:off x="7020558" y="916938"/>
            <a:ext cx="4832773" cy="3043160"/>
            <a:chOff x="6326538" y="5676899"/>
            <a:chExt cx="5795866" cy="3548972"/>
          </a:xfrm>
        </xdr:grpSpPr>
        <xdr:graphicFrame macro="">
          <xdr:nvGraphicFramePr>
            <xdr:cNvPr id="2" name="4 Gráfico">
              <a:extLst>
                <a:ext uri="{FF2B5EF4-FFF2-40B4-BE49-F238E27FC236}">
                  <a16:creationId xmlns:a16="http://schemas.microsoft.com/office/drawing/2014/main" id="{EAAF26DA-06BE-49B5-9D47-679D768F8079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6326538" y="5676899"/>
            <a:ext cx="5795866" cy="354897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9E8BD469-400A-4561-80CF-FB8C9A118B0F}"/>
                </a:ext>
              </a:extLst>
            </xdr:cNvPr>
            <xdr:cNvSpPr txBox="1"/>
          </xdr:nvSpPr>
          <xdr:spPr>
            <a:xfrm>
              <a:off x="8862007" y="8921822"/>
              <a:ext cx="2935096" cy="19779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 eaLnBrk="1" fontAlgn="auto" latinLnBrk="0" hangingPunct="1"/>
              <a:r>
                <a:rPr lang="es-AR" sz="700" i="1">
                  <a:solidFill>
                    <a:schemeClr val="bg1"/>
                  </a:solidFill>
                  <a:effectLst/>
                  <a:latin typeface="Arial Nova Light" panose="020B0304020202020204" pitchFamily="34" charset="0"/>
                  <a:ea typeface="+mn-ea"/>
                  <a:cs typeface="+mn-cs"/>
                </a:rPr>
                <a:t>Fuente: BAVSA Research en base a BYMA y cálculos propios</a:t>
              </a:r>
              <a:endParaRPr lang="es-AR" sz="300">
                <a:solidFill>
                  <a:schemeClr val="bg1"/>
                </a:solidFill>
                <a:effectLst/>
                <a:latin typeface="Arial Nova Light" panose="020B0304020202020204" pitchFamily="34" charset="0"/>
              </a:endParaRPr>
            </a:p>
          </xdr:txBody>
        </xdr:sp>
      </xdr:grpSp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6848E1CF-003C-4F43-9350-BBD4634F7F21}"/>
              </a:ext>
            </a:extLst>
          </xdr:cNvPr>
          <xdr:cNvSpPr txBox="1"/>
        </xdr:nvSpPr>
        <xdr:spPr>
          <a:xfrm>
            <a:off x="7298267" y="922865"/>
            <a:ext cx="810170" cy="24703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050">
                <a:solidFill>
                  <a:schemeClr val="bg1"/>
                </a:solidFill>
                <a:latin typeface="Bahnschrift SemiBold" panose="020B0502040204020203" pitchFamily="34" charset="0"/>
              </a:rPr>
              <a:t>Cuadro VI</a:t>
            </a:r>
          </a:p>
        </xdr:txBody>
      </xdr:sp>
    </xdr:grpSp>
    <xdr:clientData/>
  </xdr:twoCellAnchor>
  <xdr:twoCellAnchor>
    <xdr:from>
      <xdr:col>12</xdr:col>
      <xdr:colOff>137583</xdr:colOff>
      <xdr:row>73</xdr:row>
      <xdr:rowOff>169334</xdr:rowOff>
    </xdr:from>
    <xdr:to>
      <xdr:col>21</xdr:col>
      <xdr:colOff>127000</xdr:colOff>
      <xdr:row>90</xdr:row>
      <xdr:rowOff>10583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7DA0E2DE-3DF7-49A7-BAA7-25E10D160CC5}"/>
            </a:ext>
          </a:extLst>
        </xdr:cNvPr>
        <xdr:cNvGrpSpPr/>
      </xdr:nvGrpSpPr>
      <xdr:grpSpPr>
        <a:xfrm>
          <a:off x="7937500" y="13885334"/>
          <a:ext cx="5355167" cy="2910416"/>
          <a:chOff x="4393405" y="9334501"/>
          <a:chExt cx="5203031" cy="3433368"/>
        </a:xfrm>
      </xdr:grpSpPr>
      <xdr:graphicFrame macro="">
        <xdr:nvGraphicFramePr>
          <xdr:cNvPr id="20" name="4 Gráfico">
            <a:extLst>
              <a:ext uri="{FF2B5EF4-FFF2-40B4-BE49-F238E27FC236}">
                <a16:creationId xmlns:a16="http://schemas.microsoft.com/office/drawing/2014/main" id="{9C91A459-65A4-4617-A4FB-F0D85989A9A6}"/>
              </a:ext>
            </a:extLst>
          </xdr:cNvPr>
          <xdr:cNvGraphicFramePr>
            <a:graphicFrameLocks noChangeAspect="1"/>
          </xdr:cNvGraphicFramePr>
        </xdr:nvGraphicFramePr>
        <xdr:xfrm>
          <a:off x="4393405" y="9334501"/>
          <a:ext cx="5203031" cy="33456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21" name="CuadroTexto 20">
            <a:extLst>
              <a:ext uri="{FF2B5EF4-FFF2-40B4-BE49-F238E27FC236}">
                <a16:creationId xmlns:a16="http://schemas.microsoft.com/office/drawing/2014/main" id="{11860B53-4241-448F-8C73-9B03956722B3}"/>
              </a:ext>
            </a:extLst>
          </xdr:cNvPr>
          <xdr:cNvSpPr txBox="1"/>
        </xdr:nvSpPr>
        <xdr:spPr>
          <a:xfrm>
            <a:off x="5145845" y="12562043"/>
            <a:ext cx="4251326" cy="205826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s-AR" sz="700" i="1">
                <a:solidFill>
                  <a:sysClr val="windowText" lastClr="000000"/>
                </a:solidFill>
                <a:latin typeface="Arial Nova Light" panose="020B0304020202020204" pitchFamily="34" charset="0"/>
                <a:cs typeface="Arial" panose="020B0604020202020204" pitchFamily="34" charset="0"/>
              </a:rPr>
              <a:t>Fuente: BAVSA Research en base a BYMA,</a:t>
            </a:r>
            <a:r>
              <a:rPr lang="es-AR" sz="700" i="1" baseline="0">
                <a:solidFill>
                  <a:sysClr val="windowText" lastClr="000000"/>
                </a:solidFill>
                <a:latin typeface="Arial Nova Light" panose="020B0304020202020204" pitchFamily="34" charset="0"/>
                <a:cs typeface="Arial" panose="020B0604020202020204" pitchFamily="34" charset="0"/>
              </a:rPr>
              <a:t> IAMC y cálculos propios</a:t>
            </a:r>
            <a:endParaRPr lang="es-AR" sz="700" i="1">
              <a:solidFill>
                <a:sysClr val="windowText" lastClr="000000"/>
              </a:solidFill>
              <a:latin typeface="Arial Nova Light" panose="020B03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21</xdr:col>
      <xdr:colOff>215898</xdr:colOff>
      <xdr:row>23</xdr:row>
      <xdr:rowOff>154785</xdr:rowOff>
    </xdr:from>
    <xdr:to>
      <xdr:col>28</xdr:col>
      <xdr:colOff>563561</xdr:colOff>
      <xdr:row>42</xdr:row>
      <xdr:rowOff>111127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CB01913E-7B96-4ED3-9BAD-CE5852A0FF8F}"/>
            </a:ext>
          </a:extLst>
        </xdr:cNvPr>
        <xdr:cNvGrpSpPr/>
      </xdr:nvGrpSpPr>
      <xdr:grpSpPr>
        <a:xfrm>
          <a:off x="13381565" y="4578618"/>
          <a:ext cx="5766329" cy="3607592"/>
          <a:chOff x="4393405" y="9334501"/>
          <a:chExt cx="5203031" cy="3494443"/>
        </a:xfrm>
      </xdr:grpSpPr>
      <xdr:graphicFrame macro="">
        <xdr:nvGraphicFramePr>
          <xdr:cNvPr id="4" name="4 Gráfico">
            <a:extLst>
              <a:ext uri="{FF2B5EF4-FFF2-40B4-BE49-F238E27FC236}">
                <a16:creationId xmlns:a16="http://schemas.microsoft.com/office/drawing/2014/main" id="{A12CA50A-2031-4587-9839-46E7CE4786BB}"/>
              </a:ext>
            </a:extLst>
          </xdr:cNvPr>
          <xdr:cNvGraphicFramePr>
            <a:graphicFrameLocks noChangeAspect="1"/>
          </xdr:cNvGraphicFramePr>
        </xdr:nvGraphicFramePr>
        <xdr:xfrm>
          <a:off x="4393405" y="9334501"/>
          <a:ext cx="5203031" cy="33456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FBC61DA-72A7-464F-8CA8-73B773E4A40A}"/>
              </a:ext>
            </a:extLst>
          </xdr:cNvPr>
          <xdr:cNvSpPr txBox="1"/>
        </xdr:nvSpPr>
        <xdr:spPr>
          <a:xfrm>
            <a:off x="5157656" y="12623118"/>
            <a:ext cx="4251326" cy="205826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s-AR" sz="700" i="1">
                <a:solidFill>
                  <a:schemeClr val="tx1"/>
                </a:solidFill>
                <a:latin typeface="Arial Nova Light" panose="020B0304020202020204" pitchFamily="34" charset="0"/>
                <a:cs typeface="Arial" panose="020B0604020202020204" pitchFamily="34" charset="0"/>
              </a:rPr>
              <a:t>Fuente: BAVSA Research en base a BYMA,</a:t>
            </a:r>
            <a:r>
              <a:rPr lang="es-AR" sz="700" i="1" baseline="0">
                <a:solidFill>
                  <a:schemeClr val="tx1"/>
                </a:solidFill>
                <a:latin typeface="Arial Nova Light" panose="020B0304020202020204" pitchFamily="34" charset="0"/>
                <a:cs typeface="Arial" panose="020B0604020202020204" pitchFamily="34" charset="0"/>
              </a:rPr>
              <a:t> IAMC y cálculos propios</a:t>
            </a:r>
            <a:endParaRPr lang="es-AR" sz="700" i="1">
              <a:solidFill>
                <a:schemeClr val="tx1"/>
              </a:solidFill>
              <a:latin typeface="Arial Nova Light" panose="020B03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11</xdr:col>
      <xdr:colOff>29105</xdr:colOff>
      <xdr:row>23</xdr:row>
      <xdr:rowOff>95249</xdr:rowOff>
    </xdr:from>
    <xdr:to>
      <xdr:col>21</xdr:col>
      <xdr:colOff>152296</xdr:colOff>
      <xdr:row>45</xdr:row>
      <xdr:rowOff>64015</xdr:rowOff>
    </xdr:to>
    <xdr:grpSp>
      <xdr:nvGrpSpPr>
        <xdr:cNvPr id="27" name="Grupo 26">
          <a:extLst>
            <a:ext uri="{FF2B5EF4-FFF2-40B4-BE49-F238E27FC236}">
              <a16:creationId xmlns:a16="http://schemas.microsoft.com/office/drawing/2014/main" id="{B013D055-D8C8-41BE-8FA6-75BF1C1598C8}"/>
            </a:ext>
          </a:extLst>
        </xdr:cNvPr>
        <xdr:cNvGrpSpPr/>
      </xdr:nvGrpSpPr>
      <xdr:grpSpPr>
        <a:xfrm>
          <a:off x="7246938" y="4519082"/>
          <a:ext cx="6071025" cy="4159766"/>
          <a:chOff x="7020558" y="916936"/>
          <a:chExt cx="4832773" cy="3043161"/>
        </a:xfrm>
      </xdr:grpSpPr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DF7747D1-A1C9-442A-9E1B-7996E7483FD7}"/>
              </a:ext>
            </a:extLst>
          </xdr:cNvPr>
          <xdr:cNvGrpSpPr/>
        </xdr:nvGrpSpPr>
        <xdr:grpSpPr>
          <a:xfrm>
            <a:off x="7020558" y="916936"/>
            <a:ext cx="4832773" cy="3043161"/>
            <a:chOff x="6326538" y="5676900"/>
            <a:chExt cx="5795866" cy="3548974"/>
          </a:xfrm>
        </xdr:grpSpPr>
        <xdr:graphicFrame macro="">
          <xdr:nvGraphicFramePr>
            <xdr:cNvPr id="30" name="4 Gráfico">
              <a:extLst>
                <a:ext uri="{FF2B5EF4-FFF2-40B4-BE49-F238E27FC236}">
                  <a16:creationId xmlns:a16="http://schemas.microsoft.com/office/drawing/2014/main" id="{96794638-AB5F-4422-AD4B-AE4673A3B357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6326538" y="5676900"/>
            <a:ext cx="5795866" cy="35489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CCE81BF5-8B96-4302-9C79-5CFF1AC4E4AF}"/>
                </a:ext>
              </a:extLst>
            </xdr:cNvPr>
            <xdr:cNvSpPr txBox="1"/>
          </xdr:nvSpPr>
          <xdr:spPr>
            <a:xfrm>
              <a:off x="9309643" y="9017759"/>
              <a:ext cx="2517771" cy="17155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 eaLnBrk="1" fontAlgn="auto" latinLnBrk="0" hangingPunct="1"/>
              <a:r>
                <a:rPr lang="es-AR" sz="700" i="1">
                  <a:solidFill>
                    <a:sysClr val="windowText" lastClr="000000"/>
                  </a:solidFill>
                  <a:effectLst/>
                  <a:latin typeface="Arial Nova Light" panose="020B0304020202020204" pitchFamily="34" charset="0"/>
                  <a:ea typeface="+mn-ea"/>
                  <a:cs typeface="+mn-cs"/>
                </a:rPr>
                <a:t>Fuente: BAVSA Research en base a BYMA y cálculos propios</a:t>
              </a:r>
              <a:endParaRPr lang="es-AR" sz="300">
                <a:solidFill>
                  <a:sysClr val="windowText" lastClr="000000"/>
                </a:solidFill>
                <a:effectLst/>
                <a:latin typeface="Arial Nova Light" panose="020B0304020202020204" pitchFamily="34" charset="0"/>
              </a:endParaRPr>
            </a:p>
          </xdr:txBody>
        </xdr:sp>
      </xdr:grpSp>
      <xdr:sp macro="" textlink="">
        <xdr:nvSpPr>
          <xdr:cNvPr id="29" name="CuadroTexto 28">
            <a:extLst>
              <a:ext uri="{FF2B5EF4-FFF2-40B4-BE49-F238E27FC236}">
                <a16:creationId xmlns:a16="http://schemas.microsoft.com/office/drawing/2014/main" id="{26574E74-E25A-4544-9167-18782525E453}"/>
              </a:ext>
            </a:extLst>
          </xdr:cNvPr>
          <xdr:cNvSpPr txBox="1"/>
        </xdr:nvSpPr>
        <xdr:spPr>
          <a:xfrm>
            <a:off x="7298267" y="922865"/>
            <a:ext cx="810170" cy="2470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050">
                <a:solidFill>
                  <a:schemeClr val="bg1"/>
                </a:solidFill>
                <a:latin typeface="Bahnschrift SemiBold" panose="020B0502040204020203" pitchFamily="34" charset="0"/>
              </a:rPr>
              <a:t>Cuadro IV</a:t>
            </a:r>
          </a:p>
        </xdr:txBody>
      </xdr:sp>
    </xdr:grpSp>
    <xdr:clientData/>
  </xdr:twoCellAnchor>
  <xdr:twoCellAnchor>
    <xdr:from>
      <xdr:col>23</xdr:col>
      <xdr:colOff>0</xdr:colOff>
      <xdr:row>107</xdr:row>
      <xdr:rowOff>179916</xdr:rowOff>
    </xdr:from>
    <xdr:to>
      <xdr:col>30</xdr:col>
      <xdr:colOff>127000</xdr:colOff>
      <xdr:row>127</xdr:row>
      <xdr:rowOff>126999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F7BC8942-4DFC-4D20-AB58-FFFD6ABA4D66}"/>
            </a:ext>
          </a:extLst>
        </xdr:cNvPr>
        <xdr:cNvGrpSpPr/>
      </xdr:nvGrpSpPr>
      <xdr:grpSpPr>
        <a:xfrm>
          <a:off x="14552083" y="20023666"/>
          <a:ext cx="5503334" cy="3566583"/>
          <a:chOff x="4393405" y="9334500"/>
          <a:chExt cx="5203031" cy="3437580"/>
        </a:xfrm>
      </xdr:grpSpPr>
      <xdr:graphicFrame macro="">
        <xdr:nvGraphicFramePr>
          <xdr:cNvPr id="33" name="4 Gráfico">
            <a:extLst>
              <a:ext uri="{FF2B5EF4-FFF2-40B4-BE49-F238E27FC236}">
                <a16:creationId xmlns:a16="http://schemas.microsoft.com/office/drawing/2014/main" id="{CC934E18-5D9D-4C19-87A7-AACF360E2673}"/>
              </a:ext>
            </a:extLst>
          </xdr:cNvPr>
          <xdr:cNvGraphicFramePr>
            <a:graphicFrameLocks noChangeAspect="1"/>
          </xdr:cNvGraphicFramePr>
        </xdr:nvGraphicFramePr>
        <xdr:xfrm>
          <a:off x="4393405" y="9334500"/>
          <a:ext cx="5203031" cy="34375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D62B37DC-5E94-4BE8-AB85-7C2274393F65}"/>
              </a:ext>
            </a:extLst>
          </xdr:cNvPr>
          <xdr:cNvSpPr txBox="1"/>
        </xdr:nvSpPr>
        <xdr:spPr>
          <a:xfrm>
            <a:off x="6768072" y="12554045"/>
            <a:ext cx="2665469" cy="174427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s-AR" sz="700" i="1">
                <a:solidFill>
                  <a:sysClr val="windowText" lastClr="000000"/>
                </a:solidFill>
                <a:latin typeface="Arial Nova Light" panose="020B0304020202020204" pitchFamily="34" charset="0"/>
                <a:cs typeface="Arial" panose="020B0604020202020204" pitchFamily="34" charset="0"/>
              </a:rPr>
              <a:t>Fuente: BAVSA Research en base a BYMA,</a:t>
            </a:r>
            <a:r>
              <a:rPr lang="es-AR" sz="700" i="1" baseline="0">
                <a:solidFill>
                  <a:sysClr val="windowText" lastClr="000000"/>
                </a:solidFill>
                <a:latin typeface="Arial Nova Light" panose="020B0304020202020204" pitchFamily="34" charset="0"/>
                <a:cs typeface="Arial" panose="020B0604020202020204" pitchFamily="34" charset="0"/>
              </a:rPr>
              <a:t> IAMC y cálculos propios</a:t>
            </a:r>
            <a:endParaRPr lang="es-AR" sz="700" i="1">
              <a:solidFill>
                <a:sysClr val="windowText" lastClr="000000"/>
              </a:solidFill>
              <a:latin typeface="Arial Nova Light" panose="020B03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21</xdr:col>
      <xdr:colOff>211667</xdr:colOff>
      <xdr:row>1</xdr:row>
      <xdr:rowOff>127001</xdr:rowOff>
    </xdr:from>
    <xdr:to>
      <xdr:col>28</xdr:col>
      <xdr:colOff>497417</xdr:colOff>
      <xdr:row>19</xdr:row>
      <xdr:rowOff>134673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378F02F-0E30-4C97-9E6C-174F0E39F905}"/>
            </a:ext>
          </a:extLst>
        </xdr:cNvPr>
        <xdr:cNvGrpSpPr/>
      </xdr:nvGrpSpPr>
      <xdr:grpSpPr>
        <a:xfrm>
          <a:off x="13377334" y="306918"/>
          <a:ext cx="5704416" cy="3531922"/>
          <a:chOff x="4393405" y="9334500"/>
          <a:chExt cx="5203031" cy="3404172"/>
        </a:xfrm>
      </xdr:grpSpPr>
      <xdr:graphicFrame macro="">
        <xdr:nvGraphicFramePr>
          <xdr:cNvPr id="36" name="4 Gráfico">
            <a:extLst>
              <a:ext uri="{FF2B5EF4-FFF2-40B4-BE49-F238E27FC236}">
                <a16:creationId xmlns:a16="http://schemas.microsoft.com/office/drawing/2014/main" id="{FBC83A99-4A49-4641-97F9-2A60759EF443}"/>
              </a:ext>
            </a:extLst>
          </xdr:cNvPr>
          <xdr:cNvGraphicFramePr>
            <a:graphicFrameLocks noChangeAspect="1"/>
          </xdr:cNvGraphicFramePr>
        </xdr:nvGraphicFramePr>
        <xdr:xfrm>
          <a:off x="4393405" y="9334500"/>
          <a:ext cx="5203031" cy="33456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A0C636CF-D40F-4B21-8FB7-95FAFCE1E432}"/>
              </a:ext>
            </a:extLst>
          </xdr:cNvPr>
          <xdr:cNvSpPr txBox="1"/>
        </xdr:nvSpPr>
        <xdr:spPr>
          <a:xfrm>
            <a:off x="6870326" y="12564245"/>
            <a:ext cx="2665469" cy="174427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s-AR" sz="700" i="1">
                <a:solidFill>
                  <a:schemeClr val="tx1"/>
                </a:solidFill>
                <a:latin typeface="Arial Nova Light" panose="020B0304020202020204" pitchFamily="34" charset="0"/>
                <a:cs typeface="Arial" panose="020B0604020202020204" pitchFamily="34" charset="0"/>
              </a:rPr>
              <a:t>Fuente: BAVSA Research en base a BYMA,</a:t>
            </a:r>
            <a:r>
              <a:rPr lang="es-AR" sz="700" i="1" baseline="0">
                <a:solidFill>
                  <a:schemeClr val="tx1"/>
                </a:solidFill>
                <a:latin typeface="Arial Nova Light" panose="020B0304020202020204" pitchFamily="34" charset="0"/>
                <a:cs typeface="Arial" panose="020B0604020202020204" pitchFamily="34" charset="0"/>
              </a:rPr>
              <a:t> IAMC y cálculos propios</a:t>
            </a:r>
            <a:endParaRPr lang="es-AR" sz="700" i="1">
              <a:solidFill>
                <a:schemeClr val="tx1"/>
              </a:solidFill>
              <a:latin typeface="Arial Nova Light" panose="020B03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11</xdr:col>
      <xdr:colOff>137582</xdr:colOff>
      <xdr:row>47</xdr:row>
      <xdr:rowOff>148165</xdr:rowOff>
    </xdr:from>
    <xdr:to>
      <xdr:col>21</xdr:col>
      <xdr:colOff>260773</xdr:colOff>
      <xdr:row>70</xdr:row>
      <xdr:rowOff>116932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39C178DE-8451-4592-A7F1-279BB936C8BE}"/>
            </a:ext>
          </a:extLst>
        </xdr:cNvPr>
        <xdr:cNvGrpSpPr/>
      </xdr:nvGrpSpPr>
      <xdr:grpSpPr>
        <a:xfrm>
          <a:off x="7355415" y="9122832"/>
          <a:ext cx="6071025" cy="4170350"/>
          <a:chOff x="7020558" y="916936"/>
          <a:chExt cx="4832773" cy="3043161"/>
        </a:xfrm>
      </xdr:grpSpPr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EC4FEB91-6731-45DC-92A7-BB250B1A3AE3}"/>
              </a:ext>
            </a:extLst>
          </xdr:cNvPr>
          <xdr:cNvGrpSpPr/>
        </xdr:nvGrpSpPr>
        <xdr:grpSpPr>
          <a:xfrm>
            <a:off x="7020558" y="916936"/>
            <a:ext cx="4832773" cy="3043161"/>
            <a:chOff x="6326538" y="5676900"/>
            <a:chExt cx="5795866" cy="3548974"/>
          </a:xfrm>
        </xdr:grpSpPr>
        <xdr:graphicFrame macro="">
          <xdr:nvGraphicFramePr>
            <xdr:cNvPr id="41" name="4 Gráfico">
              <a:extLst>
                <a:ext uri="{FF2B5EF4-FFF2-40B4-BE49-F238E27FC236}">
                  <a16:creationId xmlns:a16="http://schemas.microsoft.com/office/drawing/2014/main" id="{469CAF5A-6E35-43BE-A7E8-0EF92EE5A951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6326538" y="5676900"/>
            <a:ext cx="5795866" cy="35489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45D2C5A3-5C12-4A20-9EA2-8C055B5B1F9E}"/>
                </a:ext>
              </a:extLst>
            </xdr:cNvPr>
            <xdr:cNvSpPr txBox="1"/>
          </xdr:nvSpPr>
          <xdr:spPr>
            <a:xfrm>
              <a:off x="9279228" y="8914445"/>
              <a:ext cx="2507771" cy="19360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 eaLnBrk="1" fontAlgn="auto" latinLnBrk="0" hangingPunct="1"/>
              <a:r>
                <a:rPr lang="es-AR" sz="700" i="1">
                  <a:solidFill>
                    <a:sysClr val="windowText" lastClr="000000"/>
                  </a:solidFill>
                  <a:effectLst/>
                  <a:latin typeface="Arial Nova Light" panose="020B0304020202020204" pitchFamily="34" charset="0"/>
                  <a:ea typeface="+mn-ea"/>
                  <a:cs typeface="+mn-cs"/>
                </a:rPr>
                <a:t>Fuente: BAVSA Research en base a BYMA y cálculos propios</a:t>
              </a:r>
              <a:endParaRPr lang="es-AR" sz="300">
                <a:solidFill>
                  <a:sysClr val="windowText" lastClr="000000"/>
                </a:solidFill>
                <a:effectLst/>
                <a:latin typeface="Arial Nova Light" panose="020B0304020202020204" pitchFamily="34" charset="0"/>
              </a:endParaRPr>
            </a:p>
          </xdr:txBody>
        </xdr:sp>
      </xdr:grpSp>
      <xdr:sp macro="" textlink="">
        <xdr:nvSpPr>
          <xdr:cNvPr id="39" name="CuadroTexto 38">
            <a:extLst>
              <a:ext uri="{FF2B5EF4-FFF2-40B4-BE49-F238E27FC236}">
                <a16:creationId xmlns:a16="http://schemas.microsoft.com/office/drawing/2014/main" id="{13E5729B-5915-4841-B02E-104F4A0B42B9}"/>
              </a:ext>
            </a:extLst>
          </xdr:cNvPr>
          <xdr:cNvSpPr txBox="1"/>
        </xdr:nvSpPr>
        <xdr:spPr>
          <a:xfrm>
            <a:off x="7306692" y="961576"/>
            <a:ext cx="810170" cy="1876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050">
                <a:solidFill>
                  <a:schemeClr val="bg1"/>
                </a:solidFill>
                <a:latin typeface="Bahnschrift SemiBold" panose="020B0502040204020203" pitchFamily="34" charset="0"/>
              </a:rPr>
              <a:t>Cuadro VI</a:t>
            </a:r>
          </a:p>
        </xdr:txBody>
      </xdr:sp>
    </xdr:grpSp>
    <xdr:clientData/>
  </xdr:twoCellAnchor>
  <xdr:twoCellAnchor>
    <xdr:from>
      <xdr:col>1</xdr:col>
      <xdr:colOff>539751</xdr:colOff>
      <xdr:row>103</xdr:row>
      <xdr:rowOff>11640</xdr:rowOff>
    </xdr:from>
    <xdr:to>
      <xdr:col>10</xdr:col>
      <xdr:colOff>414233</xdr:colOff>
      <xdr:row>124</xdr:row>
      <xdr:rowOff>91015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3C4C5D10-D3D9-4DA0-BA3A-68D8A1679CB9}"/>
            </a:ext>
          </a:extLst>
        </xdr:cNvPr>
        <xdr:cNvGrpSpPr/>
      </xdr:nvGrpSpPr>
      <xdr:grpSpPr>
        <a:xfrm>
          <a:off x="867834" y="19135723"/>
          <a:ext cx="6097482" cy="3878792"/>
          <a:chOff x="7020558" y="916937"/>
          <a:chExt cx="4832773" cy="3043160"/>
        </a:xfrm>
      </xdr:grpSpPr>
      <xdr:grpSp>
        <xdr:nvGrpSpPr>
          <xdr:cNvPr id="43" name="Grupo 42">
            <a:extLst>
              <a:ext uri="{FF2B5EF4-FFF2-40B4-BE49-F238E27FC236}">
                <a16:creationId xmlns:a16="http://schemas.microsoft.com/office/drawing/2014/main" id="{9271F846-D6D0-4046-879F-10309B0266AD}"/>
              </a:ext>
            </a:extLst>
          </xdr:cNvPr>
          <xdr:cNvGrpSpPr/>
        </xdr:nvGrpSpPr>
        <xdr:grpSpPr>
          <a:xfrm>
            <a:off x="7020558" y="916937"/>
            <a:ext cx="4832773" cy="3043160"/>
            <a:chOff x="6326538" y="5676899"/>
            <a:chExt cx="5795866" cy="3548972"/>
          </a:xfrm>
        </xdr:grpSpPr>
        <xdr:graphicFrame macro="">
          <xdr:nvGraphicFramePr>
            <xdr:cNvPr id="45" name="4 Gráfico">
              <a:extLst>
                <a:ext uri="{FF2B5EF4-FFF2-40B4-BE49-F238E27FC236}">
                  <a16:creationId xmlns:a16="http://schemas.microsoft.com/office/drawing/2014/main" id="{894BD5D7-D4AC-4BA1-BBA0-473609EF91F6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6326538" y="5676899"/>
            <a:ext cx="5795866" cy="354897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D4041352-01FA-4D25-B3FE-BEE2A7622F39}"/>
                </a:ext>
              </a:extLst>
            </xdr:cNvPr>
            <xdr:cNvSpPr txBox="1"/>
          </xdr:nvSpPr>
          <xdr:spPr>
            <a:xfrm>
              <a:off x="9376770" y="8907948"/>
              <a:ext cx="2468011" cy="21830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 eaLnBrk="1" fontAlgn="auto" latinLnBrk="0" hangingPunct="1"/>
              <a:r>
                <a:rPr lang="es-AR" sz="700" i="1">
                  <a:solidFill>
                    <a:sysClr val="windowText" lastClr="000000"/>
                  </a:solidFill>
                  <a:effectLst/>
                  <a:latin typeface="Arial Nova Light" panose="020B0304020202020204" pitchFamily="34" charset="0"/>
                  <a:ea typeface="+mn-ea"/>
                  <a:cs typeface="+mn-cs"/>
                </a:rPr>
                <a:t>Fuente: BAVSA Research en base a BYMA y cálculos propios</a:t>
              </a:r>
              <a:endParaRPr lang="es-AR" sz="300">
                <a:solidFill>
                  <a:sysClr val="windowText" lastClr="000000"/>
                </a:solidFill>
                <a:effectLst/>
                <a:latin typeface="Arial Nova Light" panose="020B0304020202020204" pitchFamily="34" charset="0"/>
              </a:endParaRPr>
            </a:p>
          </xdr:txBody>
        </xdr:sp>
      </xdr:grpSp>
      <xdr:sp macro="" textlink="">
        <xdr:nvSpPr>
          <xdr:cNvPr id="44" name="CuadroTexto 43">
            <a:extLst>
              <a:ext uri="{FF2B5EF4-FFF2-40B4-BE49-F238E27FC236}">
                <a16:creationId xmlns:a16="http://schemas.microsoft.com/office/drawing/2014/main" id="{CEA746B6-0F46-4C92-AB82-4ECEC3E017D5}"/>
              </a:ext>
            </a:extLst>
          </xdr:cNvPr>
          <xdr:cNvSpPr txBox="1"/>
        </xdr:nvSpPr>
        <xdr:spPr>
          <a:xfrm>
            <a:off x="7298267" y="922865"/>
            <a:ext cx="810170" cy="24703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050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Cuadro IV</a:t>
            </a:r>
          </a:p>
        </xdr:txBody>
      </xdr:sp>
    </xdr:grpSp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169334</xdr:colOff>
      <xdr:row>157</xdr:row>
      <xdr:rowOff>100542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7C3551A9-87EE-45CF-87C9-4547B91D14CF}"/>
            </a:ext>
          </a:extLst>
        </xdr:cNvPr>
        <xdr:cNvGrpSpPr/>
      </xdr:nvGrpSpPr>
      <xdr:grpSpPr>
        <a:xfrm>
          <a:off x="920750" y="25082500"/>
          <a:ext cx="5799667" cy="3878792"/>
          <a:chOff x="7020558" y="916937"/>
          <a:chExt cx="4832773" cy="3043160"/>
        </a:xfrm>
      </xdr:grpSpPr>
      <xdr:grpSp>
        <xdr:nvGrpSpPr>
          <xdr:cNvPr id="48" name="Grupo 47">
            <a:extLst>
              <a:ext uri="{FF2B5EF4-FFF2-40B4-BE49-F238E27FC236}">
                <a16:creationId xmlns:a16="http://schemas.microsoft.com/office/drawing/2014/main" id="{2445B19D-B759-43B2-A630-259F24DB2734}"/>
              </a:ext>
            </a:extLst>
          </xdr:cNvPr>
          <xdr:cNvGrpSpPr/>
        </xdr:nvGrpSpPr>
        <xdr:grpSpPr>
          <a:xfrm>
            <a:off x="7020558" y="916937"/>
            <a:ext cx="4832773" cy="3043160"/>
            <a:chOff x="6326538" y="5676899"/>
            <a:chExt cx="5795866" cy="3548972"/>
          </a:xfrm>
        </xdr:grpSpPr>
        <xdr:graphicFrame macro="">
          <xdr:nvGraphicFramePr>
            <xdr:cNvPr id="50" name="4 Gráfico">
              <a:extLst>
                <a:ext uri="{FF2B5EF4-FFF2-40B4-BE49-F238E27FC236}">
                  <a16:creationId xmlns:a16="http://schemas.microsoft.com/office/drawing/2014/main" id="{11F18BEC-AF81-4AAE-99B8-66B8635D6359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6326538" y="5676899"/>
            <a:ext cx="5795866" cy="354897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27BAA00C-7503-4AA3-A0F4-A1109229CD2D}"/>
                </a:ext>
              </a:extLst>
            </xdr:cNvPr>
            <xdr:cNvSpPr txBox="1"/>
          </xdr:nvSpPr>
          <xdr:spPr>
            <a:xfrm>
              <a:off x="9256200" y="8891793"/>
              <a:ext cx="2588581" cy="23446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 eaLnBrk="1" fontAlgn="auto" latinLnBrk="0" hangingPunct="1"/>
              <a:r>
                <a:rPr lang="es-AR" sz="700" i="1">
                  <a:solidFill>
                    <a:sysClr val="windowText" lastClr="000000"/>
                  </a:solidFill>
                  <a:effectLst/>
                  <a:latin typeface="Arial Nova Light" panose="020B0304020202020204" pitchFamily="34" charset="0"/>
                  <a:ea typeface="+mn-ea"/>
                  <a:cs typeface="+mn-cs"/>
                </a:rPr>
                <a:t>Fuente: BAVSA Research en base a BYMA y cálculos propios</a:t>
              </a:r>
              <a:endParaRPr lang="es-AR" sz="300">
                <a:solidFill>
                  <a:sysClr val="windowText" lastClr="000000"/>
                </a:solidFill>
                <a:effectLst/>
                <a:latin typeface="Arial Nova Light" panose="020B0304020202020204" pitchFamily="34" charset="0"/>
              </a:endParaRPr>
            </a:p>
          </xdr:txBody>
        </xdr:sp>
      </xdr:grp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6860BE7B-7883-4F72-8334-93AE078B056C}"/>
              </a:ext>
            </a:extLst>
          </xdr:cNvPr>
          <xdr:cNvSpPr txBox="1"/>
        </xdr:nvSpPr>
        <xdr:spPr>
          <a:xfrm>
            <a:off x="7298267" y="922865"/>
            <a:ext cx="810170" cy="24703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050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Cuadro IV</a:t>
            </a:r>
          </a:p>
        </xdr:txBody>
      </xdr:sp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0.09837</cdr:x>
      <cdr:y>0.13691</cdr:y>
    </cdr:from>
    <cdr:to>
      <cdr:x>0.9077</cdr:x>
      <cdr:y>0.18381</cdr:y>
    </cdr:to>
    <cdr:sp macro="" textlink="">
      <cdr:nvSpPr>
        <cdr:cNvPr id="5" name="3 CuadroTexto">
          <a:extLst xmlns:a="http://schemas.openxmlformats.org/drawingml/2006/main">
            <a:ext uri="{FF2B5EF4-FFF2-40B4-BE49-F238E27FC236}">
              <a16:creationId xmlns:a16="http://schemas.microsoft.com/office/drawing/2014/main" id="{0D5B2553-0243-4B47-9FEA-F8D31A594503}"/>
            </a:ext>
          </a:extLst>
        </cdr:cNvPr>
        <cdr:cNvSpPr txBox="1"/>
      </cdr:nvSpPr>
      <cdr:spPr>
        <a:xfrm xmlns:a="http://schemas.openxmlformats.org/drawingml/2006/main">
          <a:off x="496620" y="421644"/>
          <a:ext cx="4085700" cy="1444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solidFill>
                <a:schemeClr val="dk1"/>
              </a:solidFill>
              <a:latin typeface="Arial Nova Light" panose="020B0304020202090204" pitchFamily="34" charset="0"/>
              <a:ea typeface="+mn-ea"/>
              <a:cs typeface="Arial" pitchFamily="34" charset="0"/>
            </a:rPr>
            <a:t>Comparativo</a:t>
          </a:r>
          <a:r>
            <a:rPr lang="es-AR" sz="900" i="1">
              <a:latin typeface="Arial Nova Light" panose="020B0304020202090204" pitchFamily="34" charset="0"/>
              <a:cs typeface="Arial" pitchFamily="34" charset="0"/>
            </a:rPr>
            <a:t> curva actual vs curva objetivo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0.12319</cdr:x>
      <cdr:y>0.12281</cdr:y>
    </cdr:from>
    <cdr:to>
      <cdr:x>0.93329</cdr:x>
      <cdr:y>0.17736</cdr:y>
    </cdr:to>
    <cdr:sp macro="" textlink="">
      <cdr:nvSpPr>
        <cdr:cNvPr id="2" name="3 CuadroTexto">
          <a:extLst xmlns:a="http://schemas.openxmlformats.org/drawingml/2006/main">
            <a:ext uri="{FF2B5EF4-FFF2-40B4-BE49-F238E27FC236}">
              <a16:creationId xmlns:a16="http://schemas.microsoft.com/office/drawing/2014/main" id="{FB43759E-6862-4565-9858-D0A985EA2DEE}"/>
            </a:ext>
          </a:extLst>
        </cdr:cNvPr>
        <cdr:cNvSpPr txBox="1"/>
      </cdr:nvSpPr>
      <cdr:spPr>
        <a:xfrm xmlns:a="http://schemas.openxmlformats.org/drawingml/2006/main">
          <a:off x="652358" y="435612"/>
          <a:ext cx="4290043" cy="1935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Tasa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s calculadas con </a:t>
          </a:r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BADLAR actual 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e inflación de 3% mensual</a:t>
          </a:r>
          <a:endParaRPr lang="es-AR" sz="900" i="1">
            <a:latin typeface="Arial Nova Light" panose="020B0304020202020204" pitchFamily="34" charset="0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0.06407</cdr:x>
      <cdr:y>0.12368</cdr:y>
    </cdr:from>
    <cdr:to>
      <cdr:x>0.92781</cdr:x>
      <cdr:y>0.17274</cdr:y>
    </cdr:to>
    <cdr:sp macro="" textlink="">
      <cdr:nvSpPr>
        <cdr:cNvPr id="5" name="3 CuadroTexto">
          <a:extLst xmlns:a="http://schemas.openxmlformats.org/drawingml/2006/main">
            <a:ext uri="{FF2B5EF4-FFF2-40B4-BE49-F238E27FC236}">
              <a16:creationId xmlns:a16="http://schemas.microsoft.com/office/drawing/2014/main" id="{0D5B2553-0243-4B47-9FEA-F8D31A594503}"/>
            </a:ext>
          </a:extLst>
        </cdr:cNvPr>
        <cdr:cNvSpPr txBox="1"/>
      </cdr:nvSpPr>
      <cdr:spPr>
        <a:xfrm xmlns:a="http://schemas.openxmlformats.org/drawingml/2006/main">
          <a:off x="298708" y="358510"/>
          <a:ext cx="4026965" cy="1422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Curva 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e</a:t>
          </a:r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laborada con precios BYMA T+2</a:t>
          </a:r>
        </a:p>
      </cdr:txBody>
    </cdr:sp>
  </cdr:relSizeAnchor>
  <cdr:relSizeAnchor xmlns:cdr="http://schemas.openxmlformats.org/drawingml/2006/chartDrawing">
    <cdr:from>
      <cdr:x>0.00961</cdr:x>
      <cdr:y>0.01786</cdr:y>
    </cdr:from>
    <cdr:to>
      <cdr:x>0.18861</cdr:x>
      <cdr:y>0.07993</cdr:y>
    </cdr:to>
    <cdr:sp macro="" textlink="">
      <cdr:nvSpPr>
        <cdr:cNvPr id="3" name="CuadroTexto 5">
          <a:extLst xmlns:a="http://schemas.openxmlformats.org/drawingml/2006/main">
            <a:ext uri="{FF2B5EF4-FFF2-40B4-BE49-F238E27FC236}">
              <a16:creationId xmlns:a16="http://schemas.microsoft.com/office/drawing/2014/main" id="{6848E1CF-003C-4F43-9350-BBD4634F7F21}"/>
            </a:ext>
          </a:extLst>
        </cdr:cNvPr>
        <cdr:cNvSpPr txBox="1"/>
      </cdr:nvSpPr>
      <cdr:spPr>
        <a:xfrm xmlns:a="http://schemas.openxmlformats.org/drawingml/2006/main">
          <a:off x="44823" y="52029"/>
          <a:ext cx="834917" cy="1808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50">
              <a:solidFill>
                <a:schemeClr val="bg1"/>
              </a:solidFill>
              <a:latin typeface="Bahnschrift SemiBold" panose="020B0502040204020203" pitchFamily="34" charset="0"/>
            </a:rPr>
            <a:t>Cuadro IV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0.06407</cdr:x>
      <cdr:y>0.12368</cdr:y>
    </cdr:from>
    <cdr:to>
      <cdr:x>0.92781</cdr:x>
      <cdr:y>0.17274</cdr:y>
    </cdr:to>
    <cdr:sp macro="" textlink="">
      <cdr:nvSpPr>
        <cdr:cNvPr id="5" name="3 CuadroTexto">
          <a:extLst xmlns:a="http://schemas.openxmlformats.org/drawingml/2006/main">
            <a:ext uri="{FF2B5EF4-FFF2-40B4-BE49-F238E27FC236}">
              <a16:creationId xmlns:a16="http://schemas.microsoft.com/office/drawing/2014/main" id="{0D5B2553-0243-4B47-9FEA-F8D31A594503}"/>
            </a:ext>
          </a:extLst>
        </cdr:cNvPr>
        <cdr:cNvSpPr txBox="1"/>
      </cdr:nvSpPr>
      <cdr:spPr>
        <a:xfrm xmlns:a="http://schemas.openxmlformats.org/drawingml/2006/main">
          <a:off x="298708" y="358510"/>
          <a:ext cx="4026965" cy="1422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Curva 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e</a:t>
          </a:r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laborada con precios BYMA T+2</a:t>
          </a:r>
        </a:p>
      </cdr:txBody>
    </cdr:sp>
  </cdr:relSizeAnchor>
  <cdr:relSizeAnchor xmlns:cdr="http://schemas.openxmlformats.org/drawingml/2006/chartDrawing">
    <cdr:from>
      <cdr:x>0.00961</cdr:x>
      <cdr:y>0.01786</cdr:y>
    </cdr:from>
    <cdr:to>
      <cdr:x>0.18861</cdr:x>
      <cdr:y>0.07993</cdr:y>
    </cdr:to>
    <cdr:sp macro="" textlink="">
      <cdr:nvSpPr>
        <cdr:cNvPr id="3" name="CuadroTexto 5">
          <a:extLst xmlns:a="http://schemas.openxmlformats.org/drawingml/2006/main">
            <a:ext uri="{FF2B5EF4-FFF2-40B4-BE49-F238E27FC236}">
              <a16:creationId xmlns:a16="http://schemas.microsoft.com/office/drawing/2014/main" id="{6848E1CF-003C-4F43-9350-BBD4634F7F21}"/>
            </a:ext>
          </a:extLst>
        </cdr:cNvPr>
        <cdr:cNvSpPr txBox="1"/>
      </cdr:nvSpPr>
      <cdr:spPr>
        <a:xfrm xmlns:a="http://schemas.openxmlformats.org/drawingml/2006/main">
          <a:off x="44823" y="52029"/>
          <a:ext cx="834917" cy="1808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50">
              <a:solidFill>
                <a:schemeClr val="bg1"/>
              </a:solidFill>
              <a:latin typeface="Bahnschrift SemiBold" panose="020B0502040204020203" pitchFamily="34" charset="0"/>
            </a:rPr>
            <a:t>Cuadro IV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0.12319</cdr:x>
      <cdr:y>0.12281</cdr:y>
    </cdr:from>
    <cdr:to>
      <cdr:x>0.93329</cdr:x>
      <cdr:y>0.17736</cdr:y>
    </cdr:to>
    <cdr:sp macro="" textlink="">
      <cdr:nvSpPr>
        <cdr:cNvPr id="2" name="3 CuadroTexto">
          <a:extLst xmlns:a="http://schemas.openxmlformats.org/drawingml/2006/main">
            <a:ext uri="{FF2B5EF4-FFF2-40B4-BE49-F238E27FC236}">
              <a16:creationId xmlns:a16="http://schemas.microsoft.com/office/drawing/2014/main" id="{FB43759E-6862-4565-9858-D0A985EA2DEE}"/>
            </a:ext>
          </a:extLst>
        </cdr:cNvPr>
        <cdr:cNvSpPr txBox="1"/>
      </cdr:nvSpPr>
      <cdr:spPr>
        <a:xfrm xmlns:a="http://schemas.openxmlformats.org/drawingml/2006/main">
          <a:off x="652358" y="435612"/>
          <a:ext cx="4290043" cy="1935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Tasa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s calculadas con </a:t>
          </a:r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BADLAR actual 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e inflación de 3% mensual para el resto del año</a:t>
          </a:r>
          <a:endParaRPr lang="es-AR" sz="900" i="1">
            <a:latin typeface="Arial Nova Light" panose="020B0304020202020204" pitchFamily="34" charset="0"/>
            <a:cs typeface="Arial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col&#225;s\Google%20Drive\Dollar%20lin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col&#225;s\Desktop\TC21%20TX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Brecha"/>
      <sheetName val="Comparativo"/>
      <sheetName val="T2V1"/>
      <sheetName val="TV22"/>
      <sheetName val="T2V2"/>
      <sheetName val="T2V1 - Matriz %"/>
      <sheetName val="TV22 - Matriz %"/>
      <sheetName val="T2V1 - Matriz Px."/>
      <sheetName val="T2V1 - Sensibilidad TC $"/>
      <sheetName val="T2V1 - Sensibilidad TC %"/>
      <sheetName val="TV22 - Sensibilidad TC %"/>
    </sheetNames>
    <sheetDataSet>
      <sheetData sheetId="0"/>
      <sheetData sheetId="1"/>
      <sheetData sheetId="2"/>
      <sheetData sheetId="3">
        <row r="9">
          <cell r="U9">
            <v>0.53985725585937505</v>
          </cell>
        </row>
        <row r="10">
          <cell r="U10">
            <v>0.47945205479452052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showGridLines="0" zoomScale="90" zoomScaleNormal="90" workbookViewId="0">
      <selection activeCell="E16" sqref="E16"/>
    </sheetView>
  </sheetViews>
  <sheetFormatPr baseColWidth="10" defaultRowHeight="15"/>
  <cols>
    <col min="2" max="2" width="15.42578125" bestFit="1" customWidth="1"/>
    <col min="3" max="3" width="14.140625" bestFit="1" customWidth="1"/>
    <col min="4" max="4" width="3.42578125" customWidth="1"/>
    <col min="5" max="5" width="14.140625" bestFit="1" customWidth="1"/>
    <col min="6" max="7" width="9.42578125" customWidth="1"/>
    <col min="8" max="8" width="9.28515625" bestFit="1" customWidth="1"/>
    <col min="9" max="10" width="10.42578125" customWidth="1"/>
  </cols>
  <sheetData>
    <row r="1" spans="1:2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5.75">
      <c r="A2" s="12"/>
      <c r="B2" s="368" t="s">
        <v>121</v>
      </c>
      <c r="C2" s="368"/>
      <c r="D2" s="368"/>
      <c r="E2" s="368"/>
      <c r="F2" s="368"/>
      <c r="G2" s="368"/>
      <c r="H2" s="368"/>
      <c r="I2" s="368"/>
      <c r="J2" s="368"/>
      <c r="K2" s="12"/>
      <c r="L2" s="248"/>
      <c r="M2" s="248"/>
      <c r="N2" s="248"/>
      <c r="O2" s="12"/>
      <c r="P2" s="12"/>
      <c r="Q2" s="12"/>
      <c r="R2" s="12"/>
      <c r="S2" s="12"/>
      <c r="T2" s="12"/>
      <c r="U2" s="12"/>
      <c r="V2" s="12"/>
      <c r="W2" s="12"/>
    </row>
    <row r="3" spans="1:2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>
      <c r="A4" s="12"/>
      <c r="B4" s="369" t="s">
        <v>34</v>
      </c>
      <c r="C4" s="370"/>
      <c r="D4" s="12"/>
      <c r="E4" s="371" t="s">
        <v>122</v>
      </c>
      <c r="F4" s="371"/>
      <c r="G4" s="371"/>
      <c r="H4" s="371"/>
      <c r="I4" s="371"/>
      <c r="J4" s="371"/>
      <c r="K4" s="12"/>
      <c r="L4" s="249"/>
      <c r="M4" s="249"/>
      <c r="N4" s="249"/>
      <c r="O4" s="12"/>
      <c r="P4" s="371" t="s">
        <v>122</v>
      </c>
      <c r="Q4" s="371"/>
      <c r="R4" s="371"/>
      <c r="S4" s="371"/>
      <c r="T4" s="371"/>
      <c r="U4" s="371"/>
      <c r="V4" s="12"/>
      <c r="W4" s="12"/>
    </row>
    <row r="5" spans="1:23">
      <c r="A5" s="12"/>
      <c r="B5" s="24" t="s">
        <v>0</v>
      </c>
      <c r="C5" s="33">
        <v>43938</v>
      </c>
      <c r="D5" s="12"/>
      <c r="E5" s="29" t="s">
        <v>14</v>
      </c>
      <c r="F5" s="29" t="s">
        <v>7</v>
      </c>
      <c r="G5" s="29" t="s">
        <v>21</v>
      </c>
      <c r="H5" s="29" t="s">
        <v>8</v>
      </c>
      <c r="I5" s="29" t="s">
        <v>33</v>
      </c>
      <c r="J5" s="29" t="s">
        <v>9</v>
      </c>
      <c r="K5" s="12"/>
      <c r="L5" s="29" t="s">
        <v>21</v>
      </c>
      <c r="M5" s="29" t="s">
        <v>126</v>
      </c>
      <c r="N5" s="29" t="s">
        <v>127</v>
      </c>
      <c r="O5" s="12"/>
      <c r="P5" s="29" t="s">
        <v>14</v>
      </c>
      <c r="Q5" s="29" t="s">
        <v>7</v>
      </c>
      <c r="R5" s="29" t="s">
        <v>21</v>
      </c>
      <c r="S5" s="29" t="s">
        <v>8</v>
      </c>
      <c r="T5" s="29" t="s">
        <v>33</v>
      </c>
      <c r="U5" s="29" t="s">
        <v>9</v>
      </c>
      <c r="V5" s="12"/>
      <c r="W5" s="12"/>
    </row>
    <row r="6" spans="1:23">
      <c r="A6" s="12"/>
      <c r="B6" s="24" t="s">
        <v>1</v>
      </c>
      <c r="C6" s="33">
        <v>45061</v>
      </c>
      <c r="D6" s="12"/>
      <c r="E6" s="15">
        <f>+'Planilla de datos'!D3</f>
        <v>44383</v>
      </c>
      <c r="F6" s="14">
        <v>100</v>
      </c>
      <c r="G6" s="12"/>
      <c r="H6" s="30"/>
      <c r="I6" s="12"/>
      <c r="J6" s="14">
        <v>-90</v>
      </c>
      <c r="K6" s="12"/>
      <c r="L6" s="14"/>
      <c r="M6" s="14"/>
      <c r="N6" s="14"/>
      <c r="O6" s="12"/>
      <c r="P6" s="15">
        <f>+E6</f>
        <v>44383</v>
      </c>
      <c r="Q6" s="14">
        <f>+F6</f>
        <v>100</v>
      </c>
      <c r="R6" s="12"/>
      <c r="S6" s="30"/>
      <c r="T6" s="12"/>
      <c r="U6" s="14">
        <v>0</v>
      </c>
      <c r="V6" s="12"/>
      <c r="W6" s="12"/>
    </row>
    <row r="7" spans="1:23">
      <c r="A7" s="12"/>
      <c r="B7" s="24" t="s">
        <v>28</v>
      </c>
      <c r="C7" s="35">
        <f>'Planilla de datos'!D4</f>
        <v>0.34060000000000001</v>
      </c>
      <c r="D7" s="12"/>
      <c r="E7" s="15">
        <v>44423</v>
      </c>
      <c r="F7" s="14">
        <f>+F6</f>
        <v>100</v>
      </c>
      <c r="G7" s="12">
        <f>DAYS360(C9,E7)</f>
        <v>90</v>
      </c>
      <c r="H7" s="14">
        <f>($C$7+$C$8)/360*G7*F7</f>
        <v>8.5150000000000006</v>
      </c>
      <c r="I7" s="14"/>
      <c r="J7" s="14">
        <f t="shared" ref="J7:J14" si="0">SUM(H7:I7)</f>
        <v>8.5150000000000006</v>
      </c>
      <c r="K7" s="12"/>
      <c r="L7" s="67">
        <f t="shared" ref="L7:L14" si="1">DAYS360($E$6,E7)</f>
        <v>39</v>
      </c>
      <c r="M7" s="14">
        <f>J7/(1+$J$16)^(L7/360)</f>
        <v>8.0649457963668709</v>
      </c>
      <c r="N7" s="14">
        <f t="shared" ref="N7:N14" si="2">M7*(L7/360)</f>
        <v>0.87370246127307771</v>
      </c>
      <c r="O7" s="12"/>
      <c r="P7" s="15">
        <f t="shared" ref="P7:U14" si="3">+E7</f>
        <v>44423</v>
      </c>
      <c r="Q7" s="14">
        <f t="shared" si="3"/>
        <v>100</v>
      </c>
      <c r="R7" s="12">
        <f t="shared" si="3"/>
        <v>90</v>
      </c>
      <c r="S7" s="14">
        <f t="shared" si="3"/>
        <v>8.5150000000000006</v>
      </c>
      <c r="T7" s="14">
        <f t="shared" si="3"/>
        <v>0</v>
      </c>
      <c r="U7" s="14">
        <f t="shared" si="3"/>
        <v>8.5150000000000006</v>
      </c>
      <c r="V7" s="12"/>
      <c r="W7" s="12"/>
    </row>
    <row r="8" spans="1:23">
      <c r="A8" s="12"/>
      <c r="B8" s="24" t="s">
        <v>30</v>
      </c>
      <c r="C8" s="35">
        <v>0</v>
      </c>
      <c r="D8" s="12"/>
      <c r="E8" s="15">
        <v>44515</v>
      </c>
      <c r="F8" s="14">
        <f t="shared" ref="F8:F14" si="4">+F7-I7</f>
        <v>100</v>
      </c>
      <c r="G8" s="12">
        <f>DAYS360(E7,E8)</f>
        <v>90</v>
      </c>
      <c r="H8" s="14">
        <f t="shared" ref="H8:H14" si="5">($C$7+$C$8)/360*G8*F8</f>
        <v>8.5150000000000006</v>
      </c>
      <c r="I8" s="14">
        <v>25</v>
      </c>
      <c r="J8" s="14">
        <f t="shared" si="0"/>
        <v>33.515000000000001</v>
      </c>
      <c r="K8" s="12"/>
      <c r="L8" s="67">
        <f t="shared" si="1"/>
        <v>129</v>
      </c>
      <c r="M8" s="14">
        <f t="shared" ref="M8:M14" si="6">J8/(1+$J$16)^(L8/360)</f>
        <v>28.004850361952826</v>
      </c>
      <c r="N8" s="14">
        <f t="shared" si="2"/>
        <v>10.035071379699763</v>
      </c>
      <c r="O8" s="12"/>
      <c r="P8" s="15">
        <f t="shared" si="3"/>
        <v>44515</v>
      </c>
      <c r="Q8" s="14">
        <f t="shared" si="3"/>
        <v>100</v>
      </c>
      <c r="R8" s="12">
        <f t="shared" si="3"/>
        <v>90</v>
      </c>
      <c r="S8" s="14">
        <f t="shared" si="3"/>
        <v>8.5150000000000006</v>
      </c>
      <c r="T8" s="14">
        <f t="shared" si="3"/>
        <v>25</v>
      </c>
      <c r="U8" s="14">
        <f t="shared" si="3"/>
        <v>33.515000000000001</v>
      </c>
      <c r="V8" s="12"/>
      <c r="W8" s="12"/>
    </row>
    <row r="9" spans="1:23">
      <c r="A9" s="12"/>
      <c r="B9" s="24" t="s">
        <v>27</v>
      </c>
      <c r="C9" s="33">
        <v>44331</v>
      </c>
      <c r="D9" s="12"/>
      <c r="E9" s="15">
        <v>44607</v>
      </c>
      <c r="F9" s="14">
        <f t="shared" si="4"/>
        <v>75</v>
      </c>
      <c r="G9" s="12">
        <f t="shared" ref="G9:G14" si="7">DAYS360(E8,E9)</f>
        <v>90</v>
      </c>
      <c r="H9" s="14">
        <f t="shared" si="5"/>
        <v>6.3862500000000004</v>
      </c>
      <c r="I9" s="14"/>
      <c r="J9" s="14">
        <f t="shared" si="0"/>
        <v>6.3862500000000004</v>
      </c>
      <c r="K9" s="12"/>
      <c r="L9" s="67">
        <f t="shared" si="1"/>
        <v>219</v>
      </c>
      <c r="M9" s="14">
        <f t="shared" si="6"/>
        <v>4.7077910674742691</v>
      </c>
      <c r="N9" s="14">
        <f t="shared" si="2"/>
        <v>2.8639062327135134</v>
      </c>
      <c r="O9" s="12"/>
      <c r="P9" s="15">
        <f t="shared" si="3"/>
        <v>44607</v>
      </c>
      <c r="Q9" s="14">
        <f t="shared" si="3"/>
        <v>75</v>
      </c>
      <c r="R9" s="12">
        <f t="shared" si="3"/>
        <v>90</v>
      </c>
      <c r="S9" s="14">
        <f t="shared" si="3"/>
        <v>6.3862500000000004</v>
      </c>
      <c r="T9" s="14">
        <f t="shared" si="3"/>
        <v>0</v>
      </c>
      <c r="U9" s="14">
        <f t="shared" si="3"/>
        <v>6.3862500000000004</v>
      </c>
      <c r="V9" s="12"/>
      <c r="W9" s="12"/>
    </row>
    <row r="10" spans="1:23">
      <c r="A10" s="12"/>
      <c r="B10" s="24" t="s">
        <v>248</v>
      </c>
      <c r="C10" s="35">
        <v>0.4</v>
      </c>
      <c r="D10" s="12"/>
      <c r="E10" s="15">
        <v>44696</v>
      </c>
      <c r="F10" s="14">
        <f t="shared" si="4"/>
        <v>75</v>
      </c>
      <c r="G10" s="12">
        <f t="shared" si="7"/>
        <v>90</v>
      </c>
      <c r="H10" s="14">
        <f t="shared" si="5"/>
        <v>6.3862500000000004</v>
      </c>
      <c r="I10" s="14">
        <v>25</v>
      </c>
      <c r="J10" s="14">
        <f t="shared" si="0"/>
        <v>31.38625</v>
      </c>
      <c r="K10" s="12"/>
      <c r="L10" s="67">
        <f t="shared" si="1"/>
        <v>309</v>
      </c>
      <c r="M10" s="14">
        <f t="shared" si="6"/>
        <v>20.412111251008955</v>
      </c>
      <c r="N10" s="14">
        <f t="shared" si="2"/>
        <v>17.520395490449353</v>
      </c>
      <c r="O10" s="12"/>
      <c r="P10" s="15">
        <f t="shared" si="3"/>
        <v>44696</v>
      </c>
      <c r="Q10" s="14">
        <f t="shared" si="3"/>
        <v>75</v>
      </c>
      <c r="R10" s="12">
        <f t="shared" si="3"/>
        <v>90</v>
      </c>
      <c r="S10" s="14">
        <f t="shared" si="3"/>
        <v>6.3862500000000004</v>
      </c>
      <c r="T10" s="14">
        <f t="shared" si="3"/>
        <v>25</v>
      </c>
      <c r="U10" s="14">
        <f t="shared" si="3"/>
        <v>31.38625</v>
      </c>
      <c r="V10" s="12"/>
      <c r="W10" s="12"/>
    </row>
    <row r="11" spans="1:23">
      <c r="A11" s="12"/>
      <c r="B11" s="36"/>
      <c r="C11" s="37"/>
      <c r="D11" s="12"/>
      <c r="E11" s="15">
        <v>44788</v>
      </c>
      <c r="F11" s="14">
        <f t="shared" si="4"/>
        <v>50</v>
      </c>
      <c r="G11" s="12">
        <f t="shared" si="7"/>
        <v>90</v>
      </c>
      <c r="H11" s="14">
        <f t="shared" si="5"/>
        <v>4.2575000000000003</v>
      </c>
      <c r="I11" s="14"/>
      <c r="J11" s="14">
        <f t="shared" si="0"/>
        <v>4.2575000000000003</v>
      </c>
      <c r="K11" s="12"/>
      <c r="L11" s="67">
        <f t="shared" si="1"/>
        <v>399</v>
      </c>
      <c r="M11" s="14">
        <f t="shared" si="6"/>
        <v>2.442757670827163</v>
      </c>
      <c r="N11" s="14">
        <f t="shared" si="2"/>
        <v>2.7073897518334391</v>
      </c>
      <c r="O11" s="12"/>
      <c r="P11" s="15">
        <f t="shared" si="3"/>
        <v>44788</v>
      </c>
      <c r="Q11" s="14">
        <f t="shared" si="3"/>
        <v>50</v>
      </c>
      <c r="R11" s="12">
        <f t="shared" si="3"/>
        <v>90</v>
      </c>
      <c r="S11" s="14">
        <f t="shared" si="3"/>
        <v>4.2575000000000003</v>
      </c>
      <c r="T11" s="14">
        <f t="shared" si="3"/>
        <v>0</v>
      </c>
      <c r="U11" s="14">
        <f t="shared" si="3"/>
        <v>4.2575000000000003</v>
      </c>
      <c r="V11" s="12"/>
      <c r="W11" s="12"/>
    </row>
    <row r="12" spans="1:23">
      <c r="A12" s="12"/>
      <c r="B12" s="12"/>
      <c r="C12" s="12"/>
      <c r="D12" s="12"/>
      <c r="E12" s="15">
        <v>44880</v>
      </c>
      <c r="F12" s="14">
        <f t="shared" si="4"/>
        <v>50</v>
      </c>
      <c r="G12" s="12">
        <f t="shared" si="7"/>
        <v>90</v>
      </c>
      <c r="H12" s="14">
        <f t="shared" si="5"/>
        <v>4.2575000000000003</v>
      </c>
      <c r="I12" s="14">
        <v>25</v>
      </c>
      <c r="J12" s="14">
        <f t="shared" si="0"/>
        <v>29.2575</v>
      </c>
      <c r="K12" s="12"/>
      <c r="L12" s="67">
        <f t="shared" si="1"/>
        <v>489</v>
      </c>
      <c r="M12" s="14">
        <f t="shared" si="6"/>
        <v>14.809492459559973</v>
      </c>
      <c r="N12" s="14">
        <f t="shared" si="2"/>
        <v>20.116227257568966</v>
      </c>
      <c r="O12" s="12"/>
      <c r="P12" s="15">
        <f t="shared" si="3"/>
        <v>44880</v>
      </c>
      <c r="Q12" s="14">
        <f t="shared" si="3"/>
        <v>50</v>
      </c>
      <c r="R12" s="12">
        <f t="shared" si="3"/>
        <v>90</v>
      </c>
      <c r="S12" s="14">
        <f t="shared" si="3"/>
        <v>4.2575000000000003</v>
      </c>
      <c r="T12" s="14">
        <f t="shared" si="3"/>
        <v>25</v>
      </c>
      <c r="U12" s="14">
        <f t="shared" si="3"/>
        <v>29.2575</v>
      </c>
      <c r="V12" s="12"/>
      <c r="W12" s="12"/>
    </row>
    <row r="13" spans="1:23">
      <c r="A13" s="12"/>
      <c r="B13" s="12"/>
      <c r="C13" s="12"/>
      <c r="D13" s="12"/>
      <c r="E13" s="15">
        <v>44972</v>
      </c>
      <c r="F13" s="14">
        <f t="shared" si="4"/>
        <v>25</v>
      </c>
      <c r="G13" s="12">
        <f t="shared" si="7"/>
        <v>90</v>
      </c>
      <c r="H13" s="14">
        <f t="shared" si="5"/>
        <v>2.1287500000000001</v>
      </c>
      <c r="I13" s="14"/>
      <c r="J13" s="14">
        <f t="shared" si="0"/>
        <v>2.1287500000000001</v>
      </c>
      <c r="K13" s="12"/>
      <c r="L13" s="67">
        <f t="shared" si="1"/>
        <v>579</v>
      </c>
      <c r="M13" s="14">
        <f t="shared" si="6"/>
        <v>0.95061541913110192</v>
      </c>
      <c r="N13" s="14">
        <f t="shared" si="2"/>
        <v>1.5289064657691891</v>
      </c>
      <c r="O13" s="12"/>
      <c r="P13" s="15">
        <f t="shared" si="3"/>
        <v>44972</v>
      </c>
      <c r="Q13" s="14">
        <f t="shared" si="3"/>
        <v>25</v>
      </c>
      <c r="R13" s="12">
        <f t="shared" si="3"/>
        <v>90</v>
      </c>
      <c r="S13" s="14">
        <f t="shared" si="3"/>
        <v>2.1287500000000001</v>
      </c>
      <c r="T13" s="14">
        <f t="shared" si="3"/>
        <v>0</v>
      </c>
      <c r="U13" s="14">
        <f t="shared" si="3"/>
        <v>2.1287500000000001</v>
      </c>
      <c r="V13" s="12"/>
      <c r="W13" s="12"/>
    </row>
    <row r="14" spans="1:23">
      <c r="A14" s="12"/>
      <c r="B14" s="12"/>
      <c r="C14" s="12"/>
      <c r="D14" s="12"/>
      <c r="E14" s="15">
        <v>45061</v>
      </c>
      <c r="F14" s="14">
        <f t="shared" si="4"/>
        <v>25</v>
      </c>
      <c r="G14" s="12">
        <f t="shared" si="7"/>
        <v>90</v>
      </c>
      <c r="H14" s="14">
        <f t="shared" si="5"/>
        <v>2.1287500000000001</v>
      </c>
      <c r="I14" s="14">
        <v>25</v>
      </c>
      <c r="J14" s="14">
        <f t="shared" si="0"/>
        <v>27.12875</v>
      </c>
      <c r="K14" s="12"/>
      <c r="L14" s="67">
        <f t="shared" si="1"/>
        <v>669</v>
      </c>
      <c r="M14" s="14">
        <f t="shared" si="6"/>
        <v>10.687772698938021</v>
      </c>
      <c r="N14" s="14">
        <f t="shared" si="2"/>
        <v>19.86144426552649</v>
      </c>
      <c r="O14" s="12"/>
      <c r="P14" s="15">
        <f t="shared" si="3"/>
        <v>45061</v>
      </c>
      <c r="Q14" s="14">
        <f t="shared" si="3"/>
        <v>25</v>
      </c>
      <c r="R14" s="12">
        <f t="shared" si="3"/>
        <v>90</v>
      </c>
      <c r="S14" s="14">
        <f t="shared" si="3"/>
        <v>2.1287500000000001</v>
      </c>
      <c r="T14" s="14">
        <f t="shared" si="3"/>
        <v>25</v>
      </c>
      <c r="U14" s="14">
        <f t="shared" si="3"/>
        <v>27.12875</v>
      </c>
      <c r="V14" s="12"/>
      <c r="W14" s="12"/>
    </row>
    <row r="15" spans="1:2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67"/>
      <c r="M15" s="14"/>
      <c r="N15" s="14"/>
      <c r="O15" s="12"/>
      <c r="V15" s="12"/>
      <c r="W15" s="12"/>
    </row>
    <row r="16" spans="1:23">
      <c r="A16" s="12"/>
      <c r="B16" s="12"/>
      <c r="C16" s="12"/>
      <c r="D16" s="12"/>
      <c r="I16" s="92" t="s">
        <v>10</v>
      </c>
      <c r="J16" s="86">
        <f>XIRR(J6:J14,E6:E14,0)</f>
        <v>0.65078711914062515</v>
      </c>
      <c r="K16" s="12"/>
      <c r="L16" s="67"/>
      <c r="M16" s="14"/>
      <c r="N16" s="14"/>
      <c r="O16" s="12"/>
      <c r="V16" s="12"/>
      <c r="W16" s="12"/>
    </row>
    <row r="17" spans="1:23">
      <c r="A17" s="12"/>
      <c r="B17" s="12"/>
      <c r="C17" s="12"/>
      <c r="D17" s="12"/>
      <c r="I17" s="92" t="s">
        <v>64</v>
      </c>
      <c r="J17" s="71">
        <f>N19/(1+(J16/4))</f>
        <v>0.72092650707195638</v>
      </c>
      <c r="K17" s="12"/>
      <c r="L17" s="67"/>
      <c r="M17" s="14">
        <f>SUM(M7:M14)</f>
        <v>90.080336725259173</v>
      </c>
      <c r="N17" s="14">
        <f>SUM(N7:N14)</f>
        <v>75.5070433048338</v>
      </c>
      <c r="O17" s="12"/>
      <c r="P17" s="12"/>
      <c r="Q17" s="12"/>
      <c r="R17" s="12"/>
      <c r="S17" s="27"/>
      <c r="T17" s="27"/>
      <c r="U17" s="27"/>
      <c r="V17" s="12"/>
      <c r="W17" s="12"/>
    </row>
    <row r="18" spans="1:23">
      <c r="A18" s="12"/>
      <c r="B18" s="12"/>
      <c r="C18" s="12"/>
      <c r="D18" s="12"/>
      <c r="K18" s="12"/>
      <c r="L18" s="67"/>
      <c r="M18" s="14"/>
      <c r="N18" s="14"/>
      <c r="O18" s="12"/>
      <c r="P18" s="12"/>
      <c r="Q18" s="12"/>
      <c r="R18" s="12"/>
      <c r="S18" s="12"/>
      <c r="T18" s="12"/>
      <c r="U18" s="12"/>
      <c r="V18" s="27"/>
      <c r="W18" s="12"/>
    </row>
    <row r="19" spans="1:2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71"/>
      <c r="M19" s="71" t="s">
        <v>22</v>
      </c>
      <c r="N19" s="71">
        <f>N17/M17</f>
        <v>0.83821892823432442</v>
      </c>
      <c r="O19" s="12"/>
      <c r="P19" s="12"/>
      <c r="Q19" s="12"/>
      <c r="R19" s="12"/>
      <c r="S19" s="12"/>
      <c r="T19" s="12"/>
      <c r="U19" s="12"/>
      <c r="V19" s="27"/>
      <c r="W19" s="12"/>
    </row>
    <row r="20" spans="1:23">
      <c r="A20" s="12"/>
      <c r="B20" s="12"/>
      <c r="C20" s="12"/>
      <c r="D20" s="12"/>
      <c r="E20" s="372" t="s">
        <v>92</v>
      </c>
      <c r="F20" s="336"/>
      <c r="G20" s="129"/>
      <c r="H20" s="61">
        <v>0.4</v>
      </c>
      <c r="I20" s="62">
        <f>XNPV(H20,U6:U14,P6:P14)</f>
        <v>103.78881616832902</v>
      </c>
      <c r="J20" s="61">
        <f>(I20/-J6)-1</f>
        <v>0.15320906853698912</v>
      </c>
      <c r="K20" s="12"/>
      <c r="V20" s="12"/>
      <c r="W20" s="12"/>
    </row>
    <row r="21" spans="1:23">
      <c r="A21" s="12"/>
      <c r="B21" s="12"/>
      <c r="C21" s="12"/>
      <c r="D21" s="12"/>
      <c r="E21" s="373"/>
      <c r="F21" s="337"/>
      <c r="G21" s="130"/>
      <c r="H21" s="63">
        <v>0.45</v>
      </c>
      <c r="I21" s="64">
        <f>XNPV(H21,U6:U14,P6:P14)</f>
        <v>100.61550647716736</v>
      </c>
      <c r="J21" s="63">
        <f>(I21/-J6)-1</f>
        <v>0.11795007196852625</v>
      </c>
      <c r="K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>
      <c r="A22" s="12"/>
      <c r="B22" s="12"/>
      <c r="C22" s="12"/>
      <c r="D22" s="12"/>
      <c r="V22" s="12"/>
      <c r="W22" s="12"/>
    </row>
    <row r="23" spans="1:23">
      <c r="A23" s="12"/>
      <c r="B23" s="12"/>
      <c r="C23" s="12"/>
      <c r="D23" s="12"/>
      <c r="K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>
      <c r="A28" s="12"/>
      <c r="B28" s="12"/>
      <c r="C28" s="12"/>
      <c r="D28" s="12"/>
      <c r="E28" s="12"/>
      <c r="F28" s="12"/>
      <c r="G28" s="12"/>
      <c r="H28" s="14"/>
      <c r="I28" s="12"/>
      <c r="J28" s="12"/>
      <c r="K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>
      <c r="A29" s="12"/>
      <c r="B29" s="12"/>
      <c r="C29" s="12"/>
      <c r="D29" s="12"/>
      <c r="E29" s="12"/>
      <c r="F29" s="12"/>
      <c r="G29" s="12"/>
      <c r="H29" s="22"/>
      <c r="I29" s="12"/>
      <c r="J29" s="12"/>
      <c r="K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O37" s="12"/>
      <c r="P37" s="12"/>
      <c r="Q37" s="12"/>
      <c r="R37" s="12"/>
      <c r="S37" s="12"/>
      <c r="T37" s="12"/>
      <c r="U37" s="12"/>
      <c r="V37" s="12"/>
      <c r="W37" s="12"/>
    </row>
  </sheetData>
  <mergeCells count="5">
    <mergeCell ref="B2:J2"/>
    <mergeCell ref="B4:C4"/>
    <mergeCell ref="E4:J4"/>
    <mergeCell ref="P4:U4"/>
    <mergeCell ref="E20:E2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showGridLines="0" zoomScale="90" zoomScaleNormal="90" workbookViewId="0">
      <selection activeCell="C7" sqref="C7"/>
    </sheetView>
  </sheetViews>
  <sheetFormatPr baseColWidth="10" defaultRowHeight="15"/>
  <cols>
    <col min="1" max="1" width="4" customWidth="1"/>
    <col min="2" max="2" width="12.28515625" customWidth="1"/>
    <col min="3" max="3" width="11.28515625" customWidth="1"/>
    <col min="4" max="4" width="3.140625" customWidth="1"/>
    <col min="5" max="5" width="12.140625" bestFit="1" customWidth="1"/>
    <col min="6" max="6" width="9.42578125" customWidth="1"/>
    <col min="7" max="7" width="10.85546875" customWidth="1"/>
    <col min="8" max="8" width="10" customWidth="1"/>
    <col min="9" max="9" width="10.140625" customWidth="1"/>
    <col min="10" max="10" width="4.5703125" customWidth="1"/>
    <col min="14" max="14" width="12.5703125" customWidth="1"/>
    <col min="15" max="15" width="12" customWidth="1"/>
    <col min="16" max="16" width="5.140625" customWidth="1"/>
    <col min="22" max="22" width="4.5703125" customWidth="1"/>
    <col min="23" max="23" width="11.7109375" bestFit="1" customWidth="1"/>
  </cols>
  <sheetData>
    <row r="1" spans="1:28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ht="15.75">
      <c r="A2" s="12"/>
      <c r="B2" s="368" t="s">
        <v>38</v>
      </c>
      <c r="C2" s="368"/>
      <c r="D2" s="368"/>
      <c r="E2" s="368"/>
      <c r="F2" s="368"/>
      <c r="G2" s="368"/>
      <c r="H2" s="368"/>
      <c r="I2" s="368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>
      <c r="A4" s="12"/>
      <c r="B4" s="369" t="s">
        <v>37</v>
      </c>
      <c r="C4" s="370"/>
      <c r="D4" s="12"/>
      <c r="E4" s="394" t="s">
        <v>36</v>
      </c>
      <c r="F4" s="394"/>
      <c r="G4" s="394"/>
      <c r="H4" s="394"/>
      <c r="I4" s="394"/>
      <c r="J4" s="12"/>
      <c r="K4" s="391" t="s">
        <v>85</v>
      </c>
      <c r="L4" s="391"/>
      <c r="M4" s="391"/>
      <c r="N4" s="391"/>
      <c r="O4" s="391"/>
      <c r="P4" s="12"/>
      <c r="Q4" s="391" t="s">
        <v>85</v>
      </c>
      <c r="R4" s="391"/>
      <c r="S4" s="391"/>
      <c r="T4" s="391"/>
      <c r="U4" s="391"/>
      <c r="V4" s="12"/>
      <c r="W4" s="394" t="s">
        <v>36</v>
      </c>
      <c r="X4" s="394"/>
      <c r="Y4" s="394"/>
      <c r="Z4" s="394"/>
      <c r="AA4" s="394"/>
      <c r="AB4" s="12"/>
    </row>
    <row r="5" spans="1:28">
      <c r="A5" s="12"/>
      <c r="B5" s="24" t="s">
        <v>0</v>
      </c>
      <c r="C5" s="33">
        <v>42573</v>
      </c>
      <c r="D5" s="12"/>
      <c r="E5" s="68" t="s">
        <v>14</v>
      </c>
      <c r="F5" s="68" t="s">
        <v>7</v>
      </c>
      <c r="G5" s="68" t="s">
        <v>8</v>
      </c>
      <c r="H5" s="68" t="s">
        <v>33</v>
      </c>
      <c r="I5" s="68" t="s">
        <v>9</v>
      </c>
      <c r="J5" s="12"/>
      <c r="K5" s="29" t="s">
        <v>14</v>
      </c>
      <c r="L5" s="29" t="s">
        <v>7</v>
      </c>
      <c r="M5" s="29" t="s">
        <v>8</v>
      </c>
      <c r="N5" s="29" t="s">
        <v>33</v>
      </c>
      <c r="O5" s="29" t="s">
        <v>9</v>
      </c>
      <c r="P5" s="12"/>
      <c r="Q5" s="29" t="s">
        <v>14</v>
      </c>
      <c r="R5" s="29" t="s">
        <v>7</v>
      </c>
      <c r="S5" s="29" t="s">
        <v>8</v>
      </c>
      <c r="T5" s="29" t="s">
        <v>33</v>
      </c>
      <c r="U5" s="29" t="s">
        <v>9</v>
      </c>
      <c r="V5" s="12"/>
      <c r="W5" s="68" t="s">
        <v>14</v>
      </c>
      <c r="X5" s="68" t="s">
        <v>7</v>
      </c>
      <c r="Y5" s="68" t="s">
        <v>8</v>
      </c>
      <c r="Z5" s="68" t="s">
        <v>33</v>
      </c>
      <c r="AA5" s="68" t="s">
        <v>9</v>
      </c>
      <c r="AB5" s="12"/>
    </row>
    <row r="6" spans="1:28">
      <c r="A6" s="12"/>
      <c r="B6" s="24" t="s">
        <v>1</v>
      </c>
      <c r="C6" s="33">
        <v>44399</v>
      </c>
      <c r="D6" s="12"/>
      <c r="E6" s="69">
        <f>'Planilla de datos'!D3</f>
        <v>44383</v>
      </c>
      <c r="F6" s="70">
        <v>100</v>
      </c>
      <c r="G6" s="26"/>
      <c r="H6" s="26"/>
      <c r="I6" s="71">
        <f>-'Planilla de datos'!C12</f>
        <v>-524.70000000000005</v>
      </c>
      <c r="J6" s="12"/>
      <c r="K6" s="15">
        <f>E6</f>
        <v>44383</v>
      </c>
      <c r="L6" s="243">
        <v>100</v>
      </c>
      <c r="M6" s="244"/>
      <c r="N6" s="243"/>
      <c r="O6" s="245">
        <f>I6</f>
        <v>-524.70000000000005</v>
      </c>
      <c r="P6" s="12"/>
      <c r="Q6" s="15">
        <f>+K6</f>
        <v>44383</v>
      </c>
      <c r="R6" s="12">
        <f>L6</f>
        <v>100</v>
      </c>
      <c r="S6" s="30"/>
      <c r="T6" s="12"/>
      <c r="U6" s="14">
        <v>0</v>
      </c>
      <c r="V6" s="12"/>
      <c r="W6" s="69">
        <f>+E6</f>
        <v>44383</v>
      </c>
      <c r="X6" s="70">
        <v>100</v>
      </c>
      <c r="Y6" s="26"/>
      <c r="Z6" s="26"/>
      <c r="AA6" s="71">
        <v>0</v>
      </c>
      <c r="AB6" s="12"/>
    </row>
    <row r="7" spans="1:28">
      <c r="A7" s="12"/>
      <c r="B7" s="24" t="s">
        <v>2</v>
      </c>
      <c r="C7" s="25">
        <v>6.1618000000000004</v>
      </c>
      <c r="D7" s="12"/>
      <c r="E7" s="69">
        <v>44399</v>
      </c>
      <c r="F7" s="70">
        <v>100</v>
      </c>
      <c r="G7" s="72">
        <f>(C11*C10)/360*180</f>
        <v>6.468361517738324</v>
      </c>
      <c r="H7" s="74">
        <f>C11</f>
        <v>517.46892141906585</v>
      </c>
      <c r="I7" s="71">
        <f>SUM(G7:H7)</f>
        <v>523.93728293680419</v>
      </c>
      <c r="J7" s="12"/>
      <c r="K7" s="15">
        <f>E7</f>
        <v>44399</v>
      </c>
      <c r="L7" s="243">
        <v>100</v>
      </c>
      <c r="M7" s="245">
        <f>O17*(C10/360*180)</f>
        <v>6.5742153266902523</v>
      </c>
      <c r="N7" s="245">
        <f>O17</f>
        <v>525.93722613522016</v>
      </c>
      <c r="O7" s="245">
        <f>SUM(M7:N7)</f>
        <v>532.51144146191041</v>
      </c>
      <c r="P7" s="12"/>
      <c r="Q7" s="15">
        <f>K7</f>
        <v>44399</v>
      </c>
      <c r="R7" s="12">
        <f>L7</f>
        <v>100</v>
      </c>
      <c r="S7" s="14">
        <f>M7</f>
        <v>6.5742153266902523</v>
      </c>
      <c r="T7" s="14">
        <f>N7</f>
        <v>525.93722613522016</v>
      </c>
      <c r="U7" s="14">
        <f>SUM(S7:T7)</f>
        <v>532.51144146191041</v>
      </c>
      <c r="V7" s="12"/>
      <c r="W7" s="69">
        <f>+E7</f>
        <v>44399</v>
      </c>
      <c r="X7" s="70">
        <v>100</v>
      </c>
      <c r="Y7" s="72">
        <f>+G7</f>
        <v>6.468361517738324</v>
      </c>
      <c r="Z7" s="74">
        <v>334.01036527100166</v>
      </c>
      <c r="AA7" s="71">
        <f>+I7</f>
        <v>523.93728293680419</v>
      </c>
      <c r="AB7" s="12"/>
    </row>
    <row r="8" spans="1:28">
      <c r="A8" s="12"/>
      <c r="B8" s="24" t="s">
        <v>3</v>
      </c>
      <c r="C8" s="25">
        <f>'Planilla de datos'!D64</f>
        <v>31.885400000000001</v>
      </c>
      <c r="D8" s="12"/>
      <c r="E8" s="26"/>
      <c r="F8" s="26"/>
      <c r="G8" s="26"/>
      <c r="H8" s="12"/>
      <c r="I8" s="12"/>
      <c r="J8" s="12"/>
      <c r="P8" s="12"/>
      <c r="AB8" s="12"/>
    </row>
    <row r="9" spans="1:28">
      <c r="A9" s="12"/>
      <c r="B9" s="24" t="s">
        <v>4</v>
      </c>
      <c r="C9" s="34">
        <f>C8/C7</f>
        <v>5.174689214190658</v>
      </c>
      <c r="D9" s="12"/>
      <c r="E9" s="12">
        <f>E7-E6</f>
        <v>16</v>
      </c>
      <c r="F9" s="12"/>
      <c r="G9" s="12"/>
      <c r="H9" s="92" t="s">
        <v>13</v>
      </c>
      <c r="I9" s="86">
        <f>XIRR(I6:I7,E6:E7,0)</f>
        <v>-3.264036686051637E-2</v>
      </c>
      <c r="J9" s="12"/>
      <c r="K9" s="15"/>
      <c r="L9" s="12"/>
      <c r="M9" s="30"/>
      <c r="N9" s="12"/>
      <c r="O9" s="30"/>
      <c r="P9" s="12"/>
      <c r="V9" s="12"/>
      <c r="AB9" s="12"/>
    </row>
    <row r="10" spans="1:28">
      <c r="A10" s="12"/>
      <c r="B10" s="24" t="s">
        <v>5</v>
      </c>
      <c r="C10" s="35">
        <v>2.5000000000000001E-2</v>
      </c>
      <c r="D10" s="12"/>
      <c r="E10" s="12"/>
      <c r="F10" s="12"/>
      <c r="G10" s="12"/>
      <c r="H10" s="92" t="s">
        <v>64</v>
      </c>
      <c r="I10" s="71">
        <f>MDURATION(E6,E7,C10,0,2)</f>
        <v>4.4444444444444391E-2</v>
      </c>
      <c r="J10" s="12"/>
      <c r="K10" s="15"/>
      <c r="L10" s="12"/>
      <c r="M10" s="12"/>
      <c r="N10" s="92" t="s">
        <v>10</v>
      </c>
      <c r="O10" s="86">
        <f>XIRR(O6:O7,K6:K7,0)</f>
        <v>0.40090236816406255</v>
      </c>
      <c r="P10" s="12"/>
      <c r="Q10" s="15"/>
      <c r="R10" s="12"/>
      <c r="S10" s="30"/>
      <c r="T10" s="12"/>
      <c r="U10" s="30"/>
      <c r="V10" s="12"/>
      <c r="W10" s="12"/>
      <c r="X10" s="12"/>
      <c r="Y10" s="12"/>
      <c r="Z10" s="12"/>
      <c r="AA10" s="12"/>
      <c r="AB10" s="12"/>
    </row>
    <row r="11" spans="1:28">
      <c r="A11" s="12"/>
      <c r="B11" s="36" t="s">
        <v>16</v>
      </c>
      <c r="C11" s="37">
        <f>C9*F6</f>
        <v>517.46892141906585</v>
      </c>
      <c r="D11" s="12"/>
      <c r="J11" s="12"/>
      <c r="K11" s="12"/>
      <c r="L11" s="12"/>
      <c r="M11" s="12"/>
      <c r="N11" s="92" t="s">
        <v>22</v>
      </c>
      <c r="O11" s="71">
        <f>DURATION(K6,K7,C10,O10,2)</f>
        <v>4.4444444444444398E-2</v>
      </c>
      <c r="P11" s="12"/>
      <c r="Q11" s="15"/>
      <c r="R11" s="12"/>
      <c r="S11" s="12"/>
      <c r="T11" s="87"/>
      <c r="U11" s="42"/>
      <c r="V11" s="12"/>
      <c r="W11" s="12"/>
      <c r="X11" s="12"/>
      <c r="Y11" s="12"/>
      <c r="Z11" s="12"/>
      <c r="AA11" s="12"/>
      <c r="AB11" s="12"/>
    </row>
    <row r="12" spans="1:28">
      <c r="A12" s="12"/>
      <c r="B12" s="12"/>
      <c r="C12" s="12"/>
      <c r="D12" s="12"/>
      <c r="J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>
      <c r="A13" s="12"/>
      <c r="B13" s="12"/>
      <c r="C13" s="12"/>
      <c r="D13" s="12"/>
      <c r="E13" s="401" t="s">
        <v>18</v>
      </c>
      <c r="F13" s="401"/>
      <c r="G13" s="76">
        <v>0.35</v>
      </c>
      <c r="H13" s="129">
        <f>XNPV(G13,U6:U7,Q6:Q7)</f>
        <v>525.55198689324754</v>
      </c>
      <c r="I13" s="76">
        <f>(H13+$I$6)/(-$I$6)</f>
        <v>1.6237600404945666E-3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>
      <c r="A14" s="12"/>
      <c r="B14" s="12"/>
      <c r="C14" s="12"/>
      <c r="D14" s="12"/>
      <c r="E14" s="402"/>
      <c r="F14" s="402"/>
      <c r="G14" s="42">
        <v>0.45</v>
      </c>
      <c r="H14" s="109">
        <f>XNPV(G14,U6:U7,Q6:Q7)</f>
        <v>523.9082984896761</v>
      </c>
      <c r="I14" s="42">
        <f>(H14+$I$6)/(-$I$6)</f>
        <v>-1.5088650854277613E-3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>
      <c r="A15" s="12"/>
      <c r="B15" s="12"/>
      <c r="C15" s="12"/>
      <c r="D15" s="12"/>
      <c r="E15" s="403"/>
      <c r="F15" s="403"/>
      <c r="G15" s="78">
        <v>0.4</v>
      </c>
      <c r="H15" s="79">
        <f>XNPV(G15,U6:U7,Q6:Q7)</f>
        <v>524.71482039587681</v>
      </c>
      <c r="I15" s="78">
        <f>(H15+I6)/(-I6)</f>
        <v>2.8245465745698662E-5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ht="28.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38" t="s">
        <v>6</v>
      </c>
      <c r="L16" s="138" t="s">
        <v>58</v>
      </c>
      <c r="M16" s="138" t="s">
        <v>24</v>
      </c>
      <c r="N16" s="138" t="s">
        <v>4</v>
      </c>
      <c r="O16" s="138" t="s">
        <v>59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>
      <c r="A17" s="12"/>
      <c r="B17" s="12"/>
      <c r="C17" s="12"/>
      <c r="D17" s="12"/>
      <c r="E17" s="395" t="s">
        <v>12</v>
      </c>
      <c r="F17" s="395"/>
      <c r="G17" s="395"/>
      <c r="H17" s="395"/>
      <c r="I17" s="395"/>
      <c r="J17" s="12"/>
      <c r="K17" s="155">
        <v>44399</v>
      </c>
      <c r="L17" s="155">
        <v>44384</v>
      </c>
      <c r="M17" s="240">
        <f>+'Serie CER'!H192</f>
        <v>32.407200000000003</v>
      </c>
      <c r="N17" s="159">
        <f>(M17/$C$7)</f>
        <v>5.259372261352202</v>
      </c>
      <c r="O17" s="128">
        <f>100*N17</f>
        <v>525.93722613522016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>
      <c r="A18" s="12"/>
      <c r="B18" s="12"/>
      <c r="C18" s="12"/>
      <c r="D18" s="12"/>
      <c r="E18" s="12"/>
      <c r="F18" s="12"/>
      <c r="G18" s="12"/>
      <c r="H18" s="12"/>
      <c r="I18" s="12"/>
      <c r="J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 t="s">
        <v>184</v>
      </c>
      <c r="O20" s="22">
        <f>(O7+O6)/-O6</f>
        <v>1.4887443228340694E-2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10"/>
      <c r="L21" s="110"/>
      <c r="M21" s="110"/>
      <c r="N21" s="110" t="s">
        <v>17</v>
      </c>
      <c r="O21" s="22">
        <f>O20/E9*365</f>
        <v>0.33961979864652209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>
      <c r="A22" s="12"/>
      <c r="B22" s="12"/>
      <c r="C22" s="12"/>
      <c r="D22" s="12"/>
      <c r="E22" s="12"/>
      <c r="F22" s="110"/>
      <c r="G22" s="110"/>
      <c r="H22" s="110"/>
      <c r="I22" s="110"/>
      <c r="J22" s="110"/>
      <c r="K22" s="110"/>
      <c r="L22" s="110"/>
      <c r="M22" s="110"/>
      <c r="N22" s="110" t="s">
        <v>150</v>
      </c>
      <c r="O22" s="22">
        <f>(1+O20)^(365/E9)-1</f>
        <v>0.40090236750730845</v>
      </c>
      <c r="P22" s="110"/>
      <c r="Q22" s="110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>
      <c r="A23" s="12"/>
      <c r="B23" s="12"/>
      <c r="C23" s="12"/>
      <c r="D23" s="12"/>
      <c r="E23" s="12"/>
      <c r="F23" s="110"/>
      <c r="G23" s="110"/>
      <c r="H23" s="110"/>
      <c r="I23" s="110"/>
      <c r="J23" s="110"/>
      <c r="P23" s="110"/>
      <c r="Q23" s="110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>
      <c r="A24" s="12"/>
      <c r="B24" s="12"/>
      <c r="C24" s="12"/>
      <c r="D24" s="12"/>
      <c r="E24" s="12"/>
      <c r="F24" s="110"/>
      <c r="G24" s="110"/>
      <c r="H24" s="110"/>
      <c r="I24" s="110"/>
      <c r="J24" s="110"/>
      <c r="K24" s="134"/>
      <c r="L24" s="134"/>
      <c r="M24" s="134"/>
      <c r="N24" s="134"/>
      <c r="O24" s="134"/>
      <c r="P24" s="134"/>
      <c r="Q24" s="110"/>
      <c r="R24" s="12"/>
      <c r="S24" s="12"/>
      <c r="T24" s="12"/>
      <c r="U24" s="12"/>
      <c r="V24" s="12"/>
      <c r="W24" s="400" t="s">
        <v>41</v>
      </c>
      <c r="X24" s="400"/>
      <c r="Y24" s="400"/>
      <c r="Z24" s="12"/>
      <c r="AA24" s="12"/>
      <c r="AB24" s="12"/>
    </row>
    <row r="25" spans="1:28">
      <c r="A25" s="12"/>
      <c r="B25" s="12"/>
      <c r="C25" s="12"/>
      <c r="D25" s="12"/>
      <c r="E25" s="12"/>
      <c r="F25" s="110"/>
      <c r="G25" s="110"/>
      <c r="H25" s="110"/>
      <c r="I25" s="110"/>
      <c r="J25" s="110"/>
      <c r="K25" s="110"/>
      <c r="L25" s="110"/>
      <c r="M25" s="110"/>
      <c r="N25" s="110"/>
      <c r="O25" s="115"/>
      <c r="P25" s="110"/>
      <c r="Q25" s="110"/>
      <c r="R25" s="12"/>
      <c r="S25" s="12"/>
      <c r="T25" s="12"/>
      <c r="U25" s="12"/>
      <c r="V25" s="12"/>
      <c r="W25" s="400" t="s">
        <v>82</v>
      </c>
      <c r="X25" s="400"/>
      <c r="Y25" s="400"/>
      <c r="Z25" s="12"/>
      <c r="AA25" s="12"/>
      <c r="AB25" s="12"/>
    </row>
    <row r="26" spans="1:28">
      <c r="A26" s="12"/>
      <c r="B26" s="12"/>
      <c r="C26" s="26"/>
      <c r="D26" s="26"/>
      <c r="E26" s="26"/>
      <c r="F26" s="95"/>
      <c r="G26" s="95"/>
      <c r="H26" s="95"/>
      <c r="I26" s="95"/>
      <c r="J26" s="95"/>
      <c r="K26" s="399"/>
      <c r="L26" s="399"/>
      <c r="M26" s="110"/>
      <c r="N26" s="111"/>
      <c r="O26" s="111"/>
      <c r="P26" s="111"/>
      <c r="Q26" s="110"/>
      <c r="R26" s="12"/>
      <c r="S26" s="12"/>
      <c r="T26" s="12"/>
      <c r="U26" s="12"/>
      <c r="V26" s="12"/>
      <c r="W26" s="108" t="s">
        <v>10</v>
      </c>
      <c r="X26" s="108" t="s">
        <v>83</v>
      </c>
      <c r="Y26" s="108" t="s">
        <v>84</v>
      </c>
      <c r="Z26" s="12"/>
      <c r="AA26" s="12"/>
      <c r="AB26" s="12"/>
    </row>
    <row r="27" spans="1:28">
      <c r="A27" s="12"/>
      <c r="B27" s="12"/>
      <c r="C27" s="26"/>
      <c r="D27" s="26"/>
      <c r="E27" s="26"/>
      <c r="F27" s="95"/>
      <c r="G27" s="95"/>
      <c r="H27" s="95"/>
      <c r="I27" s="95"/>
      <c r="J27" s="95"/>
      <c r="K27" s="112"/>
      <c r="L27" s="112"/>
      <c r="M27" s="110"/>
      <c r="N27" s="121"/>
      <c r="O27" s="110"/>
      <c r="P27" s="114"/>
      <c r="Q27" s="110"/>
      <c r="R27" s="12"/>
      <c r="S27" s="12"/>
      <c r="T27" s="12"/>
      <c r="U27" s="12"/>
      <c r="V27" s="12"/>
      <c r="W27" s="227">
        <v>0.15</v>
      </c>
      <c r="X27" s="241">
        <f>XNPV(W27,AA6:AA7,W6:W7)</f>
        <v>520.73716735029825</v>
      </c>
      <c r="Y27" s="242">
        <f t="shared" ref="Y27:Y32" si="0">(X27+$I$6)/(-$I$6)</f>
        <v>-7.5525684194812171E-3</v>
      </c>
      <c r="Z27" s="12"/>
      <c r="AA27" s="12"/>
      <c r="AB27" s="12"/>
    </row>
    <row r="28" spans="1:28">
      <c r="A28" s="12"/>
      <c r="B28" s="12"/>
      <c r="C28" s="26"/>
      <c r="D28" s="26"/>
      <c r="E28" s="26"/>
      <c r="F28" s="95"/>
      <c r="G28" s="95"/>
      <c r="H28" s="95"/>
      <c r="I28" s="95"/>
      <c r="J28" s="95"/>
      <c r="K28" s="113"/>
      <c r="L28" s="115"/>
      <c r="M28" s="110"/>
      <c r="N28" s="121"/>
      <c r="O28" s="110"/>
      <c r="P28" s="114"/>
      <c r="Q28" s="110"/>
      <c r="R28" s="12"/>
      <c r="S28" s="12"/>
      <c r="T28" s="12"/>
      <c r="U28" s="12"/>
      <c r="V28" s="12"/>
      <c r="W28" s="227">
        <v>0.14000000000000001</v>
      </c>
      <c r="X28" s="241">
        <f>XNPV(W28,AA6:AA7,W6:W7)</f>
        <v>520.93656778697607</v>
      </c>
      <c r="Y28" s="242">
        <f t="shared" si="0"/>
        <v>-7.1725409053248999E-3</v>
      </c>
      <c r="Z28" s="12"/>
      <c r="AA28" s="12"/>
      <c r="AB28" s="12"/>
    </row>
    <row r="29" spans="1:28">
      <c r="A29" s="12"/>
      <c r="B29" s="12"/>
      <c r="C29" s="26"/>
      <c r="D29" s="26"/>
      <c r="E29" s="26"/>
      <c r="F29" s="95"/>
      <c r="G29" s="95"/>
      <c r="H29" s="95"/>
      <c r="I29" s="95"/>
      <c r="J29" s="95"/>
      <c r="K29" s="114"/>
      <c r="L29" s="110"/>
      <c r="M29" s="110"/>
      <c r="N29" s="121"/>
      <c r="O29" s="110"/>
      <c r="P29" s="114"/>
      <c r="Q29" s="110"/>
      <c r="R29" s="12"/>
      <c r="S29" s="12"/>
      <c r="T29" s="12"/>
      <c r="U29" s="12"/>
      <c r="V29" s="12"/>
      <c r="W29" s="227">
        <v>0.13</v>
      </c>
      <c r="X29" s="241">
        <f>XNPV(W29,AA6:AA7,W6:W7)</f>
        <v>521.13780244480074</v>
      </c>
      <c r="Y29" s="242">
        <f t="shared" si="0"/>
        <v>-6.7890176390305017E-3</v>
      </c>
      <c r="Z29" s="12"/>
      <c r="AA29" s="12"/>
      <c r="AB29" s="12"/>
    </row>
    <row r="30" spans="1:28">
      <c r="A30" s="12"/>
      <c r="B30" s="12"/>
      <c r="C30" s="26"/>
      <c r="D30" s="26"/>
      <c r="E30" s="26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110"/>
      <c r="R30" s="12"/>
      <c r="S30" s="12"/>
      <c r="T30" s="12"/>
      <c r="U30" s="12"/>
      <c r="V30" s="12"/>
      <c r="W30" s="227">
        <v>0.12</v>
      </c>
      <c r="X30" s="241">
        <f>XNPV(W30,AA6:AA7,W6:W7)</f>
        <v>521.3409046539789</v>
      </c>
      <c r="Y30" s="242">
        <f t="shared" si="0"/>
        <v>-6.401935098191632E-3</v>
      </c>
      <c r="Z30" s="12"/>
      <c r="AA30" s="12"/>
      <c r="AB30" s="12"/>
    </row>
    <row r="31" spans="1:28">
      <c r="A31" s="12"/>
      <c r="B31" s="12"/>
      <c r="C31" s="26"/>
      <c r="D31" s="26"/>
      <c r="E31" s="26"/>
      <c r="F31" s="117"/>
      <c r="G31" s="135"/>
      <c r="H31" s="117"/>
      <c r="I31" s="117"/>
      <c r="J31" s="117"/>
      <c r="K31" s="117"/>
      <c r="L31" s="118"/>
      <c r="M31" s="95"/>
      <c r="N31" s="397"/>
      <c r="O31" s="397"/>
      <c r="P31" s="95"/>
      <c r="Q31" s="110"/>
      <c r="R31" s="12"/>
      <c r="S31" s="12"/>
      <c r="T31" s="12"/>
      <c r="U31" s="12"/>
      <c r="V31" s="12"/>
      <c r="W31" s="227">
        <v>0.11</v>
      </c>
      <c r="X31" s="241">
        <f>XNPV(W31,AA6:AA7,W6:W7)</f>
        <v>521.54590865480009</v>
      </c>
      <c r="Y31" s="242">
        <f t="shared" si="0"/>
        <v>-6.0112280259194935E-3</v>
      </c>
      <c r="Z31" s="12"/>
      <c r="AA31" s="12"/>
      <c r="AB31" s="12"/>
    </row>
    <row r="32" spans="1:28">
      <c r="A32" s="12"/>
      <c r="B32" s="12"/>
      <c r="C32" s="26"/>
      <c r="D32" s="26"/>
      <c r="E32" s="26"/>
      <c r="F32" s="398"/>
      <c r="G32" s="398"/>
      <c r="H32" s="398"/>
      <c r="I32" s="398"/>
      <c r="J32" s="398"/>
      <c r="K32" s="398"/>
      <c r="L32" s="120"/>
      <c r="M32" s="95"/>
      <c r="N32" s="95"/>
      <c r="O32" s="276"/>
      <c r="P32" s="136"/>
      <c r="Q32" s="110"/>
      <c r="R32" s="12"/>
      <c r="S32" s="12"/>
      <c r="T32" s="12"/>
      <c r="U32" s="12"/>
      <c r="V32" s="12"/>
      <c r="W32" s="227">
        <v>0.1</v>
      </c>
      <c r="X32" s="241">
        <f>XNPV(W32,AA6:AA7,W6:W7)</f>
        <v>521.75284963094896</v>
      </c>
      <c r="Y32" s="242">
        <f t="shared" si="0"/>
        <v>-5.6168293673548447E-3</v>
      </c>
      <c r="Z32" s="12"/>
      <c r="AA32" s="12"/>
      <c r="AB32" s="12"/>
    </row>
    <row r="33" spans="1:28">
      <c r="A33" s="12"/>
      <c r="B33" s="12"/>
      <c r="C33" s="26"/>
      <c r="D33" s="26"/>
      <c r="E33" s="26"/>
      <c r="F33" s="28"/>
      <c r="G33" s="95"/>
      <c r="H33" s="95"/>
      <c r="I33" s="120"/>
      <c r="J33" s="137"/>
      <c r="K33" s="98"/>
      <c r="L33" s="120"/>
      <c r="M33" s="95"/>
      <c r="N33" s="95"/>
      <c r="O33" s="120"/>
      <c r="P33" s="95"/>
      <c r="Q33" s="110"/>
      <c r="R33" s="12"/>
      <c r="S33" s="12"/>
      <c r="T33" s="12"/>
      <c r="U33" s="12"/>
      <c r="V33" s="12"/>
      <c r="W33" s="227">
        <v>0.09</v>
      </c>
      <c r="X33" s="241">
        <f>XNPV(W33,AA6:AA7,W6:W7)</f>
        <v>521.9617637443539</v>
      </c>
      <c r="Y33" s="242">
        <f t="shared" ref="Y33:Y40" si="1">(X33+$I$6)/(-$I$6)</f>
        <v>-5.2186702032516541E-3</v>
      </c>
      <c r="Z33" s="12"/>
      <c r="AA33" s="12"/>
      <c r="AB33" s="12"/>
    </row>
    <row r="34" spans="1:28">
      <c r="A34" s="12"/>
      <c r="B34" s="12"/>
      <c r="C34" s="26"/>
      <c r="D34" s="26"/>
      <c r="E34" s="26"/>
      <c r="F34" s="28"/>
      <c r="G34" s="95"/>
      <c r="H34" s="95"/>
      <c r="I34" s="120"/>
      <c r="J34" s="137"/>
      <c r="K34" s="98"/>
      <c r="L34" s="120"/>
      <c r="M34" s="95"/>
      <c r="N34" s="95"/>
      <c r="O34" s="95"/>
      <c r="P34" s="95"/>
      <c r="Q34" s="110"/>
      <c r="R34" s="12"/>
      <c r="S34" s="12"/>
      <c r="T34" s="12"/>
      <c r="U34" s="12"/>
      <c r="V34" s="12"/>
      <c r="W34" s="227">
        <v>0.08</v>
      </c>
      <c r="X34" s="241">
        <f>XNPV(W34,AA6:AA7,W6:W7)</f>
        <v>522.17268817165416</v>
      </c>
      <c r="Y34" s="242">
        <f t="shared" si="1"/>
        <v>-4.8166796804762473E-3</v>
      </c>
      <c r="Z34" s="12"/>
      <c r="AA34" s="12"/>
      <c r="AB34" s="12"/>
    </row>
    <row r="35" spans="1:28">
      <c r="A35" s="12"/>
      <c r="B35" s="12"/>
      <c r="C35" s="26"/>
      <c r="D35" s="26"/>
      <c r="E35" s="26"/>
      <c r="F35" s="28"/>
      <c r="G35" s="95"/>
      <c r="H35" s="95"/>
      <c r="I35" s="120"/>
      <c r="J35" s="137"/>
      <c r="K35" s="98"/>
      <c r="L35" s="95"/>
      <c r="M35" s="95"/>
      <c r="N35" s="95"/>
      <c r="O35" s="127"/>
      <c r="P35" s="95"/>
      <c r="Q35" s="110"/>
      <c r="R35" s="12"/>
      <c r="S35" s="12"/>
      <c r="T35" s="12"/>
      <c r="U35" s="12"/>
      <c r="V35" s="12"/>
      <c r="W35" s="227">
        <v>7.0000000000000007E-2</v>
      </c>
      <c r="X35" s="241">
        <f>XNPV(W35,AA6:AA7,W6:W7)</f>
        <v>522.38566114238017</v>
      </c>
      <c r="Y35" s="242">
        <f t="shared" si="1"/>
        <v>-4.4107849392412291E-3</v>
      </c>
      <c r="Z35" s="12"/>
      <c r="AA35" s="12"/>
      <c r="AB35" s="12"/>
    </row>
    <row r="36" spans="1:28">
      <c r="A36" s="12"/>
      <c r="B36" s="12"/>
      <c r="C36" s="26"/>
      <c r="D36" s="26"/>
      <c r="E36" s="26"/>
      <c r="F36" s="83"/>
      <c r="G36" s="26"/>
      <c r="H36" s="26"/>
      <c r="I36" s="82"/>
      <c r="J36" s="84"/>
      <c r="K36" s="71"/>
      <c r="L36" s="26"/>
      <c r="M36" s="26"/>
      <c r="N36" s="26"/>
      <c r="O36" s="26"/>
      <c r="P36" s="26"/>
      <c r="Q36" s="12"/>
      <c r="R36" s="12"/>
      <c r="S36" s="12"/>
      <c r="T36" s="12"/>
      <c r="U36" s="12"/>
      <c r="V36" s="12"/>
      <c r="W36" s="227">
        <v>0.06</v>
      </c>
      <c r="X36" s="241">
        <f>XNPV(W36,AA6:AA7,W6:W7)</f>
        <v>522.60072197894124</v>
      </c>
      <c r="Y36" s="242">
        <f t="shared" si="1"/>
        <v>-4.0009110368950029E-3</v>
      </c>
      <c r="Z36" s="12"/>
      <c r="AA36" s="12"/>
      <c r="AB36" s="12"/>
    </row>
    <row r="37" spans="1:28">
      <c r="A37" s="12"/>
      <c r="B37" s="12"/>
      <c r="C37" s="26"/>
      <c r="D37" s="26"/>
      <c r="E37" s="26"/>
      <c r="F37" s="83"/>
      <c r="G37" s="26"/>
      <c r="H37" s="26"/>
      <c r="I37" s="82"/>
      <c r="J37" s="84"/>
      <c r="K37" s="71"/>
      <c r="L37" s="26"/>
      <c r="M37" s="26"/>
      <c r="N37" s="26"/>
      <c r="O37" s="71"/>
      <c r="P37" s="26"/>
      <c r="Q37" s="12"/>
      <c r="R37" s="12"/>
      <c r="S37" s="12"/>
      <c r="T37" s="12"/>
      <c r="U37" s="12"/>
      <c r="V37" s="12"/>
      <c r="W37" s="227">
        <v>0.05</v>
      </c>
      <c r="X37" s="241">
        <f>XNPV(W37,AA6:AA7,W6:W7)</f>
        <v>522.81791113852614</v>
      </c>
      <c r="Y37" s="242">
        <f t="shared" si="1"/>
        <v>-3.5869808680653766E-3</v>
      </c>
      <c r="Z37" s="12"/>
      <c r="AA37" s="12"/>
      <c r="AB37" s="12"/>
    </row>
    <row r="38" spans="1:28">
      <c r="A38" s="12"/>
      <c r="B38" s="12"/>
      <c r="C38" s="26"/>
      <c r="D38" s="26"/>
      <c r="E38" s="26"/>
      <c r="F38" s="83"/>
      <c r="G38" s="26"/>
      <c r="H38" s="26"/>
      <c r="I38" s="82"/>
      <c r="J38" s="84"/>
      <c r="K38" s="71"/>
      <c r="L38" s="26"/>
      <c r="M38" s="26"/>
      <c r="N38" s="26"/>
      <c r="O38" s="26"/>
      <c r="P38" s="26"/>
      <c r="Q38" s="12"/>
      <c r="R38" s="12"/>
      <c r="S38" s="12"/>
      <c r="T38" s="12"/>
      <c r="U38" s="12"/>
      <c r="V38" s="12"/>
      <c r="W38" s="227">
        <v>0.04</v>
      </c>
      <c r="X38" s="241">
        <f>XNPV(W38,AA6:AA7,W6:W7)</f>
        <v>523.03727025702676</v>
      </c>
      <c r="Y38" s="242">
        <f t="shared" si="1"/>
        <v>-3.1689150809477481E-3</v>
      </c>
      <c r="Z38" s="12"/>
      <c r="AA38" s="12"/>
      <c r="AB38" s="12"/>
    </row>
    <row r="39" spans="1:28">
      <c r="A39" s="12"/>
      <c r="B39" s="12"/>
      <c r="C39" s="26"/>
      <c r="D39" s="26"/>
      <c r="E39" s="26"/>
      <c r="F39" s="396"/>
      <c r="G39" s="396"/>
      <c r="H39" s="396"/>
      <c r="I39" s="396"/>
      <c r="J39" s="396"/>
      <c r="K39" s="396"/>
      <c r="L39" s="26"/>
      <c r="M39" s="26"/>
      <c r="N39" s="26"/>
      <c r="O39" s="26"/>
      <c r="P39" s="26"/>
      <c r="Q39" s="12"/>
      <c r="R39" s="12"/>
      <c r="S39" s="12"/>
      <c r="T39" s="12"/>
      <c r="U39" s="12"/>
      <c r="V39" s="12"/>
      <c r="W39" s="227">
        <v>0.03</v>
      </c>
      <c r="X39" s="241">
        <f>XNPV(W39,AA6:AA7,W6:W7)</f>
        <v>523.25884219510215</v>
      </c>
      <c r="Y39" s="242">
        <f t="shared" si="1"/>
        <v>-2.7466319895138136E-3</v>
      </c>
      <c r="Z39" s="12"/>
      <c r="AA39" s="12"/>
      <c r="AB39" s="12"/>
    </row>
    <row r="40" spans="1:28">
      <c r="A40" s="12"/>
      <c r="B40" s="12"/>
      <c r="C40" s="26"/>
      <c r="D40" s="26"/>
      <c r="E40" s="26"/>
      <c r="F40" s="83"/>
      <c r="G40" s="26"/>
      <c r="H40" s="26"/>
      <c r="I40" s="82"/>
      <c r="J40" s="84"/>
      <c r="K40" s="71"/>
      <c r="L40" s="26"/>
      <c r="M40" s="26"/>
      <c r="N40" s="26"/>
      <c r="O40" s="26"/>
      <c r="P40" s="26"/>
      <c r="Q40" s="12"/>
      <c r="R40" s="12"/>
      <c r="S40" s="12"/>
      <c r="T40" s="12"/>
      <c r="U40" s="12"/>
      <c r="V40" s="12"/>
      <c r="W40" s="227">
        <v>0.02</v>
      </c>
      <c r="X40" s="241">
        <f>XNPV(W40,AA6:AA7,W6:W7)</f>
        <v>523.48267108651044</v>
      </c>
      <c r="Y40" s="242">
        <f t="shared" si="1"/>
        <v>-2.3200474813981501E-3</v>
      </c>
      <c r="Z40" s="12"/>
      <c r="AA40" s="12"/>
      <c r="AB40" s="12"/>
    </row>
    <row r="41" spans="1:28">
      <c r="A41" s="12"/>
      <c r="B41" s="12"/>
      <c r="C41" s="26"/>
      <c r="D41" s="26"/>
      <c r="E41" s="26"/>
      <c r="F41" s="83"/>
      <c r="G41" s="26"/>
      <c r="H41" s="26"/>
      <c r="I41" s="82"/>
      <c r="J41" s="84"/>
      <c r="K41" s="71"/>
      <c r="L41" s="26"/>
      <c r="M41" s="26"/>
      <c r="N41" s="26"/>
      <c r="O41" s="26"/>
      <c r="P41" s="26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>
      <c r="A42" s="12"/>
      <c r="B42" s="12"/>
      <c r="C42" s="26"/>
      <c r="D42" s="26"/>
      <c r="E42" s="26"/>
      <c r="F42" s="26"/>
      <c r="G42" s="26"/>
      <c r="H42" s="26"/>
      <c r="I42" s="26"/>
      <c r="J42" s="26"/>
      <c r="K42" s="71"/>
      <c r="L42" s="26"/>
      <c r="M42" s="26"/>
      <c r="N42" s="26"/>
      <c r="O42" s="26"/>
      <c r="P42" s="26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>
      <c r="A43" s="12"/>
      <c r="B43" s="12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>
      <c r="A44" s="12"/>
      <c r="B44" s="12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>
      <c r="A45" s="12"/>
      <c r="B45" s="12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>
      <c r="A46" s="12"/>
      <c r="B46" s="12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>
      <c r="A47" s="12"/>
      <c r="B47" s="12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14">
    <mergeCell ref="W4:AA4"/>
    <mergeCell ref="W24:Y24"/>
    <mergeCell ref="W25:Y25"/>
    <mergeCell ref="Q4:U4"/>
    <mergeCell ref="E13:F15"/>
    <mergeCell ref="B2:I2"/>
    <mergeCell ref="F39:K39"/>
    <mergeCell ref="N31:O31"/>
    <mergeCell ref="E4:I4"/>
    <mergeCell ref="B4:C4"/>
    <mergeCell ref="F32:K32"/>
    <mergeCell ref="E17:I17"/>
    <mergeCell ref="K26:L26"/>
    <mergeCell ref="K4:O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8"/>
  <sheetViews>
    <sheetView showGridLines="0" zoomScale="90" zoomScaleNormal="90" workbookViewId="0">
      <selection activeCell="E6" sqref="E6"/>
    </sheetView>
  </sheetViews>
  <sheetFormatPr baseColWidth="10" defaultRowHeight="15"/>
  <cols>
    <col min="1" max="1" width="4.28515625" customWidth="1"/>
    <col min="2" max="2" width="12" customWidth="1"/>
    <col min="3" max="3" width="12.140625" bestFit="1" customWidth="1"/>
    <col min="4" max="4" width="3.42578125" customWidth="1"/>
    <col min="5" max="5" width="12.140625" bestFit="1" customWidth="1"/>
    <col min="6" max="6" width="9.42578125" customWidth="1"/>
    <col min="7" max="7" width="9" bestFit="1" customWidth="1"/>
    <col min="8" max="9" width="10.42578125" customWidth="1"/>
    <col min="10" max="10" width="4.42578125" customWidth="1"/>
    <col min="11" max="11" width="11.28515625" customWidth="1"/>
    <col min="12" max="13" width="11" customWidth="1"/>
    <col min="14" max="14" width="11.140625" customWidth="1"/>
    <col min="15" max="15" width="11.85546875" bestFit="1" customWidth="1"/>
    <col min="16" max="16" width="5.28515625" customWidth="1"/>
    <col min="22" max="22" width="4.140625" customWidth="1"/>
  </cols>
  <sheetData>
    <row r="1" spans="1:3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3" ht="15.75">
      <c r="A2" s="12"/>
      <c r="B2" s="368" t="s">
        <v>39</v>
      </c>
      <c r="C2" s="368"/>
      <c r="D2" s="368"/>
      <c r="E2" s="368"/>
      <c r="F2" s="368"/>
      <c r="G2" s="368"/>
      <c r="H2" s="368"/>
      <c r="I2" s="368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3">
      <c r="A4" s="12"/>
      <c r="B4" s="369" t="s">
        <v>34</v>
      </c>
      <c r="C4" s="370"/>
      <c r="D4" s="12"/>
      <c r="E4" s="391" t="s">
        <v>35</v>
      </c>
      <c r="F4" s="391"/>
      <c r="G4" s="391"/>
      <c r="H4" s="391"/>
      <c r="I4" s="391"/>
      <c r="J4" s="12"/>
      <c r="K4" s="391" t="s">
        <v>86</v>
      </c>
      <c r="L4" s="391"/>
      <c r="M4" s="391"/>
      <c r="N4" s="391"/>
      <c r="O4" s="391"/>
      <c r="P4" s="12"/>
      <c r="Q4" s="391" t="s">
        <v>86</v>
      </c>
      <c r="R4" s="391"/>
      <c r="S4" s="391"/>
      <c r="T4" s="391"/>
      <c r="U4" s="391"/>
      <c r="V4" s="12"/>
      <c r="W4" s="391" t="s">
        <v>35</v>
      </c>
      <c r="X4" s="391"/>
      <c r="Y4" s="391"/>
      <c r="Z4" s="391"/>
      <c r="AA4" s="391"/>
      <c r="AB4" s="12"/>
      <c r="AC4" s="391" t="s">
        <v>35</v>
      </c>
      <c r="AD4" s="391"/>
      <c r="AE4" s="391"/>
      <c r="AF4" s="391"/>
      <c r="AG4" s="391"/>
    </row>
    <row r="5" spans="1:33">
      <c r="A5" s="12"/>
      <c r="B5" s="24" t="s">
        <v>0</v>
      </c>
      <c r="C5" s="32">
        <v>43866</v>
      </c>
      <c r="D5" s="12"/>
      <c r="E5" s="29" t="s">
        <v>14</v>
      </c>
      <c r="F5" s="29" t="s">
        <v>7</v>
      </c>
      <c r="G5" s="29" t="s">
        <v>8</v>
      </c>
      <c r="H5" s="29" t="s">
        <v>33</v>
      </c>
      <c r="I5" s="29" t="s">
        <v>9</v>
      </c>
      <c r="J5" s="12"/>
      <c r="K5" s="29" t="s">
        <v>14</v>
      </c>
      <c r="L5" s="29" t="s">
        <v>7</v>
      </c>
      <c r="M5" s="29" t="s">
        <v>8</v>
      </c>
      <c r="N5" s="29" t="s">
        <v>33</v>
      </c>
      <c r="O5" s="29" t="s">
        <v>9</v>
      </c>
      <c r="P5" s="12"/>
      <c r="Q5" s="29" t="s">
        <v>14</v>
      </c>
      <c r="R5" s="29" t="s">
        <v>7</v>
      </c>
      <c r="S5" s="29" t="s">
        <v>8</v>
      </c>
      <c r="T5" s="29" t="s">
        <v>33</v>
      </c>
      <c r="U5" s="29" t="s">
        <v>9</v>
      </c>
      <c r="V5" s="12"/>
      <c r="W5" s="29" t="s">
        <v>14</v>
      </c>
      <c r="X5" s="29" t="s">
        <v>7</v>
      </c>
      <c r="Y5" s="29" t="s">
        <v>8</v>
      </c>
      <c r="Z5" s="29" t="s">
        <v>33</v>
      </c>
      <c r="AA5" s="29" t="s">
        <v>9</v>
      </c>
      <c r="AB5" s="12"/>
      <c r="AC5" s="29" t="s">
        <v>14</v>
      </c>
      <c r="AD5" s="29" t="s">
        <v>7</v>
      </c>
      <c r="AE5" s="29" t="s">
        <v>8</v>
      </c>
      <c r="AF5" s="29" t="s">
        <v>33</v>
      </c>
      <c r="AG5" s="29" t="s">
        <v>9</v>
      </c>
    </row>
    <row r="6" spans="1:33">
      <c r="A6" s="12"/>
      <c r="B6" s="24" t="s">
        <v>1</v>
      </c>
      <c r="C6" s="33">
        <v>44413</v>
      </c>
      <c r="D6" s="12"/>
      <c r="E6" s="15">
        <f>+'Planilla de datos'!D3</f>
        <v>44383</v>
      </c>
      <c r="F6" s="12">
        <v>100</v>
      </c>
      <c r="G6" s="30"/>
      <c r="H6" s="12"/>
      <c r="I6" s="14">
        <f>-'Planilla de datos'!C11</f>
        <v>-166.75</v>
      </c>
      <c r="J6" s="12"/>
      <c r="K6" s="15">
        <f>E6</f>
        <v>44383</v>
      </c>
      <c r="L6" s="12">
        <v>100</v>
      </c>
      <c r="M6" s="30"/>
      <c r="N6" s="12"/>
      <c r="O6" s="14">
        <f>I6</f>
        <v>-166.75</v>
      </c>
      <c r="P6" s="12"/>
      <c r="Q6" s="15">
        <f>+K6</f>
        <v>44383</v>
      </c>
      <c r="R6" s="12">
        <f>L6</f>
        <v>100</v>
      </c>
      <c r="S6" s="30"/>
      <c r="T6" s="12"/>
      <c r="U6" s="14">
        <v>0</v>
      </c>
      <c r="V6" s="12"/>
      <c r="W6" s="15">
        <f>+E6</f>
        <v>44383</v>
      </c>
      <c r="X6" s="12">
        <f>+F6</f>
        <v>100</v>
      </c>
      <c r="Y6" s="30"/>
      <c r="Z6" s="12"/>
      <c r="AA6" s="14">
        <v>0</v>
      </c>
      <c r="AB6" s="12"/>
      <c r="AC6" s="15">
        <f>+W6</f>
        <v>44383</v>
      </c>
      <c r="AD6" s="12">
        <f>+X6</f>
        <v>100</v>
      </c>
      <c r="AE6" s="30"/>
      <c r="AF6" s="12"/>
      <c r="AG6" s="14">
        <f>-X39</f>
        <v>-166.25636771219899</v>
      </c>
    </row>
    <row r="7" spans="1:33">
      <c r="A7" s="12"/>
      <c r="B7" s="24" t="s">
        <v>2</v>
      </c>
      <c r="C7" s="34">
        <v>19.242999999999999</v>
      </c>
      <c r="D7" s="12"/>
      <c r="E7" s="15">
        <v>44413</v>
      </c>
      <c r="F7" s="12">
        <v>100</v>
      </c>
      <c r="G7" s="14">
        <f>C11*$C$10*(180/360)</f>
        <v>0.82849347814789809</v>
      </c>
      <c r="H7" s="14">
        <f>+C11</f>
        <v>165.69869562957962</v>
      </c>
      <c r="I7" s="14">
        <f>SUM(G7:H7)</f>
        <v>166.52718910772751</v>
      </c>
      <c r="J7" s="12"/>
      <c r="K7" s="15">
        <v>44413</v>
      </c>
      <c r="L7" s="12">
        <v>100</v>
      </c>
      <c r="M7" s="14">
        <f>O15*$C$10*(180/360)</f>
        <v>0.85468677170860408</v>
      </c>
      <c r="N7" s="14">
        <f>O15</f>
        <v>170.93735434172081</v>
      </c>
      <c r="O7" s="14">
        <f>SUM(M7:N7)</f>
        <v>171.79204111342941</v>
      </c>
      <c r="P7" s="12"/>
      <c r="Q7" s="15">
        <v>44413</v>
      </c>
      <c r="R7" s="12">
        <f>L7</f>
        <v>100</v>
      </c>
      <c r="S7" s="14">
        <f>M7</f>
        <v>0.85468677170860408</v>
      </c>
      <c r="T7" s="14">
        <f>N7</f>
        <v>170.93735434172081</v>
      </c>
      <c r="U7" s="14">
        <f>SUM(S7:T7)</f>
        <v>171.79204111342941</v>
      </c>
      <c r="V7" s="12"/>
      <c r="W7" s="15">
        <f>+E7</f>
        <v>44413</v>
      </c>
      <c r="X7" s="12">
        <f>+F7</f>
        <v>100</v>
      </c>
      <c r="Y7" s="14">
        <f>+G7</f>
        <v>0.82849347814789809</v>
      </c>
      <c r="Z7" s="14">
        <f>+H7</f>
        <v>165.69869562957962</v>
      </c>
      <c r="AA7" s="14">
        <f>+I7</f>
        <v>166.52718910772751</v>
      </c>
      <c r="AB7" s="12"/>
      <c r="AC7" s="15">
        <f>+W7</f>
        <v>44413</v>
      </c>
      <c r="AD7" s="12">
        <f>+X7</f>
        <v>100</v>
      </c>
      <c r="AE7" s="14">
        <f>+Y7</f>
        <v>0.82849347814789809</v>
      </c>
      <c r="AF7" s="14">
        <f>+Z7</f>
        <v>165.69869562957962</v>
      </c>
      <c r="AG7" s="14">
        <f>+AA7</f>
        <v>166.52718910772751</v>
      </c>
    </row>
    <row r="8" spans="1:33">
      <c r="A8" s="12"/>
      <c r="B8" s="24" t="s">
        <v>3</v>
      </c>
      <c r="C8" s="34">
        <f>'Planilla de datos'!D64</f>
        <v>31.885400000000001</v>
      </c>
      <c r="D8" s="12"/>
      <c r="E8" s="15"/>
      <c r="F8" s="12"/>
      <c r="G8" s="30"/>
      <c r="H8" s="12"/>
      <c r="I8" s="30"/>
      <c r="J8" s="12"/>
      <c r="K8" s="15"/>
      <c r="L8" s="12"/>
      <c r="M8" s="30"/>
      <c r="N8" s="12"/>
      <c r="O8" s="30"/>
      <c r="P8" s="12"/>
      <c r="Q8" s="15"/>
      <c r="R8" s="12"/>
      <c r="S8" s="30"/>
      <c r="T8" s="12"/>
      <c r="U8" s="30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3">
      <c r="A9" s="12"/>
      <c r="B9" s="24" t="s">
        <v>4</v>
      </c>
      <c r="C9" s="34">
        <f>((C8-C7)/C7)+1</f>
        <v>1.6569869562957962</v>
      </c>
      <c r="D9" s="12"/>
      <c r="E9" s="12">
        <f>E7-E6</f>
        <v>30</v>
      </c>
      <c r="F9" s="12"/>
      <c r="G9" s="12"/>
      <c r="H9" s="92" t="s">
        <v>13</v>
      </c>
      <c r="I9" s="86">
        <f>XIRR(I6:I7,E6:E7,0)</f>
        <v>-1.6136326139234013E-2</v>
      </c>
      <c r="J9" s="12"/>
      <c r="K9" s="15"/>
      <c r="L9" s="12"/>
      <c r="M9" s="12"/>
      <c r="N9" s="92" t="s">
        <v>10</v>
      </c>
      <c r="O9" s="86">
        <f>XIRR(O6:O7,K6:K7,0)</f>
        <v>0.4368206591796876</v>
      </c>
      <c r="P9" s="12"/>
      <c r="Q9" s="15"/>
      <c r="R9" s="12"/>
      <c r="S9" s="12"/>
      <c r="T9" s="59"/>
      <c r="U9" s="60"/>
      <c r="V9" s="12"/>
      <c r="W9" s="12"/>
      <c r="X9" s="12"/>
      <c r="Y9" s="12"/>
      <c r="Z9" s="12"/>
      <c r="AA9" s="12"/>
      <c r="AB9" s="12"/>
      <c r="AC9" s="12"/>
      <c r="AD9" s="12"/>
      <c r="AE9" s="12"/>
      <c r="AF9" t="s">
        <v>10</v>
      </c>
      <c r="AG9" s="2">
        <f>XIRR(AG6:AG7,AC6:AC7)</f>
        <v>2.0000001788139359E-2</v>
      </c>
    </row>
    <row r="10" spans="1:33">
      <c r="A10" s="12"/>
      <c r="B10" s="24" t="s">
        <v>5</v>
      </c>
      <c r="C10" s="35">
        <v>0.01</v>
      </c>
      <c r="D10" s="12"/>
      <c r="E10" s="12"/>
      <c r="F10" s="12"/>
      <c r="G10" s="12"/>
      <c r="H10" s="92" t="s">
        <v>29</v>
      </c>
      <c r="I10" s="71">
        <f>MDURATION(E6,E7,C10,0,2)</f>
        <v>8.0555555555555602E-2</v>
      </c>
      <c r="J10" s="12"/>
      <c r="K10" s="12"/>
      <c r="L10" s="12"/>
      <c r="M10" s="12"/>
      <c r="N10" s="92" t="s">
        <v>64</v>
      </c>
      <c r="O10" s="71">
        <f>MDURATION(K6,K7,C10,O9,2)</f>
        <v>6.6115292688525715E-2</v>
      </c>
      <c r="P10" s="12"/>
      <c r="Q10" s="12"/>
      <c r="R10" s="12"/>
      <c r="S10" s="12"/>
      <c r="T10" s="27"/>
      <c r="U10" s="27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t="s">
        <v>64</v>
      </c>
      <c r="AG10" s="4">
        <f>MDURATION(AC6,AC7,C10,AG9,2)</f>
        <v>7.9757975726976654E-2</v>
      </c>
    </row>
    <row r="11" spans="1:33">
      <c r="A11" s="12"/>
      <c r="B11" s="36" t="s">
        <v>16</v>
      </c>
      <c r="C11" s="37">
        <f>C9*100</f>
        <v>165.69869562957962</v>
      </c>
      <c r="D11" s="12"/>
      <c r="J11" s="12"/>
    </row>
    <row r="12" spans="1:3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404"/>
      <c r="L12" s="404"/>
      <c r="M12" s="404"/>
      <c r="N12" s="404"/>
      <c r="O12" s="404"/>
      <c r="P12" s="44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3" ht="35.2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33" t="s">
        <v>6</v>
      </c>
      <c r="L14" s="133" t="s">
        <v>58</v>
      </c>
      <c r="M14" s="133" t="s">
        <v>24</v>
      </c>
      <c r="N14" s="133" t="s">
        <v>4</v>
      </c>
      <c r="O14" s="133" t="s">
        <v>59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3" ht="16.5" customHeight="1">
      <c r="A15" s="12"/>
      <c r="B15" s="12"/>
      <c r="C15" s="12"/>
      <c r="D15" s="12"/>
      <c r="J15" s="12"/>
      <c r="K15" s="15">
        <v>44413</v>
      </c>
      <c r="L15" s="31">
        <v>44399</v>
      </c>
      <c r="M15" s="46">
        <f>+'Serie CER'!H207</f>
        <v>32.89347509597733</v>
      </c>
      <c r="N15" s="47">
        <f>(M15/$C$7)</f>
        <v>1.7093735434172079</v>
      </c>
      <c r="O15" s="14">
        <f>100*N15</f>
        <v>170.93735434172081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3">
      <c r="A16" s="12"/>
      <c r="B16" s="12"/>
      <c r="C16" s="12"/>
      <c r="D16" s="12"/>
      <c r="J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ht="1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 t="s">
        <v>184</v>
      </c>
      <c r="O18" s="22">
        <f>(O7+O6)/-O6</f>
        <v>3.0237128116518176E-2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>
      <c r="A19" s="12"/>
      <c r="B19" s="12"/>
      <c r="C19" s="12"/>
      <c r="D19" s="12"/>
      <c r="E19" s="401" t="s">
        <v>18</v>
      </c>
      <c r="F19" s="401"/>
      <c r="G19" s="61">
        <v>0.35</v>
      </c>
      <c r="H19" s="62">
        <f>XNPV(G19,U6:U7,Q6:Q7)</f>
        <v>167.60642977527488</v>
      </c>
      <c r="I19" s="61">
        <f>(H19/-I6)-1</f>
        <v>5.1360106463260724E-3</v>
      </c>
      <c r="J19" s="12"/>
      <c r="K19" s="12"/>
      <c r="L19" s="12"/>
      <c r="M19" s="12"/>
      <c r="N19" s="12" t="s">
        <v>17</v>
      </c>
      <c r="O19" s="22">
        <f>O18/E9*365</f>
        <v>0.36788505875097111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>
      <c r="A20" s="12"/>
      <c r="B20" s="12"/>
      <c r="C20" s="12"/>
      <c r="D20" s="12"/>
      <c r="E20" s="402"/>
      <c r="F20" s="402"/>
      <c r="G20" s="18">
        <v>0.4</v>
      </c>
      <c r="H20" s="49">
        <f>XNPV(G20,U6:U7,Q6:Q7)</f>
        <v>167.10618182617381</v>
      </c>
      <c r="I20" s="18">
        <f>(H20/-I6)-1</f>
        <v>2.1360229455700264E-3</v>
      </c>
      <c r="J20" s="110"/>
      <c r="K20" s="134"/>
      <c r="L20" s="134"/>
      <c r="M20" s="134"/>
      <c r="N20" s="12" t="s">
        <v>150</v>
      </c>
      <c r="O20" s="22">
        <f>(1+O18)^(365/E9)-1</f>
        <v>0.43682066263668307</v>
      </c>
      <c r="P20" s="134"/>
      <c r="Q20" s="110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>
      <c r="A21" s="12"/>
      <c r="B21" s="12"/>
      <c r="C21" s="12"/>
      <c r="D21" s="12"/>
      <c r="E21" s="403"/>
      <c r="F21" s="403"/>
      <c r="G21" s="63">
        <v>0.45</v>
      </c>
      <c r="H21" s="64">
        <f>XNPV(G21,U6:U7,Q6:Q7)</f>
        <v>166.62490554400421</v>
      </c>
      <c r="I21" s="63">
        <f>(H21/-I6)-1</f>
        <v>-7.5019164015466266E-4</v>
      </c>
      <c r="J21" s="110"/>
      <c r="K21" s="110"/>
      <c r="L21" s="110"/>
      <c r="M21" s="110"/>
      <c r="N21" s="110"/>
      <c r="O21" s="110"/>
      <c r="P21" s="110"/>
      <c r="Q21" s="110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>
      <c r="A22" s="12"/>
      <c r="B22" s="12"/>
      <c r="C22" s="12"/>
      <c r="D22" s="12"/>
      <c r="J22" s="110"/>
      <c r="K22" s="399"/>
      <c r="L22" s="399"/>
      <c r="M22" s="110"/>
      <c r="N22" s="141"/>
      <c r="O22" s="141"/>
      <c r="P22" s="141"/>
      <c r="Q22" s="110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>
      <c r="A23" s="31"/>
      <c r="B23" s="12"/>
      <c r="C23" s="12"/>
      <c r="D23" s="12"/>
      <c r="J23" s="110"/>
      <c r="K23" s="112"/>
      <c r="L23" s="112"/>
      <c r="M23" s="110"/>
      <c r="N23" s="113"/>
      <c r="O23" s="110"/>
      <c r="P23" s="110"/>
      <c r="Q23" s="110"/>
      <c r="R23" s="12"/>
      <c r="S23" s="12"/>
      <c r="T23" s="12"/>
      <c r="U23" s="12"/>
      <c r="V23" s="12"/>
      <c r="W23" s="400" t="s">
        <v>42</v>
      </c>
      <c r="X23" s="400"/>
      <c r="Y23" s="400"/>
      <c r="Z23" s="12"/>
      <c r="AA23" s="12"/>
      <c r="AB23" s="12"/>
      <c r="AC23" s="12"/>
      <c r="AD23" s="12"/>
      <c r="AE23" s="12"/>
    </row>
    <row r="24" spans="1:31">
      <c r="A24" s="31"/>
      <c r="B24" s="12"/>
      <c r="C24" s="12"/>
      <c r="D24" s="12"/>
      <c r="E24" s="12"/>
      <c r="F24" s="12"/>
      <c r="G24" s="12"/>
      <c r="H24" s="12"/>
      <c r="I24" s="12"/>
      <c r="J24" s="110"/>
      <c r="K24" s="113"/>
      <c r="L24" s="115"/>
      <c r="M24" s="110"/>
      <c r="N24" s="113"/>
      <c r="O24" s="110"/>
      <c r="P24" s="110"/>
      <c r="Q24" s="110"/>
      <c r="R24" s="12"/>
      <c r="S24" s="12"/>
      <c r="T24" s="12"/>
      <c r="U24" s="12"/>
      <c r="V24" s="12"/>
      <c r="W24" s="400" t="s">
        <v>82</v>
      </c>
      <c r="X24" s="400"/>
      <c r="Y24" s="400"/>
      <c r="Z24" s="12"/>
      <c r="AA24" s="12"/>
      <c r="AB24" s="12"/>
      <c r="AC24" s="12"/>
      <c r="AD24" s="12"/>
      <c r="AE24" s="12"/>
    </row>
    <row r="25" spans="1:31">
      <c r="A25" s="31"/>
      <c r="B25" s="12"/>
      <c r="C25" s="12"/>
      <c r="D25" s="12"/>
      <c r="E25" s="12"/>
      <c r="F25" s="12"/>
      <c r="G25" s="12"/>
      <c r="H25" s="12"/>
      <c r="I25" s="12"/>
      <c r="J25" s="110"/>
      <c r="K25" s="114"/>
      <c r="L25" s="110"/>
      <c r="M25" s="110"/>
      <c r="N25" s="113"/>
      <c r="O25" s="110"/>
      <c r="P25" s="110"/>
      <c r="Q25" s="110"/>
      <c r="R25" s="12"/>
      <c r="S25" s="12"/>
      <c r="T25" s="12"/>
      <c r="U25" s="12"/>
      <c r="V25" s="12"/>
      <c r="W25" s="108" t="s">
        <v>10</v>
      </c>
      <c r="X25" s="108" t="s">
        <v>83</v>
      </c>
      <c r="Y25" s="108" t="s">
        <v>84</v>
      </c>
      <c r="Z25" s="12"/>
      <c r="AA25" s="12"/>
      <c r="AB25" s="12"/>
      <c r="AC25" s="12"/>
      <c r="AD25" s="12"/>
      <c r="AE25" s="12"/>
    </row>
    <row r="26" spans="1:31">
      <c r="A26" s="3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6">
        <v>0.15</v>
      </c>
      <c r="X26" s="49">
        <f>XNPV(W26,AA6:AA7,W6:W7)</f>
        <v>164.62518948920646</v>
      </c>
      <c r="Y26" s="18">
        <f t="shared" ref="Y26:Y31" si="0">(X26+$I$6)/(-$I$6)</f>
        <v>-1.2742491818851799E-2</v>
      </c>
      <c r="Z26" s="12"/>
      <c r="AA26" s="12"/>
      <c r="AB26" s="12"/>
      <c r="AC26" s="12"/>
      <c r="AD26" s="12"/>
      <c r="AE26" s="12"/>
    </row>
    <row r="27" spans="1:31">
      <c r="A27" s="31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6">
        <v>0.14000000000000001</v>
      </c>
      <c r="X27" s="49">
        <f>XNPV(W27,AA6:AA7,W6:W7)</f>
        <v>164.74340591854315</v>
      </c>
      <c r="Y27" s="18">
        <f t="shared" si="0"/>
        <v>-1.2033547714883679E-2</v>
      </c>
      <c r="Z27" s="12"/>
      <c r="AA27" s="12"/>
      <c r="AB27" s="12"/>
      <c r="AC27" s="12"/>
      <c r="AD27" s="12"/>
      <c r="AE27" s="12"/>
    </row>
    <row r="28" spans="1:31">
      <c r="A28" s="31"/>
      <c r="B28" s="342"/>
      <c r="C28" s="343"/>
      <c r="D28" s="95"/>
      <c r="E28" s="344"/>
      <c r="F28" s="95"/>
      <c r="G28" s="95"/>
      <c r="H28" s="95"/>
      <c r="I28" s="95"/>
      <c r="J28" s="95"/>
      <c r="K28" s="95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6">
        <v>0.13</v>
      </c>
      <c r="X28" s="49">
        <f>XNPV(W28,AA6:AA7,W6:W7)</f>
        <v>164.86274993169027</v>
      </c>
      <c r="Y28" s="18">
        <f t="shared" si="0"/>
        <v>-1.1317841489113798E-2</v>
      </c>
      <c r="Z28" s="12"/>
      <c r="AA28" s="12"/>
      <c r="AB28" s="12"/>
      <c r="AC28" s="12"/>
      <c r="AD28" s="12"/>
      <c r="AE28" s="12"/>
    </row>
    <row r="29" spans="1:31" ht="15.75">
      <c r="A29" s="31"/>
      <c r="B29" s="405"/>
      <c r="C29" s="405"/>
      <c r="D29" s="405"/>
      <c r="E29" s="405"/>
      <c r="F29" s="405"/>
      <c r="G29" s="405"/>
      <c r="H29" s="405"/>
      <c r="I29" s="405"/>
      <c r="J29" s="95"/>
      <c r="K29" s="95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6">
        <v>0.12</v>
      </c>
      <c r="X29" s="49">
        <f>XNPV(W29,AA6:AA7,W6:W7)</f>
        <v>164.98324240639974</v>
      </c>
      <c r="Y29" s="18">
        <f t="shared" si="0"/>
        <v>-1.0595247937632748E-2</v>
      </c>
      <c r="Z29" s="12"/>
      <c r="AA29" s="12"/>
      <c r="AB29" s="12"/>
      <c r="AC29" s="12"/>
      <c r="AD29" s="12"/>
      <c r="AE29" s="12"/>
    </row>
    <row r="30" spans="1:31">
      <c r="A30" s="31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6">
        <v>0.11</v>
      </c>
      <c r="X30" s="49">
        <f>XNPV(W30,AA6:AA7,W6:W7)</f>
        <v>165.10490479777394</v>
      </c>
      <c r="Y30" s="18">
        <f t="shared" si="0"/>
        <v>-9.8656383941592776E-3</v>
      </c>
      <c r="Z30" s="12"/>
      <c r="AA30" s="12"/>
      <c r="AB30" s="12"/>
      <c r="AC30" s="12"/>
      <c r="AD30" s="12"/>
      <c r="AE30" s="12"/>
    </row>
    <row r="31" spans="1:31">
      <c r="A31" s="31"/>
      <c r="B31" s="406"/>
      <c r="C31" s="406"/>
      <c r="D31" s="95"/>
      <c r="E31" s="407"/>
      <c r="F31" s="407"/>
      <c r="G31" s="407"/>
      <c r="H31" s="407"/>
      <c r="I31" s="407"/>
      <c r="J31" s="95"/>
      <c r="K31" s="95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6">
        <v>0.1</v>
      </c>
      <c r="X31" s="49">
        <f>XNPV(W31,AA6:AA7,W6:W7)</f>
        <v>165.2277591596029</v>
      </c>
      <c r="Y31" s="18">
        <f t="shared" si="0"/>
        <v>-9.128880602081578E-3</v>
      </c>
      <c r="Z31" s="12"/>
      <c r="AA31" s="12"/>
      <c r="AB31" s="12"/>
      <c r="AC31" s="12"/>
      <c r="AD31" s="12"/>
      <c r="AE31" s="12"/>
    </row>
    <row r="32" spans="1:31">
      <c r="A32" s="31"/>
      <c r="B32" s="95"/>
      <c r="C32" s="345"/>
      <c r="D32" s="95"/>
      <c r="E32" s="341"/>
      <c r="F32" s="341"/>
      <c r="G32" s="341"/>
      <c r="H32" s="341"/>
      <c r="I32" s="341"/>
      <c r="J32" s="95"/>
      <c r="K32" s="95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6">
        <v>0.09</v>
      </c>
      <c r="X32" s="49">
        <f>XNPV(W32,AA6:AA7,W6:W7)</f>
        <v>165.35182816669314</v>
      </c>
      <c r="Y32" s="18">
        <f t="shared" ref="Y32:Y39" si="1">(X32+$I$6)/(-$I$6)</f>
        <v>-8.3848385805508924E-3</v>
      </c>
      <c r="Z32" s="12"/>
      <c r="AA32" s="12"/>
      <c r="AB32" s="12"/>
      <c r="AC32" s="12"/>
      <c r="AD32" s="12"/>
      <c r="AE32" s="12"/>
    </row>
    <row r="33" spans="1:31">
      <c r="A33" s="31"/>
      <c r="B33" s="95"/>
      <c r="C33" s="97"/>
      <c r="D33" s="95"/>
      <c r="E33" s="97"/>
      <c r="F33" s="95"/>
      <c r="G33" s="136"/>
      <c r="H33" s="95"/>
      <c r="I33" s="96"/>
      <c r="J33" s="95"/>
      <c r="K33" s="95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6">
        <v>0.08</v>
      </c>
      <c r="X33" s="49">
        <f>XNPV(W33,AA6:AA7,W6:W7)</f>
        <v>165.47713513824192</v>
      </c>
      <c r="Y33" s="18">
        <f t="shared" si="1"/>
        <v>-7.6333724843063279E-3</v>
      </c>
      <c r="Z33" s="12"/>
      <c r="AA33" s="12"/>
      <c r="AB33" s="12"/>
      <c r="AC33" s="12"/>
      <c r="AD33" s="12"/>
      <c r="AE33" s="12"/>
    </row>
    <row r="34" spans="1:31">
      <c r="A34" s="31"/>
      <c r="B34" s="95"/>
      <c r="C34" s="346"/>
      <c r="D34" s="95"/>
      <c r="E34" s="97"/>
      <c r="F34" s="95"/>
      <c r="G34" s="96"/>
      <c r="H34" s="96"/>
      <c r="I34" s="96"/>
      <c r="J34" s="95"/>
      <c r="K34" s="95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6">
        <v>7.0000000000000007E-2</v>
      </c>
      <c r="X34" s="49">
        <f>XNPV(W34,AA6:AA7,W6:W7)</f>
        <v>165.60370406231766</v>
      </c>
      <c r="Y34" s="18">
        <f t="shared" si="1"/>
        <v>-6.8743384568656024E-3</v>
      </c>
      <c r="Z34" s="12"/>
      <c r="AA34" s="12"/>
      <c r="AB34" s="12"/>
      <c r="AC34" s="12"/>
      <c r="AD34" s="12"/>
      <c r="AE34" s="12"/>
    </row>
    <row r="35" spans="1:31">
      <c r="A35" s="31"/>
      <c r="B35" s="95"/>
      <c r="C35" s="346"/>
      <c r="D35" s="95"/>
      <c r="E35" s="97"/>
      <c r="F35" s="95"/>
      <c r="G35" s="136"/>
      <c r="H35" s="95"/>
      <c r="I35" s="136"/>
      <c r="J35" s="95"/>
      <c r="K35" s="95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6">
        <v>0.06</v>
      </c>
      <c r="X35" s="49">
        <f>XNPV(W35,AA6:AA7,W6:W7)</f>
        <v>165.73155962150878</v>
      </c>
      <c r="Y35" s="18">
        <f t="shared" si="1"/>
        <v>-6.1075884767089689E-3</v>
      </c>
      <c r="Z35" s="12"/>
      <c r="AA35" s="12"/>
      <c r="AB35" s="12"/>
      <c r="AC35" s="12"/>
      <c r="AD35" s="12"/>
      <c r="AE35" s="12"/>
    </row>
    <row r="36" spans="1:31">
      <c r="A36" s="31"/>
      <c r="B36" s="95"/>
      <c r="C36" s="346"/>
      <c r="D36" s="95"/>
      <c r="E36" s="95"/>
      <c r="F36" s="95"/>
      <c r="G36" s="95"/>
      <c r="H36" s="99"/>
      <c r="I36" s="276"/>
      <c r="J36" s="95"/>
      <c r="K36" s="95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6">
        <v>0.05</v>
      </c>
      <c r="X36" s="49">
        <f>XNPV(W36,AA6:AA7,W6:W7)</f>
        <v>165.86072721980852</v>
      </c>
      <c r="Y36" s="18">
        <f t="shared" si="1"/>
        <v>-5.3329701960508303E-3</v>
      </c>
      <c r="Z36" s="12"/>
      <c r="AA36" s="12"/>
      <c r="AB36" s="12"/>
      <c r="AC36" s="12"/>
      <c r="AD36" s="12"/>
      <c r="AE36" s="12"/>
    </row>
    <row r="37" spans="1:31">
      <c r="A37" s="31"/>
      <c r="B37" s="95"/>
      <c r="C37" s="276"/>
      <c r="D37" s="95"/>
      <c r="E37" s="95"/>
      <c r="F37" s="95"/>
      <c r="G37" s="95"/>
      <c r="H37" s="99"/>
      <c r="I37" s="98"/>
      <c r="J37" s="95"/>
      <c r="K37" s="95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6">
        <v>0.04</v>
      </c>
      <c r="X37" s="49">
        <f>XNPV(W37,AA6:AA7,W6:W7)</f>
        <v>165.99123301080834</v>
      </c>
      <c r="Y37" s="18">
        <f t="shared" si="1"/>
        <v>-4.5503267717640549E-3</v>
      </c>
      <c r="Z37" s="12"/>
      <c r="AA37" s="12"/>
      <c r="AB37" s="12"/>
      <c r="AC37" s="12"/>
      <c r="AD37" s="12"/>
      <c r="AE37" s="12"/>
    </row>
    <row r="38" spans="1:31">
      <c r="A38" s="31"/>
      <c r="B38" s="95"/>
      <c r="C38" s="96"/>
      <c r="D38" s="95"/>
      <c r="E38" s="347"/>
      <c r="F38" s="347"/>
      <c r="G38" s="347"/>
      <c r="H38" s="347"/>
      <c r="I38" s="347"/>
      <c r="J38" s="95"/>
      <c r="K38" s="95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6">
        <v>0.03</v>
      </c>
      <c r="X38" s="49">
        <f>XNPV(W38,AA6:AA7,W6:W7)</f>
        <v>166.12310392727559</v>
      </c>
      <c r="Y38" s="18">
        <f t="shared" si="1"/>
        <v>-3.7594966880024373E-3</v>
      </c>
      <c r="Z38" s="12"/>
      <c r="AA38" s="12"/>
      <c r="AB38" s="12"/>
      <c r="AC38" s="12"/>
      <c r="AD38" s="12"/>
      <c r="AE38" s="12"/>
    </row>
    <row r="39" spans="1:31">
      <c r="A39" s="12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6">
        <v>0.02</v>
      </c>
      <c r="X39" s="49">
        <f>XNPV(W39,AA6:AA7,W6:W7)</f>
        <v>166.25636771219899</v>
      </c>
      <c r="Y39" s="18">
        <f t="shared" si="1"/>
        <v>-2.9603135700210256E-3</v>
      </c>
      <c r="Z39" s="12"/>
      <c r="AA39" s="12"/>
      <c r="AB39" s="12"/>
      <c r="AC39" s="12"/>
      <c r="AD39" s="12"/>
      <c r="AE39" s="12"/>
    </row>
    <row r="40" spans="1:31">
      <c r="A40" s="12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>
      <c r="A41" s="12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>
      <c r="A42" s="12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>
      <c r="A43" s="12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>
      <c r="A44" s="12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1:3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1:3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1:3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spans="1:3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spans="1:3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1:3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1:3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1:3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1:3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1:3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1:3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1:3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1:3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3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spans="1:3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spans="1:3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spans="1:3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spans="1:3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spans="1:3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1:3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1:3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1:3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3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1:3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1:3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spans="1:3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spans="1:3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spans="1:3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1:3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1:3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1:3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1:3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1:3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1:3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1:3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spans="1:3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1:3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spans="1:3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1:3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1:3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1:3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1:3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1:3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1: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3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3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3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3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3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3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1:3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1:3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1:3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1:3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 spans="1:3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spans="1:3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spans="1:3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spans="1:3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spans="1:3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spans="1:3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spans="1:3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spans="1:3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spans="1:3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spans="1:3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spans="1:3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spans="1:3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 spans="1:3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spans="1:3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</sheetData>
  <mergeCells count="15">
    <mergeCell ref="B29:I29"/>
    <mergeCell ref="B31:C31"/>
    <mergeCell ref="E31:I31"/>
    <mergeCell ref="W24:Y24"/>
    <mergeCell ref="K22:L22"/>
    <mergeCell ref="K12:O12"/>
    <mergeCell ref="B4:C4"/>
    <mergeCell ref="W4:AA4"/>
    <mergeCell ref="W23:Y23"/>
    <mergeCell ref="E19:F21"/>
    <mergeCell ref="AC4:AG4"/>
    <mergeCell ref="B2:I2"/>
    <mergeCell ref="E4:I4"/>
    <mergeCell ref="K4:O4"/>
    <mergeCell ref="Q4:U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showGridLines="0" zoomScale="90" zoomScaleNormal="90" workbookViewId="0">
      <selection activeCell="E12" sqref="E12"/>
    </sheetView>
  </sheetViews>
  <sheetFormatPr baseColWidth="10" defaultRowHeight="15"/>
  <cols>
    <col min="1" max="1" width="4.140625" customWidth="1"/>
    <col min="2" max="2" width="12" customWidth="1"/>
    <col min="3" max="3" width="12.140625" bestFit="1" customWidth="1"/>
    <col min="4" max="4" width="3.42578125" customWidth="1"/>
    <col min="5" max="5" width="12.140625" bestFit="1" customWidth="1"/>
    <col min="6" max="6" width="9.42578125" customWidth="1"/>
    <col min="7" max="7" width="9" bestFit="1" customWidth="1"/>
    <col min="8" max="9" width="10.42578125" customWidth="1"/>
    <col min="10" max="10" width="4.28515625" customWidth="1"/>
    <col min="11" max="11" width="11.28515625" customWidth="1"/>
    <col min="12" max="13" width="11" customWidth="1"/>
    <col min="14" max="14" width="11.140625" customWidth="1"/>
    <col min="15" max="15" width="12" customWidth="1"/>
    <col min="16" max="16" width="2.7109375" customWidth="1"/>
    <col min="22" max="22" width="4.5703125" customWidth="1"/>
  </cols>
  <sheetData>
    <row r="1" spans="1:3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3" ht="15.75">
      <c r="A2" s="12"/>
      <c r="B2" s="409" t="s">
        <v>103</v>
      </c>
      <c r="C2" s="409"/>
      <c r="D2" s="409"/>
      <c r="E2" s="409"/>
      <c r="F2" s="409"/>
      <c r="G2" s="409"/>
      <c r="H2" s="409"/>
      <c r="I2" s="409"/>
      <c r="J2" s="12"/>
      <c r="K2" s="12" t="s">
        <v>60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3">
      <c r="A4" s="12"/>
      <c r="B4" s="369" t="s">
        <v>34</v>
      </c>
      <c r="C4" s="370"/>
      <c r="D4" s="12"/>
      <c r="E4" s="391" t="s">
        <v>44</v>
      </c>
      <c r="F4" s="391"/>
      <c r="G4" s="391"/>
      <c r="H4" s="391"/>
      <c r="I4" s="391"/>
      <c r="J4" s="12"/>
      <c r="K4" s="391" t="s">
        <v>87</v>
      </c>
      <c r="L4" s="391"/>
      <c r="M4" s="391"/>
      <c r="N4" s="391"/>
      <c r="O4" s="391"/>
      <c r="P4" s="12"/>
      <c r="Q4" s="391" t="s">
        <v>87</v>
      </c>
      <c r="R4" s="391"/>
      <c r="S4" s="391"/>
      <c r="T4" s="391"/>
      <c r="U4" s="391"/>
      <c r="V4" s="12"/>
      <c r="W4" s="391" t="s">
        <v>44</v>
      </c>
      <c r="X4" s="391"/>
      <c r="Y4" s="391"/>
      <c r="Z4" s="391"/>
      <c r="AA4" s="391"/>
      <c r="AB4" s="12"/>
      <c r="AC4" s="391" t="s">
        <v>44</v>
      </c>
      <c r="AD4" s="391"/>
      <c r="AE4" s="391"/>
      <c r="AF4" s="391"/>
      <c r="AG4" s="391"/>
    </row>
    <row r="5" spans="1:33">
      <c r="A5" s="12"/>
      <c r="B5" s="24" t="s">
        <v>0</v>
      </c>
      <c r="C5" s="32">
        <v>43908</v>
      </c>
      <c r="D5" s="12"/>
      <c r="E5" s="29" t="s">
        <v>14</v>
      </c>
      <c r="F5" s="29" t="s">
        <v>7</v>
      </c>
      <c r="G5" s="29" t="s">
        <v>8</v>
      </c>
      <c r="H5" s="29" t="s">
        <v>33</v>
      </c>
      <c r="I5" s="29" t="s">
        <v>9</v>
      </c>
      <c r="J5" s="12"/>
      <c r="K5" s="29" t="s">
        <v>14</v>
      </c>
      <c r="L5" s="29" t="s">
        <v>7</v>
      </c>
      <c r="M5" s="29" t="s">
        <v>8</v>
      </c>
      <c r="N5" s="29" t="s">
        <v>33</v>
      </c>
      <c r="O5" s="29" t="s">
        <v>9</v>
      </c>
      <c r="P5" s="12"/>
      <c r="Q5" s="29" t="s">
        <v>14</v>
      </c>
      <c r="R5" s="29" t="s">
        <v>7</v>
      </c>
      <c r="S5" s="29" t="s">
        <v>8</v>
      </c>
      <c r="T5" s="29" t="s">
        <v>33</v>
      </c>
      <c r="U5" s="29" t="s">
        <v>9</v>
      </c>
      <c r="V5" s="12"/>
      <c r="W5" s="29" t="s">
        <v>14</v>
      </c>
      <c r="X5" s="29" t="s">
        <v>7</v>
      </c>
      <c r="Y5" s="29" t="s">
        <v>8</v>
      </c>
      <c r="Z5" s="29" t="s">
        <v>33</v>
      </c>
      <c r="AA5" s="29" t="s">
        <v>9</v>
      </c>
      <c r="AB5" s="12"/>
      <c r="AC5" s="29" t="s">
        <v>14</v>
      </c>
      <c r="AD5" s="29" t="s">
        <v>7</v>
      </c>
      <c r="AE5" s="29" t="s">
        <v>8</v>
      </c>
      <c r="AF5" s="29" t="s">
        <v>33</v>
      </c>
      <c r="AG5" s="29" t="s">
        <v>9</v>
      </c>
    </row>
    <row r="6" spans="1:33">
      <c r="A6" s="12"/>
      <c r="B6" s="24" t="s">
        <v>1</v>
      </c>
      <c r="C6" s="33">
        <v>44638</v>
      </c>
      <c r="D6" s="12"/>
      <c r="E6" s="15">
        <f>'Planilla de datos'!D3</f>
        <v>44383</v>
      </c>
      <c r="F6" s="12">
        <v>100</v>
      </c>
      <c r="G6" s="30"/>
      <c r="H6" s="12"/>
      <c r="I6" s="14">
        <f>-'Planilla de datos'!C15</f>
        <v>-157.69999999999999</v>
      </c>
      <c r="J6" s="12"/>
      <c r="K6" s="15">
        <f>E6</f>
        <v>44383</v>
      </c>
      <c r="L6" s="12">
        <v>100</v>
      </c>
      <c r="M6" s="30"/>
      <c r="N6" s="12"/>
      <c r="O6" s="14">
        <f>I6</f>
        <v>-157.69999999999999</v>
      </c>
      <c r="P6" s="12"/>
      <c r="Q6" s="15">
        <f>+E6</f>
        <v>44383</v>
      </c>
      <c r="R6" s="12">
        <v>100</v>
      </c>
      <c r="S6" s="30">
        <f>M7</f>
        <v>1.0231107188568542</v>
      </c>
      <c r="T6" s="14"/>
      <c r="U6" s="14">
        <v>0</v>
      </c>
      <c r="V6" s="12"/>
      <c r="W6" s="15">
        <f>+E6</f>
        <v>44383</v>
      </c>
      <c r="X6" s="12">
        <f>+F6</f>
        <v>100</v>
      </c>
      <c r="Y6" s="30"/>
      <c r="Z6" s="12"/>
      <c r="AA6" s="14">
        <v>0</v>
      </c>
      <c r="AB6" s="12"/>
      <c r="AC6" s="15">
        <f>+W6</f>
        <v>44383</v>
      </c>
      <c r="AD6" s="12">
        <f>+X6</f>
        <v>100</v>
      </c>
      <c r="AE6" s="30"/>
      <c r="AF6" s="12"/>
      <c r="AG6" s="14">
        <f>-X39</f>
        <v>-158.01317978902156</v>
      </c>
    </row>
    <row r="7" spans="1:33">
      <c r="A7" s="12"/>
      <c r="B7" s="24" t="s">
        <v>2</v>
      </c>
      <c r="C7" s="34">
        <v>20.0733</v>
      </c>
      <c r="D7" s="12"/>
      <c r="E7" s="15">
        <v>44457</v>
      </c>
      <c r="F7" s="12">
        <v>100</v>
      </c>
      <c r="G7" s="14">
        <f>$C$11*$C$10*(180/360)</f>
        <v>0.95306900210727685</v>
      </c>
      <c r="H7" s="14"/>
      <c r="I7" s="14">
        <f>SUM(G7:H7)</f>
        <v>0.95306900210727685</v>
      </c>
      <c r="J7" s="12"/>
      <c r="K7" s="15">
        <f>E7</f>
        <v>44457</v>
      </c>
      <c r="L7" s="12">
        <v>100</v>
      </c>
      <c r="M7" s="30">
        <f>O18*($C$10/360*180)</f>
        <v>1.0231107188568542</v>
      </c>
      <c r="N7" s="14"/>
      <c r="O7" s="14">
        <f>SUM(M7:N7)</f>
        <v>1.0231107188568542</v>
      </c>
      <c r="P7" s="12"/>
      <c r="Q7" s="15">
        <f>+K7</f>
        <v>44457</v>
      </c>
      <c r="R7" s="12">
        <f>+L7</f>
        <v>100</v>
      </c>
      <c r="S7" s="30">
        <f>+M7</f>
        <v>1.0231107188568542</v>
      </c>
      <c r="T7" s="14"/>
      <c r="U7" s="14">
        <f>+O7</f>
        <v>1.0231107188568542</v>
      </c>
      <c r="V7" s="12"/>
      <c r="W7" s="15">
        <f t="shared" ref="W7:Y8" si="0">+E7</f>
        <v>44457</v>
      </c>
      <c r="X7" s="12">
        <f t="shared" si="0"/>
        <v>100</v>
      </c>
      <c r="Y7" s="14">
        <f t="shared" si="0"/>
        <v>0.95306900210727685</v>
      </c>
      <c r="Z7" s="14"/>
      <c r="AA7" s="14">
        <f>+I7</f>
        <v>0.95306900210727685</v>
      </c>
      <c r="AB7" s="12"/>
      <c r="AC7" s="15">
        <f t="shared" ref="AC7:AE8" si="1">+W7</f>
        <v>44457</v>
      </c>
      <c r="AD7" s="12">
        <f t="shared" si="1"/>
        <v>100</v>
      </c>
      <c r="AE7" s="14">
        <f t="shared" si="1"/>
        <v>0.95306900210727685</v>
      </c>
      <c r="AF7" s="14"/>
      <c r="AG7" s="14">
        <f>+AA7</f>
        <v>0.95306900210727685</v>
      </c>
    </row>
    <row r="8" spans="1:33">
      <c r="A8" s="12"/>
      <c r="B8" s="24" t="s">
        <v>3</v>
      </c>
      <c r="C8" s="34">
        <f>'Planilla de datos'!D64</f>
        <v>31.885400000000001</v>
      </c>
      <c r="D8" s="12"/>
      <c r="E8" s="15">
        <v>44638</v>
      </c>
      <c r="F8" s="12">
        <v>100</v>
      </c>
      <c r="G8" s="14">
        <f>$C$11*$C$10*(180/360)</f>
        <v>0.95306900210727685</v>
      </c>
      <c r="H8" s="14">
        <f>+C11</f>
        <v>158.84483368454613</v>
      </c>
      <c r="I8" s="14">
        <f>SUM(G8:H8)</f>
        <v>159.7979026866534</v>
      </c>
      <c r="J8" s="12"/>
      <c r="K8" s="15">
        <f>E8</f>
        <v>44638</v>
      </c>
      <c r="L8" s="12">
        <v>100</v>
      </c>
      <c r="M8" s="30">
        <f>O19*($C$10/360*180)</f>
        <v>1.2088144744947618</v>
      </c>
      <c r="N8" s="14">
        <f>O19</f>
        <v>201.4690790824603</v>
      </c>
      <c r="O8" s="14">
        <f>SUM(M8:N8)</f>
        <v>202.67789355695507</v>
      </c>
      <c r="P8" s="12"/>
      <c r="Q8" s="15">
        <f>K8</f>
        <v>44638</v>
      </c>
      <c r="R8" s="12">
        <v>100</v>
      </c>
      <c r="S8" s="30">
        <f>M8</f>
        <v>1.2088144744947618</v>
      </c>
      <c r="T8" s="14">
        <f>N8</f>
        <v>201.4690790824603</v>
      </c>
      <c r="U8" s="14">
        <f>SUM(S8:T8)</f>
        <v>202.67789355695507</v>
      </c>
      <c r="V8" s="12"/>
      <c r="W8" s="15">
        <f t="shared" si="0"/>
        <v>44638</v>
      </c>
      <c r="X8" s="12">
        <f t="shared" si="0"/>
        <v>100</v>
      </c>
      <c r="Y8" s="14">
        <f t="shared" si="0"/>
        <v>0.95306900210727685</v>
      </c>
      <c r="Z8" s="14">
        <f>+H8</f>
        <v>158.84483368454613</v>
      </c>
      <c r="AA8" s="14">
        <f>+I8</f>
        <v>159.7979026866534</v>
      </c>
      <c r="AB8" s="12"/>
      <c r="AC8" s="15">
        <f t="shared" si="1"/>
        <v>44638</v>
      </c>
      <c r="AD8" s="12">
        <f t="shared" si="1"/>
        <v>100</v>
      </c>
      <c r="AE8" s="14">
        <f t="shared" si="1"/>
        <v>0.95306900210727685</v>
      </c>
      <c r="AF8" s="14">
        <f>+Z8</f>
        <v>158.84483368454613</v>
      </c>
      <c r="AG8" s="14">
        <f>+AA8</f>
        <v>159.7979026866534</v>
      </c>
    </row>
    <row r="9" spans="1:33">
      <c r="A9" s="12"/>
      <c r="B9" s="24" t="s">
        <v>4</v>
      </c>
      <c r="C9" s="34">
        <f>((C8-C7)/C7)+1</f>
        <v>1.5884483368454614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V9" s="12"/>
      <c r="AB9" s="12"/>
      <c r="AC9" s="12"/>
      <c r="AD9" s="12"/>
    </row>
    <row r="10" spans="1:33">
      <c r="A10" s="12"/>
      <c r="B10" s="24" t="s">
        <v>5</v>
      </c>
      <c r="C10" s="35">
        <v>1.2E-2</v>
      </c>
      <c r="D10" s="12"/>
      <c r="E10" s="12"/>
      <c r="F10" s="12"/>
      <c r="H10" s="92" t="s">
        <v>13</v>
      </c>
      <c r="I10" s="86">
        <f>XIRR(I6:I8,E6:E8,0)</f>
        <v>2.7927407226562506E-2</v>
      </c>
      <c r="J10" s="12"/>
      <c r="K10" s="15"/>
      <c r="L10" s="12"/>
      <c r="M10" s="12"/>
      <c r="N10" s="92" t="s">
        <v>10</v>
      </c>
      <c r="O10" s="86">
        <f>XIRR(O6:O8,K6:K8,0)</f>
        <v>0.44456767089843763</v>
      </c>
      <c r="P10" s="12"/>
      <c r="V10" s="12"/>
      <c r="AB10" s="12"/>
      <c r="AC10" s="12"/>
      <c r="AD10" s="12"/>
      <c r="AF10" t="s">
        <v>10</v>
      </c>
      <c r="AG10" s="22">
        <f>XIRR(AG6:AG8,AC6:AC8)</f>
        <v>2.4999997019767763E-2</v>
      </c>
    </row>
    <row r="11" spans="1:33">
      <c r="A11" s="12"/>
      <c r="B11" s="36" t="s">
        <v>16</v>
      </c>
      <c r="C11" s="37">
        <f>C9*F6</f>
        <v>158.84483368454613</v>
      </c>
      <c r="D11" s="12"/>
      <c r="E11" s="12"/>
      <c r="F11" s="12"/>
      <c r="H11" s="92" t="s">
        <v>29</v>
      </c>
      <c r="I11" s="71">
        <f>MDURATION(E6,E8,C10,0,2)</f>
        <v>0.69703557312252973</v>
      </c>
      <c r="J11" s="12"/>
      <c r="K11" s="12"/>
      <c r="L11" s="12"/>
      <c r="M11" s="12"/>
      <c r="N11" s="92" t="s">
        <v>64</v>
      </c>
      <c r="O11" s="71">
        <f>MDURATION(K6,K8,C10,O10,2)</f>
        <v>0.56973787729424774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t="s">
        <v>64</v>
      </c>
      <c r="AG11" s="4">
        <f>MDURATION(AC6,AC8,C10,AG10,2)</f>
        <v>0.68839381851073378</v>
      </c>
    </row>
    <row r="12" spans="1:33">
      <c r="A12" s="12"/>
      <c r="B12" s="12"/>
      <c r="C12" s="12"/>
      <c r="D12" s="12"/>
      <c r="E12">
        <f>E8-E6</f>
        <v>255</v>
      </c>
      <c r="J12" s="12"/>
      <c r="P12" s="12"/>
      <c r="Q12" s="15"/>
      <c r="R12" s="12"/>
      <c r="S12" s="27"/>
      <c r="T12" s="87"/>
      <c r="U12" s="42"/>
      <c r="V12" s="27"/>
      <c r="W12" s="27"/>
      <c r="X12" s="12"/>
      <c r="Y12" s="12"/>
      <c r="Z12" s="12"/>
      <c r="AA12" s="12"/>
      <c r="AB12" s="12"/>
    </row>
    <row r="13" spans="1:33">
      <c r="A13" s="12"/>
      <c r="B13" s="12"/>
      <c r="C13" s="12"/>
      <c r="D13" s="12"/>
      <c r="J13" s="12"/>
      <c r="P13" s="12"/>
      <c r="Q13" s="12"/>
      <c r="R13" s="12"/>
      <c r="S13" s="27"/>
      <c r="T13" s="27"/>
      <c r="U13" s="27"/>
      <c r="V13" s="27"/>
      <c r="W13" s="27"/>
      <c r="X13" s="12"/>
      <c r="Y13" s="12"/>
      <c r="Z13" s="12"/>
      <c r="AA13" s="12"/>
      <c r="AB13" s="12"/>
    </row>
    <row r="14" spans="1:3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7"/>
      <c r="O14" s="49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404"/>
      <c r="L15" s="404"/>
      <c r="M15" s="404"/>
      <c r="N15" s="404"/>
      <c r="O15" s="404"/>
      <c r="P15" s="44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ht="28.5">
      <c r="A17" s="12"/>
      <c r="B17" s="12"/>
      <c r="C17" s="12"/>
      <c r="D17" s="12"/>
      <c r="E17" s="401" t="s">
        <v>18</v>
      </c>
      <c r="F17" s="401"/>
      <c r="G17" s="61">
        <v>0.35</v>
      </c>
      <c r="H17" s="62">
        <f>XNPV(G17,U6:U8,Q6:Q8)</f>
        <v>165.30574495024672</v>
      </c>
      <c r="I17" s="61">
        <f>(H17/-$I$6)-1</f>
        <v>4.8229200699091423E-2</v>
      </c>
      <c r="J17" s="12"/>
      <c r="K17" s="45" t="s">
        <v>6</v>
      </c>
      <c r="L17" s="45" t="s">
        <v>58</v>
      </c>
      <c r="M17" s="45" t="s">
        <v>24</v>
      </c>
      <c r="N17" s="45" t="s">
        <v>4</v>
      </c>
      <c r="O17" s="45" t="s">
        <v>59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ht="15" customHeight="1">
      <c r="A18" s="12"/>
      <c r="B18" s="12"/>
      <c r="C18" s="12"/>
      <c r="D18" s="12"/>
      <c r="E18" s="402"/>
      <c r="F18" s="402"/>
      <c r="G18" s="18">
        <v>0.4</v>
      </c>
      <c r="H18" s="49">
        <f>XNPV(G18,U6:U8,Q6:Q8)</f>
        <v>161.17572081931192</v>
      </c>
      <c r="I18" s="18">
        <f>(H18/-$I$6)-1</f>
        <v>2.2040081289232294E-2</v>
      </c>
      <c r="J18" s="12"/>
      <c r="K18" s="15">
        <f>K7</f>
        <v>44457</v>
      </c>
      <c r="L18" s="31">
        <v>44443</v>
      </c>
      <c r="M18" s="46">
        <f>+'Serie CER'!H251</f>
        <v>34.22868065471549</v>
      </c>
      <c r="N18" s="47">
        <f>(M18/$C$7)</f>
        <v>1.7051845314280905</v>
      </c>
      <c r="O18" s="14">
        <f>100*N18</f>
        <v>170.51845314280905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>
      <c r="A19" s="12"/>
      <c r="B19" s="12"/>
      <c r="C19" s="12"/>
      <c r="D19" s="12"/>
      <c r="E19" s="403"/>
      <c r="F19" s="403"/>
      <c r="G19" s="63">
        <v>0.45</v>
      </c>
      <c r="H19" s="64">
        <f>XNPV(G19,U6:U8,Q6:Q8)</f>
        <v>157.28877142377144</v>
      </c>
      <c r="I19" s="63">
        <f>(H19/-I6)-1</f>
        <v>-2.6076637680948478E-3</v>
      </c>
      <c r="J19" s="12"/>
      <c r="K19" s="15">
        <f>K8</f>
        <v>44638</v>
      </c>
      <c r="L19" s="31">
        <v>44624</v>
      </c>
      <c r="M19" s="46">
        <f>+'Serie CER'!K67</f>
        <v>40.441492651459505</v>
      </c>
      <c r="N19" s="47">
        <f>(M19/$C$7)</f>
        <v>2.014690790824603</v>
      </c>
      <c r="O19" s="14">
        <f>100*N19</f>
        <v>201.4690790824603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>
      <c r="A20" s="12"/>
      <c r="B20" s="12"/>
      <c r="C20" s="12"/>
      <c r="D20" s="12"/>
      <c r="E20" s="12"/>
      <c r="F20" s="12"/>
      <c r="G20" s="12"/>
      <c r="H20" s="12"/>
      <c r="I20" s="12"/>
      <c r="J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>
      <c r="A21" s="12"/>
      <c r="B21" s="12"/>
      <c r="C21" s="12"/>
      <c r="D21" s="12"/>
      <c r="E21" s="12"/>
      <c r="F21" s="12"/>
      <c r="G21" s="12"/>
      <c r="H21" s="12"/>
      <c r="I21" s="12"/>
      <c r="J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>
      <c r="A23" s="12"/>
      <c r="B23" s="12"/>
      <c r="C23" s="12"/>
      <c r="D23" s="12"/>
      <c r="J23" s="110"/>
      <c r="K23" s="110"/>
      <c r="L23" s="110"/>
      <c r="M23" s="110"/>
      <c r="N23" s="110"/>
      <c r="O23" s="110"/>
      <c r="P23" s="110"/>
      <c r="Q23" s="110"/>
      <c r="R23" s="110"/>
      <c r="S23" s="12"/>
      <c r="T23" s="12"/>
      <c r="U23" s="12"/>
      <c r="V23" s="12"/>
      <c r="W23" s="400" t="s">
        <v>45</v>
      </c>
      <c r="X23" s="400"/>
      <c r="Y23" s="400"/>
      <c r="Z23" s="12"/>
      <c r="AA23" s="12"/>
      <c r="AB23" s="12"/>
      <c r="AC23" s="12"/>
      <c r="AD23" s="12"/>
    </row>
    <row r="24" spans="1:30">
      <c r="A24" s="12"/>
      <c r="B24" s="12"/>
      <c r="C24" s="12"/>
      <c r="D24" s="12"/>
      <c r="J24" s="110"/>
      <c r="K24" s="408"/>
      <c r="L24" s="408"/>
      <c r="M24" s="408"/>
      <c r="N24" s="408"/>
      <c r="O24" s="408"/>
      <c r="P24" s="408"/>
      <c r="Q24" s="110"/>
      <c r="R24" s="110"/>
      <c r="S24" s="12"/>
      <c r="T24" s="12"/>
      <c r="U24" s="12"/>
      <c r="V24" s="12"/>
      <c r="W24" s="400" t="s">
        <v>82</v>
      </c>
      <c r="X24" s="400"/>
      <c r="Y24" s="400"/>
      <c r="Z24" s="12"/>
      <c r="AA24" s="12"/>
      <c r="AB24" s="12"/>
      <c r="AC24" s="12"/>
      <c r="AD24" s="12"/>
    </row>
    <row r="25" spans="1:30">
      <c r="A25" s="12"/>
      <c r="B25" s="12"/>
      <c r="C25" s="12"/>
      <c r="D25" s="12"/>
      <c r="J25" s="110"/>
      <c r="K25" s="110"/>
      <c r="L25" s="110"/>
      <c r="M25" s="110"/>
      <c r="N25" s="110"/>
      <c r="O25" s="110"/>
      <c r="P25" s="110"/>
      <c r="Q25" s="110"/>
      <c r="R25" s="110"/>
      <c r="S25" s="12"/>
      <c r="T25" s="12"/>
      <c r="U25" s="12"/>
      <c r="V25" s="12"/>
      <c r="W25" s="108" t="s">
        <v>10</v>
      </c>
      <c r="X25" s="108" t="s">
        <v>83</v>
      </c>
      <c r="Y25" s="108" t="s">
        <v>84</v>
      </c>
      <c r="Z25" s="12"/>
      <c r="AA25" s="12"/>
      <c r="AB25" s="12"/>
      <c r="AC25" s="12"/>
      <c r="AD25" s="12"/>
    </row>
    <row r="26" spans="1:30">
      <c r="A26" s="12"/>
      <c r="B26" s="12"/>
      <c r="C26" s="12"/>
      <c r="D26" s="12"/>
      <c r="E26" s="12"/>
      <c r="F26" s="12"/>
      <c r="G26" s="12"/>
      <c r="H26" s="12"/>
      <c r="I26" s="12"/>
      <c r="J26" s="110"/>
      <c r="K26" s="111"/>
      <c r="L26" s="111"/>
      <c r="M26" s="110"/>
      <c r="N26" s="111"/>
      <c r="O26" s="111"/>
      <c r="P26" s="111"/>
      <c r="Q26" s="110"/>
      <c r="R26" s="110"/>
      <c r="S26" s="12"/>
      <c r="T26" s="12"/>
      <c r="U26" s="12"/>
      <c r="V26" s="12"/>
      <c r="W26" s="16">
        <v>0.15</v>
      </c>
      <c r="X26" s="49">
        <f>XNPV(W26,AA6:AA8,W6:W8)</f>
        <v>145.85892613112384</v>
      </c>
      <c r="Y26" s="18">
        <f t="shared" ref="Y26:Y31" si="2">(X26+$I$6)/(-$I$6)</f>
        <v>-7.5086073994141744E-2</v>
      </c>
      <c r="Z26" s="12"/>
      <c r="AA26" s="12"/>
      <c r="AB26" s="12"/>
      <c r="AC26" s="12"/>
      <c r="AD26" s="12"/>
    </row>
    <row r="27" spans="1:30">
      <c r="A27" s="12"/>
      <c r="B27" s="12"/>
      <c r="C27" s="12"/>
      <c r="D27" s="12"/>
      <c r="E27" s="12"/>
      <c r="F27" s="12"/>
      <c r="G27" s="12"/>
      <c r="H27" s="12"/>
      <c r="I27" s="12"/>
      <c r="J27" s="110"/>
      <c r="K27" s="112"/>
      <c r="L27" s="112"/>
      <c r="M27" s="110"/>
      <c r="N27" s="113"/>
      <c r="O27" s="110"/>
      <c r="P27" s="114"/>
      <c r="Q27" s="110"/>
      <c r="R27" s="115">
        <f>0.325/365*4</f>
        <v>3.5616438356164386E-3</v>
      </c>
      <c r="S27" s="12"/>
      <c r="T27" s="12"/>
      <c r="U27" s="12"/>
      <c r="V27" s="12"/>
      <c r="W27" s="16">
        <v>0.14000000000000001</v>
      </c>
      <c r="X27" s="49">
        <f>XNPV(W27,AA6:AA8,W6:W8)</f>
        <v>146.74759317833184</v>
      </c>
      <c r="Y27" s="18">
        <f t="shared" si="2"/>
        <v>-6.945089931305104E-2</v>
      </c>
      <c r="Z27" s="12"/>
      <c r="AA27" s="12"/>
      <c r="AB27" s="12"/>
      <c r="AC27" s="12"/>
      <c r="AD27" s="12"/>
    </row>
    <row r="28" spans="1:30">
      <c r="A28" s="12"/>
      <c r="B28" s="12"/>
      <c r="C28" s="12"/>
      <c r="D28" s="12"/>
      <c r="E28" s="12"/>
      <c r="F28" s="12"/>
      <c r="G28" s="12"/>
      <c r="H28" s="12"/>
      <c r="I28" s="12"/>
      <c r="J28" s="110"/>
      <c r="K28" s="12"/>
      <c r="L28" s="12"/>
      <c r="M28" s="12"/>
      <c r="N28" s="12"/>
      <c r="O28" s="12"/>
      <c r="P28" s="114"/>
      <c r="Q28" s="110"/>
      <c r="R28" s="110"/>
      <c r="S28" s="12"/>
      <c r="T28" s="12"/>
      <c r="U28" s="12"/>
      <c r="V28" s="12"/>
      <c r="W28" s="16">
        <v>0.13</v>
      </c>
      <c r="X28" s="49">
        <f>XNPV(W28,AA6:AA8,W6:W8)</f>
        <v>147.64959382632222</v>
      </c>
      <c r="Y28" s="18">
        <f t="shared" si="2"/>
        <v>-6.3731174214824174E-2</v>
      </c>
      <c r="Z28" s="12"/>
      <c r="AA28" s="12"/>
      <c r="AB28" s="12"/>
      <c r="AC28" s="12"/>
      <c r="AD28" s="12"/>
    </row>
    <row r="29" spans="1:30">
      <c r="A29" s="12"/>
      <c r="B29" s="12"/>
      <c r="C29" s="12"/>
      <c r="D29" s="12"/>
      <c r="E29" s="12"/>
      <c r="F29" s="12"/>
      <c r="G29" s="12"/>
      <c r="H29" s="12"/>
      <c r="I29" s="12"/>
      <c r="J29" s="110"/>
      <c r="K29" s="12"/>
      <c r="L29" s="12"/>
      <c r="M29" s="12"/>
      <c r="N29" s="12"/>
      <c r="O29" s="12"/>
      <c r="P29" s="114"/>
      <c r="Q29" s="110"/>
      <c r="R29" s="110"/>
      <c r="S29" s="12"/>
      <c r="T29" s="12"/>
      <c r="U29" s="12"/>
      <c r="V29" s="12"/>
      <c r="W29" s="16">
        <v>0.12</v>
      </c>
      <c r="X29" s="49">
        <f>XNPV(W29,AA6:AA8,W6:W8)</f>
        <v>148.56524883996195</v>
      </c>
      <c r="Y29" s="18">
        <f t="shared" si="2"/>
        <v>-5.7924864680012914E-2</v>
      </c>
      <c r="Z29" s="12"/>
      <c r="AA29" s="12"/>
      <c r="AB29" s="12"/>
      <c r="AC29" s="12"/>
      <c r="AD29" s="12"/>
    </row>
    <row r="30" spans="1:30">
      <c r="A30" s="12"/>
      <c r="B30" s="12"/>
      <c r="C30" s="12"/>
      <c r="D30" s="12"/>
      <c r="E30" s="12"/>
      <c r="F30" s="12"/>
      <c r="G30" s="12"/>
      <c r="H30" s="12"/>
      <c r="I30" s="12"/>
      <c r="J30" s="110"/>
      <c r="K30" s="391"/>
      <c r="L30" s="391"/>
      <c r="M30" s="391"/>
      <c r="N30" s="391"/>
      <c r="O30" s="391"/>
      <c r="P30" s="114"/>
      <c r="Q30" s="110"/>
      <c r="R30" s="110">
        <v>149.69999999999999</v>
      </c>
      <c r="S30" s="12"/>
      <c r="T30" s="12"/>
      <c r="U30" s="12"/>
      <c r="V30" s="12"/>
      <c r="W30" s="16">
        <v>0.11</v>
      </c>
      <c r="X30" s="49">
        <f>XNPV(W30,AA6:AA8,W6:W8)</f>
        <v>149.49488965638795</v>
      </c>
      <c r="Y30" s="18">
        <f t="shared" si="2"/>
        <v>-5.2029869014660966E-2</v>
      </c>
      <c r="Z30" s="12"/>
      <c r="AA30" s="12"/>
      <c r="AB30" s="12"/>
      <c r="AC30" s="12"/>
      <c r="AD30" s="12"/>
    </row>
    <row r="31" spans="1:30" ht="15.75">
      <c r="A31" s="12"/>
      <c r="B31" s="409" t="s">
        <v>103</v>
      </c>
      <c r="C31" s="409"/>
      <c r="D31" s="409"/>
      <c r="E31" s="409"/>
      <c r="F31" s="409"/>
      <c r="G31" s="409"/>
      <c r="H31" s="409"/>
      <c r="I31" s="409"/>
      <c r="J31" s="12"/>
      <c r="K31" s="12" t="s">
        <v>60</v>
      </c>
      <c r="L31" s="12"/>
      <c r="M31" s="12"/>
      <c r="N31" s="12"/>
      <c r="O31" s="12"/>
      <c r="P31" s="110"/>
      <c r="Q31" s="110"/>
      <c r="R31" s="110"/>
      <c r="S31" s="12"/>
      <c r="T31" s="12"/>
      <c r="U31" s="12"/>
      <c r="V31" s="12"/>
      <c r="W31" s="16">
        <v>0.1</v>
      </c>
      <c r="X31" s="49">
        <f>XNPV(W31,AA6:AA8,W6:W8)</f>
        <v>150.43885884020764</v>
      </c>
      <c r="Y31" s="18">
        <f t="shared" si="2"/>
        <v>-4.6044014963806883E-2</v>
      </c>
      <c r="Z31" s="12"/>
      <c r="AA31" s="12"/>
      <c r="AB31" s="12"/>
      <c r="AC31" s="12"/>
      <c r="AD31" s="12"/>
    </row>
    <row r="32" spans="1:3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10"/>
      <c r="Q32" s="110"/>
      <c r="R32" s="110">
        <f>R30/(1+R27)</f>
        <v>149.16871416871413</v>
      </c>
      <c r="S32" s="12"/>
      <c r="T32" s="12"/>
      <c r="U32" s="12"/>
      <c r="V32" s="12"/>
      <c r="W32" s="16">
        <v>0.09</v>
      </c>
      <c r="X32" s="49">
        <f>XNPV(W32,AA6:AA8,W6:W8)</f>
        <v>151.39751056246345</v>
      </c>
      <c r="Y32" s="18">
        <f t="shared" ref="Y32:Y39" si="3">(X32+$I$6)/(-$I$6)</f>
        <v>-3.9965056674296368E-2</v>
      </c>
      <c r="Z32" s="12"/>
      <c r="AA32" s="12"/>
      <c r="AB32" s="12"/>
      <c r="AC32" s="12"/>
      <c r="AD32" s="12"/>
    </row>
    <row r="33" spans="1:30">
      <c r="A33" s="12"/>
      <c r="B33" s="369" t="s">
        <v>34</v>
      </c>
      <c r="C33" s="370"/>
      <c r="D33" s="12"/>
      <c r="E33" s="391" t="s">
        <v>44</v>
      </c>
      <c r="F33" s="391"/>
      <c r="G33" s="391"/>
      <c r="H33" s="391"/>
      <c r="I33" s="391"/>
      <c r="J33" s="12"/>
      <c r="K33" s="391" t="s">
        <v>87</v>
      </c>
      <c r="L33" s="391"/>
      <c r="M33" s="391"/>
      <c r="N33" s="391"/>
      <c r="O33" s="391"/>
      <c r="P33" s="12"/>
      <c r="Q33" s="12"/>
      <c r="R33" s="12"/>
      <c r="S33" s="12"/>
      <c r="T33" s="12"/>
      <c r="U33" s="12"/>
      <c r="V33" s="12"/>
      <c r="W33" s="16">
        <v>0.08</v>
      </c>
      <c r="X33" s="49">
        <f>XNPV(W33,AA6:AA8,W6:W8)</f>
        <v>152.37121110483403</v>
      </c>
      <c r="Y33" s="18">
        <f t="shared" si="3"/>
        <v>-3.3790671497564727E-2</v>
      </c>
      <c r="Z33" s="12"/>
      <c r="AA33" s="12"/>
      <c r="AB33" s="12"/>
      <c r="AC33" s="12"/>
      <c r="AD33" s="12"/>
    </row>
    <row r="34" spans="1:30">
      <c r="A34" s="12"/>
      <c r="B34" s="24" t="s">
        <v>0</v>
      </c>
      <c r="C34" s="32">
        <v>43908</v>
      </c>
      <c r="D34" s="12"/>
      <c r="E34" s="29" t="s">
        <v>14</v>
      </c>
      <c r="F34" s="29" t="s">
        <v>7</v>
      </c>
      <c r="G34" s="29" t="s">
        <v>8</v>
      </c>
      <c r="H34" s="29" t="s">
        <v>33</v>
      </c>
      <c r="I34" s="29" t="s">
        <v>9</v>
      </c>
      <c r="J34" s="12"/>
      <c r="K34" s="29" t="s">
        <v>14</v>
      </c>
      <c r="L34" s="29" t="s">
        <v>7</v>
      </c>
      <c r="M34" s="29" t="s">
        <v>8</v>
      </c>
      <c r="N34" s="29" t="s">
        <v>33</v>
      </c>
      <c r="O34" s="29" t="s">
        <v>9</v>
      </c>
      <c r="P34" s="12"/>
      <c r="Q34" s="12"/>
      <c r="R34" s="12">
        <f>149.7</f>
        <v>149.69999999999999</v>
      </c>
      <c r="S34" s="12"/>
      <c r="T34" s="12"/>
      <c r="U34" s="12"/>
      <c r="V34" s="12"/>
      <c r="W34" s="16">
        <v>7.0000000000000007E-2</v>
      </c>
      <c r="X34" s="49">
        <f>XNPV(W34,AA6:AA8,W6:W8)</f>
        <v>153.36033939064808</v>
      </c>
      <c r="Y34" s="18">
        <f t="shared" si="3"/>
        <v>-2.7518456622396385E-2</v>
      </c>
      <c r="Z34" s="12"/>
      <c r="AA34" s="12"/>
      <c r="AB34" s="12"/>
      <c r="AC34" s="12"/>
      <c r="AD34" s="12"/>
    </row>
    <row r="35" spans="1:30">
      <c r="A35" s="12"/>
      <c r="B35" s="24" t="s">
        <v>1</v>
      </c>
      <c r="C35" s="33">
        <v>44638</v>
      </c>
      <c r="D35" s="12"/>
      <c r="E35" s="15">
        <v>44399</v>
      </c>
      <c r="F35" s="12">
        <v>100</v>
      </c>
      <c r="G35" s="30"/>
      <c r="H35" s="12"/>
      <c r="I35" s="14" t="e">
        <f>-[2]Hoja1!#REF!</f>
        <v>#REF!</v>
      </c>
      <c r="J35" s="12"/>
      <c r="K35" s="15">
        <f>E35</f>
        <v>44399</v>
      </c>
      <c r="L35" s="12">
        <v>100</v>
      </c>
      <c r="M35" s="30"/>
      <c r="N35" s="12"/>
      <c r="O35" s="14" t="e">
        <f>I35</f>
        <v>#REF!</v>
      </c>
      <c r="P35" s="12"/>
      <c r="Q35" s="12"/>
      <c r="R35" s="12">
        <v>149.35</v>
      </c>
      <c r="S35" s="12"/>
      <c r="T35" s="12"/>
      <c r="U35" s="12"/>
      <c r="V35" s="12"/>
      <c r="W35" s="16">
        <v>0.06</v>
      </c>
      <c r="X35" s="49">
        <f>XNPV(W35,AA6:AA8,W6:W8)</f>
        <v>154.36528754440425</v>
      </c>
      <c r="Y35" s="18">
        <f t="shared" si="3"/>
        <v>-2.1145925526922862E-2</v>
      </c>
      <c r="Z35" s="12"/>
      <c r="AA35" s="12"/>
      <c r="AB35" s="12"/>
      <c r="AC35" s="12"/>
      <c r="AD35" s="12"/>
    </row>
    <row r="36" spans="1:30">
      <c r="A36" s="12"/>
      <c r="B36" s="24" t="s">
        <v>2</v>
      </c>
      <c r="C36" s="34">
        <v>20.0733</v>
      </c>
      <c r="D36" s="12"/>
      <c r="E36" s="15">
        <v>44457</v>
      </c>
      <c r="F36" s="12">
        <v>100</v>
      </c>
      <c r="G36" s="14">
        <f>$C$41*$C$40*(180/360)</f>
        <v>0.9405</v>
      </c>
      <c r="H36" s="14"/>
      <c r="I36" s="14">
        <f>SUM(G36:H36)</f>
        <v>0.9405</v>
      </c>
      <c r="J36" s="12"/>
      <c r="K36" s="15">
        <f>E36</f>
        <v>44457</v>
      </c>
      <c r="L36" s="12">
        <v>100</v>
      </c>
      <c r="M36" s="30">
        <f>O47*($C$10/360*180)</f>
        <v>0</v>
      </c>
      <c r="N36" s="14"/>
      <c r="O36" s="14">
        <f>SUM(M36:N36)</f>
        <v>0</v>
      </c>
      <c r="P36" s="12"/>
      <c r="Q36" s="12"/>
      <c r="R36" s="22">
        <f>R34/R35-1</f>
        <v>2.3434884499498043E-3</v>
      </c>
      <c r="S36" s="12"/>
      <c r="T36" s="12"/>
      <c r="U36" s="12"/>
      <c r="V36" s="12"/>
      <c r="W36" s="16">
        <v>0.05</v>
      </c>
      <c r="X36" s="49">
        <f>XNPV(W36,AA6:AA8,W6:W8)</f>
        <v>155.38646148161232</v>
      </c>
      <c r="Y36" s="18">
        <f t="shared" si="3"/>
        <v>-1.467050423834923E-2</v>
      </c>
      <c r="Z36" s="12"/>
      <c r="AA36" s="12"/>
      <c r="AB36" s="12"/>
      <c r="AC36" s="12"/>
      <c r="AD36" s="12"/>
    </row>
    <row r="37" spans="1:30">
      <c r="A37" s="12"/>
      <c r="B37" s="24" t="s">
        <v>3</v>
      </c>
      <c r="C37" s="34">
        <f>+'Serie CER'!H139</f>
        <v>30.398399999999999</v>
      </c>
      <c r="D37" s="12"/>
      <c r="E37" s="15">
        <v>44638</v>
      </c>
      <c r="F37" s="12">
        <v>100</v>
      </c>
      <c r="G37" s="14">
        <f>$C$41*$C$40*(180/360)</f>
        <v>0.9405</v>
      </c>
      <c r="H37" s="14">
        <f>+C41</f>
        <v>156.75</v>
      </c>
      <c r="I37" s="14">
        <f>SUM(G37:H37)</f>
        <v>157.69049999999999</v>
      </c>
      <c r="J37" s="12"/>
      <c r="K37" s="15">
        <f>E37</f>
        <v>44638</v>
      </c>
      <c r="L37" s="12">
        <v>100</v>
      </c>
      <c r="M37" s="30">
        <f>O48*($C$10/360*180)</f>
        <v>0</v>
      </c>
      <c r="N37" s="14">
        <f>O48</f>
        <v>0</v>
      </c>
      <c r="O37" s="14">
        <f>SUM(M37:N37)</f>
        <v>0</v>
      </c>
      <c r="P37" s="12"/>
      <c r="Q37" s="12"/>
      <c r="R37" s="12"/>
      <c r="S37" s="12"/>
      <c r="T37" s="12"/>
      <c r="U37" s="12"/>
      <c r="V37" s="12"/>
      <c r="W37" s="16">
        <v>0.04</v>
      </c>
      <c r="X37" s="49">
        <f>XNPV(W37,AA6:AA8,W6:W8)</f>
        <v>156.42428153090566</v>
      </c>
      <c r="Y37" s="18">
        <f t="shared" si="3"/>
        <v>-8.08952738804267E-3</v>
      </c>
      <c r="Z37" s="12"/>
      <c r="AA37" s="12"/>
      <c r="AB37" s="12"/>
      <c r="AC37" s="12"/>
      <c r="AD37" s="12"/>
    </row>
    <row r="38" spans="1:30">
      <c r="A38" s="12"/>
      <c r="B38" s="24" t="s">
        <v>4</v>
      </c>
      <c r="C38" s="34">
        <f>((C37-C36)/C36)+1</f>
        <v>1.514369834556351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6">
        <v>0.03</v>
      </c>
      <c r="X38" s="49">
        <f>XNPV(W38,AA6:AA8,W6:W8)</f>
        <v>157.47918309052116</v>
      </c>
      <c r="Y38" s="18">
        <f t="shared" si="3"/>
        <v>-1.4002340486926285E-3</v>
      </c>
      <c r="Z38" s="12"/>
      <c r="AA38" s="12"/>
      <c r="AB38" s="12"/>
      <c r="AC38" s="12"/>
      <c r="AD38" s="12"/>
    </row>
    <row r="39" spans="1:30">
      <c r="A39" s="12"/>
      <c r="B39" s="24" t="s">
        <v>224</v>
      </c>
      <c r="C39">
        <f>C38*100</f>
        <v>151.4369834556351</v>
      </c>
      <c r="D39" s="12"/>
      <c r="E39" s="12"/>
      <c r="F39" s="12"/>
      <c r="H39" s="92" t="s">
        <v>13</v>
      </c>
      <c r="I39" s="86" t="e">
        <f>XIRR(I35:I37,E35:E37,0)</f>
        <v>#REF!</v>
      </c>
      <c r="J39" s="12"/>
      <c r="K39" s="15"/>
      <c r="L39" s="12"/>
      <c r="M39" s="12"/>
      <c r="N39" s="92" t="s">
        <v>10</v>
      </c>
      <c r="O39" s="86" t="e">
        <f>XIRR(O35:O37,K35:K37,0)</f>
        <v>#REF!</v>
      </c>
      <c r="P39" s="12"/>
      <c r="Q39" s="12"/>
      <c r="R39" s="12"/>
      <c r="S39" s="12"/>
      <c r="T39" s="12"/>
      <c r="U39" s="12"/>
      <c r="V39" s="12"/>
      <c r="W39" s="16">
        <v>2.5000000000000001E-2</v>
      </c>
      <c r="X39" s="49">
        <f>XNPV(W39,AA6:AA8,W6:W8)</f>
        <v>158.01317978902156</v>
      </c>
      <c r="Y39" s="18">
        <f t="shared" si="3"/>
        <v>1.9859213000733996E-3</v>
      </c>
      <c r="Z39" s="12"/>
      <c r="AA39" s="12"/>
      <c r="AB39" s="12"/>
      <c r="AC39" s="12"/>
      <c r="AD39" s="12"/>
    </row>
    <row r="40" spans="1:30">
      <c r="A40" s="12"/>
      <c r="B40" s="24" t="s">
        <v>5</v>
      </c>
      <c r="C40" s="35">
        <v>1.2E-2</v>
      </c>
      <c r="D40" s="12"/>
      <c r="E40" s="12"/>
      <c r="F40" s="12"/>
      <c r="H40" s="92" t="s">
        <v>29</v>
      </c>
      <c r="I40" s="71">
        <f>MDURATION(E35,E37,C40,0,2)</f>
        <v>0.652591128678085</v>
      </c>
      <c r="J40" s="12"/>
      <c r="K40" s="12"/>
      <c r="L40" s="12"/>
      <c r="M40" s="12"/>
      <c r="N40" s="92" t="s">
        <v>64</v>
      </c>
      <c r="O40" s="71" t="e">
        <f>MDURATION(K35,K37,C40,O39,2)</f>
        <v>#REF!</v>
      </c>
      <c r="P40" s="12"/>
      <c r="Q40" s="12"/>
      <c r="R40" s="12"/>
      <c r="S40" s="12"/>
      <c r="T40" s="12"/>
      <c r="U40" s="12"/>
      <c r="V40" s="12"/>
      <c r="W40" s="16">
        <v>0.02</v>
      </c>
      <c r="X40" s="49">
        <f>XNPV(W40,AA6:AA8,W6:W8)</f>
        <v>158.5516173213995</v>
      </c>
      <c r="Y40" s="18">
        <f>(X40+$I$6)/(-$I$6)</f>
        <v>5.400236660745187E-3</v>
      </c>
      <c r="Z40" s="12"/>
      <c r="AA40" s="12"/>
      <c r="AB40" s="12"/>
      <c r="AC40" s="12"/>
      <c r="AD40" s="12"/>
    </row>
    <row r="41" spans="1:30">
      <c r="A41" s="12"/>
      <c r="B41" s="36" t="s">
        <v>16</v>
      </c>
      <c r="C41" s="37">
        <v>156.75</v>
      </c>
      <c r="D41" s="12"/>
      <c r="E41">
        <f>E37-E35</f>
        <v>239</v>
      </c>
      <c r="J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>
      <c r="A43" s="12"/>
      <c r="B43" s="12" t="s">
        <v>223</v>
      </c>
      <c r="C43" s="22">
        <f>(C41/C39)-1</f>
        <v>3.5084009355755619E-2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1:30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</sheetData>
  <mergeCells count="17">
    <mergeCell ref="K33:O33"/>
    <mergeCell ref="K30:O30"/>
    <mergeCell ref="B31:I31"/>
    <mergeCell ref="B33:C33"/>
    <mergeCell ref="E33:I33"/>
    <mergeCell ref="E17:F19"/>
    <mergeCell ref="AC4:AG4"/>
    <mergeCell ref="B2:I2"/>
    <mergeCell ref="B4:C4"/>
    <mergeCell ref="E4:I4"/>
    <mergeCell ref="K4:O4"/>
    <mergeCell ref="Q4:U4"/>
    <mergeCell ref="K24:P24"/>
    <mergeCell ref="K15:O15"/>
    <mergeCell ref="W4:AA4"/>
    <mergeCell ref="W23:Y23"/>
    <mergeCell ref="W24:Y2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showGridLines="0" zoomScale="90" zoomScaleNormal="90" workbookViewId="0">
      <selection activeCell="N8" sqref="N8"/>
    </sheetView>
  </sheetViews>
  <sheetFormatPr baseColWidth="10" defaultRowHeight="15"/>
  <cols>
    <col min="2" max="2" width="12" customWidth="1"/>
    <col min="3" max="3" width="12.140625" bestFit="1" customWidth="1"/>
    <col min="4" max="4" width="3.42578125" customWidth="1"/>
    <col min="5" max="5" width="12.140625" bestFit="1" customWidth="1"/>
    <col min="6" max="6" width="9.42578125" customWidth="1"/>
    <col min="7" max="7" width="9" bestFit="1" customWidth="1"/>
    <col min="8" max="9" width="10.42578125" customWidth="1"/>
    <col min="12" max="12" width="11.28515625" customWidth="1"/>
    <col min="13" max="14" width="11" customWidth="1"/>
    <col min="15" max="15" width="11.140625" customWidth="1"/>
    <col min="16" max="16" width="12" customWidth="1"/>
  </cols>
  <sheetData>
    <row r="1" spans="1:34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4" ht="15.75">
      <c r="A2" s="12"/>
      <c r="B2" s="409" t="s">
        <v>104</v>
      </c>
      <c r="C2" s="409"/>
      <c r="D2" s="409"/>
      <c r="E2" s="409"/>
      <c r="F2" s="409"/>
      <c r="G2" s="409"/>
      <c r="H2" s="409"/>
      <c r="I2" s="409"/>
      <c r="J2" s="12"/>
      <c r="K2" s="12"/>
      <c r="L2" s="12" t="s">
        <v>60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4">
      <c r="A4" s="12"/>
      <c r="B4" s="369" t="s">
        <v>34</v>
      </c>
      <c r="C4" s="370"/>
      <c r="D4" s="12"/>
      <c r="E4" s="391" t="s">
        <v>105</v>
      </c>
      <c r="F4" s="391"/>
      <c r="G4" s="391"/>
      <c r="H4" s="391"/>
      <c r="I4" s="391"/>
      <c r="J4" s="12"/>
      <c r="K4" s="12"/>
      <c r="L4" s="391" t="s">
        <v>106</v>
      </c>
      <c r="M4" s="391"/>
      <c r="N4" s="391"/>
      <c r="O4" s="391"/>
      <c r="P4" s="391"/>
      <c r="Q4" s="12"/>
      <c r="R4" s="391" t="s">
        <v>106</v>
      </c>
      <c r="S4" s="391"/>
      <c r="T4" s="391"/>
      <c r="U4" s="391"/>
      <c r="V4" s="391"/>
      <c r="W4" s="12"/>
      <c r="X4" s="391" t="s">
        <v>105</v>
      </c>
      <c r="Y4" s="391"/>
      <c r="Z4" s="391"/>
      <c r="AA4" s="391"/>
      <c r="AB4" s="391"/>
      <c r="AC4" s="12"/>
      <c r="AD4" s="391" t="s">
        <v>105</v>
      </c>
      <c r="AE4" s="391"/>
      <c r="AF4" s="391"/>
      <c r="AG4" s="391"/>
      <c r="AH4" s="391"/>
    </row>
    <row r="5" spans="1:34">
      <c r="A5" s="12"/>
      <c r="B5" s="24" t="s">
        <v>0</v>
      </c>
      <c r="C5" s="32">
        <v>43971</v>
      </c>
      <c r="D5" s="12"/>
      <c r="E5" s="29" t="s">
        <v>14</v>
      </c>
      <c r="F5" s="29" t="s">
        <v>7</v>
      </c>
      <c r="G5" s="29" t="s">
        <v>8</v>
      </c>
      <c r="H5" s="29" t="s">
        <v>33</v>
      </c>
      <c r="I5" s="29" t="s">
        <v>9</v>
      </c>
      <c r="J5" s="12"/>
      <c r="K5" s="12"/>
      <c r="L5" s="29" t="s">
        <v>14</v>
      </c>
      <c r="M5" s="29" t="s">
        <v>7</v>
      </c>
      <c r="N5" s="29" t="s">
        <v>8</v>
      </c>
      <c r="O5" s="29" t="s">
        <v>33</v>
      </c>
      <c r="P5" s="29" t="s">
        <v>9</v>
      </c>
      <c r="Q5" s="12"/>
      <c r="R5" s="29" t="s">
        <v>14</v>
      </c>
      <c r="S5" s="29" t="s">
        <v>7</v>
      </c>
      <c r="T5" s="29" t="s">
        <v>8</v>
      </c>
      <c r="U5" s="29" t="s">
        <v>33</v>
      </c>
      <c r="V5" s="29" t="s">
        <v>9</v>
      </c>
      <c r="W5" s="12"/>
      <c r="X5" s="29" t="s">
        <v>14</v>
      </c>
      <c r="Y5" s="29" t="s">
        <v>7</v>
      </c>
      <c r="Z5" s="29" t="s">
        <v>8</v>
      </c>
      <c r="AA5" s="29" t="s">
        <v>33</v>
      </c>
      <c r="AB5" s="29" t="s">
        <v>9</v>
      </c>
      <c r="AC5" s="12"/>
      <c r="AD5" s="29" t="s">
        <v>14</v>
      </c>
      <c r="AE5" s="29" t="s">
        <v>7</v>
      </c>
      <c r="AF5" s="29" t="s">
        <v>8</v>
      </c>
      <c r="AG5" s="29" t="s">
        <v>33</v>
      </c>
      <c r="AH5" s="29" t="s">
        <v>9</v>
      </c>
    </row>
    <row r="6" spans="1:34">
      <c r="A6" s="12"/>
      <c r="B6" s="24" t="s">
        <v>1</v>
      </c>
      <c r="C6" s="33">
        <f>+E9</f>
        <v>44824</v>
      </c>
      <c r="D6" s="12"/>
      <c r="E6" s="15">
        <f>+'Planilla de datos'!D3</f>
        <v>44383</v>
      </c>
      <c r="F6" s="12">
        <v>100</v>
      </c>
      <c r="G6" s="30"/>
      <c r="H6" s="12"/>
      <c r="I6" s="14">
        <f>-'Planilla de datos'!C16</f>
        <v>-148</v>
      </c>
      <c r="J6" s="12"/>
      <c r="K6" s="12"/>
      <c r="L6" s="15">
        <f>E6</f>
        <v>44383</v>
      </c>
      <c r="M6" s="12">
        <v>100</v>
      </c>
      <c r="N6" s="30"/>
      <c r="O6" s="12"/>
      <c r="P6" s="14">
        <f>I6</f>
        <v>-148</v>
      </c>
      <c r="Q6" s="12"/>
      <c r="R6" s="15">
        <f>+L6</f>
        <v>44383</v>
      </c>
      <c r="S6" s="12">
        <v>100</v>
      </c>
      <c r="T6" s="30"/>
      <c r="U6" s="12"/>
      <c r="V6" s="14">
        <v>0</v>
      </c>
      <c r="W6" s="12"/>
      <c r="X6" s="15">
        <f>+E6</f>
        <v>44383</v>
      </c>
      <c r="Y6" s="12">
        <f>+F6</f>
        <v>100</v>
      </c>
      <c r="Z6" s="30"/>
      <c r="AA6" s="12"/>
      <c r="AB6" s="14">
        <v>0</v>
      </c>
      <c r="AC6" s="12"/>
      <c r="AD6" s="15">
        <f>+X6</f>
        <v>44383</v>
      </c>
      <c r="AE6" s="12">
        <f>+Y6</f>
        <v>100</v>
      </c>
      <c r="AF6" s="30"/>
      <c r="AG6" s="12"/>
      <c r="AH6" s="14">
        <f>-Y39</f>
        <v>-148.51070505381435</v>
      </c>
    </row>
    <row r="7" spans="1:34">
      <c r="A7" s="12"/>
      <c r="B7" s="24" t="s">
        <v>2</v>
      </c>
      <c r="C7" s="34">
        <v>21.126899999999999</v>
      </c>
      <c r="D7" s="12"/>
      <c r="E7" s="15">
        <v>44459</v>
      </c>
      <c r="F7" s="12">
        <v>100</v>
      </c>
      <c r="G7" s="14">
        <f>$C$11*C10*(180/360)</f>
        <v>0.98100099872674174</v>
      </c>
      <c r="H7" s="14"/>
      <c r="I7" s="14">
        <f>SUM(G7:H7)</f>
        <v>0.98100099872674174</v>
      </c>
      <c r="J7" s="12"/>
      <c r="K7" s="12"/>
      <c r="L7" s="15">
        <f>E7</f>
        <v>44459</v>
      </c>
      <c r="M7" s="12">
        <v>100</v>
      </c>
      <c r="N7" s="30">
        <f>P20*($C$10/360*180)</f>
        <v>1.0560076175483766</v>
      </c>
      <c r="O7" s="14"/>
      <c r="P7" s="14">
        <f>SUM(N7:O7)</f>
        <v>1.0560076175483766</v>
      </c>
      <c r="Q7" s="12"/>
      <c r="R7" s="15">
        <f>L7</f>
        <v>44459</v>
      </c>
      <c r="S7" s="12">
        <v>100</v>
      </c>
      <c r="T7" s="30">
        <f>N7</f>
        <v>1.0560076175483766</v>
      </c>
      <c r="U7" s="14"/>
      <c r="V7" s="14">
        <f>SUM(T7:U7)</f>
        <v>1.0560076175483766</v>
      </c>
      <c r="W7" s="12"/>
      <c r="X7" s="15">
        <f t="shared" ref="X7:Z9" si="0">+E7</f>
        <v>44459</v>
      </c>
      <c r="Y7" s="12">
        <f t="shared" si="0"/>
        <v>100</v>
      </c>
      <c r="Z7" s="14">
        <f t="shared" si="0"/>
        <v>0.98100099872674174</v>
      </c>
      <c r="AA7" s="14"/>
      <c r="AB7" s="14">
        <f>+I7</f>
        <v>0.98100099872674174</v>
      </c>
      <c r="AC7" s="12"/>
      <c r="AD7" s="15">
        <f t="shared" ref="AD7:AF9" si="1">+X7</f>
        <v>44459</v>
      </c>
      <c r="AE7" s="12">
        <f t="shared" si="1"/>
        <v>100</v>
      </c>
      <c r="AF7" s="14">
        <f t="shared" si="1"/>
        <v>0.98100099872674174</v>
      </c>
      <c r="AG7" s="14"/>
      <c r="AH7" s="14">
        <f>+AB7</f>
        <v>0.98100099872674174</v>
      </c>
    </row>
    <row r="8" spans="1:34">
      <c r="A8" s="12"/>
      <c r="B8" s="24" t="s">
        <v>3</v>
      </c>
      <c r="C8" s="34">
        <f>+'Planilla de datos'!D64</f>
        <v>31.885400000000001</v>
      </c>
      <c r="D8" s="12"/>
      <c r="E8" s="15">
        <v>44640</v>
      </c>
      <c r="F8" s="12">
        <v>100</v>
      </c>
      <c r="G8" s="14">
        <f>$C$11*C10*(180/360)</f>
        <v>0.98100099872674174</v>
      </c>
      <c r="H8" s="14"/>
      <c r="I8" s="14">
        <f>SUM(G8:H8)</f>
        <v>0.98100099872674174</v>
      </c>
      <c r="J8" s="12"/>
      <c r="K8" s="12"/>
      <c r="L8" s="15">
        <f>E8</f>
        <v>44640</v>
      </c>
      <c r="M8" s="12">
        <v>100</v>
      </c>
      <c r="N8" s="30">
        <f>P21*($C$10/360*180)</f>
        <v>1.2479249823562542</v>
      </c>
      <c r="O8" s="14"/>
      <c r="P8" s="14">
        <f>SUM(N8:O8)</f>
        <v>1.2479249823562542</v>
      </c>
      <c r="Q8" s="12"/>
      <c r="R8" s="15">
        <f>L8</f>
        <v>44640</v>
      </c>
      <c r="S8" s="12">
        <v>100</v>
      </c>
      <c r="T8" s="30">
        <f>N8</f>
        <v>1.2479249823562542</v>
      </c>
      <c r="U8" s="14"/>
      <c r="V8" s="14">
        <f>SUM(T8:U8)</f>
        <v>1.2479249823562542</v>
      </c>
      <c r="W8" s="12"/>
      <c r="X8" s="15">
        <f t="shared" si="0"/>
        <v>44640</v>
      </c>
      <c r="Y8" s="12">
        <f t="shared" si="0"/>
        <v>100</v>
      </c>
      <c r="Z8" s="14">
        <f t="shared" si="0"/>
        <v>0.98100099872674174</v>
      </c>
      <c r="AA8" s="14"/>
      <c r="AB8" s="14">
        <f>+I8</f>
        <v>0.98100099872674174</v>
      </c>
      <c r="AC8" s="12"/>
      <c r="AD8" s="15">
        <f t="shared" si="1"/>
        <v>44640</v>
      </c>
      <c r="AE8" s="12">
        <f t="shared" si="1"/>
        <v>100</v>
      </c>
      <c r="AF8" s="14">
        <f t="shared" si="1"/>
        <v>0.98100099872674174</v>
      </c>
      <c r="AG8" s="14"/>
      <c r="AH8" s="14">
        <f>+AB8</f>
        <v>0.98100099872674174</v>
      </c>
    </row>
    <row r="9" spans="1:34">
      <c r="A9" s="12"/>
      <c r="B9" s="24" t="s">
        <v>4</v>
      </c>
      <c r="C9" s="34">
        <f>C8/C7</f>
        <v>1.5092323057334489</v>
      </c>
      <c r="D9" s="12"/>
      <c r="E9" s="15">
        <v>44824</v>
      </c>
      <c r="F9" s="12">
        <v>100</v>
      </c>
      <c r="G9" s="14">
        <f>$C$11*C10*(180/360)</f>
        <v>0.98100099872674174</v>
      </c>
      <c r="H9" s="14">
        <f>C11</f>
        <v>150.92323057334488</v>
      </c>
      <c r="I9" s="14">
        <f>SUM(G9:H9)</f>
        <v>151.90423157207161</v>
      </c>
      <c r="J9" s="12"/>
      <c r="K9" s="12"/>
      <c r="L9" s="15">
        <f>E9</f>
        <v>44824</v>
      </c>
      <c r="M9" s="12">
        <v>100</v>
      </c>
      <c r="N9" s="30">
        <f>P22*($C$10/360*180)</f>
        <v>1.49597197326842</v>
      </c>
      <c r="O9" s="14">
        <f>P22</f>
        <v>230.14953434898771</v>
      </c>
      <c r="P9" s="14">
        <f>SUM(N9:O9)</f>
        <v>231.64550632225613</v>
      </c>
      <c r="Q9" s="12"/>
      <c r="R9" s="15">
        <f>L9</f>
        <v>44824</v>
      </c>
      <c r="S9" s="12">
        <v>100</v>
      </c>
      <c r="T9" s="30">
        <f>N9</f>
        <v>1.49597197326842</v>
      </c>
      <c r="U9" s="14">
        <f>O9</f>
        <v>230.14953434898771</v>
      </c>
      <c r="V9" s="14">
        <f>SUM(T9:U9)</f>
        <v>231.64550632225613</v>
      </c>
      <c r="W9" s="12"/>
      <c r="X9" s="15">
        <f t="shared" si="0"/>
        <v>44824</v>
      </c>
      <c r="Y9" s="12">
        <f t="shared" si="0"/>
        <v>100</v>
      </c>
      <c r="Z9" s="14">
        <f t="shared" si="0"/>
        <v>0.98100099872674174</v>
      </c>
      <c r="AA9" s="14">
        <f>+H9</f>
        <v>150.92323057334488</v>
      </c>
      <c r="AB9" s="14">
        <f>+I9</f>
        <v>151.90423157207161</v>
      </c>
      <c r="AC9" s="12"/>
      <c r="AD9" s="15">
        <f t="shared" si="1"/>
        <v>44824</v>
      </c>
      <c r="AE9" s="12">
        <f t="shared" si="1"/>
        <v>100</v>
      </c>
      <c r="AF9" s="14">
        <f t="shared" si="1"/>
        <v>0.98100099872674174</v>
      </c>
      <c r="AG9" s="14">
        <f>+AA9</f>
        <v>150.92323057334488</v>
      </c>
      <c r="AH9" s="14">
        <f>+AB9</f>
        <v>151.90423157207161</v>
      </c>
    </row>
    <row r="10" spans="1:34">
      <c r="A10" s="12"/>
      <c r="B10" s="24" t="s">
        <v>5</v>
      </c>
      <c r="C10" s="35">
        <v>1.2999999999999999E-2</v>
      </c>
      <c r="D10" s="12"/>
      <c r="E10" s="12"/>
      <c r="F10" s="12"/>
      <c r="J10" s="12"/>
      <c r="K10" s="12"/>
      <c r="L10" s="15"/>
      <c r="M10" s="12"/>
      <c r="N10" s="12"/>
      <c r="Q10" s="12"/>
      <c r="W10" s="12"/>
      <c r="AC10" s="12"/>
      <c r="AD10" s="12"/>
      <c r="AE10" s="12"/>
    </row>
    <row r="11" spans="1:34">
      <c r="A11" s="12"/>
      <c r="B11" s="36" t="s">
        <v>16</v>
      </c>
      <c r="C11" s="37">
        <f>F6*C9</f>
        <v>150.92323057334488</v>
      </c>
      <c r="D11" s="12"/>
      <c r="E11" s="12"/>
      <c r="F11" s="12"/>
      <c r="H11" s="92" t="s">
        <v>13</v>
      </c>
      <c r="I11" s="86">
        <f>XIRR(I6:I9,E6:E9,0)</f>
        <v>3.2965014648437499E-2</v>
      </c>
      <c r="J11" s="12"/>
      <c r="K11" s="12"/>
      <c r="L11" s="12"/>
      <c r="M11" s="12"/>
      <c r="N11" s="12"/>
      <c r="O11" s="92" t="s">
        <v>10</v>
      </c>
      <c r="P11" s="86">
        <f>XIRR(P6:P9,L6:L9,0)</f>
        <v>0.46469922363281269</v>
      </c>
      <c r="Q11" s="12"/>
      <c r="R11" s="15"/>
      <c r="S11" s="12"/>
      <c r="T11" s="27"/>
      <c r="U11" s="87"/>
      <c r="V11" s="42"/>
      <c r="W11" s="27"/>
      <c r="X11" s="27"/>
      <c r="Y11" s="12"/>
      <c r="Z11" s="12"/>
      <c r="AA11" s="12"/>
      <c r="AB11" s="12"/>
      <c r="AC11" s="12"/>
      <c r="AD11" s="12"/>
      <c r="AE11" s="12"/>
      <c r="AG11" t="s">
        <v>10</v>
      </c>
      <c r="AH11" s="22">
        <f>XIRR(AH6:AH9,AD6:AD9)</f>
        <v>2.9999998211860644E-2</v>
      </c>
    </row>
    <row r="12" spans="1:34">
      <c r="A12" s="12"/>
      <c r="B12" s="12"/>
      <c r="C12" s="12"/>
      <c r="D12" s="12"/>
      <c r="E12" s="12"/>
      <c r="F12" s="12"/>
      <c r="G12" s="12"/>
      <c r="H12" s="92" t="s">
        <v>29</v>
      </c>
      <c r="I12" s="71">
        <f>MDURATION(E6,E9,C10,0,2)</f>
        <v>1.195992044030298</v>
      </c>
      <c r="J12" s="12"/>
      <c r="K12" s="12"/>
      <c r="L12" s="12"/>
      <c r="M12" s="12"/>
      <c r="N12" s="12"/>
      <c r="O12" s="92" t="s">
        <v>64</v>
      </c>
      <c r="P12" s="71">
        <f>MDURATION(L6,L9,C10,P11,2)</f>
        <v>0.967265485511556</v>
      </c>
      <c r="Q12" s="12"/>
      <c r="R12" s="12"/>
      <c r="S12" s="12"/>
      <c r="T12" s="27"/>
      <c r="U12" s="27"/>
      <c r="V12" s="27"/>
      <c r="W12" s="27"/>
      <c r="X12" s="27"/>
      <c r="Y12" s="12"/>
      <c r="Z12" s="12"/>
      <c r="AA12" s="12"/>
      <c r="AB12" s="12"/>
      <c r="AC12" s="12"/>
      <c r="AD12" s="12"/>
      <c r="AE12" s="12"/>
      <c r="AG12" t="s">
        <v>64</v>
      </c>
      <c r="AH12" s="4">
        <f>MDURATION(AD6,AD9,C10,AH11,2)</f>
        <v>1.1780831023270644</v>
      </c>
    </row>
    <row r="13" spans="1:34">
      <c r="A13" s="12"/>
      <c r="B13" s="12"/>
      <c r="C13" s="12"/>
      <c r="D13" s="12"/>
      <c r="J13" s="12"/>
      <c r="K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34">
      <c r="A14" s="12"/>
      <c r="B14" s="12"/>
      <c r="C14" s="12"/>
      <c r="D14" s="12"/>
    </row>
    <row r="15" spans="1:34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404"/>
      <c r="M15" s="404"/>
      <c r="N15" s="404"/>
      <c r="O15" s="404"/>
      <c r="P15" s="404"/>
      <c r="Q15" s="44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4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6" ht="28.5">
      <c r="A17" s="12"/>
      <c r="B17" s="12"/>
      <c r="C17" s="12"/>
      <c r="D17" s="12"/>
      <c r="E17" s="27"/>
      <c r="F17" s="27"/>
      <c r="G17" s="27"/>
      <c r="H17" s="27"/>
      <c r="I17" s="27"/>
      <c r="J17" s="12"/>
      <c r="K17" s="12"/>
      <c r="L17" s="45" t="s">
        <v>6</v>
      </c>
      <c r="M17" s="45" t="s">
        <v>58</v>
      </c>
      <c r="N17" s="45" t="s">
        <v>24</v>
      </c>
      <c r="O17" s="45" t="s">
        <v>4</v>
      </c>
      <c r="P17" s="45" t="s">
        <v>59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6" ht="15" customHeight="1">
      <c r="A18" s="12"/>
      <c r="B18" s="12"/>
      <c r="C18" s="12"/>
      <c r="D18" s="12"/>
      <c r="J18" s="12"/>
      <c r="K18" s="12"/>
      <c r="L18" s="15" t="e">
        <f>#REF!</f>
        <v>#REF!</v>
      </c>
      <c r="M18" s="31">
        <v>44081</v>
      </c>
      <c r="N18" s="46">
        <f>+'Serie CER'!E28</f>
        <v>22.777799999999999</v>
      </c>
      <c r="O18" s="47">
        <f>(N18/C7)</f>
        <v>1.0781420842622438</v>
      </c>
      <c r="P18" s="14">
        <f>100*O18</f>
        <v>107.81420842622438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6">
      <c r="A19" s="12"/>
      <c r="B19" s="12"/>
      <c r="C19" s="12"/>
      <c r="D19" s="12"/>
      <c r="J19" s="12"/>
      <c r="K19" s="12"/>
      <c r="L19" s="15" t="e">
        <f>#REF!</f>
        <v>#REF!</v>
      </c>
      <c r="M19" s="31">
        <v>44262</v>
      </c>
      <c r="N19" s="46">
        <f>+'Serie CER'!H70</f>
        <v>27.686199999999999</v>
      </c>
      <c r="O19" s="47">
        <f>(N19/$C$7)</f>
        <v>1.3104714842215375</v>
      </c>
      <c r="P19" s="14">
        <f>100*O19</f>
        <v>131.04714842215375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C19" s="12"/>
      <c r="AD19" s="12"/>
      <c r="AE19" s="12"/>
      <c r="AJ19" s="12"/>
    </row>
    <row r="20" spans="1:36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5">
        <f>L7</f>
        <v>44459</v>
      </c>
      <c r="M20" s="31">
        <v>44446</v>
      </c>
      <c r="N20" s="46">
        <f>+'Serie CER'!H254</f>
        <v>34.32333436181969</v>
      </c>
      <c r="O20" s="47">
        <f>(N20/$C$7)</f>
        <v>1.6246271039205795</v>
      </c>
      <c r="P20" s="14">
        <f>100*O20</f>
        <v>162.46271039205794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6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5">
        <f>L8</f>
        <v>44640</v>
      </c>
      <c r="M21" s="31">
        <v>44627</v>
      </c>
      <c r="N21" s="46">
        <f>+'Serie CER'!K70</f>
        <v>40.561209707295916</v>
      </c>
      <c r="O21" s="47">
        <f>(N21/$C$7)</f>
        <v>1.919884588240391</v>
      </c>
      <c r="P21" s="14">
        <f>100*O21</f>
        <v>191.9884588240391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>
        <f>L9</f>
        <v>44824</v>
      </c>
      <c r="M22" s="31">
        <v>44811</v>
      </c>
      <c r="N22" s="46">
        <f>+'Serie CER'!K254</f>
        <v>48.623461972376283</v>
      </c>
      <c r="O22" s="47">
        <f>(N22/$C$7)</f>
        <v>2.3014953434898771</v>
      </c>
      <c r="P22" s="14">
        <f>100*O22</f>
        <v>230.14953434898771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10"/>
      <c r="L23" s="110"/>
      <c r="M23" s="110"/>
      <c r="N23" s="110"/>
      <c r="O23" s="110"/>
      <c r="P23" s="110"/>
      <c r="Q23" s="110"/>
      <c r="R23" s="110"/>
      <c r="S23" s="110"/>
      <c r="T23" s="12"/>
      <c r="U23" s="12"/>
      <c r="V23" s="12"/>
      <c r="W23" s="12"/>
      <c r="X23" s="400" t="s">
        <v>102</v>
      </c>
      <c r="Y23" s="400"/>
      <c r="Z23" s="400"/>
      <c r="AA23" s="12"/>
      <c r="AB23" s="12"/>
      <c r="AC23" s="12"/>
      <c r="AD23" s="12"/>
      <c r="AE23" s="12"/>
    </row>
    <row r="24" spans="1:36">
      <c r="A24" s="12"/>
      <c r="B24" s="12"/>
      <c r="C24" s="12"/>
      <c r="D24" s="12"/>
      <c r="E24" s="401" t="s">
        <v>18</v>
      </c>
      <c r="F24" s="401"/>
      <c r="G24" s="61">
        <v>0.35</v>
      </c>
      <c r="H24" s="62">
        <f>XNPV(G24,V6:V9,R6:R9)</f>
        <v>163.1974731271373</v>
      </c>
      <c r="I24" s="61">
        <f>(H24/-$I$6)-1</f>
        <v>0.10268562923741409</v>
      </c>
      <c r="J24" s="12"/>
      <c r="K24" s="110"/>
      <c r="L24" s="408"/>
      <c r="M24" s="408"/>
      <c r="N24" s="408"/>
      <c r="O24" s="408"/>
      <c r="P24" s="408"/>
      <c r="Q24" s="408"/>
      <c r="R24" s="110"/>
      <c r="S24" s="110"/>
      <c r="T24" s="12"/>
      <c r="U24" s="12"/>
      <c r="V24" s="12"/>
      <c r="W24" s="12"/>
      <c r="X24" s="400" t="s">
        <v>82</v>
      </c>
      <c r="Y24" s="400"/>
      <c r="Z24" s="400"/>
      <c r="AA24" s="12"/>
      <c r="AB24" s="12"/>
      <c r="AC24" s="12"/>
      <c r="AD24" s="12"/>
      <c r="AE24" s="12"/>
    </row>
    <row r="25" spans="1:36">
      <c r="A25" s="12"/>
      <c r="D25" s="12"/>
      <c r="E25" s="402"/>
      <c r="F25" s="402"/>
      <c r="G25" s="18">
        <v>0.4</v>
      </c>
      <c r="H25" s="49">
        <f>XNPV(G25,V6:V9,R6:R9)</f>
        <v>156.2348758720905</v>
      </c>
      <c r="I25" s="18">
        <f>(H25/-$I$6)-1</f>
        <v>5.5641053189800616E-2</v>
      </c>
      <c r="J25" s="12"/>
      <c r="K25" s="110"/>
      <c r="L25" s="110"/>
      <c r="M25" s="110"/>
      <c r="N25" s="110"/>
      <c r="O25" s="110"/>
      <c r="P25" s="110"/>
      <c r="Q25" s="110"/>
      <c r="R25" s="110"/>
      <c r="S25" s="110"/>
      <c r="T25" s="12"/>
      <c r="U25" s="12"/>
      <c r="V25" s="12"/>
      <c r="W25" s="12"/>
      <c r="X25" s="108" t="s">
        <v>10</v>
      </c>
      <c r="Y25" s="108" t="s">
        <v>83</v>
      </c>
      <c r="Z25" s="108" t="s">
        <v>84</v>
      </c>
      <c r="AA25" s="12"/>
      <c r="AB25" s="12"/>
      <c r="AC25" s="12"/>
      <c r="AD25" s="12"/>
      <c r="AE25" s="12"/>
    </row>
    <row r="26" spans="1:36">
      <c r="A26" s="12"/>
      <c r="B26" s="12"/>
      <c r="C26" s="12"/>
      <c r="D26" s="12"/>
      <c r="E26" s="403"/>
      <c r="F26" s="403"/>
      <c r="G26" s="63">
        <v>0.45</v>
      </c>
      <c r="H26" s="64">
        <f>XNPV(G26,V6:V9,R6:R9)</f>
        <v>149.79983572180495</v>
      </c>
      <c r="I26" s="63">
        <f>(H26/-I6)-1</f>
        <v>1.2161052174357811E-2</v>
      </c>
      <c r="J26" s="12"/>
      <c r="K26" s="110"/>
      <c r="L26" s="140"/>
      <c r="M26" s="140"/>
      <c r="N26" s="110"/>
      <c r="O26" s="140"/>
      <c r="P26" s="140"/>
      <c r="Q26" s="140"/>
      <c r="R26" s="110"/>
      <c r="S26" s="110"/>
      <c r="T26" s="12"/>
      <c r="U26" s="12"/>
      <c r="V26" s="12"/>
      <c r="W26" s="12"/>
      <c r="X26" s="16">
        <v>0.15</v>
      </c>
      <c r="Y26" s="49">
        <f>XNPV(X26,AB6:AB9,X6:X9)</f>
        <v>130.14396969479893</v>
      </c>
      <c r="Z26" s="18">
        <f t="shared" ref="Z26:Z31" si="2">(Y26+$I$6)/(-$I$6)</f>
        <v>-0.12064885341352077</v>
      </c>
      <c r="AA26" s="12"/>
      <c r="AB26" s="12"/>
      <c r="AC26" s="12"/>
      <c r="AD26" s="12"/>
      <c r="AE26" s="12"/>
    </row>
    <row r="27" spans="1:3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10"/>
      <c r="L27" s="112"/>
      <c r="M27" s="112"/>
      <c r="N27" s="110"/>
      <c r="O27" s="113"/>
      <c r="P27" s="110"/>
      <c r="Q27" s="114"/>
      <c r="R27" s="110"/>
      <c r="S27" s="110"/>
      <c r="T27" s="12"/>
      <c r="U27" s="12"/>
      <c r="V27" s="12"/>
      <c r="W27" s="12"/>
      <c r="X27" s="16">
        <v>0.14000000000000001</v>
      </c>
      <c r="Y27" s="49">
        <f>XNPV(X27,AB6:AB9,X6:X9)</f>
        <v>131.51222529661806</v>
      </c>
      <c r="Z27" s="18">
        <f t="shared" si="2"/>
        <v>-0.11140388313095909</v>
      </c>
      <c r="AA27" s="12"/>
      <c r="AB27" s="12"/>
      <c r="AC27" s="12"/>
      <c r="AD27" s="12"/>
      <c r="AE27" s="12"/>
    </row>
    <row r="28" spans="1:3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10"/>
      <c r="L28" s="113"/>
      <c r="M28" s="115"/>
      <c r="N28" s="110"/>
      <c r="O28" s="113"/>
      <c r="P28" s="110"/>
      <c r="Q28" s="114"/>
      <c r="R28" s="110"/>
      <c r="S28" s="110"/>
      <c r="T28" s="12"/>
      <c r="U28" s="12"/>
      <c r="V28" s="12"/>
      <c r="W28" s="12"/>
      <c r="X28" s="16">
        <v>0.13</v>
      </c>
      <c r="Y28" s="49">
        <f>XNPV(X28,AB6:AB9,X6:X9)</f>
        <v>132.90720345050329</v>
      </c>
      <c r="Z28" s="18">
        <f t="shared" si="2"/>
        <v>-0.10197835506416697</v>
      </c>
      <c r="AA28" s="12"/>
      <c r="AB28" s="12"/>
      <c r="AC28" s="12"/>
      <c r="AD28" s="12"/>
      <c r="AE28" s="12"/>
    </row>
    <row r="29" spans="1:3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10"/>
      <c r="L29" s="114"/>
      <c r="M29" s="110"/>
      <c r="N29" s="110"/>
      <c r="O29" s="113"/>
      <c r="P29" s="110"/>
      <c r="Q29" s="114"/>
      <c r="R29" s="110"/>
      <c r="S29" s="110"/>
      <c r="T29" s="12"/>
      <c r="U29" s="12"/>
      <c r="V29" s="12"/>
      <c r="W29" s="12"/>
      <c r="X29" s="16">
        <v>0.12</v>
      </c>
      <c r="Y29" s="49">
        <f>XNPV(X29,AB6:AB9,X6:X9)</f>
        <v>134.32966978345155</v>
      </c>
      <c r="Z29" s="18">
        <f t="shared" si="2"/>
        <v>-9.2367096057759793E-2</v>
      </c>
      <c r="AA29" s="12"/>
      <c r="AB29" s="12"/>
      <c r="AC29" s="12"/>
      <c r="AD29" s="12"/>
      <c r="AE29" s="12"/>
    </row>
    <row r="30" spans="1:3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10"/>
      <c r="L30" s="110"/>
      <c r="M30" s="110"/>
      <c r="N30" s="110"/>
      <c r="O30" s="113"/>
      <c r="P30" s="110"/>
      <c r="Q30" s="114"/>
      <c r="R30" s="110"/>
      <c r="S30" s="110"/>
      <c r="T30" s="12"/>
      <c r="U30" s="12"/>
      <c r="V30" s="12"/>
      <c r="W30" s="12"/>
      <c r="X30" s="16">
        <v>0.11</v>
      </c>
      <c r="Y30" s="49">
        <f>XNPV(X30,AB6:AB9,X6:X9)</f>
        <v>135.78041896333906</v>
      </c>
      <c r="Z30" s="18">
        <f t="shared" si="2"/>
        <v>-8.2564736734195551E-2</v>
      </c>
      <c r="AA30" s="12"/>
      <c r="AB30" s="12"/>
      <c r="AC30" s="12"/>
      <c r="AD30" s="12"/>
      <c r="AE30" s="12"/>
    </row>
    <row r="31" spans="1:3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10"/>
      <c r="L31" s="110"/>
      <c r="M31" s="110"/>
      <c r="N31" s="110"/>
      <c r="O31" s="113"/>
      <c r="P31" s="110"/>
      <c r="Q31" s="110"/>
      <c r="R31" s="110"/>
      <c r="S31" s="110"/>
      <c r="T31" s="12"/>
      <c r="U31" s="12"/>
      <c r="V31" s="12"/>
      <c r="W31" s="12"/>
      <c r="X31" s="16">
        <v>0.1</v>
      </c>
      <c r="Y31" s="49">
        <f>XNPV(X31,AB6:AB9,X6:X9)</f>
        <v>137.26027607481515</v>
      </c>
      <c r="Z31" s="18">
        <f t="shared" si="2"/>
        <v>-7.2565702197194909E-2</v>
      </c>
      <c r="AA31" s="12"/>
      <c r="AB31" s="12"/>
      <c r="AC31" s="12"/>
      <c r="AD31" s="12"/>
      <c r="AE31" s="12"/>
    </row>
    <row r="32" spans="1:3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10"/>
      <c r="L32" s="110"/>
      <c r="M32" s="110"/>
      <c r="N32" s="110"/>
      <c r="O32" s="110"/>
      <c r="P32" s="110"/>
      <c r="Q32" s="110"/>
      <c r="R32" s="110"/>
      <c r="S32" s="110"/>
      <c r="T32" s="12"/>
      <c r="U32" s="12"/>
      <c r="V32" s="12"/>
      <c r="W32" s="12"/>
      <c r="X32" s="16">
        <v>0.09</v>
      </c>
      <c r="Y32" s="49">
        <f>XNPV(X32,AB6:AB9,X6:X9)</f>
        <v>138.77009807361938</v>
      </c>
      <c r="Z32" s="18">
        <f t="shared" ref="Z32:Z37" si="3">(Y32+$I$6)/(-$I$6)</f>
        <v>-6.2364202205274458E-2</v>
      </c>
      <c r="AA32" s="12"/>
      <c r="AB32" s="12"/>
      <c r="AC32" s="12"/>
      <c r="AD32" s="12"/>
      <c r="AE32" s="12"/>
    </row>
    <row r="33" spans="1:3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6">
        <v>0.08</v>
      </c>
      <c r="Y33" s="49">
        <f>XNPV(X33,AB6:AB9,X6:X9)</f>
        <v>140.31077532455885</v>
      </c>
      <c r="Z33" s="18">
        <f t="shared" si="3"/>
        <v>-5.195422078000779E-2</v>
      </c>
      <c r="AA33" s="12"/>
      <c r="AB33" s="12"/>
      <c r="AC33" s="12"/>
      <c r="AD33" s="12"/>
      <c r="AE33" s="12"/>
    </row>
    <row r="34" spans="1:3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6">
        <v>7.0000000000000007E-2</v>
      </c>
      <c r="Y34" s="49">
        <f>XNPV(X34,AB6:AB9,X6:X9)</f>
        <v>141.88323322878711</v>
      </c>
      <c r="Z34" s="18">
        <f t="shared" si="3"/>
        <v>-4.1329505210897934E-2</v>
      </c>
      <c r="AA34" s="12"/>
      <c r="AB34" s="12"/>
      <c r="AC34" s="12"/>
      <c r="AD34" s="12"/>
      <c r="AE34" s="12"/>
    </row>
    <row r="35" spans="1:3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6">
        <v>0.06</v>
      </c>
      <c r="Y35" s="49">
        <f>XNPV(X35,AB6:AB9,X6:X9)</f>
        <v>143.48843394646141</v>
      </c>
      <c r="Z35" s="18">
        <f t="shared" si="3"/>
        <v>-3.0483554415801264E-2</v>
      </c>
      <c r="AA35" s="12"/>
      <c r="AB35" s="12"/>
      <c r="AC35" s="12"/>
      <c r="AD35" s="12"/>
      <c r="AE35" s="12"/>
    </row>
    <row r="36" spans="1:3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6">
        <v>0.05</v>
      </c>
      <c r="Y36" s="49">
        <f>XNPV(X36,AB6:AB9,X6:X9)</f>
        <v>145.12737822133209</v>
      </c>
      <c r="Z36" s="18">
        <f t="shared" si="3"/>
        <v>-1.9409606612620985E-2</v>
      </c>
      <c r="AA36" s="12"/>
      <c r="AB36" s="12"/>
      <c r="AC36" s="12"/>
      <c r="AD36" s="12"/>
      <c r="AE36" s="12"/>
    </row>
    <row r="37" spans="1:3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6">
        <v>4.4999999999999998E-2</v>
      </c>
      <c r="Y37" s="49">
        <f>XNPV(X37,AB6:AB9,X6:X9)</f>
        <v>145.95982794882738</v>
      </c>
      <c r="Z37" s="18">
        <f t="shared" si="3"/>
        <v>-1.378494629170688E-2</v>
      </c>
      <c r="AA37" s="12"/>
      <c r="AB37" s="12"/>
      <c r="AC37" s="12"/>
      <c r="AD37" s="12"/>
      <c r="AE37" s="12"/>
    </row>
    <row r="38" spans="1:3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6">
        <v>0.04</v>
      </c>
      <c r="Y38" s="49">
        <f>XNPV(X38,AB6:AB9,X6:X9)</f>
        <v>146.80110731433379</v>
      </c>
      <c r="Z38" s="18">
        <f>(Y38+$I$6)/(-$I$6)</f>
        <v>-8.1006262545014127E-3</v>
      </c>
      <c r="AA38" s="12"/>
      <c r="AB38" s="12"/>
      <c r="AC38" s="12"/>
      <c r="AD38" s="12"/>
      <c r="AE38" s="12"/>
    </row>
    <row r="39" spans="1:3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6">
        <v>0.03</v>
      </c>
      <c r="Y39" s="49">
        <f>XNPV(X39,AB6:AB9,X6:X9)</f>
        <v>148.51070505381435</v>
      </c>
      <c r="Z39" s="18">
        <f>(Y39+$I$6)/(-$I$6)</f>
        <v>3.450709823069921E-3</v>
      </c>
      <c r="AA39" s="12"/>
      <c r="AB39" s="12"/>
      <c r="AC39" s="12"/>
      <c r="AD39" s="12"/>
      <c r="AE39" s="12"/>
    </row>
    <row r="40" spans="1:3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6">
        <v>0.02</v>
      </c>
      <c r="Y40" s="49">
        <f>XNPV(X40,AB6:AB9,X6:X9)</f>
        <v>150.25730001064971</v>
      </c>
      <c r="Z40" s="18">
        <f>(Y40+$I$6)/(-$I$6)</f>
        <v>1.525202709898456E-2</v>
      </c>
      <c r="AA40" s="12"/>
      <c r="AB40" s="12"/>
      <c r="AC40" s="12"/>
      <c r="AD40" s="12"/>
      <c r="AE40" s="12"/>
    </row>
    <row r="41" spans="1:3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</sheetData>
  <mergeCells count="12">
    <mergeCell ref="E24:F26"/>
    <mergeCell ref="L15:P15"/>
    <mergeCell ref="X23:Z23"/>
    <mergeCell ref="L24:Q24"/>
    <mergeCell ref="X24:Z24"/>
    <mergeCell ref="AD4:AH4"/>
    <mergeCell ref="X4:AB4"/>
    <mergeCell ref="B2:I2"/>
    <mergeCell ref="B4:C4"/>
    <mergeCell ref="E4:I4"/>
    <mergeCell ref="L4:P4"/>
    <mergeCell ref="R4:V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54"/>
  <sheetViews>
    <sheetView showGridLines="0" zoomScale="90" zoomScaleNormal="90" workbookViewId="0">
      <selection activeCell="K25" sqref="A25:K25"/>
    </sheetView>
  </sheetViews>
  <sheetFormatPr baseColWidth="10" defaultRowHeight="15"/>
  <cols>
    <col min="1" max="1" width="4.42578125" customWidth="1"/>
    <col min="2" max="2" width="12.28515625" customWidth="1"/>
    <col min="3" max="3" width="11.28515625" customWidth="1"/>
    <col min="4" max="4" width="3.140625" customWidth="1"/>
    <col min="5" max="5" width="12.140625" bestFit="1" customWidth="1"/>
    <col min="6" max="6" width="9.42578125" customWidth="1"/>
    <col min="7" max="7" width="10.85546875" customWidth="1"/>
    <col min="8" max="8" width="10" customWidth="1"/>
    <col min="9" max="9" width="10.140625" customWidth="1"/>
    <col min="10" max="10" width="4" customWidth="1"/>
    <col min="14" max="14" width="17.42578125" customWidth="1"/>
    <col min="15" max="15" width="13.5703125" bestFit="1" customWidth="1"/>
    <col min="16" max="16" width="3.140625" customWidth="1"/>
    <col min="22" max="22" width="3" customWidth="1"/>
  </cols>
  <sheetData>
    <row r="1" spans="2:33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2:33" ht="15.75">
      <c r="B2" s="409" t="s">
        <v>76</v>
      </c>
      <c r="C2" s="409"/>
      <c r="D2" s="409"/>
      <c r="E2" s="409"/>
      <c r="F2" s="409"/>
      <c r="G2" s="409"/>
      <c r="H2" s="409"/>
      <c r="I2" s="409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33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2:33">
      <c r="B4" s="369" t="s">
        <v>37</v>
      </c>
      <c r="C4" s="370"/>
      <c r="D4" s="12"/>
      <c r="E4" s="394" t="s">
        <v>77</v>
      </c>
      <c r="F4" s="394"/>
      <c r="G4" s="394"/>
      <c r="H4" s="394"/>
      <c r="I4" s="394"/>
      <c r="J4" s="12"/>
      <c r="K4" s="371" t="s">
        <v>88</v>
      </c>
      <c r="L4" s="371"/>
      <c r="M4" s="371"/>
      <c r="N4" s="371"/>
      <c r="O4" s="371"/>
      <c r="P4" s="12"/>
      <c r="Q4" s="371" t="s">
        <v>88</v>
      </c>
      <c r="R4" s="371"/>
      <c r="S4" s="371"/>
      <c r="T4" s="371"/>
      <c r="U4" s="371"/>
      <c r="V4" s="12"/>
      <c r="W4" s="394" t="s">
        <v>77</v>
      </c>
      <c r="X4" s="394"/>
      <c r="Y4" s="394"/>
      <c r="Z4" s="394"/>
      <c r="AA4" s="394"/>
      <c r="AC4" s="394" t="s">
        <v>77</v>
      </c>
      <c r="AD4" s="394"/>
      <c r="AE4" s="394"/>
      <c r="AF4" s="394"/>
      <c r="AG4" s="394"/>
    </row>
    <row r="5" spans="2:33">
      <c r="B5" s="24" t="s">
        <v>0</v>
      </c>
      <c r="C5" s="32">
        <v>43165</v>
      </c>
      <c r="D5" s="12"/>
      <c r="E5" s="68" t="s">
        <v>14</v>
      </c>
      <c r="F5" s="68" t="s">
        <v>7</v>
      </c>
      <c r="G5" s="68" t="s">
        <v>8</v>
      </c>
      <c r="H5" s="68" t="s">
        <v>33</v>
      </c>
      <c r="I5" s="68" t="s">
        <v>9</v>
      </c>
      <c r="J5" s="12"/>
      <c r="K5" s="29" t="s">
        <v>14</v>
      </c>
      <c r="L5" s="29" t="s">
        <v>7</v>
      </c>
      <c r="M5" s="29" t="s">
        <v>8</v>
      </c>
      <c r="N5" s="29" t="s">
        <v>33</v>
      </c>
      <c r="O5" s="29" t="s">
        <v>9</v>
      </c>
      <c r="P5" s="12"/>
      <c r="Q5" s="29" t="s">
        <v>14</v>
      </c>
      <c r="R5" s="29" t="s">
        <v>7</v>
      </c>
      <c r="S5" s="29" t="s">
        <v>8</v>
      </c>
      <c r="T5" s="29" t="s">
        <v>33</v>
      </c>
      <c r="U5" s="29" t="s">
        <v>9</v>
      </c>
      <c r="V5" s="12"/>
      <c r="W5" s="68" t="s">
        <v>14</v>
      </c>
      <c r="X5" s="68" t="s">
        <v>7</v>
      </c>
      <c r="Y5" s="68" t="s">
        <v>8</v>
      </c>
      <c r="Z5" s="68" t="s">
        <v>33</v>
      </c>
      <c r="AA5" s="68" t="s">
        <v>9</v>
      </c>
      <c r="AC5" s="68" t="s">
        <v>14</v>
      </c>
      <c r="AD5" s="68" t="s">
        <v>7</v>
      </c>
      <c r="AE5" s="68" t="s">
        <v>8</v>
      </c>
      <c r="AF5" s="68" t="s">
        <v>33</v>
      </c>
      <c r="AG5" s="68" t="s">
        <v>9</v>
      </c>
    </row>
    <row r="6" spans="2:33">
      <c r="B6" s="24" t="s">
        <v>1</v>
      </c>
      <c r="C6" s="33">
        <v>44991</v>
      </c>
      <c r="D6" s="12"/>
      <c r="E6" s="69">
        <f>'Planilla de datos'!D3</f>
        <v>44383</v>
      </c>
      <c r="F6" s="70">
        <v>100</v>
      </c>
      <c r="G6" s="26"/>
      <c r="H6" s="26"/>
      <c r="I6" s="71">
        <f>-'Planilla de datos'!C18</f>
        <v>-368</v>
      </c>
      <c r="J6" s="12"/>
      <c r="K6" s="15">
        <f>+E6</f>
        <v>44383</v>
      </c>
      <c r="L6" s="12">
        <f>+F6</f>
        <v>100</v>
      </c>
      <c r="M6" s="30"/>
      <c r="N6" s="12"/>
      <c r="O6" s="14">
        <f>I6</f>
        <v>-368</v>
      </c>
      <c r="P6" s="12"/>
      <c r="Q6" s="15">
        <f>+K6</f>
        <v>44383</v>
      </c>
      <c r="R6" s="12">
        <f>+L6</f>
        <v>100</v>
      </c>
      <c r="S6" s="30"/>
      <c r="T6" s="12"/>
      <c r="U6" s="14">
        <v>0</v>
      </c>
      <c r="V6" s="12"/>
      <c r="W6" s="69">
        <f>+E6</f>
        <v>44383</v>
      </c>
      <c r="X6" s="70">
        <f>+F6</f>
        <v>100</v>
      </c>
      <c r="Y6" s="26"/>
      <c r="Z6" s="26"/>
      <c r="AA6" s="71">
        <v>0</v>
      </c>
      <c r="AC6" s="69">
        <f>+W6</f>
        <v>44383</v>
      </c>
      <c r="AD6" s="70">
        <f>+X6</f>
        <v>100</v>
      </c>
      <c r="AE6" s="26"/>
      <c r="AF6" s="26"/>
      <c r="AG6" s="71">
        <f>-X37</f>
        <v>-373.12020079420142</v>
      </c>
    </row>
    <row r="7" spans="2:33">
      <c r="B7" s="24" t="s">
        <v>2</v>
      </c>
      <c r="C7" s="25">
        <v>8.7322000000000006</v>
      </c>
      <c r="D7" s="12"/>
      <c r="E7" s="69">
        <v>44445</v>
      </c>
      <c r="F7" s="70">
        <v>100</v>
      </c>
      <c r="G7" s="72">
        <f>(C11*C10)/360*180</f>
        <v>7.3029477107716261</v>
      </c>
      <c r="H7" s="74"/>
      <c r="I7" s="71">
        <f>SUM(G7:H7)</f>
        <v>7.3029477107716261</v>
      </c>
      <c r="J7" s="12"/>
      <c r="K7" s="15">
        <f t="shared" ref="K7:L10" si="0">+E7</f>
        <v>44445</v>
      </c>
      <c r="L7" s="12">
        <f t="shared" si="0"/>
        <v>100</v>
      </c>
      <c r="M7" s="14">
        <f>O19*($C$10/360*180)</f>
        <v>7.7463919006790869</v>
      </c>
      <c r="N7" s="14"/>
      <c r="O7" s="14">
        <f>SUM(M7:N7)</f>
        <v>7.7463919006790869</v>
      </c>
      <c r="P7" s="12"/>
      <c r="Q7" s="15">
        <f t="shared" ref="Q7:S10" si="1">+K7</f>
        <v>44445</v>
      </c>
      <c r="R7" s="12">
        <f t="shared" si="1"/>
        <v>100</v>
      </c>
      <c r="S7" s="30">
        <f t="shared" si="1"/>
        <v>7.7463919006790869</v>
      </c>
      <c r="T7" s="14"/>
      <c r="U7" s="14">
        <f>SUM(S7:T7)</f>
        <v>7.7463919006790869</v>
      </c>
      <c r="V7" s="12"/>
      <c r="W7" s="69">
        <f t="shared" ref="W7:Y10" si="2">+E7</f>
        <v>44445</v>
      </c>
      <c r="X7" s="70">
        <f t="shared" si="2"/>
        <v>100</v>
      </c>
      <c r="Y7" s="72">
        <f t="shared" si="2"/>
        <v>7.3029477107716261</v>
      </c>
      <c r="Z7" s="74"/>
      <c r="AA7" s="73">
        <f>+I7</f>
        <v>7.3029477107716261</v>
      </c>
      <c r="AC7" s="69">
        <f t="shared" ref="AC7:AE10" si="3">+W7</f>
        <v>44445</v>
      </c>
      <c r="AD7" s="70">
        <f t="shared" si="3"/>
        <v>100</v>
      </c>
      <c r="AE7" s="72">
        <f t="shared" si="3"/>
        <v>7.3029477107716261</v>
      </c>
      <c r="AF7" s="74"/>
      <c r="AG7" s="73">
        <f>+AA7</f>
        <v>7.3029477107716261</v>
      </c>
    </row>
    <row r="8" spans="2:33">
      <c r="B8" s="24" t="s">
        <v>3</v>
      </c>
      <c r="C8" s="25">
        <f>'Planilla de datos'!D64</f>
        <v>31.885400000000001</v>
      </c>
      <c r="D8" s="12"/>
      <c r="E8" s="69">
        <v>44626</v>
      </c>
      <c r="F8" s="70">
        <v>100</v>
      </c>
      <c r="G8" s="72">
        <f>G7</f>
        <v>7.3029477107716261</v>
      </c>
      <c r="H8" s="12"/>
      <c r="I8" s="71">
        <f>SUM(G8:H8)</f>
        <v>7.3029477107716261</v>
      </c>
      <c r="J8" s="12"/>
      <c r="K8" s="15">
        <f t="shared" si="0"/>
        <v>44626</v>
      </c>
      <c r="L8" s="12">
        <f t="shared" si="0"/>
        <v>100</v>
      </c>
      <c r="M8" s="14">
        <f>O20*($C$10/360*180)</f>
        <v>9.1717967740537247</v>
      </c>
      <c r="N8" s="12"/>
      <c r="O8" s="14">
        <f>SUM(M8:N8)</f>
        <v>9.1717967740537247</v>
      </c>
      <c r="P8" s="12"/>
      <c r="Q8" s="15">
        <f t="shared" si="1"/>
        <v>44626</v>
      </c>
      <c r="R8" s="12">
        <f t="shared" si="1"/>
        <v>100</v>
      </c>
      <c r="S8" s="30">
        <f t="shared" si="1"/>
        <v>9.1717967740537247</v>
      </c>
      <c r="T8" s="12"/>
      <c r="U8" s="14">
        <f>SUM(S8:T8)</f>
        <v>9.1717967740537247</v>
      </c>
      <c r="V8" s="12"/>
      <c r="W8" s="69">
        <f t="shared" si="2"/>
        <v>44626</v>
      </c>
      <c r="X8" s="70">
        <f t="shared" si="2"/>
        <v>100</v>
      </c>
      <c r="Y8" s="72">
        <f t="shared" si="2"/>
        <v>7.3029477107716261</v>
      </c>
      <c r="Z8" s="12"/>
      <c r="AA8" s="73">
        <f>+I8</f>
        <v>7.3029477107716261</v>
      </c>
      <c r="AC8" s="69">
        <f t="shared" si="3"/>
        <v>44626</v>
      </c>
      <c r="AD8" s="70">
        <f t="shared" si="3"/>
        <v>100</v>
      </c>
      <c r="AE8" s="72">
        <f t="shared" si="3"/>
        <v>7.3029477107716261</v>
      </c>
      <c r="AF8" s="12"/>
      <c r="AG8" s="73">
        <f>+AA8</f>
        <v>7.3029477107716261</v>
      </c>
    </row>
    <row r="9" spans="2:33">
      <c r="B9" s="24" t="s">
        <v>4</v>
      </c>
      <c r="C9" s="34">
        <f>((C8-C7)/C7)+1</f>
        <v>3.651473855385813</v>
      </c>
      <c r="D9" s="12"/>
      <c r="E9" s="69">
        <v>44810</v>
      </c>
      <c r="F9" s="70">
        <v>100</v>
      </c>
      <c r="G9" s="72">
        <f>G8</f>
        <v>7.3029477107716261</v>
      </c>
      <c r="H9" s="12"/>
      <c r="I9" s="71">
        <f>SUM(G9:H9)</f>
        <v>7.3029477107716261</v>
      </c>
      <c r="J9" s="12"/>
      <c r="K9" s="15">
        <f t="shared" si="0"/>
        <v>44810</v>
      </c>
      <c r="L9" s="12">
        <f t="shared" si="0"/>
        <v>100</v>
      </c>
      <c r="M9" s="14">
        <f>O21*($C$10/360*180)</f>
        <v>10.984024524511353</v>
      </c>
      <c r="O9" s="14">
        <f>SUM(M9:N9)</f>
        <v>10.984024524511353</v>
      </c>
      <c r="P9" s="12"/>
      <c r="Q9" s="15">
        <f t="shared" si="1"/>
        <v>44810</v>
      </c>
      <c r="R9" s="12">
        <f t="shared" si="1"/>
        <v>100</v>
      </c>
      <c r="S9" s="30">
        <f t="shared" si="1"/>
        <v>10.984024524511353</v>
      </c>
      <c r="T9" s="87"/>
      <c r="U9" s="14">
        <f>SUM(S9:T9)</f>
        <v>10.984024524511353</v>
      </c>
      <c r="V9" s="12"/>
      <c r="W9" s="69">
        <f t="shared" si="2"/>
        <v>44810</v>
      </c>
      <c r="X9" s="70">
        <f t="shared" si="2"/>
        <v>100</v>
      </c>
      <c r="Y9" s="72">
        <f t="shared" si="2"/>
        <v>7.3029477107716261</v>
      </c>
      <c r="Z9" s="12"/>
      <c r="AA9" s="73">
        <f>+I9</f>
        <v>7.3029477107716261</v>
      </c>
      <c r="AC9" s="69">
        <f t="shared" si="3"/>
        <v>44810</v>
      </c>
      <c r="AD9" s="70">
        <f t="shared" si="3"/>
        <v>100</v>
      </c>
      <c r="AE9" s="72">
        <f t="shared" si="3"/>
        <v>7.3029477107716261</v>
      </c>
      <c r="AF9" s="12"/>
      <c r="AG9" s="73">
        <f>+AA9</f>
        <v>7.3029477107716261</v>
      </c>
    </row>
    <row r="10" spans="2:33">
      <c r="B10" s="24" t="s">
        <v>5</v>
      </c>
      <c r="C10" s="35">
        <v>0.04</v>
      </c>
      <c r="D10" s="12"/>
      <c r="E10" s="69">
        <v>44991</v>
      </c>
      <c r="F10" s="70">
        <v>100</v>
      </c>
      <c r="G10" s="72">
        <f>G9</f>
        <v>7.3029477107716261</v>
      </c>
      <c r="H10" s="14">
        <f>+C11</f>
        <v>365.14738553858132</v>
      </c>
      <c r="I10" s="71">
        <f>SUM(G10:H10)</f>
        <v>372.45033324935292</v>
      </c>
      <c r="J10" s="12"/>
      <c r="K10" s="15">
        <f t="shared" si="0"/>
        <v>44991</v>
      </c>
      <c r="L10" s="12">
        <f t="shared" si="0"/>
        <v>100</v>
      </c>
      <c r="M10" s="14">
        <f>O22*($C$10/360*180)</f>
        <v>13.13197310344961</v>
      </c>
      <c r="N10" s="14">
        <f>+O22</f>
        <v>656.59865517248045</v>
      </c>
      <c r="O10" s="14">
        <f>SUM(M10:N10)</f>
        <v>669.73062827593003</v>
      </c>
      <c r="P10" s="12"/>
      <c r="Q10" s="15">
        <f t="shared" si="1"/>
        <v>44991</v>
      </c>
      <c r="R10" s="12">
        <f t="shared" si="1"/>
        <v>100</v>
      </c>
      <c r="S10" s="30">
        <f t="shared" si="1"/>
        <v>13.13197310344961</v>
      </c>
      <c r="T10" s="14">
        <f>+N10</f>
        <v>656.59865517248045</v>
      </c>
      <c r="U10" s="14">
        <f>SUM(S10:T10)</f>
        <v>669.73062827593003</v>
      </c>
      <c r="V10" s="12"/>
      <c r="W10" s="69">
        <f t="shared" si="2"/>
        <v>44991</v>
      </c>
      <c r="X10" s="70">
        <f t="shared" si="2"/>
        <v>100</v>
      </c>
      <c r="Y10" s="72">
        <f t="shared" si="2"/>
        <v>7.3029477107716261</v>
      </c>
      <c r="Z10" s="14">
        <f>+H10</f>
        <v>365.14738553858132</v>
      </c>
      <c r="AA10" s="73">
        <f>+I10</f>
        <v>372.45033324935292</v>
      </c>
      <c r="AC10" s="69">
        <f t="shared" si="3"/>
        <v>44991</v>
      </c>
      <c r="AD10" s="70">
        <f t="shared" si="3"/>
        <v>100</v>
      </c>
      <c r="AE10" s="72">
        <f t="shared" si="3"/>
        <v>7.3029477107716261</v>
      </c>
      <c r="AF10" s="14">
        <f>+Z10</f>
        <v>365.14738553858132</v>
      </c>
      <c r="AG10" s="73">
        <f>+AA10</f>
        <v>372.45033324935292</v>
      </c>
    </row>
    <row r="11" spans="2:33">
      <c r="B11" s="36" t="s">
        <v>16</v>
      </c>
      <c r="C11" s="37">
        <f>C9*F6</f>
        <v>365.14738553858132</v>
      </c>
      <c r="D11" s="12"/>
      <c r="E11" s="12"/>
      <c r="F11" s="12"/>
      <c r="G11" s="12"/>
      <c r="H11" s="12"/>
      <c r="I11" s="12"/>
      <c r="J11" s="12"/>
      <c r="K11" s="15"/>
      <c r="L11" s="44"/>
      <c r="M11" s="44"/>
      <c r="N11" s="44"/>
      <c r="O11" s="44"/>
      <c r="P11" s="12"/>
      <c r="Q11" s="12"/>
      <c r="R11" s="12"/>
      <c r="S11" s="12"/>
      <c r="T11" s="12"/>
      <c r="U11" s="12"/>
      <c r="V11" s="12"/>
      <c r="W11" s="12"/>
    </row>
    <row r="12" spans="2:33">
      <c r="B12" s="12"/>
      <c r="C12" s="12"/>
      <c r="D12" s="12"/>
      <c r="E12" s="12"/>
      <c r="F12" s="12"/>
      <c r="G12" s="12"/>
      <c r="H12" s="92" t="s">
        <v>10</v>
      </c>
      <c r="I12" s="86">
        <f>XIRR(I6:I10,E6:E10)</f>
        <v>4.3932631611824036E-2</v>
      </c>
      <c r="J12" s="12"/>
      <c r="K12" s="12"/>
      <c r="L12" s="12"/>
      <c r="M12" s="12"/>
      <c r="N12" s="92" t="s">
        <v>10</v>
      </c>
      <c r="O12" s="86">
        <f>XIRR(O6:O10,K6:K10,0)</f>
        <v>0.48455432617187499</v>
      </c>
      <c r="P12" s="12"/>
      <c r="Q12" s="12"/>
      <c r="R12" s="12"/>
      <c r="S12" s="12"/>
      <c r="T12" s="12"/>
      <c r="U12" s="12"/>
      <c r="V12" s="12"/>
      <c r="W12" s="12"/>
      <c r="AF12" t="s">
        <v>10</v>
      </c>
      <c r="AG12" s="86">
        <f>XIRR(AG6:AG10,AC6:AC10)</f>
        <v>3.4999999403953527E-2</v>
      </c>
    </row>
    <row r="13" spans="2:33">
      <c r="B13" s="12"/>
      <c r="C13" s="12"/>
      <c r="D13" s="12"/>
      <c r="E13" s="12"/>
      <c r="F13" s="12"/>
      <c r="G13" s="12"/>
      <c r="H13" s="92" t="s">
        <v>29</v>
      </c>
      <c r="I13" s="71">
        <f>MDURATION(E6,E10,C10,0,2)</f>
        <v>1.6111111111111112</v>
      </c>
      <c r="J13" s="12"/>
      <c r="K13" s="12"/>
      <c r="L13" s="12"/>
      <c r="M13" s="12"/>
      <c r="N13" s="92" t="s">
        <v>29</v>
      </c>
      <c r="O13" s="71">
        <f>MDURATION(K6,K10,C10,O12,2)</f>
        <v>1.2687863125632977</v>
      </c>
      <c r="P13" s="12"/>
      <c r="Q13" s="12"/>
      <c r="R13" s="12"/>
      <c r="S13" s="12"/>
      <c r="T13" s="12"/>
      <c r="U13" s="12"/>
      <c r="V13" s="12"/>
      <c r="W13" s="12"/>
      <c r="AF13" t="s">
        <v>64</v>
      </c>
      <c r="AG13" s="4">
        <f>MDURATION(AC6,AC10,C10,AG12,2)</f>
        <v>1.5812529174283569</v>
      </c>
    </row>
    <row r="14" spans="2:33">
      <c r="B14" s="12"/>
      <c r="C14" s="12"/>
      <c r="D14" s="12"/>
      <c r="J14" s="12"/>
    </row>
    <row r="15" spans="2:33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2:3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5" ht="28.5">
      <c r="B17" s="12"/>
      <c r="C17" s="12"/>
      <c r="D17" s="12"/>
      <c r="E17" s="12"/>
      <c r="F17" s="12"/>
      <c r="G17" s="12"/>
      <c r="H17" s="12"/>
      <c r="I17" s="12"/>
      <c r="J17" s="12"/>
      <c r="K17" s="75" t="s">
        <v>6</v>
      </c>
      <c r="L17" s="75" t="s">
        <v>58</v>
      </c>
      <c r="M17" s="75" t="s">
        <v>24</v>
      </c>
      <c r="N17" s="75" t="s">
        <v>4</v>
      </c>
      <c r="O17" s="75" t="s">
        <v>59</v>
      </c>
      <c r="P17" s="12"/>
      <c r="Q17" s="12"/>
      <c r="R17" s="12"/>
      <c r="S17" s="12"/>
      <c r="T17" s="12"/>
      <c r="U17" s="12"/>
      <c r="V17" s="12"/>
      <c r="W17" s="12"/>
    </row>
    <row r="18" spans="2:25">
      <c r="D18" s="12"/>
      <c r="E18" s="12"/>
      <c r="F18" s="12"/>
      <c r="G18" s="12"/>
      <c r="H18" s="12"/>
      <c r="I18" s="12"/>
      <c r="J18" s="12"/>
      <c r="K18" s="15" t="e">
        <f>+#REF!</f>
        <v>#REF!</v>
      </c>
      <c r="L18" s="31">
        <v>44249</v>
      </c>
      <c r="M18" s="46">
        <f>+'Serie CER'!H57</f>
        <v>27.186599999999999</v>
      </c>
      <c r="N18" s="47">
        <f>(M18/$C$7)</f>
        <v>3.113373491216417</v>
      </c>
      <c r="O18" s="14">
        <f>100*N18</f>
        <v>311.33734912164169</v>
      </c>
      <c r="P18" s="12"/>
      <c r="Q18" s="12"/>
      <c r="R18" s="12"/>
      <c r="S18" s="12"/>
      <c r="T18" s="12"/>
      <c r="U18" s="12"/>
      <c r="V18" s="12"/>
      <c r="W18" s="12"/>
    </row>
    <row r="19" spans="2:25">
      <c r="D19" s="12"/>
      <c r="E19" s="12"/>
      <c r="F19" s="12"/>
      <c r="G19" s="12"/>
      <c r="H19" s="12"/>
      <c r="I19" s="12"/>
      <c r="J19" s="12"/>
      <c r="K19" s="15">
        <f>+K7</f>
        <v>44445</v>
      </c>
      <c r="L19" s="31">
        <v>44432</v>
      </c>
      <c r="M19" s="46">
        <f>+'Serie CER'!H238</f>
        <v>33.821521677554962</v>
      </c>
      <c r="N19" s="47">
        <f>(M19/$C$7)</f>
        <v>3.8731959503395434</v>
      </c>
      <c r="O19" s="14">
        <f>100*N19</f>
        <v>387.31959503395433</v>
      </c>
      <c r="P19" s="12"/>
      <c r="Q19" s="12"/>
      <c r="R19" s="12"/>
      <c r="S19" s="12"/>
      <c r="T19" s="12"/>
      <c r="U19" s="12"/>
      <c r="V19" s="12"/>
      <c r="W19" s="12"/>
    </row>
    <row r="20" spans="2:25">
      <c r="D20" s="12"/>
      <c r="E20" s="12"/>
      <c r="F20" s="12"/>
      <c r="G20" s="12"/>
      <c r="H20" s="12"/>
      <c r="I20" s="12"/>
      <c r="J20" s="12"/>
      <c r="K20" s="15">
        <f>+K8</f>
        <v>44626</v>
      </c>
      <c r="L20" s="31">
        <v>44614</v>
      </c>
      <c r="M20" s="46">
        <f>+'Serie CER'!K57</f>
        <v>40.044981895195967</v>
      </c>
      <c r="N20" s="47">
        <f>(M20/$C$7)</f>
        <v>4.5858983870268624</v>
      </c>
      <c r="O20" s="14">
        <f>100*N20</f>
        <v>458.58983870268622</v>
      </c>
      <c r="P20" s="12"/>
      <c r="Q20" s="12"/>
      <c r="R20" s="12"/>
      <c r="S20" s="12"/>
      <c r="T20" s="12"/>
      <c r="U20" s="12"/>
      <c r="V20" s="12"/>
      <c r="W20" s="12"/>
    </row>
    <row r="21" spans="2:25">
      <c r="D21" s="12"/>
      <c r="E21" s="12"/>
      <c r="F21" s="12"/>
      <c r="G21" s="12"/>
      <c r="H21" s="12"/>
      <c r="I21" s="12"/>
      <c r="J21" s="12"/>
      <c r="K21" s="15">
        <f>+K9</f>
        <v>44810</v>
      </c>
      <c r="L21" s="31">
        <v>44797</v>
      </c>
      <c r="M21" s="46">
        <f>+'Serie CER'!K240</f>
        <v>47.95734947646902</v>
      </c>
      <c r="N21" s="47">
        <f>(M21/$C$7)</f>
        <v>5.4920122622556766</v>
      </c>
      <c r="O21" s="14">
        <f>100*N21</f>
        <v>549.20122622556767</v>
      </c>
      <c r="P21" s="12"/>
      <c r="Q21" s="12"/>
      <c r="R21" s="12"/>
      <c r="S21" s="12"/>
      <c r="T21" s="12"/>
      <c r="U21" s="12"/>
      <c r="V21" s="12"/>
      <c r="W21" s="12"/>
    </row>
    <row r="22" spans="2:25">
      <c r="D22" s="12"/>
      <c r="E22" s="12"/>
      <c r="F22" s="12"/>
      <c r="G22" s="12"/>
      <c r="H22" s="12"/>
      <c r="I22" s="12"/>
      <c r="J22" s="12"/>
      <c r="K22" s="15">
        <f>+K10</f>
        <v>44991</v>
      </c>
      <c r="L22" s="31">
        <v>44979</v>
      </c>
      <c r="M22" s="46">
        <f>+'Serie CER'!N57</f>
        <v>57.33550776697134</v>
      </c>
      <c r="N22" s="47">
        <f>(M22/$C$7)</f>
        <v>6.5659865517248042</v>
      </c>
      <c r="O22" s="14">
        <f>100*N22</f>
        <v>656.59865517248045</v>
      </c>
      <c r="P22" s="12"/>
      <c r="Q22" s="12"/>
      <c r="R22" s="12"/>
      <c r="S22" s="12"/>
      <c r="T22" s="12"/>
      <c r="U22" s="12"/>
      <c r="V22" s="12"/>
      <c r="W22" s="400" t="s">
        <v>78</v>
      </c>
      <c r="X22" s="400"/>
      <c r="Y22" s="400"/>
    </row>
    <row r="23" spans="2:25">
      <c r="D23" s="12"/>
      <c r="E23" s="12"/>
      <c r="F23" s="12"/>
      <c r="G23" s="12"/>
      <c r="H23" s="12"/>
      <c r="I23" s="12"/>
      <c r="J23" s="12"/>
      <c r="P23" s="12"/>
      <c r="Q23" s="12"/>
      <c r="R23" s="12"/>
      <c r="S23" s="12"/>
      <c r="T23" s="12"/>
      <c r="U23" s="12"/>
      <c r="V23" s="12"/>
      <c r="W23" s="400" t="s">
        <v>82</v>
      </c>
      <c r="X23" s="400"/>
      <c r="Y23" s="400"/>
    </row>
    <row r="24" spans="2:25"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08" t="s">
        <v>10</v>
      </c>
      <c r="X24" s="108" t="s">
        <v>83</v>
      </c>
      <c r="Y24" s="108" t="s">
        <v>84</v>
      </c>
    </row>
    <row r="25" spans="2:25">
      <c r="D25" s="12"/>
      <c r="E25" s="12"/>
      <c r="F25" s="12"/>
      <c r="G25" s="12"/>
      <c r="H25" s="85"/>
      <c r="I25" s="86"/>
      <c r="J25" s="12"/>
      <c r="L25" s="66"/>
      <c r="M25" s="66"/>
      <c r="N25" s="66"/>
      <c r="O25" s="66"/>
      <c r="P25" s="66"/>
      <c r="Q25" s="12"/>
      <c r="R25" s="12"/>
      <c r="S25" s="12"/>
      <c r="T25" s="12"/>
      <c r="U25" s="12"/>
      <c r="V25" s="12"/>
      <c r="W25" s="16">
        <v>0.15</v>
      </c>
      <c r="X25" s="49">
        <f>XNPV(W25,AA6:AA10,W6:W10)</f>
        <v>315.0813441158935</v>
      </c>
      <c r="Y25" s="18">
        <f t="shared" ref="Y25:Y30" si="4">(X25+$I$6)/(-$I$6)</f>
        <v>-0.14380069533724593</v>
      </c>
    </row>
    <row r="26" spans="2:25">
      <c r="B26" s="12"/>
      <c r="C26" s="12"/>
      <c r="D26" s="12"/>
      <c r="E26" s="12"/>
      <c r="F26" s="12"/>
      <c r="G26" s="12"/>
      <c r="H26" s="85"/>
      <c r="I26" s="86"/>
      <c r="J26" s="12"/>
      <c r="K26" s="66"/>
      <c r="L26" s="66"/>
      <c r="M26" s="66"/>
      <c r="N26" s="66"/>
      <c r="O26" s="66"/>
      <c r="P26" s="66"/>
      <c r="Q26" s="12"/>
      <c r="R26" s="12"/>
      <c r="S26" s="12"/>
      <c r="T26" s="12"/>
      <c r="U26" s="12"/>
      <c r="V26" s="12"/>
      <c r="W26" s="16">
        <v>0.14000000000000001</v>
      </c>
      <c r="X26" s="49">
        <f>XNPV(W26,AA6:AA10,W6:W10)</f>
        <v>319.51887808396322</v>
      </c>
      <c r="Y26" s="18">
        <f t="shared" si="4"/>
        <v>-0.13174217911966518</v>
      </c>
    </row>
    <row r="27" spans="2:25">
      <c r="B27" s="12"/>
      <c r="C27" s="12"/>
      <c r="D27" s="12"/>
      <c r="E27" s="12"/>
      <c r="F27" s="12"/>
      <c r="G27" s="12"/>
      <c r="H27" s="85"/>
      <c r="I27" s="86"/>
      <c r="J27" s="12"/>
      <c r="K27" s="116"/>
      <c r="L27" s="116"/>
      <c r="M27" s="116"/>
      <c r="N27" s="116"/>
      <c r="O27" s="116"/>
      <c r="P27" s="116"/>
      <c r="Q27" s="110"/>
      <c r="R27" s="12"/>
      <c r="S27" s="12"/>
      <c r="T27" s="12"/>
      <c r="U27" s="12"/>
      <c r="V27" s="12"/>
      <c r="W27" s="16">
        <v>0.13</v>
      </c>
      <c r="X27" s="49">
        <f>XNPV(W27,AA6:AA10,W6:W10)</f>
        <v>324.06063319206987</v>
      </c>
      <c r="Y27" s="18">
        <f t="shared" si="4"/>
        <v>-0.11940045328241883</v>
      </c>
    </row>
    <row r="28" spans="2:25">
      <c r="B28" s="12"/>
      <c r="C28" s="12"/>
      <c r="D28" s="12"/>
      <c r="E28" s="12"/>
      <c r="F28" s="12"/>
      <c r="G28" s="12"/>
      <c r="H28" s="27"/>
      <c r="I28" s="49"/>
      <c r="J28" s="12"/>
      <c r="K28" s="110"/>
      <c r="L28" s="110"/>
      <c r="M28" s="110"/>
      <c r="N28" s="110"/>
      <c r="O28" s="110"/>
      <c r="P28" s="110"/>
      <c r="Q28" s="110"/>
      <c r="R28" s="12"/>
      <c r="S28" s="12"/>
      <c r="T28" s="12"/>
      <c r="U28" s="12"/>
      <c r="V28" s="12"/>
      <c r="W28" s="16">
        <v>0.12</v>
      </c>
      <c r="X28" s="49">
        <f>XNPV(W28,AA6:AA10,W6:W10)</f>
        <v>328.71001852746122</v>
      </c>
      <c r="Y28" s="18">
        <f t="shared" si="4"/>
        <v>-0.10676625400146408</v>
      </c>
    </row>
    <row r="29" spans="2:25">
      <c r="B29" s="12"/>
      <c r="C29" s="26"/>
      <c r="D29" s="26"/>
      <c r="E29" s="12"/>
      <c r="F29" s="12"/>
      <c r="G29" s="12"/>
      <c r="H29" s="12"/>
      <c r="I29" s="12"/>
      <c r="J29" s="26"/>
      <c r="K29" s="111"/>
      <c r="L29" s="111"/>
      <c r="M29" s="110"/>
      <c r="N29" s="111"/>
      <c r="O29" s="111"/>
      <c r="P29" s="111"/>
      <c r="Q29" s="110"/>
      <c r="R29" s="12"/>
      <c r="S29" s="12"/>
      <c r="T29" s="12"/>
      <c r="U29" s="12"/>
      <c r="V29" s="12"/>
      <c r="W29" s="16">
        <v>0.11</v>
      </c>
      <c r="X29" s="49">
        <f>XNPV(W29,AA6:AA10,W6:W10)</f>
        <v>333.47058658996599</v>
      </c>
      <c r="Y29" s="18">
        <f t="shared" si="4"/>
        <v>-9.3829927744657635E-2</v>
      </c>
    </row>
    <row r="30" spans="2:25">
      <c r="B30" s="12"/>
      <c r="C30" s="26"/>
      <c r="D30" s="26"/>
      <c r="E30" s="12"/>
      <c r="F30" s="12"/>
      <c r="G30" s="12"/>
      <c r="H30" s="12"/>
      <c r="I30" s="12"/>
      <c r="J30" s="26"/>
      <c r="K30" s="112"/>
      <c r="L30" s="112"/>
      <c r="M30" s="110"/>
      <c r="N30" s="113"/>
      <c r="O30" s="110"/>
      <c r="P30" s="110"/>
      <c r="Q30" s="110"/>
      <c r="R30" s="12"/>
      <c r="S30" s="12"/>
      <c r="T30" s="12"/>
      <c r="U30" s="12"/>
      <c r="V30" s="12"/>
      <c r="W30" s="16">
        <v>0.1</v>
      </c>
      <c r="X30" s="49">
        <f>XNPV(W30,AA6:AA10,W6:W10)</f>
        <v>338.34604068989154</v>
      </c>
      <c r="Y30" s="18">
        <f t="shared" si="4"/>
        <v>-8.0581411168773001E-2</v>
      </c>
    </row>
    <row r="31" spans="2:25">
      <c r="B31" s="12"/>
      <c r="C31" s="26"/>
      <c r="D31" s="26"/>
      <c r="E31" s="401" t="s">
        <v>18</v>
      </c>
      <c r="F31" s="401"/>
      <c r="G31" s="76">
        <v>0.35</v>
      </c>
      <c r="H31" s="62">
        <f>XNPV(G31,U6:U10,Q6:Q10)</f>
        <v>428.8567962889793</v>
      </c>
      <c r="I31" s="76">
        <f>(H31+I6)/(-I6)</f>
        <v>0.16537172904613939</v>
      </c>
      <c r="J31" s="26"/>
      <c r="K31" s="113"/>
      <c r="L31" s="115"/>
      <c r="M31" s="110"/>
      <c r="N31" s="113"/>
      <c r="O31" s="110"/>
      <c r="P31" s="110"/>
      <c r="Q31" s="110"/>
      <c r="R31" s="12"/>
      <c r="S31" s="12"/>
      <c r="T31" s="12"/>
      <c r="U31" s="12"/>
      <c r="V31" s="12"/>
      <c r="W31" s="16">
        <v>0.09</v>
      </c>
      <c r="X31" s="49">
        <f>XNPV(W31,AA6:AA10,W6:W10)</f>
        <v>343.34024279920453</v>
      </c>
      <c r="Y31" s="18">
        <f t="shared" ref="Y31:Y37" si="5">(X31+$I$6)/(-$I$6)</f>
        <v>-6.7010209784770292E-2</v>
      </c>
    </row>
    <row r="32" spans="2:25">
      <c r="B32" s="12"/>
      <c r="C32" s="26"/>
      <c r="D32" s="26"/>
      <c r="E32" s="402"/>
      <c r="F32" s="402"/>
      <c r="G32" s="42">
        <v>0.45</v>
      </c>
      <c r="H32" s="109">
        <f>XNPV(G32,U6:U10,Q6:Q10)</f>
        <v>382.20865281713634</v>
      </c>
      <c r="I32" s="42">
        <f>(H32+I6)/(-I6)</f>
        <v>3.8610469611783535E-2</v>
      </c>
      <c r="J32" s="26"/>
      <c r="K32" s="114"/>
      <c r="L32" s="110"/>
      <c r="M32" s="110"/>
      <c r="N32" s="113"/>
      <c r="O32" s="110"/>
      <c r="P32" s="110"/>
      <c r="Q32" s="110"/>
      <c r="R32" s="12"/>
      <c r="S32" s="12"/>
      <c r="T32" s="12"/>
      <c r="U32" s="12"/>
      <c r="V32" s="12"/>
      <c r="W32" s="16">
        <v>0.08</v>
      </c>
      <c r="X32" s="49">
        <f>XNPV(W32,AA6:AA10,W6:W10)</f>
        <v>348.45722188823521</v>
      </c>
      <c r="Y32" s="18">
        <f t="shared" si="5"/>
        <v>-5.3105375303708666E-2</v>
      </c>
    </row>
    <row r="33" spans="2:25">
      <c r="B33" s="12"/>
      <c r="C33" s="26"/>
      <c r="D33" s="26"/>
      <c r="E33" s="403"/>
      <c r="F33" s="403"/>
      <c r="G33" s="78">
        <v>0.4</v>
      </c>
      <c r="H33" s="79">
        <f>XNPV(G33,U6:U10,Q6:Q10)</f>
        <v>404.42976374436194</v>
      </c>
      <c r="I33" s="78">
        <f>(H33+I6)/(-I6)</f>
        <v>9.899392321837483E-2</v>
      </c>
      <c r="J33" s="26"/>
      <c r="K33" s="95"/>
      <c r="L33" s="95"/>
      <c r="M33" s="95"/>
      <c r="N33" s="113"/>
      <c r="O33" s="110"/>
      <c r="P33" s="110"/>
      <c r="Q33" s="110"/>
      <c r="R33" s="12"/>
      <c r="S33" s="12"/>
      <c r="T33" s="12"/>
      <c r="U33" s="12"/>
      <c r="V33" s="12"/>
      <c r="W33" s="16">
        <v>7.0000000000000007E-2</v>
      </c>
      <c r="X33" s="49">
        <f>XNPV(W33,AA6:AA10,W6:W10)</f>
        <v>353.70118278276789</v>
      </c>
      <c r="Y33" s="18">
        <f t="shared" si="5"/>
        <v>-3.8855481568565525E-2</v>
      </c>
    </row>
    <row r="34" spans="2:25">
      <c r="B34" s="12"/>
      <c r="C34" s="26"/>
      <c r="D34" s="26"/>
      <c r="E34" s="12"/>
      <c r="F34" s="12"/>
      <c r="G34" s="12"/>
      <c r="H34" s="12"/>
      <c r="I34" s="12"/>
      <c r="J34" s="80"/>
      <c r="K34" s="117"/>
      <c r="L34" s="118"/>
      <c r="M34" s="95"/>
      <c r="N34" s="113"/>
      <c r="O34" s="110"/>
      <c r="P34" s="110"/>
      <c r="Q34" s="110"/>
      <c r="R34" s="12"/>
      <c r="S34" s="12"/>
      <c r="T34" s="12"/>
      <c r="U34" s="12"/>
      <c r="V34" s="12"/>
      <c r="W34" s="16">
        <v>0.06</v>
      </c>
      <c r="X34" s="49">
        <f>XNPV(W34,AA6:AA10,W6:W10)</f>
        <v>359.07651557923805</v>
      </c>
      <c r="Y34" s="18">
        <f t="shared" si="5"/>
        <v>-2.4248598969461826E-2</v>
      </c>
    </row>
    <row r="35" spans="2:25">
      <c r="B35" s="12"/>
      <c r="C35" s="26"/>
      <c r="D35" s="26"/>
      <c r="E35" s="395"/>
      <c r="F35" s="395"/>
      <c r="G35" s="395"/>
      <c r="H35" s="395"/>
      <c r="I35" s="395"/>
      <c r="J35" s="81"/>
      <c r="K35" s="119"/>
      <c r="L35" s="120"/>
      <c r="M35" s="95"/>
      <c r="N35" s="113"/>
      <c r="O35" s="110"/>
      <c r="P35" s="110"/>
      <c r="Q35" s="110"/>
      <c r="R35" s="12"/>
      <c r="S35" s="12"/>
      <c r="T35" s="12"/>
      <c r="U35" s="12"/>
      <c r="V35" s="12"/>
      <c r="W35" s="16">
        <v>0.05</v>
      </c>
      <c r="X35" s="49">
        <f>XNPV(W35,AA6:AA10,W6:W10)</f>
        <v>364.58780565887309</v>
      </c>
      <c r="Y35" s="18">
        <f t="shared" si="5"/>
        <v>-9.2722672313231141E-3</v>
      </c>
    </row>
    <row r="36" spans="2:25">
      <c r="B36" s="12"/>
      <c r="C36" s="26"/>
      <c r="D36" s="26"/>
      <c r="E36" s="26"/>
      <c r="F36" s="83"/>
      <c r="G36" s="26"/>
      <c r="H36" s="26"/>
      <c r="I36" s="82"/>
      <c r="J36" s="84"/>
      <c r="K36" s="98"/>
      <c r="L36" s="120"/>
      <c r="M36" s="95"/>
      <c r="N36" s="113"/>
      <c r="O36" s="120"/>
      <c r="P36" s="95"/>
      <c r="Q36" s="110"/>
      <c r="R36" s="12"/>
      <c r="S36" s="12"/>
      <c r="T36" s="12"/>
      <c r="U36" s="12"/>
      <c r="V36" s="12"/>
      <c r="W36" s="16">
        <v>0.04</v>
      </c>
      <c r="X36" s="49">
        <f>XNPV(W36,AA6:AA10,W6:W10)</f>
        <v>370.2398443450295</v>
      </c>
      <c r="Y36" s="18">
        <f t="shared" si="5"/>
        <v>6.0865335462758048E-3</v>
      </c>
    </row>
    <row r="37" spans="2:25">
      <c r="B37" s="12"/>
      <c r="C37" s="26"/>
      <c r="D37" s="26"/>
      <c r="E37" s="26"/>
      <c r="F37" s="83"/>
      <c r="G37" s="26"/>
      <c r="H37" s="26"/>
      <c r="I37" s="82"/>
      <c r="J37" s="84"/>
      <c r="K37" s="98"/>
      <c r="L37" s="120"/>
      <c r="M37" s="95"/>
      <c r="N37" s="95"/>
      <c r="O37" s="95"/>
      <c r="P37" s="95"/>
      <c r="Q37" s="110"/>
      <c r="R37" s="12"/>
      <c r="S37" s="12"/>
      <c r="T37" s="12"/>
      <c r="U37" s="12"/>
      <c r="V37" s="12"/>
      <c r="W37" s="16">
        <v>3.5000000000000003E-2</v>
      </c>
      <c r="X37" s="49">
        <f>XNPV(W37,AA6:AA10,W6:W10)</f>
        <v>373.12020079420142</v>
      </c>
      <c r="Y37" s="18">
        <f t="shared" si="5"/>
        <v>1.3913589114677782E-2</v>
      </c>
    </row>
    <row r="38" spans="2:25">
      <c r="B38" s="12"/>
      <c r="C38" s="26"/>
      <c r="D38" s="26"/>
      <c r="E38" s="26"/>
      <c r="F38" s="83"/>
      <c r="G38" s="26"/>
      <c r="H38" s="26"/>
      <c r="I38" s="82"/>
      <c r="J38" s="84"/>
      <c r="K38" s="98"/>
      <c r="L38" s="95"/>
      <c r="M38" s="95"/>
      <c r="N38" s="95"/>
      <c r="O38" s="120"/>
      <c r="P38" s="95"/>
      <c r="Q38" s="110"/>
      <c r="R38" s="12"/>
      <c r="S38" s="12"/>
      <c r="T38" s="12"/>
      <c r="U38" s="12"/>
      <c r="V38" s="12"/>
      <c r="W38" s="16">
        <v>0.03</v>
      </c>
      <c r="X38" s="49">
        <f>XNPV(W38,AA6:AA10,W6:W10)</f>
        <v>376.03764025170824</v>
      </c>
      <c r="Y38" s="18">
        <f>(X38+$I$6)/(-$I$6)</f>
        <v>2.1841413727468041E-2</v>
      </c>
    </row>
    <row r="39" spans="2:25">
      <c r="B39" s="12"/>
      <c r="C39" s="26"/>
      <c r="D39" s="26"/>
      <c r="E39" s="26"/>
      <c r="F39" s="83"/>
      <c r="G39" s="26"/>
      <c r="H39" s="26"/>
      <c r="I39" s="82"/>
      <c r="J39" s="84"/>
      <c r="K39" s="71"/>
      <c r="L39" s="26"/>
      <c r="M39" s="26"/>
      <c r="N39" s="26"/>
      <c r="O39" s="26"/>
      <c r="P39" s="26"/>
      <c r="Q39" s="12"/>
      <c r="R39" s="12"/>
      <c r="S39" s="12"/>
      <c r="T39" s="12"/>
      <c r="U39" s="12"/>
      <c r="V39" s="12"/>
      <c r="W39" s="16">
        <v>0.02</v>
      </c>
      <c r="X39" s="49">
        <f>XNPV(W39,AA6:AA10,W6:W10)</f>
        <v>381.98643137531968</v>
      </c>
      <c r="Y39" s="18">
        <f>(X39+$I$6)/(-$I$6)</f>
        <v>3.800660699815131E-2</v>
      </c>
    </row>
    <row r="40" spans="2:25">
      <c r="C40" s="1"/>
      <c r="D40" s="1"/>
      <c r="E40" s="1"/>
      <c r="F40" s="8"/>
      <c r="G40" s="1"/>
      <c r="H40" s="1"/>
      <c r="I40" s="7"/>
      <c r="J40" s="9"/>
      <c r="K40" s="10"/>
      <c r="L40" s="1"/>
      <c r="M40" s="1"/>
      <c r="N40" s="1"/>
      <c r="O40" s="10"/>
      <c r="P40" s="1"/>
    </row>
    <row r="41" spans="2:25">
      <c r="C41" s="1"/>
      <c r="D41" s="1"/>
      <c r="E41" s="1"/>
      <c r="F41" s="8"/>
      <c r="G41" s="1"/>
      <c r="H41" s="1"/>
      <c r="I41" s="7"/>
      <c r="J41" s="9"/>
      <c r="K41" s="10"/>
      <c r="L41" s="1"/>
      <c r="M41" s="1"/>
      <c r="N41" s="1"/>
      <c r="O41" s="1"/>
      <c r="P41" s="1"/>
    </row>
    <row r="42" spans="2:25">
      <c r="C42" s="1"/>
      <c r="D42" s="1"/>
      <c r="E42" s="1"/>
      <c r="F42" s="410"/>
      <c r="G42" s="410"/>
      <c r="H42" s="410"/>
      <c r="I42" s="410"/>
      <c r="J42" s="410"/>
      <c r="K42" s="410"/>
      <c r="L42" s="1"/>
      <c r="M42" s="1"/>
      <c r="N42" s="1"/>
      <c r="O42" s="1"/>
      <c r="P42" s="1"/>
    </row>
    <row r="43" spans="2:25">
      <c r="C43" s="1"/>
      <c r="D43" s="1"/>
      <c r="E43" s="1"/>
      <c r="F43" s="8"/>
      <c r="G43" s="1"/>
      <c r="H43" s="1"/>
      <c r="I43" s="7"/>
      <c r="J43" s="9"/>
      <c r="K43" s="10"/>
      <c r="L43" s="1"/>
      <c r="M43" s="1"/>
      <c r="N43" s="1"/>
      <c r="O43" s="1"/>
      <c r="P43" s="1"/>
    </row>
    <row r="44" spans="2:25">
      <c r="C44" s="1"/>
      <c r="D44" s="1"/>
      <c r="E44" s="1"/>
      <c r="F44" s="8"/>
      <c r="G44" s="1"/>
      <c r="H44" s="1"/>
      <c r="I44" s="7"/>
      <c r="J44" s="9"/>
      <c r="K44" s="10"/>
      <c r="L44" s="1"/>
      <c r="M44" s="1"/>
      <c r="N44" s="1"/>
      <c r="O44" s="1"/>
      <c r="P44" s="1"/>
    </row>
    <row r="45" spans="2:25">
      <c r="C45" s="1"/>
      <c r="D45" s="1"/>
      <c r="E45" s="1"/>
      <c r="F45" s="1"/>
      <c r="G45" s="1"/>
      <c r="H45" s="1"/>
      <c r="I45" s="1"/>
      <c r="J45" s="1"/>
      <c r="K45" s="10"/>
      <c r="L45" s="1"/>
      <c r="M45" s="1"/>
      <c r="N45" s="1"/>
      <c r="O45" s="1"/>
      <c r="P45" s="1"/>
    </row>
    <row r="46" spans="2: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2: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2: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</sheetData>
  <mergeCells count="12">
    <mergeCell ref="W22:Y22"/>
    <mergeCell ref="W23:Y23"/>
    <mergeCell ref="Q4:U4"/>
    <mergeCell ref="F42:K42"/>
    <mergeCell ref="E35:I35"/>
    <mergeCell ref="E31:F33"/>
    <mergeCell ref="AC4:AG4"/>
    <mergeCell ref="B2:I2"/>
    <mergeCell ref="B4:C4"/>
    <mergeCell ref="E4:I4"/>
    <mergeCell ref="K4:O4"/>
    <mergeCell ref="W4:AA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1"/>
  <sheetViews>
    <sheetView showGridLines="0" zoomScale="90" zoomScaleNormal="90" workbookViewId="0">
      <selection activeCell="E11" sqref="E11"/>
    </sheetView>
  </sheetViews>
  <sheetFormatPr baseColWidth="10" defaultRowHeight="15"/>
  <cols>
    <col min="2" max="2" width="12" customWidth="1"/>
    <col min="3" max="3" width="12.140625" bestFit="1" customWidth="1"/>
    <col min="4" max="4" width="3.42578125" customWidth="1"/>
    <col min="5" max="5" width="12.140625" bestFit="1" customWidth="1"/>
    <col min="6" max="6" width="9.42578125" customWidth="1"/>
    <col min="7" max="7" width="9" bestFit="1" customWidth="1"/>
    <col min="8" max="9" width="10.42578125" customWidth="1"/>
    <col min="11" max="11" width="11.28515625" customWidth="1"/>
    <col min="12" max="13" width="11" customWidth="1"/>
    <col min="14" max="14" width="11.140625" customWidth="1"/>
    <col min="15" max="15" width="11.85546875" customWidth="1"/>
  </cols>
  <sheetData>
    <row r="2" spans="2:33" ht="15.75">
      <c r="B2" s="409" t="s">
        <v>99</v>
      </c>
      <c r="C2" s="409"/>
      <c r="D2" s="409"/>
      <c r="E2" s="409"/>
      <c r="F2" s="409"/>
      <c r="G2" s="409"/>
      <c r="H2" s="409"/>
      <c r="I2" s="409"/>
      <c r="K2" s="6" t="s">
        <v>60</v>
      </c>
    </row>
    <row r="3" spans="2:33">
      <c r="B3" s="12"/>
      <c r="C3" s="12"/>
      <c r="D3" s="12"/>
      <c r="E3" s="12"/>
      <c r="F3" s="12"/>
      <c r="G3" s="12"/>
      <c r="H3" s="12"/>
      <c r="I3" s="12"/>
    </row>
    <row r="4" spans="2:33">
      <c r="B4" s="369" t="s">
        <v>34</v>
      </c>
      <c r="C4" s="370"/>
      <c r="D4" s="12"/>
      <c r="E4" s="371" t="s">
        <v>66</v>
      </c>
      <c r="F4" s="371"/>
      <c r="G4" s="371"/>
      <c r="H4" s="371"/>
      <c r="I4" s="371"/>
      <c r="K4" s="371" t="s">
        <v>89</v>
      </c>
      <c r="L4" s="371"/>
      <c r="M4" s="371"/>
      <c r="N4" s="371"/>
      <c r="O4" s="371"/>
      <c r="Q4" s="371" t="s">
        <v>89</v>
      </c>
      <c r="R4" s="371"/>
      <c r="S4" s="371"/>
      <c r="T4" s="371"/>
      <c r="U4" s="371"/>
      <c r="W4" s="371" t="s">
        <v>66</v>
      </c>
      <c r="X4" s="371"/>
      <c r="Y4" s="371"/>
      <c r="Z4" s="371"/>
      <c r="AA4" s="371"/>
      <c r="AC4" s="371" t="s">
        <v>66</v>
      </c>
      <c r="AD4" s="371"/>
      <c r="AE4" s="371"/>
      <c r="AF4" s="371"/>
      <c r="AG4" s="371"/>
    </row>
    <row r="5" spans="2:33">
      <c r="B5" s="24" t="s">
        <v>0</v>
      </c>
      <c r="C5" s="33">
        <v>43915</v>
      </c>
      <c r="D5" s="12"/>
      <c r="E5" s="29" t="s">
        <v>14</v>
      </c>
      <c r="F5" s="29" t="s">
        <v>7</v>
      </c>
      <c r="G5" s="29" t="s">
        <v>8</v>
      </c>
      <c r="H5" s="29" t="s">
        <v>33</v>
      </c>
      <c r="I5" s="29" t="s">
        <v>9</v>
      </c>
      <c r="K5" s="29" t="s">
        <v>14</v>
      </c>
      <c r="L5" s="29" t="s">
        <v>7</v>
      </c>
      <c r="M5" s="29" t="s">
        <v>8</v>
      </c>
      <c r="N5" s="29" t="s">
        <v>33</v>
      </c>
      <c r="O5" s="29" t="s">
        <v>9</v>
      </c>
      <c r="Q5" s="29" t="s">
        <v>14</v>
      </c>
      <c r="R5" s="29" t="s">
        <v>7</v>
      </c>
      <c r="S5" s="29" t="s">
        <v>8</v>
      </c>
      <c r="T5" s="29" t="s">
        <v>33</v>
      </c>
      <c r="U5" s="29" t="s">
        <v>9</v>
      </c>
      <c r="W5" s="29" t="s">
        <v>14</v>
      </c>
      <c r="X5" s="29" t="s">
        <v>7</v>
      </c>
      <c r="Y5" s="29" t="s">
        <v>8</v>
      </c>
      <c r="Z5" s="29" t="s">
        <v>33</v>
      </c>
      <c r="AA5" s="29" t="s">
        <v>9</v>
      </c>
      <c r="AC5" s="29" t="s">
        <v>14</v>
      </c>
      <c r="AD5" s="29" t="s">
        <v>7</v>
      </c>
      <c r="AE5" s="29" t="s">
        <v>8</v>
      </c>
      <c r="AF5" s="29" t="s">
        <v>33</v>
      </c>
      <c r="AG5" s="29" t="s">
        <v>9</v>
      </c>
    </row>
    <row r="6" spans="2:33">
      <c r="B6" s="24" t="s">
        <v>1</v>
      </c>
      <c r="C6" s="33">
        <v>45010</v>
      </c>
      <c r="D6" s="12"/>
      <c r="E6" s="15">
        <f>'Planilla de datos'!D3</f>
        <v>44383</v>
      </c>
      <c r="F6" s="12">
        <v>100</v>
      </c>
      <c r="G6" s="30"/>
      <c r="H6" s="12"/>
      <c r="I6" s="14">
        <f>-'Planilla de datos'!C20</f>
        <v>-150.69999999999999</v>
      </c>
      <c r="K6" s="15">
        <f>E6</f>
        <v>44383</v>
      </c>
      <c r="L6" s="12">
        <v>100</v>
      </c>
      <c r="M6" s="30"/>
      <c r="N6" s="12"/>
      <c r="O6" s="14">
        <f>I6</f>
        <v>-150.69999999999999</v>
      </c>
      <c r="Q6" s="15">
        <f>+K6</f>
        <v>44383</v>
      </c>
      <c r="R6" s="12">
        <v>100</v>
      </c>
      <c r="S6" s="30"/>
      <c r="T6" s="12"/>
      <c r="U6" s="14">
        <v>0</v>
      </c>
      <c r="W6" s="15">
        <f>+E6</f>
        <v>44383</v>
      </c>
      <c r="X6" s="12">
        <f>+F6</f>
        <v>100</v>
      </c>
      <c r="Y6" s="30"/>
      <c r="Z6" s="12"/>
      <c r="AA6" s="14">
        <v>0</v>
      </c>
      <c r="AC6" s="15">
        <f>+W6</f>
        <v>44383</v>
      </c>
      <c r="AD6" s="12">
        <f>+X6</f>
        <v>100</v>
      </c>
      <c r="AE6" s="30"/>
      <c r="AF6" s="12"/>
      <c r="AG6" s="14">
        <f>-X38</f>
        <v>-153.4300618724082</v>
      </c>
    </row>
    <row r="7" spans="2:33">
      <c r="B7" s="24" t="s">
        <v>2</v>
      </c>
      <c r="C7" s="34">
        <v>20.152100000000001</v>
      </c>
      <c r="D7" s="12"/>
      <c r="E7" s="15">
        <v>44464</v>
      </c>
      <c r="F7" s="12">
        <v>100</v>
      </c>
      <c r="G7" s="14">
        <f>$C$11*$C$10*(180/360)</f>
        <v>1.1075659608676016</v>
      </c>
      <c r="H7" s="14"/>
      <c r="I7" s="14">
        <f>SUM(G7:H7)</f>
        <v>1.1075659608676016</v>
      </c>
      <c r="K7" s="15">
        <f>E7</f>
        <v>44464</v>
      </c>
      <c r="L7" s="12">
        <v>100</v>
      </c>
      <c r="M7" s="30">
        <f>O22*($C$10/360*180)</f>
        <v>1.1966476256266763</v>
      </c>
      <c r="N7" s="14"/>
      <c r="O7" s="14">
        <f>SUM(M7:N7)</f>
        <v>1.1966476256266763</v>
      </c>
      <c r="Q7" s="15">
        <f>K7</f>
        <v>44464</v>
      </c>
      <c r="R7" s="12">
        <v>100</v>
      </c>
      <c r="S7" s="30">
        <f>M7</f>
        <v>1.1966476256266763</v>
      </c>
      <c r="T7" s="14"/>
      <c r="U7" s="14">
        <f>SUM(S7:T7)</f>
        <v>1.1966476256266763</v>
      </c>
      <c r="W7" s="15">
        <f t="shared" ref="W7:Y10" si="0">+E7</f>
        <v>44464</v>
      </c>
      <c r="X7" s="12">
        <f t="shared" si="0"/>
        <v>100</v>
      </c>
      <c r="Y7" s="14">
        <f t="shared" si="0"/>
        <v>1.1075659608676016</v>
      </c>
      <c r="Z7" s="14"/>
      <c r="AA7" s="14">
        <f>SUM(Y7:Z7)</f>
        <v>1.1075659608676016</v>
      </c>
      <c r="AC7" s="15">
        <f t="shared" ref="AC7:AE10" si="1">+W7</f>
        <v>44464</v>
      </c>
      <c r="AD7" s="12">
        <f t="shared" si="1"/>
        <v>100</v>
      </c>
      <c r="AE7" s="14">
        <f t="shared" si="1"/>
        <v>1.1075659608676016</v>
      </c>
      <c r="AF7" s="14"/>
      <c r="AG7" s="14">
        <f>+AA7</f>
        <v>1.1075659608676016</v>
      </c>
    </row>
    <row r="8" spans="2:33">
      <c r="B8" s="24" t="s">
        <v>98</v>
      </c>
      <c r="C8" s="34">
        <f>'Planilla de datos'!D64</f>
        <v>31.885400000000001</v>
      </c>
      <c r="D8" s="12"/>
      <c r="E8" s="15">
        <v>44645</v>
      </c>
      <c r="F8" s="12">
        <v>100</v>
      </c>
      <c r="G8" s="14">
        <f>$C$11*$C$10*(180/360)</f>
        <v>1.1075659608676016</v>
      </c>
      <c r="H8" s="12"/>
      <c r="I8" s="14">
        <f>SUM(G8:H8)</f>
        <v>1.1075659608676016</v>
      </c>
      <c r="K8" s="15">
        <f>E8</f>
        <v>44645</v>
      </c>
      <c r="L8" s="12">
        <v>100</v>
      </c>
      <c r="M8" s="30">
        <f>O23*($C$10/360*180)</f>
        <v>1.4144912309449147</v>
      </c>
      <c r="N8" s="14"/>
      <c r="O8" s="14">
        <f>SUM(M8:N8)</f>
        <v>1.4144912309449147</v>
      </c>
      <c r="Q8" s="15">
        <f>K8</f>
        <v>44645</v>
      </c>
      <c r="R8" s="12">
        <v>100</v>
      </c>
      <c r="S8" s="30">
        <f>M8</f>
        <v>1.4144912309449147</v>
      </c>
      <c r="T8" s="14"/>
      <c r="U8" s="14">
        <f>SUM(S8:T8)</f>
        <v>1.4144912309449147</v>
      </c>
      <c r="W8" s="15">
        <f t="shared" si="0"/>
        <v>44645</v>
      </c>
      <c r="X8" s="12">
        <f t="shared" si="0"/>
        <v>100</v>
      </c>
      <c r="Y8" s="14">
        <f t="shared" si="0"/>
        <v>1.1075659608676016</v>
      </c>
      <c r="Z8" s="12"/>
      <c r="AA8" s="14">
        <f>SUM(Y8:Z8)</f>
        <v>1.1075659608676016</v>
      </c>
      <c r="AC8" s="15">
        <f t="shared" si="1"/>
        <v>44645</v>
      </c>
      <c r="AD8" s="12">
        <f t="shared" si="1"/>
        <v>100</v>
      </c>
      <c r="AE8" s="14">
        <f t="shared" si="1"/>
        <v>1.1075659608676016</v>
      </c>
      <c r="AF8" s="12"/>
      <c r="AG8" s="14">
        <f>+AA8</f>
        <v>1.1075659608676016</v>
      </c>
    </row>
    <row r="9" spans="2:33">
      <c r="B9" s="24" t="s">
        <v>4</v>
      </c>
      <c r="C9" s="34">
        <f>((C8-C7)/C7)+1</f>
        <v>1.5822370869537168</v>
      </c>
      <c r="D9" s="12"/>
      <c r="E9" s="15">
        <v>44829</v>
      </c>
      <c r="F9" s="12">
        <v>100</v>
      </c>
      <c r="G9" s="14">
        <f>$C$11*$C$10*(180/360)</f>
        <v>1.1075659608676016</v>
      </c>
      <c r="H9" s="12"/>
      <c r="I9" s="14">
        <f>SUM(G9:H9)</f>
        <v>1.1075659608676016</v>
      </c>
      <c r="K9" s="15">
        <f>E9</f>
        <v>44829</v>
      </c>
      <c r="L9" s="12">
        <v>100</v>
      </c>
      <c r="M9" s="30">
        <f>O24*($C$10/360*180)</f>
        <v>1.6956461869464037</v>
      </c>
      <c r="N9" s="12"/>
      <c r="O9" s="14">
        <f>SUM(M9:N9)</f>
        <v>1.6956461869464037</v>
      </c>
      <c r="Q9" s="15">
        <f>K9</f>
        <v>44829</v>
      </c>
      <c r="R9" s="12">
        <v>100</v>
      </c>
      <c r="S9" s="30">
        <f>M9</f>
        <v>1.6956461869464037</v>
      </c>
      <c r="T9" s="14"/>
      <c r="U9" s="14">
        <f>SUM(S9:T9)</f>
        <v>1.6956461869464037</v>
      </c>
      <c r="W9" s="15">
        <f t="shared" si="0"/>
        <v>44829</v>
      </c>
      <c r="X9" s="12">
        <f t="shared" si="0"/>
        <v>100</v>
      </c>
      <c r="Y9" s="14">
        <f t="shared" si="0"/>
        <v>1.1075659608676016</v>
      </c>
      <c r="Z9" s="12"/>
      <c r="AA9" s="14">
        <f>SUM(Y9:Z9)</f>
        <v>1.1075659608676016</v>
      </c>
      <c r="AC9" s="15">
        <f t="shared" si="1"/>
        <v>44829</v>
      </c>
      <c r="AD9" s="12">
        <f t="shared" si="1"/>
        <v>100</v>
      </c>
      <c r="AE9" s="14">
        <f t="shared" si="1"/>
        <v>1.1075659608676016</v>
      </c>
      <c r="AF9" s="12"/>
      <c r="AG9" s="14">
        <f>+AA9</f>
        <v>1.1075659608676016</v>
      </c>
    </row>
    <row r="10" spans="2:33">
      <c r="B10" s="24" t="s">
        <v>5</v>
      </c>
      <c r="C10" s="35">
        <v>1.4E-2</v>
      </c>
      <c r="D10" s="12"/>
      <c r="E10" s="15">
        <v>45010</v>
      </c>
      <c r="F10" s="12">
        <v>100</v>
      </c>
      <c r="G10" s="14">
        <f>$C$11*$C$10*(180/360)</f>
        <v>1.1075659608676016</v>
      </c>
      <c r="H10" s="14">
        <f>C11</f>
        <v>158.22370869537167</v>
      </c>
      <c r="I10" s="14">
        <f>SUM(G10:H10)</f>
        <v>159.33127465623926</v>
      </c>
      <c r="K10" s="15">
        <f>E10</f>
        <v>45010</v>
      </c>
      <c r="L10" s="12">
        <v>100</v>
      </c>
      <c r="M10" s="30">
        <f>O25*($C$10/360*180)</f>
        <v>2.0247722080480819</v>
      </c>
      <c r="N10" s="30">
        <f>O25</f>
        <v>289.25317257829744</v>
      </c>
      <c r="O10" s="14">
        <f>SUM(M10:N10)</f>
        <v>291.27794478634553</v>
      </c>
      <c r="Q10" s="15">
        <f>K10</f>
        <v>45010</v>
      </c>
      <c r="R10" s="12">
        <v>100</v>
      </c>
      <c r="S10" s="30">
        <f>M10</f>
        <v>2.0247722080480819</v>
      </c>
      <c r="T10" s="14">
        <f>N10</f>
        <v>289.25317257829744</v>
      </c>
      <c r="U10" s="14">
        <f>SUM(S10:T10)</f>
        <v>291.27794478634553</v>
      </c>
      <c r="W10" s="15">
        <f t="shared" si="0"/>
        <v>45010</v>
      </c>
      <c r="X10" s="12">
        <f t="shared" si="0"/>
        <v>100</v>
      </c>
      <c r="Y10" s="14">
        <f t="shared" si="0"/>
        <v>1.1075659608676016</v>
      </c>
      <c r="Z10" s="14">
        <f>+H10</f>
        <v>158.22370869537167</v>
      </c>
      <c r="AA10" s="14">
        <f>SUM(Y10:Z10)</f>
        <v>159.33127465623926</v>
      </c>
      <c r="AC10" s="15">
        <f t="shared" si="1"/>
        <v>45010</v>
      </c>
      <c r="AD10" s="12">
        <f t="shared" si="1"/>
        <v>100</v>
      </c>
      <c r="AE10" s="14">
        <f t="shared" si="1"/>
        <v>1.1075659608676016</v>
      </c>
      <c r="AF10" s="14">
        <f>+Z10</f>
        <v>158.22370869537167</v>
      </c>
      <c r="AG10" s="14">
        <f>+AA10</f>
        <v>159.33127465623926</v>
      </c>
    </row>
    <row r="11" spans="2:33">
      <c r="B11" s="24" t="s">
        <v>16</v>
      </c>
      <c r="C11" s="88">
        <f>C9*F6</f>
        <v>158.22370869537167</v>
      </c>
      <c r="D11" s="12"/>
      <c r="E11" s="12">
        <f>E10-E6</f>
        <v>627</v>
      </c>
      <c r="F11" s="12"/>
      <c r="G11" s="12"/>
      <c r="H11" s="12"/>
      <c r="I11" s="12"/>
      <c r="K11" s="12"/>
      <c r="L11" s="12"/>
      <c r="M11" s="12"/>
    </row>
    <row r="12" spans="2:33">
      <c r="B12" s="167" t="s">
        <v>27</v>
      </c>
      <c r="C12" s="168">
        <v>44099</v>
      </c>
      <c r="D12" s="12"/>
      <c r="E12" s="12"/>
      <c r="F12" s="12"/>
      <c r="H12" s="92" t="s">
        <v>13</v>
      </c>
      <c r="I12" s="86">
        <f>XIRR(I6:I10,E6:E10,0)</f>
        <v>4.6011450195312512E-2</v>
      </c>
      <c r="K12" s="12"/>
      <c r="L12" s="12"/>
      <c r="M12" s="12"/>
      <c r="N12" s="92" t="s">
        <v>10</v>
      </c>
      <c r="O12" s="86">
        <f>XIRR(O6:O10,K6:K10,0)</f>
        <v>0.48607174804687503</v>
      </c>
      <c r="AF12" t="s">
        <v>10</v>
      </c>
      <c r="AG12" s="22">
        <f>XIRR(AG6:AG10,AC6:AC10)</f>
        <v>3.4999999403953527E-2</v>
      </c>
    </row>
    <row r="13" spans="2:33">
      <c r="B13" s="12"/>
      <c r="C13" s="12"/>
      <c r="D13" s="12"/>
      <c r="E13" s="12"/>
      <c r="F13" s="12"/>
      <c r="H13" s="92" t="s">
        <v>29</v>
      </c>
      <c r="I13" s="71">
        <f>MDURATION(E6,E10,C10,I12,2)</f>
        <v>1.6597369963736781</v>
      </c>
      <c r="K13" s="12"/>
      <c r="L13" s="12"/>
      <c r="M13" s="12"/>
      <c r="N13" s="92" t="s">
        <v>64</v>
      </c>
      <c r="O13" s="71">
        <f>MDURATION(K6,K10,C10,O12,2)</f>
        <v>1.3559291973168417</v>
      </c>
      <c r="T13" s="87"/>
      <c r="U13" s="42"/>
      <c r="AF13" t="s">
        <v>64</v>
      </c>
      <c r="AG13" s="4">
        <f>MDURATION(AC6,AC10,C10,AG12,2)</f>
        <v>1.6689790059744172</v>
      </c>
    </row>
    <row r="14" spans="2:33">
      <c r="B14" s="12"/>
      <c r="C14" s="12"/>
      <c r="D14" s="12"/>
    </row>
    <row r="15" spans="2:33">
      <c r="B15" s="12"/>
      <c r="C15" s="12"/>
      <c r="D15" s="12"/>
      <c r="T15" s="27"/>
      <c r="U15" s="49"/>
    </row>
    <row r="16" spans="2:33">
      <c r="B16" s="12"/>
      <c r="C16" s="12"/>
      <c r="D16" s="12"/>
      <c r="E16" s="12"/>
      <c r="F16" s="12"/>
      <c r="G16" s="41"/>
      <c r="H16" s="41"/>
      <c r="I16" s="42"/>
      <c r="K16" s="12"/>
      <c r="L16" s="12"/>
      <c r="M16" s="12"/>
      <c r="N16" s="12"/>
      <c r="O16" s="12"/>
    </row>
    <row r="17" spans="2:25">
      <c r="B17" s="12"/>
      <c r="C17" s="12"/>
      <c r="D17" s="12"/>
      <c r="E17" s="12"/>
      <c r="F17" s="12"/>
      <c r="G17" s="12"/>
      <c r="H17" s="12"/>
      <c r="I17" s="12"/>
      <c r="K17" s="21"/>
      <c r="L17" s="21"/>
      <c r="M17" s="21"/>
      <c r="N17" s="21"/>
      <c r="O17" s="21"/>
      <c r="P17" s="21"/>
    </row>
    <row r="19" spans="2:25" ht="28.5">
      <c r="D19" s="12"/>
      <c r="E19" s="12"/>
      <c r="F19" s="12"/>
      <c r="G19" s="12"/>
      <c r="H19" s="12"/>
      <c r="I19" s="12"/>
      <c r="J19" s="12"/>
      <c r="K19" s="45" t="s">
        <v>6</v>
      </c>
      <c r="L19" s="45" t="s">
        <v>58</v>
      </c>
      <c r="M19" s="45" t="s">
        <v>24</v>
      </c>
      <c r="N19" s="45" t="s">
        <v>4</v>
      </c>
      <c r="O19" s="45" t="s">
        <v>59</v>
      </c>
      <c r="P19" s="12"/>
      <c r="Q19" s="12"/>
      <c r="R19" s="12"/>
    </row>
    <row r="20" spans="2:25" ht="15" customHeight="1">
      <c r="D20" s="12"/>
      <c r="J20" s="12"/>
      <c r="K20" s="15" t="e">
        <f>#REF!</f>
        <v>#REF!</v>
      </c>
      <c r="L20" s="31">
        <v>44085</v>
      </c>
      <c r="M20" s="46">
        <f>+'Serie CER'!E32</f>
        <v>22.833200000000001</v>
      </c>
      <c r="N20" s="47">
        <f t="shared" ref="N20:N25" si="2">(M20/$C$7)</f>
        <v>1.1330432064152123</v>
      </c>
      <c r="O20" s="14">
        <f t="shared" ref="O20:O25" si="3">100*N20</f>
        <v>113.30432064152123</v>
      </c>
      <c r="P20" s="12"/>
      <c r="Q20" s="12"/>
      <c r="R20" s="12"/>
    </row>
    <row r="21" spans="2:25">
      <c r="D21" s="12"/>
      <c r="J21" s="12"/>
      <c r="K21" s="15" t="e">
        <f>#REF!</f>
        <v>#REF!</v>
      </c>
      <c r="L21" s="31">
        <v>44266</v>
      </c>
      <c r="M21" s="46">
        <f>+'Serie CER'!H74</f>
        <v>27.841699999999999</v>
      </c>
      <c r="N21" s="47">
        <f t="shared" si="2"/>
        <v>1.3815780985604478</v>
      </c>
      <c r="O21" s="14">
        <f t="shared" si="3"/>
        <v>138.15780985604476</v>
      </c>
      <c r="P21" s="12"/>
      <c r="Q21" s="12"/>
      <c r="R21" s="12"/>
    </row>
    <row r="22" spans="2:25">
      <c r="D22" s="12"/>
      <c r="E22" s="12"/>
      <c r="F22" s="12"/>
      <c r="G22" s="12"/>
      <c r="H22" s="12"/>
      <c r="I22" s="12"/>
      <c r="J22" s="12"/>
      <c r="K22" s="15">
        <f>K7</f>
        <v>44464</v>
      </c>
      <c r="L22" s="31">
        <v>44450</v>
      </c>
      <c r="M22" s="46">
        <f>+'Serie CER'!H258</f>
        <v>34.449946594844775</v>
      </c>
      <c r="N22" s="47">
        <f t="shared" si="2"/>
        <v>1.7094966080381089</v>
      </c>
      <c r="O22" s="14">
        <f t="shared" si="3"/>
        <v>170.9496608038109</v>
      </c>
      <c r="P22" s="12"/>
      <c r="Q22" s="12"/>
      <c r="R22" s="12"/>
    </row>
    <row r="23" spans="2:25">
      <c r="D23" s="12"/>
      <c r="E23" s="12"/>
      <c r="F23" s="12"/>
      <c r="G23" s="12"/>
      <c r="H23" s="12"/>
      <c r="I23" s="12"/>
      <c r="J23" s="12"/>
      <c r="K23" s="15">
        <f>K8</f>
        <v>44645</v>
      </c>
      <c r="L23" s="31">
        <v>44631</v>
      </c>
      <c r="M23" s="46">
        <f>+'Serie CER'!K74</f>
        <v>40.721383907321446</v>
      </c>
      <c r="N23" s="47">
        <f t="shared" si="2"/>
        <v>2.0207017584927351</v>
      </c>
      <c r="O23" s="14">
        <f t="shared" si="3"/>
        <v>202.07017584927351</v>
      </c>
      <c r="P23" s="12"/>
      <c r="Q23" s="12"/>
      <c r="R23" s="12"/>
      <c r="W23" s="400" t="s">
        <v>78</v>
      </c>
      <c r="X23" s="400"/>
      <c r="Y23" s="400"/>
    </row>
    <row r="24" spans="2:25">
      <c r="D24" s="12"/>
      <c r="E24" s="12"/>
      <c r="F24" s="12"/>
      <c r="G24" s="12"/>
      <c r="H24" s="12"/>
      <c r="I24" s="12"/>
      <c r="J24" s="12"/>
      <c r="K24" s="15">
        <f>K9</f>
        <v>44829</v>
      </c>
      <c r="L24" s="31">
        <v>44815</v>
      </c>
      <c r="M24" s="46">
        <f>+'Serie CER'!K258</f>
        <v>48.815473605660884</v>
      </c>
      <c r="N24" s="47">
        <f t="shared" si="2"/>
        <v>2.4223516956377193</v>
      </c>
      <c r="O24" s="14">
        <f t="shared" si="3"/>
        <v>242.23516956377193</v>
      </c>
      <c r="P24" s="12"/>
      <c r="Q24" s="12"/>
      <c r="R24" s="12"/>
      <c r="W24" s="400" t="s">
        <v>82</v>
      </c>
      <c r="X24" s="400"/>
      <c r="Y24" s="400"/>
    </row>
    <row r="25" spans="2:25">
      <c r="D25" s="12"/>
      <c r="E25" s="12"/>
      <c r="F25" s="12"/>
      <c r="G25" s="12"/>
      <c r="H25" s="12"/>
      <c r="I25" s="12"/>
      <c r="J25" s="12"/>
      <c r="K25" s="15">
        <f>K10</f>
        <v>45010</v>
      </c>
      <c r="L25" s="31">
        <v>44996</v>
      </c>
      <c r="M25" s="46">
        <f>+'Serie CER'!N74</f>
        <v>58.290588591151071</v>
      </c>
      <c r="N25" s="47">
        <f t="shared" si="2"/>
        <v>2.8925317257829741</v>
      </c>
      <c r="O25" s="14">
        <f t="shared" si="3"/>
        <v>289.25317257829744</v>
      </c>
      <c r="P25" s="12"/>
      <c r="Q25" s="12"/>
      <c r="R25" s="12"/>
      <c r="W25" s="108" t="s">
        <v>10</v>
      </c>
      <c r="X25" s="108" t="s">
        <v>83</v>
      </c>
      <c r="Y25" s="108" t="s">
        <v>84</v>
      </c>
    </row>
    <row r="26" spans="2:25">
      <c r="C26" s="12"/>
      <c r="D26" s="12"/>
      <c r="E26" s="12"/>
      <c r="F26" s="12"/>
      <c r="G26" s="12"/>
      <c r="H26" s="12"/>
      <c r="I26" s="12"/>
      <c r="J26" s="12"/>
      <c r="K26" s="15"/>
      <c r="L26" s="12"/>
      <c r="M26" s="12"/>
      <c r="N26" s="12"/>
      <c r="O26" s="12"/>
      <c r="P26" s="12"/>
      <c r="Q26" s="12"/>
      <c r="R26" s="12"/>
      <c r="W26" s="16">
        <v>0.15</v>
      </c>
      <c r="X26" s="49">
        <f>XNPV(W26,AA6:AA10,W6:W10)</f>
        <v>128.33313903974218</v>
      </c>
      <c r="Y26" s="18">
        <f t="shared" ref="Y26:Y31" si="4">(X26+$I$6)/(-$I$6)</f>
        <v>-0.14841978075818058</v>
      </c>
    </row>
    <row r="27" spans="2:25">
      <c r="C27" s="12"/>
      <c r="D27" s="12"/>
      <c r="E27" s="12"/>
      <c r="F27" s="12"/>
      <c r="G27" s="12"/>
      <c r="H27" s="12"/>
      <c r="I27" s="12"/>
      <c r="J27" s="110"/>
      <c r="K27" s="408"/>
      <c r="L27" s="408"/>
      <c r="M27" s="408"/>
      <c r="N27" s="408"/>
      <c r="O27" s="408"/>
      <c r="P27" s="408"/>
      <c r="Q27" s="12"/>
      <c r="R27" s="12"/>
      <c r="W27" s="16">
        <v>0.14000000000000001</v>
      </c>
      <c r="X27" s="49">
        <f>XNPV(W27,AA6:AA10,W6:W10)</f>
        <v>130.24592232549767</v>
      </c>
      <c r="Y27" s="18">
        <f t="shared" si="4"/>
        <v>-0.13572712458196626</v>
      </c>
    </row>
    <row r="28" spans="2:25">
      <c r="C28" s="12"/>
      <c r="D28" s="12"/>
      <c r="E28" s="401" t="s">
        <v>18</v>
      </c>
      <c r="F28" s="401"/>
      <c r="G28" s="61">
        <v>0.35</v>
      </c>
      <c r="H28" s="62">
        <f>XNPV(G28,U6:U10,Q6:Q10)</f>
        <v>177.38292394179012</v>
      </c>
      <c r="I28" s="61">
        <f>(H28/-$I$6)-1</f>
        <v>0.17705988017113561</v>
      </c>
      <c r="J28" s="110"/>
      <c r="K28" s="110"/>
      <c r="L28" s="110"/>
      <c r="M28" s="110"/>
      <c r="N28" s="110"/>
      <c r="O28" s="110"/>
      <c r="P28" s="110"/>
      <c r="Q28" s="12"/>
      <c r="R28" s="12"/>
      <c r="W28" s="16">
        <v>0.13</v>
      </c>
      <c r="X28" s="49">
        <f>XNPV(W28,AA6:AA10,W6:W10)</f>
        <v>132.20472781406755</v>
      </c>
      <c r="Y28" s="18">
        <f t="shared" si="4"/>
        <v>-0.12272907887148266</v>
      </c>
    </row>
    <row r="29" spans="2:25">
      <c r="C29" s="12"/>
      <c r="D29" s="12"/>
      <c r="E29" s="402"/>
      <c r="F29" s="402"/>
      <c r="G29" s="18">
        <v>0.4</v>
      </c>
      <c r="H29" s="49">
        <f>XNPV(G29,U6:U10,Q6:Q10)</f>
        <v>166.7589651154172</v>
      </c>
      <c r="I29" s="18">
        <f>(H29/-$I$6)-1</f>
        <v>0.10656247588199874</v>
      </c>
      <c r="J29" s="110"/>
      <c r="K29" s="111"/>
      <c r="L29" s="111"/>
      <c r="M29" s="110"/>
      <c r="N29" s="111"/>
      <c r="O29" s="111"/>
      <c r="P29" s="111"/>
      <c r="Q29" s="12"/>
      <c r="R29" s="12"/>
      <c r="W29" s="16">
        <v>0.12</v>
      </c>
      <c r="X29" s="49">
        <f>XNPV(W29,AA6:AA10,W6:W10)</f>
        <v>134.21108601735929</v>
      </c>
      <c r="Y29" s="18">
        <f t="shared" si="4"/>
        <v>-0.10941548760876375</v>
      </c>
    </row>
    <row r="30" spans="2:25">
      <c r="C30" s="12"/>
      <c r="D30" s="12"/>
      <c r="E30" s="403"/>
      <c r="F30" s="403"/>
      <c r="G30" s="63">
        <v>0.45</v>
      </c>
      <c r="H30" s="64">
        <f>XNPV(G30,U6:U10,Q6:Q10)</f>
        <v>157.11597233457417</v>
      </c>
      <c r="I30" s="63">
        <f>(H30/-I6)-1</f>
        <v>4.2574468046278513E-2</v>
      </c>
      <c r="J30" s="110"/>
      <c r="K30" s="112"/>
      <c r="L30" s="112"/>
      <c r="M30" s="110"/>
      <c r="N30" s="113"/>
      <c r="O30" s="110"/>
      <c r="P30" s="114"/>
      <c r="Q30" s="12"/>
      <c r="R30" s="12"/>
      <c r="W30" s="16">
        <v>0.11</v>
      </c>
      <c r="X30" s="49">
        <f>XNPV(W30,AA6:AA10,W6:W10)</f>
        <v>136.26659265420403</v>
      </c>
      <c r="Y30" s="18">
        <f t="shared" si="4"/>
        <v>-9.5775762082255855E-2</v>
      </c>
    </row>
    <row r="31" spans="2:25">
      <c r="C31" s="12"/>
      <c r="D31" s="12"/>
      <c r="E31" s="12"/>
      <c r="F31" s="12"/>
      <c r="G31" s="12"/>
      <c r="H31" s="12"/>
      <c r="I31" s="12"/>
      <c r="J31" s="110"/>
      <c r="K31" s="113"/>
      <c r="L31" s="115"/>
      <c r="M31" s="110"/>
      <c r="N31" s="113"/>
      <c r="O31" s="110"/>
      <c r="P31" s="114"/>
      <c r="Q31" s="12"/>
      <c r="R31" s="12"/>
      <c r="W31" s="16">
        <v>0.1</v>
      </c>
      <c r="X31" s="49">
        <f>XNPV(W31,AA6:AA10,W6:W10)</f>
        <v>138.37291204889988</v>
      </c>
      <c r="Y31" s="18">
        <f t="shared" si="4"/>
        <v>-8.17988583351036E-2</v>
      </c>
    </row>
    <row r="32" spans="2:25">
      <c r="C32" s="12"/>
      <c r="D32" s="12"/>
      <c r="E32" s="12"/>
      <c r="F32" s="12"/>
      <c r="G32" s="12"/>
      <c r="H32" s="12"/>
      <c r="I32" s="12"/>
      <c r="J32" s="110"/>
      <c r="K32" s="114"/>
      <c r="L32" s="110"/>
      <c r="M32" s="110"/>
      <c r="N32" s="113"/>
      <c r="O32" s="110"/>
      <c r="P32" s="114"/>
      <c r="Q32" s="12"/>
      <c r="R32" s="12"/>
      <c r="W32" s="16">
        <v>0.09</v>
      </c>
      <c r="X32" s="49">
        <f>XNPV(W32,AA6:AA10,W6:W10)</f>
        <v>140.53178073980996</v>
      </c>
      <c r="Y32" s="18">
        <f t="shared" ref="Y32:Y38" si="5">(X32+$I$6)/(-$I$6)</f>
        <v>-6.7473253219575507E-2</v>
      </c>
    </row>
    <row r="33" spans="3:25">
      <c r="C33" s="12"/>
      <c r="D33" s="12"/>
      <c r="E33" s="12"/>
      <c r="F33" s="12"/>
      <c r="G33" s="12"/>
      <c r="H33" s="12"/>
      <c r="I33" s="12"/>
      <c r="J33" s="110"/>
      <c r="K33" s="110"/>
      <c r="L33" s="110"/>
      <c r="M33" s="110"/>
      <c r="N33" s="113"/>
      <c r="O33" s="110"/>
      <c r="P33" s="114"/>
      <c r="Q33" s="12"/>
      <c r="R33" s="12"/>
      <c r="W33" s="16">
        <v>0.08</v>
      </c>
      <c r="X33" s="49">
        <f>XNPV(W33,AA6:AA10,W6:W10)</f>
        <v>142.74501131306954</v>
      </c>
      <c r="Y33" s="18">
        <f t="shared" si="5"/>
        <v>-5.2786918957733575E-2</v>
      </c>
    </row>
    <row r="34" spans="3:25">
      <c r="C34" s="12"/>
      <c r="D34" s="12"/>
      <c r="E34" s="12"/>
      <c r="F34" s="12"/>
      <c r="G34" s="12"/>
      <c r="H34" s="12"/>
      <c r="I34" s="12"/>
      <c r="J34" s="110"/>
      <c r="K34" s="110"/>
      <c r="L34" s="110"/>
      <c r="M34" s="110"/>
      <c r="N34" s="113"/>
      <c r="O34" s="110"/>
      <c r="P34" s="114"/>
      <c r="Q34" s="12"/>
      <c r="R34" s="12"/>
      <c r="W34" s="16">
        <v>7.0000000000000007E-2</v>
      </c>
      <c r="X34" s="49">
        <f>XNPV(W34,AA6:AA10,W6:W10)</f>
        <v>145.01449647768828</v>
      </c>
      <c r="Y34" s="18">
        <f t="shared" si="5"/>
        <v>-3.7727296100276746E-2</v>
      </c>
    </row>
    <row r="35" spans="3:25">
      <c r="C35" s="12"/>
      <c r="D35" s="12"/>
      <c r="E35" s="12"/>
      <c r="F35" s="12"/>
      <c r="G35" s="12"/>
      <c r="H35" s="12"/>
      <c r="I35" s="12"/>
      <c r="J35" s="110"/>
      <c r="K35" s="110"/>
      <c r="L35" s="110"/>
      <c r="M35" s="110"/>
      <c r="N35" s="113"/>
      <c r="O35" s="110"/>
      <c r="P35" s="114"/>
      <c r="Q35" s="12"/>
      <c r="R35" s="12"/>
      <c r="W35" s="16">
        <v>0.06</v>
      </c>
      <c r="X35" s="49">
        <f>XNPV(W35,AA6:AA10,W6:W10)</f>
        <v>147.34221339967675</v>
      </c>
      <c r="Y35" s="18">
        <f t="shared" si="5"/>
        <v>-2.2281264766577553E-2</v>
      </c>
    </row>
    <row r="36" spans="3:25">
      <c r="D36" s="12"/>
      <c r="E36" s="12"/>
      <c r="F36" s="12"/>
      <c r="G36" s="12"/>
      <c r="H36" s="12"/>
      <c r="I36" s="12"/>
      <c r="J36" s="110"/>
      <c r="K36" s="110"/>
      <c r="L36" s="110"/>
      <c r="M36" s="110"/>
      <c r="N36" s="110"/>
      <c r="O36" s="110"/>
      <c r="P36" s="110"/>
      <c r="Q36" s="12"/>
      <c r="R36" s="12"/>
      <c r="W36" s="16">
        <v>0.05</v>
      </c>
      <c r="X36" s="49">
        <f>XNPV(W36,AA6:AA10,W6:W10)</f>
        <v>149.73022831429461</v>
      </c>
      <c r="Y36" s="18">
        <f t="shared" si="5"/>
        <v>-6.4351140391863439E-3</v>
      </c>
    </row>
    <row r="37" spans="3:25">
      <c r="D37" s="12"/>
      <c r="E37" s="12"/>
      <c r="F37" s="12"/>
      <c r="G37" s="12"/>
      <c r="H37" s="12"/>
      <c r="I37" s="12"/>
      <c r="J37" s="110"/>
      <c r="K37" s="110"/>
      <c r="L37" s="110"/>
      <c r="M37" s="110"/>
      <c r="N37" s="110"/>
      <c r="O37" s="110"/>
      <c r="P37" s="110"/>
      <c r="Q37" s="12"/>
      <c r="R37" s="12"/>
      <c r="W37" s="16">
        <v>0.04</v>
      </c>
      <c r="X37" s="49">
        <f>XNPV(W37,AA6:AA10,W6:W10)</f>
        <v>152.18070143712436</v>
      </c>
      <c r="Y37" s="18">
        <f t="shared" si="5"/>
        <v>9.8254906245810666E-3</v>
      </c>
    </row>
    <row r="38" spans="3:25">
      <c r="D38" s="12"/>
      <c r="E38" s="12"/>
      <c r="F38" s="12"/>
      <c r="G38" s="12"/>
      <c r="H38" s="12"/>
      <c r="I38" s="12"/>
      <c r="J38" s="110"/>
      <c r="K38" s="110"/>
      <c r="L38" s="110"/>
      <c r="M38" s="110"/>
      <c r="N38" s="110"/>
      <c r="O38" s="110"/>
      <c r="P38" s="110"/>
      <c r="Q38" s="12"/>
      <c r="R38" s="12"/>
      <c r="W38" s="16">
        <v>3.5000000000000003E-2</v>
      </c>
      <c r="X38" s="49">
        <f>XNPV(W38,AA6:AA10,W6:W10)</f>
        <v>153.4300618724082</v>
      </c>
      <c r="Y38" s="18">
        <f t="shared" si="5"/>
        <v>1.8115871747897905E-2</v>
      </c>
    </row>
    <row r="39" spans="3:25">
      <c r="D39" s="12"/>
      <c r="E39" s="12"/>
      <c r="F39" s="12"/>
      <c r="G39" s="12"/>
      <c r="H39" s="12"/>
      <c r="I39" s="12"/>
      <c r="J39" s="110"/>
      <c r="K39" s="110"/>
      <c r="L39" s="110"/>
      <c r="M39" s="110"/>
      <c r="N39" s="110"/>
      <c r="O39" s="110"/>
      <c r="P39" s="110"/>
      <c r="Q39" s="12"/>
      <c r="R39" s="12"/>
      <c r="W39" s="16">
        <v>0.03</v>
      </c>
      <c r="X39" s="49">
        <f>XNPV(W39,AA6:AA10,W6:W10)</f>
        <v>154.69589219643112</v>
      </c>
      <c r="Y39" s="18">
        <f>(X39+$I$6)/(-$I$6)</f>
        <v>2.6515542113013463E-2</v>
      </c>
    </row>
    <row r="40" spans="3:25">
      <c r="J40" s="51"/>
      <c r="K40" s="51"/>
      <c r="L40" s="51"/>
      <c r="M40" s="51"/>
      <c r="N40" s="51"/>
      <c r="O40" s="51"/>
      <c r="P40" s="51"/>
      <c r="W40" s="16">
        <v>0.02</v>
      </c>
      <c r="X40" s="49">
        <f>XNPV(W40,AA6:AA10,W6:W10)</f>
        <v>157.27816481119649</v>
      </c>
      <c r="Y40" s="18">
        <f>(X40+$I$6)/(-$I$6)</f>
        <v>4.3650728674163912E-2</v>
      </c>
    </row>
    <row r="41" spans="3:25">
      <c r="J41" s="51"/>
      <c r="K41" s="51"/>
      <c r="L41" s="51"/>
      <c r="M41" s="51"/>
      <c r="N41" s="51"/>
      <c r="O41" s="51"/>
      <c r="P41" s="51"/>
    </row>
  </sheetData>
  <mergeCells count="11">
    <mergeCell ref="E28:F30"/>
    <mergeCell ref="AC4:AG4"/>
    <mergeCell ref="K27:P27"/>
    <mergeCell ref="W23:Y23"/>
    <mergeCell ref="W24:Y24"/>
    <mergeCell ref="B2:I2"/>
    <mergeCell ref="B4:C4"/>
    <mergeCell ref="E4:I4"/>
    <mergeCell ref="K4:O4"/>
    <mergeCell ref="W4:AA4"/>
    <mergeCell ref="Q4:U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"/>
  <sheetViews>
    <sheetView showGridLines="0" zoomScale="90" zoomScaleNormal="90" workbookViewId="0">
      <selection activeCell="G7" sqref="G7"/>
    </sheetView>
  </sheetViews>
  <sheetFormatPr baseColWidth="10" defaultRowHeight="15"/>
  <cols>
    <col min="2" max="2" width="12" customWidth="1"/>
    <col min="3" max="3" width="12.140625" bestFit="1" customWidth="1"/>
    <col min="4" max="4" width="3.42578125" customWidth="1"/>
    <col min="5" max="5" width="12.140625" bestFit="1" customWidth="1"/>
    <col min="6" max="6" width="9.42578125" customWidth="1"/>
    <col min="7" max="7" width="9" bestFit="1" customWidth="1"/>
    <col min="8" max="9" width="10.42578125" customWidth="1"/>
    <col min="11" max="11" width="11.28515625" customWidth="1"/>
    <col min="12" max="13" width="11" customWidth="1"/>
    <col min="14" max="14" width="11.140625" customWidth="1"/>
    <col min="15" max="15" width="11.85546875" customWidth="1"/>
  </cols>
  <sheetData>
    <row r="2" spans="2:21" ht="15.75">
      <c r="B2" s="409" t="s">
        <v>178</v>
      </c>
      <c r="C2" s="409"/>
      <c r="D2" s="409"/>
      <c r="E2" s="409"/>
      <c r="F2" s="409"/>
      <c r="G2" s="409"/>
      <c r="H2" s="409"/>
      <c r="I2" s="409"/>
      <c r="K2" s="6" t="s">
        <v>60</v>
      </c>
    </row>
    <row r="3" spans="2:21">
      <c r="B3" s="12"/>
      <c r="C3" s="12"/>
      <c r="D3" s="12"/>
      <c r="E3" s="12"/>
      <c r="F3" s="12"/>
      <c r="G3" s="12"/>
      <c r="H3" s="12"/>
      <c r="I3" s="12"/>
    </row>
    <row r="4" spans="2:21">
      <c r="B4" s="369" t="s">
        <v>34</v>
      </c>
      <c r="C4" s="370"/>
      <c r="D4" s="12"/>
      <c r="E4" s="371" t="s">
        <v>177</v>
      </c>
      <c r="F4" s="371"/>
      <c r="G4" s="371"/>
      <c r="H4" s="371"/>
      <c r="I4" s="371"/>
      <c r="K4" s="371" t="s">
        <v>181</v>
      </c>
      <c r="L4" s="371"/>
      <c r="M4" s="371"/>
      <c r="N4" s="371"/>
      <c r="O4" s="371"/>
      <c r="Q4" s="371" t="s">
        <v>181</v>
      </c>
      <c r="R4" s="371"/>
      <c r="S4" s="371"/>
      <c r="T4" s="371"/>
      <c r="U4" s="371"/>
    </row>
    <row r="5" spans="2:21">
      <c r="B5" s="24" t="s">
        <v>0</v>
      </c>
      <c r="C5" s="33">
        <v>44056</v>
      </c>
      <c r="D5" s="12"/>
      <c r="E5" s="29" t="s">
        <v>14</v>
      </c>
      <c r="F5" s="29" t="s">
        <v>7</v>
      </c>
      <c r="G5" s="29" t="s">
        <v>8</v>
      </c>
      <c r="H5" s="29" t="s">
        <v>33</v>
      </c>
      <c r="I5" s="29" t="s">
        <v>9</v>
      </c>
      <c r="K5" s="29" t="s">
        <v>14</v>
      </c>
      <c r="L5" s="29" t="s">
        <v>7</v>
      </c>
      <c r="M5" s="29" t="s">
        <v>8</v>
      </c>
      <c r="N5" s="29" t="s">
        <v>33</v>
      </c>
      <c r="O5" s="29" t="s">
        <v>9</v>
      </c>
      <c r="Q5" s="29" t="s">
        <v>14</v>
      </c>
      <c r="R5" s="29" t="s">
        <v>7</v>
      </c>
      <c r="S5" s="29" t="s">
        <v>8</v>
      </c>
      <c r="T5" s="29" t="s">
        <v>33</v>
      </c>
      <c r="U5" s="29" t="s">
        <v>9</v>
      </c>
    </row>
    <row r="6" spans="2:21">
      <c r="B6" s="24" t="s">
        <v>1</v>
      </c>
      <c r="C6" s="33">
        <v>45151</v>
      </c>
      <c r="D6" s="12"/>
      <c r="E6" s="15">
        <f>'Planilla de datos'!D3</f>
        <v>44383</v>
      </c>
      <c r="F6" s="12">
        <v>100</v>
      </c>
      <c r="G6" s="30"/>
      <c r="H6" s="12"/>
      <c r="I6" s="14">
        <f>-'Planilla de datos'!C21</f>
        <v>-136</v>
      </c>
      <c r="K6" s="15">
        <f t="shared" ref="K6:K11" si="0">E6</f>
        <v>44383</v>
      </c>
      <c r="L6" s="267">
        <v>100</v>
      </c>
      <c r="M6" s="160"/>
      <c r="N6" s="12"/>
      <c r="O6" s="14">
        <f>I6</f>
        <v>-136</v>
      </c>
      <c r="Q6" s="15">
        <f t="shared" ref="Q6:T11" si="1">+K6</f>
        <v>44383</v>
      </c>
      <c r="R6" s="267">
        <f t="shared" si="1"/>
        <v>100</v>
      </c>
      <c r="S6" s="160">
        <f t="shared" si="1"/>
        <v>0</v>
      </c>
      <c r="T6" s="14">
        <f t="shared" si="1"/>
        <v>0</v>
      </c>
      <c r="U6" s="14">
        <v>0</v>
      </c>
    </row>
    <row r="7" spans="2:21">
      <c r="B7" s="24" t="s">
        <v>2</v>
      </c>
      <c r="C7" s="34">
        <v>22.211099999999998</v>
      </c>
      <c r="D7" s="12"/>
      <c r="E7" s="15">
        <v>44421</v>
      </c>
      <c r="F7" s="12">
        <v>100</v>
      </c>
      <c r="G7" s="14">
        <f>$C$11*$C$10*(180/360)</f>
        <v>1.0407820864342605</v>
      </c>
      <c r="H7" s="14"/>
      <c r="I7" s="14">
        <f>SUM(G7:H7)</f>
        <v>1.0407820864342605</v>
      </c>
      <c r="K7" s="15">
        <f t="shared" si="0"/>
        <v>44421</v>
      </c>
      <c r="L7" s="267">
        <v>100</v>
      </c>
      <c r="M7" s="160">
        <f>O20*($C$10/360*180)</f>
        <v>1.0813659596394725</v>
      </c>
      <c r="N7" s="14"/>
      <c r="O7" s="14">
        <f>SUM(M7:N7)</f>
        <v>1.0813659596394725</v>
      </c>
      <c r="Q7" s="15">
        <f t="shared" si="1"/>
        <v>44421</v>
      </c>
      <c r="R7" s="267">
        <f t="shared" si="1"/>
        <v>100</v>
      </c>
      <c r="S7" s="160">
        <f t="shared" si="1"/>
        <v>1.0813659596394725</v>
      </c>
      <c r="T7" s="14">
        <f t="shared" si="1"/>
        <v>0</v>
      </c>
      <c r="U7" s="14">
        <f>+O7</f>
        <v>1.0813659596394725</v>
      </c>
    </row>
    <row r="8" spans="2:21">
      <c r="B8" s="24" t="s">
        <v>98</v>
      </c>
      <c r="C8" s="34">
        <f>'Planilla de datos'!D64</f>
        <v>31.885400000000001</v>
      </c>
      <c r="D8" s="12"/>
      <c r="E8" s="15">
        <v>44606</v>
      </c>
      <c r="F8" s="12">
        <v>100</v>
      </c>
      <c r="G8" s="14">
        <f>$C$11*$C$10*(180/360)</f>
        <v>1.0407820864342605</v>
      </c>
      <c r="H8" s="12"/>
      <c r="I8" s="14">
        <f>SUM(G8:H8)</f>
        <v>1.0407820864342605</v>
      </c>
      <c r="K8" s="15">
        <f t="shared" si="0"/>
        <v>44606</v>
      </c>
      <c r="L8" s="267">
        <v>100</v>
      </c>
      <c r="M8" s="160">
        <f>O21*($C$10/360*180)</f>
        <v>1.2809069095887893</v>
      </c>
      <c r="N8" s="14"/>
      <c r="O8" s="14">
        <f>SUM(M8:N8)</f>
        <v>1.2809069095887893</v>
      </c>
      <c r="Q8" s="15">
        <f t="shared" si="1"/>
        <v>44606</v>
      </c>
      <c r="R8" s="267">
        <f t="shared" si="1"/>
        <v>100</v>
      </c>
      <c r="S8" s="160">
        <f t="shared" si="1"/>
        <v>1.2809069095887893</v>
      </c>
      <c r="T8" s="14">
        <f t="shared" si="1"/>
        <v>0</v>
      </c>
      <c r="U8" s="14">
        <f>+O8</f>
        <v>1.2809069095887893</v>
      </c>
    </row>
    <row r="9" spans="2:21">
      <c r="B9" s="24" t="s">
        <v>4</v>
      </c>
      <c r="C9" s="34">
        <f>((C8-C7)/C7)+1</f>
        <v>1.4355614985300145</v>
      </c>
      <c r="D9" s="12"/>
      <c r="E9" s="15">
        <v>44788</v>
      </c>
      <c r="F9" s="12">
        <v>100</v>
      </c>
      <c r="G9" s="14">
        <f>$C$11*$C$10*(180/360)</f>
        <v>1.0407820864342605</v>
      </c>
      <c r="H9" s="12"/>
      <c r="I9" s="14">
        <f>SUM(G9:H9)</f>
        <v>1.0407820864342605</v>
      </c>
      <c r="K9" s="15">
        <f t="shared" si="0"/>
        <v>44788</v>
      </c>
      <c r="L9" s="267">
        <v>100</v>
      </c>
      <c r="M9" s="160">
        <f>O22*($C$10/360*180)</f>
        <v>1.53031642371168</v>
      </c>
      <c r="N9" s="12"/>
      <c r="O9" s="14">
        <f>SUM(M9:N9)</f>
        <v>1.53031642371168</v>
      </c>
      <c r="Q9" s="15">
        <f t="shared" si="1"/>
        <v>44788</v>
      </c>
      <c r="R9" s="267">
        <f t="shared" si="1"/>
        <v>100</v>
      </c>
      <c r="S9" s="160">
        <f t="shared" si="1"/>
        <v>1.53031642371168</v>
      </c>
      <c r="T9" s="14">
        <f t="shared" si="1"/>
        <v>0</v>
      </c>
      <c r="U9" s="14">
        <f>+O9</f>
        <v>1.53031642371168</v>
      </c>
    </row>
    <row r="10" spans="2:21">
      <c r="B10" s="24" t="s">
        <v>5</v>
      </c>
      <c r="C10" s="35">
        <v>1.4500000000000001E-2</v>
      </c>
      <c r="D10" s="12"/>
      <c r="E10" s="15">
        <v>44970</v>
      </c>
      <c r="F10" s="12">
        <v>100</v>
      </c>
      <c r="G10" s="14">
        <f>$C$11*$C$10*(180/360)</f>
        <v>1.0407820864342605</v>
      </c>
      <c r="H10" s="14"/>
      <c r="I10" s="14">
        <f>SUM(G10:H10)</f>
        <v>1.0407820864342605</v>
      </c>
      <c r="K10" s="15">
        <f t="shared" si="0"/>
        <v>44970</v>
      </c>
      <c r="L10" s="267">
        <v>100</v>
      </c>
      <c r="M10" s="160">
        <f>O23*($C$10/360*180)</f>
        <v>1.8301409981801171</v>
      </c>
      <c r="N10" s="4"/>
      <c r="O10" s="14">
        <f>SUM(M10:N10)</f>
        <v>1.8301409981801171</v>
      </c>
      <c r="Q10" s="15">
        <f t="shared" si="1"/>
        <v>44970</v>
      </c>
      <c r="R10" s="267">
        <f t="shared" si="1"/>
        <v>100</v>
      </c>
      <c r="S10" s="160">
        <f t="shared" si="1"/>
        <v>1.8301409981801171</v>
      </c>
      <c r="T10" s="14">
        <f t="shared" si="1"/>
        <v>0</v>
      </c>
      <c r="U10" s="14">
        <f>+O10</f>
        <v>1.8301409981801171</v>
      </c>
    </row>
    <row r="11" spans="2:21">
      <c r="B11" s="24" t="s">
        <v>16</v>
      </c>
      <c r="C11" s="88">
        <f>C9*F6</f>
        <v>143.55614985300144</v>
      </c>
      <c r="D11" s="12"/>
      <c r="E11" s="15">
        <v>45152</v>
      </c>
      <c r="F11" s="12">
        <f>+F10</f>
        <v>100</v>
      </c>
      <c r="G11" s="14">
        <f>$C$11*$C$10*(180/360)</f>
        <v>1.0407820864342605</v>
      </c>
      <c r="H11" s="14">
        <f>+C11</f>
        <v>143.55614985300144</v>
      </c>
      <c r="I11" s="14">
        <f>SUM(G11:H11)</f>
        <v>144.59693193943571</v>
      </c>
      <c r="K11" s="15">
        <f t="shared" si="0"/>
        <v>45152</v>
      </c>
      <c r="L11" s="267">
        <v>100</v>
      </c>
      <c r="M11" s="160">
        <f>O24*($C$10/360*180)</f>
        <v>2.1842224943612933</v>
      </c>
      <c r="N11" s="14">
        <f>+O24</f>
        <v>301.2720681877646</v>
      </c>
      <c r="O11" s="14">
        <f>SUM(M11:N11)</f>
        <v>303.45629068212588</v>
      </c>
      <c r="Q11" s="15">
        <f t="shared" si="1"/>
        <v>45152</v>
      </c>
      <c r="R11" s="267">
        <f t="shared" si="1"/>
        <v>100</v>
      </c>
      <c r="S11" s="160">
        <f t="shared" si="1"/>
        <v>2.1842224943612933</v>
      </c>
      <c r="T11" s="14">
        <f t="shared" si="1"/>
        <v>301.2720681877646</v>
      </c>
      <c r="U11" s="14">
        <f>+O11</f>
        <v>303.45629068212588</v>
      </c>
    </row>
    <row r="12" spans="2:21">
      <c r="B12" s="167" t="s">
        <v>27</v>
      </c>
      <c r="C12" s="168">
        <v>44099</v>
      </c>
      <c r="D12" s="12"/>
    </row>
    <row r="13" spans="2:21">
      <c r="B13" s="12"/>
      <c r="C13" s="12"/>
      <c r="D13" s="12"/>
      <c r="E13" s="12"/>
      <c r="F13" s="12"/>
      <c r="H13" s="92" t="s">
        <v>13</v>
      </c>
      <c r="I13" s="86">
        <f>XIRR(I6:I11,E6:E11,0)</f>
        <v>4.4258891601562503E-2</v>
      </c>
      <c r="K13" s="12"/>
      <c r="L13" s="12"/>
      <c r="M13" s="12"/>
      <c r="N13" s="92" t="s">
        <v>10</v>
      </c>
      <c r="O13" s="86">
        <f>XIRR(O6:O11,K6:K11,0)</f>
        <v>0.48454940429687499</v>
      </c>
    </row>
    <row r="14" spans="2:21">
      <c r="B14" s="12"/>
      <c r="C14" s="12"/>
      <c r="D14" s="12"/>
      <c r="E14" s="12"/>
      <c r="F14" s="12"/>
      <c r="H14" s="92" t="s">
        <v>29</v>
      </c>
      <c r="I14" s="71">
        <f>MDURATION(E6,E11,C10,I13,2)</f>
        <v>2.0234713292376876</v>
      </c>
      <c r="K14" s="12"/>
      <c r="L14" s="12"/>
      <c r="M14" s="12"/>
      <c r="N14" s="92" t="s">
        <v>64</v>
      </c>
      <c r="O14" s="71">
        <f>MDURATION(K6,K11,C10,O13,2)</f>
        <v>1.6408743175498961</v>
      </c>
    </row>
    <row r="15" spans="2:21">
      <c r="B15" s="12"/>
      <c r="C15" s="12"/>
      <c r="D15" s="12"/>
    </row>
    <row r="16" spans="2:21">
      <c r="B16" s="12"/>
      <c r="C16" s="12"/>
      <c r="D16" s="12"/>
      <c r="E16" s="12"/>
      <c r="F16" s="12"/>
      <c r="G16" s="41"/>
      <c r="H16" s="41"/>
      <c r="I16" s="42"/>
      <c r="K16" s="12"/>
      <c r="L16" s="12"/>
      <c r="M16" s="12"/>
      <c r="N16" s="12"/>
      <c r="O16" s="12"/>
    </row>
    <row r="17" spans="2:16">
      <c r="B17" s="12"/>
      <c r="C17" s="12"/>
      <c r="D17" s="12"/>
      <c r="E17" s="12"/>
      <c r="F17" s="12"/>
      <c r="G17" s="12"/>
      <c r="H17" s="12"/>
      <c r="I17" s="12"/>
      <c r="K17" s="21"/>
      <c r="L17" s="21"/>
      <c r="M17" s="21"/>
      <c r="N17" s="21"/>
      <c r="O17" s="21"/>
      <c r="P17" s="21"/>
    </row>
    <row r="19" spans="2:16" ht="28.5">
      <c r="D19" s="12"/>
      <c r="J19" s="12"/>
      <c r="K19" s="45" t="s">
        <v>6</v>
      </c>
      <c r="L19" s="45" t="s">
        <v>58</v>
      </c>
      <c r="M19" s="45" t="s">
        <v>24</v>
      </c>
      <c r="N19" s="45" t="s">
        <v>4</v>
      </c>
      <c r="O19" s="45" t="s">
        <v>59</v>
      </c>
      <c r="P19" s="12"/>
    </row>
    <row r="20" spans="2:16" ht="15" customHeight="1">
      <c r="B20" s="3"/>
      <c r="D20" s="12"/>
      <c r="J20" s="12"/>
      <c r="K20" s="15">
        <f>K7</f>
        <v>44421</v>
      </c>
      <c r="L20" s="15">
        <v>44407</v>
      </c>
      <c r="M20" s="46">
        <f>+'Serie CER'!H215</f>
        <v>33.12872753951487</v>
      </c>
      <c r="N20" s="47">
        <f>(M20/$C$7)</f>
        <v>1.4915392546751343</v>
      </c>
      <c r="O20" s="14">
        <f>100*N20</f>
        <v>149.15392546751343</v>
      </c>
      <c r="P20" s="12"/>
    </row>
    <row r="21" spans="2:16">
      <c r="D21" s="12"/>
      <c r="J21" s="12"/>
      <c r="K21" s="15">
        <f>K8</f>
        <v>44606</v>
      </c>
      <c r="L21" s="15">
        <v>44592</v>
      </c>
      <c r="M21" s="46">
        <f>+'Serie CER'!K35</f>
        <v>39.241864082162145</v>
      </c>
      <c r="N21" s="47">
        <f>(M21/$C$7)</f>
        <v>1.7667681511569506</v>
      </c>
      <c r="O21" s="14">
        <f>100*N21</f>
        <v>176.67681511569506</v>
      </c>
      <c r="P21" s="12"/>
    </row>
    <row r="22" spans="2:16">
      <c r="D22" s="12"/>
      <c r="E22" s="12"/>
      <c r="F22" s="12"/>
      <c r="G22" s="12"/>
      <c r="H22" s="12"/>
      <c r="I22" s="12"/>
      <c r="J22" s="12"/>
      <c r="K22" s="15">
        <f>K9</f>
        <v>44788</v>
      </c>
      <c r="L22" s="15">
        <v>44774</v>
      </c>
      <c r="M22" s="46">
        <f>+'Serie CER'!K217</f>
        <v>46.882773956831024</v>
      </c>
      <c r="N22" s="47">
        <f>(M22/$C$7)</f>
        <v>2.1107812740850758</v>
      </c>
      <c r="O22" s="14">
        <f>100*N22</f>
        <v>211.07812740850758</v>
      </c>
      <c r="P22" s="12"/>
    </row>
    <row r="23" spans="2:16">
      <c r="D23" s="12"/>
      <c r="E23" s="12"/>
      <c r="F23" s="12"/>
      <c r="G23" s="12"/>
      <c r="H23" s="12"/>
      <c r="I23" s="12"/>
      <c r="J23" s="12"/>
      <c r="K23" s="15">
        <f>K10</f>
        <v>44970</v>
      </c>
      <c r="L23" s="15">
        <v>44591</v>
      </c>
      <c r="M23" s="46">
        <f>+'Serie CER'!N34</f>
        <v>56.068199620246055</v>
      </c>
      <c r="N23" s="47">
        <f>(M23/$C$7)</f>
        <v>2.52433241128292</v>
      </c>
      <c r="O23" s="14">
        <f>100*N23</f>
        <v>252.433241128292</v>
      </c>
      <c r="P23" s="12"/>
    </row>
    <row r="24" spans="2:16">
      <c r="D24" s="12"/>
      <c r="E24" s="12"/>
      <c r="F24" s="12"/>
      <c r="G24" s="12"/>
      <c r="H24" s="12"/>
      <c r="I24" s="12"/>
      <c r="J24" s="12"/>
      <c r="K24" s="15">
        <f>K11</f>
        <v>45152</v>
      </c>
      <c r="L24" s="15">
        <v>45138</v>
      </c>
      <c r="M24" s="46">
        <f>+'Serie CER'!N216</f>
        <v>66.915840337252575</v>
      </c>
      <c r="N24" s="47">
        <f>(M24/$C$7)</f>
        <v>3.0127206818776457</v>
      </c>
      <c r="O24" s="14">
        <f>100*N24</f>
        <v>301.2720681877646</v>
      </c>
      <c r="P24" s="12"/>
    </row>
    <row r="25" spans="2:16">
      <c r="D25" s="12"/>
      <c r="E25" s="12"/>
      <c r="F25" s="12"/>
      <c r="G25" s="12"/>
      <c r="H25" s="12"/>
      <c r="I25" s="12"/>
      <c r="J25" s="12"/>
      <c r="P25" s="12"/>
    </row>
    <row r="26" spans="2:16">
      <c r="C26" s="12"/>
      <c r="D26" s="12"/>
      <c r="E26" s="12"/>
      <c r="F26" s="12"/>
      <c r="G26" s="12"/>
      <c r="H26" s="12"/>
      <c r="I26" s="12"/>
      <c r="J26" s="12"/>
      <c r="K26" s="15"/>
      <c r="L26" s="12"/>
      <c r="M26" s="12"/>
      <c r="N26" s="12"/>
      <c r="O26" s="12"/>
      <c r="P26" s="12"/>
    </row>
    <row r="27" spans="2:16">
      <c r="C27" s="12"/>
      <c r="D27" s="12"/>
      <c r="E27" s="12"/>
      <c r="F27" s="12"/>
      <c r="G27" s="12"/>
      <c r="H27" s="12"/>
      <c r="I27" s="12"/>
      <c r="J27" s="110"/>
      <c r="K27" s="408"/>
      <c r="L27" s="408"/>
      <c r="M27" s="408"/>
      <c r="N27" s="408"/>
      <c r="O27" s="408"/>
      <c r="P27" s="408"/>
    </row>
    <row r="28" spans="2:16">
      <c r="C28" s="12"/>
      <c r="D28" s="12"/>
      <c r="E28" s="401" t="s">
        <v>18</v>
      </c>
      <c r="F28" s="401"/>
      <c r="G28" s="61">
        <v>0.35</v>
      </c>
      <c r="H28" s="62">
        <f>XNPV(G28,U6:U11,Q6:Q11)</f>
        <v>165.59184453828024</v>
      </c>
      <c r="I28" s="61">
        <f>(H28/-$I$6)-1</f>
        <v>0.21758709219323702</v>
      </c>
      <c r="J28" s="110"/>
      <c r="K28" s="110"/>
      <c r="L28" s="110"/>
      <c r="M28" s="110"/>
      <c r="N28" s="110"/>
      <c r="O28" s="110"/>
      <c r="P28" s="110"/>
    </row>
    <row r="29" spans="2:16">
      <c r="C29" s="12"/>
      <c r="D29" s="12"/>
      <c r="E29" s="402"/>
      <c r="F29" s="402"/>
      <c r="G29" s="18">
        <v>0.4</v>
      </c>
      <c r="H29" s="49">
        <f>XNPV(G29,U6:U11,Q6:Q11)</f>
        <v>153.56314024153235</v>
      </c>
      <c r="I29" s="18">
        <f>(H29/-$I$6)-1</f>
        <v>0.12914073707009077</v>
      </c>
      <c r="J29" s="110"/>
      <c r="K29" s="266"/>
      <c r="L29" s="266"/>
      <c r="M29" s="110"/>
      <c r="N29" s="266"/>
      <c r="O29" s="266"/>
      <c r="P29" s="266"/>
    </row>
    <row r="30" spans="2:16">
      <c r="C30" s="12"/>
      <c r="D30" s="12"/>
      <c r="E30" s="403"/>
      <c r="F30" s="403"/>
      <c r="G30" s="63">
        <v>0.45</v>
      </c>
      <c r="H30" s="64">
        <f>XNPV(G30,U6:U11,Q6:Q11)</f>
        <v>142.79453719177138</v>
      </c>
      <c r="I30" s="63">
        <f>(H30/-I6)-1</f>
        <v>4.9959832292436612E-2</v>
      </c>
      <c r="J30" s="110"/>
      <c r="K30" s="112"/>
      <c r="L30" s="112"/>
      <c r="M30" s="110"/>
      <c r="N30" s="113"/>
      <c r="O30" s="110"/>
      <c r="P30" s="114"/>
    </row>
    <row r="31" spans="2:16">
      <c r="C31" s="12"/>
      <c r="D31" s="12"/>
      <c r="E31" s="12"/>
      <c r="F31" s="12"/>
      <c r="G31" s="12"/>
      <c r="H31" s="12"/>
      <c r="I31" s="12"/>
      <c r="J31" s="110"/>
      <c r="K31" s="113"/>
      <c r="L31" s="115"/>
      <c r="M31" s="110"/>
      <c r="N31" s="113"/>
      <c r="O31" s="110"/>
      <c r="P31" s="114"/>
    </row>
    <row r="32" spans="2:16">
      <c r="C32" s="12"/>
      <c r="D32" s="12"/>
      <c r="E32" s="12"/>
      <c r="F32" s="12"/>
      <c r="G32" s="12"/>
      <c r="H32" s="12"/>
      <c r="I32" s="12"/>
      <c r="J32" s="110"/>
      <c r="K32" s="114"/>
      <c r="L32" s="110">
        <f>O8/100</f>
        <v>1.2809069095887892E-2</v>
      </c>
      <c r="M32" s="110"/>
      <c r="N32" s="113"/>
      <c r="O32" s="110"/>
      <c r="P32" s="114"/>
    </row>
    <row r="33" spans="3:16">
      <c r="C33" s="12"/>
      <c r="D33" s="12"/>
      <c r="E33" s="12"/>
      <c r="F33" s="12"/>
      <c r="G33" s="12"/>
      <c r="H33" s="12"/>
      <c r="I33" s="12"/>
      <c r="J33" s="110"/>
      <c r="K33" s="110"/>
      <c r="L33" s="110"/>
      <c r="M33" s="110"/>
      <c r="N33" s="113"/>
      <c r="O33" s="110"/>
      <c r="P33" s="114"/>
    </row>
    <row r="34" spans="3:16">
      <c r="C34" s="12"/>
      <c r="D34" s="12"/>
      <c r="E34" s="12"/>
      <c r="F34" s="12"/>
      <c r="G34" s="12"/>
      <c r="H34" s="12"/>
      <c r="I34" s="12"/>
      <c r="J34" s="110"/>
      <c r="K34" s="110"/>
      <c r="L34" s="110"/>
      <c r="M34" s="110"/>
      <c r="N34" s="113"/>
      <c r="O34" s="110"/>
      <c r="P34" s="114"/>
    </row>
    <row r="35" spans="3:16">
      <c r="C35" s="12"/>
      <c r="D35" s="12"/>
      <c r="E35" s="12"/>
      <c r="F35" s="12"/>
      <c r="G35" s="12"/>
      <c r="H35" s="12"/>
      <c r="I35" s="12"/>
      <c r="J35" s="110"/>
      <c r="K35" s="110"/>
      <c r="L35" s="110"/>
      <c r="M35" s="110"/>
      <c r="N35" s="113"/>
      <c r="O35" s="110"/>
      <c r="P35" s="114"/>
    </row>
    <row r="36" spans="3:16">
      <c r="D36" s="12"/>
      <c r="E36" s="12"/>
      <c r="F36" s="12"/>
      <c r="G36" s="12"/>
      <c r="H36" s="12"/>
      <c r="I36" s="12"/>
      <c r="J36" s="110"/>
      <c r="K36" s="110"/>
      <c r="L36" s="110"/>
      <c r="M36" s="110"/>
      <c r="N36" s="110"/>
      <c r="O36" s="110"/>
      <c r="P36" s="110"/>
    </row>
    <row r="37" spans="3:16">
      <c r="D37" s="12"/>
      <c r="E37" s="12"/>
      <c r="F37" s="12"/>
      <c r="G37" s="12"/>
      <c r="H37" s="12"/>
      <c r="I37" s="12"/>
      <c r="J37" s="110"/>
      <c r="K37" s="110"/>
      <c r="L37" s="110"/>
      <c r="M37" s="110"/>
      <c r="N37" s="110"/>
      <c r="O37" s="110"/>
      <c r="P37" s="110"/>
    </row>
    <row r="38" spans="3:16">
      <c r="D38" s="12"/>
      <c r="E38" s="12"/>
      <c r="F38" s="12"/>
      <c r="G38" s="12"/>
      <c r="H38" s="12"/>
      <c r="I38" s="12"/>
      <c r="J38" s="110"/>
      <c r="K38" s="110"/>
      <c r="L38" s="110"/>
      <c r="M38" s="110"/>
      <c r="N38" s="110"/>
      <c r="O38" s="110"/>
      <c r="P38" s="110"/>
    </row>
    <row r="39" spans="3:16">
      <c r="D39" s="12"/>
      <c r="E39" s="12"/>
      <c r="F39" s="12"/>
      <c r="G39" s="12"/>
      <c r="H39" s="12"/>
      <c r="I39" s="12"/>
      <c r="J39" s="110"/>
      <c r="K39" s="110"/>
      <c r="L39" s="110"/>
      <c r="M39" s="110"/>
      <c r="N39" s="110"/>
      <c r="O39" s="110"/>
      <c r="P39" s="110"/>
    </row>
    <row r="40" spans="3:16">
      <c r="J40" s="51"/>
      <c r="K40" s="51"/>
      <c r="L40" s="51"/>
      <c r="M40" s="51"/>
      <c r="N40" s="51"/>
      <c r="O40" s="51"/>
      <c r="P40" s="51"/>
    </row>
    <row r="41" spans="3:16">
      <c r="J41" s="51"/>
      <c r="K41" s="51"/>
      <c r="L41" s="51"/>
      <c r="M41" s="51"/>
      <c r="N41" s="51"/>
      <c r="O41" s="51"/>
      <c r="P41" s="51"/>
    </row>
  </sheetData>
  <mergeCells count="7">
    <mergeCell ref="Q4:U4"/>
    <mergeCell ref="K27:P27"/>
    <mergeCell ref="E28:F30"/>
    <mergeCell ref="B2:I2"/>
    <mergeCell ref="B4:C4"/>
    <mergeCell ref="E4:I4"/>
    <mergeCell ref="K4:O4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4"/>
  <sheetViews>
    <sheetView showGridLines="0" zoomScale="90" zoomScaleNormal="90" workbookViewId="0">
      <selection activeCell="H12" sqref="H12"/>
    </sheetView>
  </sheetViews>
  <sheetFormatPr baseColWidth="10" defaultRowHeight="15"/>
  <cols>
    <col min="2" max="2" width="12" customWidth="1"/>
    <col min="3" max="3" width="12.140625" bestFit="1" customWidth="1"/>
    <col min="4" max="4" width="3.42578125" customWidth="1"/>
    <col min="5" max="5" width="12.140625" bestFit="1" customWidth="1"/>
    <col min="6" max="6" width="9.42578125" customWidth="1"/>
    <col min="7" max="7" width="9" bestFit="1" customWidth="1"/>
    <col min="8" max="9" width="10.42578125" customWidth="1"/>
    <col min="11" max="11" width="11.28515625" customWidth="1"/>
    <col min="12" max="13" width="11" customWidth="1"/>
    <col min="14" max="14" width="11.140625" customWidth="1"/>
    <col min="15" max="15" width="11.85546875" customWidth="1"/>
  </cols>
  <sheetData>
    <row r="2" spans="2:33" ht="15.75">
      <c r="B2" s="409" t="s">
        <v>100</v>
      </c>
      <c r="C2" s="409"/>
      <c r="D2" s="409"/>
      <c r="E2" s="409"/>
      <c r="F2" s="409"/>
      <c r="G2" s="409"/>
      <c r="H2" s="409"/>
      <c r="I2" s="409"/>
      <c r="K2" s="6" t="s">
        <v>60</v>
      </c>
    </row>
    <row r="3" spans="2:33">
      <c r="B3" s="12"/>
      <c r="C3" s="12"/>
      <c r="D3" s="12"/>
      <c r="E3" s="12"/>
      <c r="F3" s="12"/>
      <c r="G3" s="12"/>
      <c r="H3" s="12"/>
      <c r="I3" s="12"/>
    </row>
    <row r="4" spans="2:33">
      <c r="B4" s="369" t="s">
        <v>34</v>
      </c>
      <c r="C4" s="370"/>
      <c r="D4" s="12"/>
      <c r="E4" s="371" t="s">
        <v>109</v>
      </c>
      <c r="F4" s="371"/>
      <c r="G4" s="371"/>
      <c r="H4" s="371"/>
      <c r="I4" s="371"/>
      <c r="K4" s="371" t="s">
        <v>110</v>
      </c>
      <c r="L4" s="371"/>
      <c r="M4" s="371"/>
      <c r="N4" s="371"/>
      <c r="O4" s="371"/>
      <c r="Q4" s="371" t="s">
        <v>110</v>
      </c>
      <c r="R4" s="371"/>
      <c r="S4" s="371"/>
      <c r="T4" s="371"/>
      <c r="U4" s="371"/>
      <c r="W4" s="371" t="s">
        <v>109</v>
      </c>
      <c r="X4" s="371"/>
      <c r="Y4" s="371"/>
      <c r="Z4" s="371"/>
      <c r="AA4" s="371"/>
      <c r="AC4" s="371" t="s">
        <v>109</v>
      </c>
      <c r="AD4" s="371"/>
      <c r="AE4" s="371"/>
      <c r="AF4" s="371"/>
      <c r="AG4" s="371"/>
    </row>
    <row r="5" spans="2:33">
      <c r="B5" s="24" t="s">
        <v>0</v>
      </c>
      <c r="C5" s="33">
        <v>43915</v>
      </c>
      <c r="D5" s="12"/>
      <c r="E5" s="29" t="s">
        <v>14</v>
      </c>
      <c r="F5" s="29" t="s">
        <v>7</v>
      </c>
      <c r="G5" s="29" t="s">
        <v>8</v>
      </c>
      <c r="H5" s="29" t="s">
        <v>33</v>
      </c>
      <c r="I5" s="29" t="s">
        <v>9</v>
      </c>
      <c r="K5" s="29" t="s">
        <v>14</v>
      </c>
      <c r="L5" s="29" t="s">
        <v>7</v>
      </c>
      <c r="M5" s="29" t="s">
        <v>8</v>
      </c>
      <c r="N5" s="29" t="s">
        <v>33</v>
      </c>
      <c r="O5" s="29" t="s">
        <v>9</v>
      </c>
      <c r="Q5" s="29" t="s">
        <v>14</v>
      </c>
      <c r="R5" s="29" t="s">
        <v>7</v>
      </c>
      <c r="S5" s="29" t="s">
        <v>8</v>
      </c>
      <c r="T5" s="29" t="s">
        <v>33</v>
      </c>
      <c r="U5" s="29" t="s">
        <v>9</v>
      </c>
      <c r="W5" s="29" t="s">
        <v>14</v>
      </c>
      <c r="X5" s="29" t="s">
        <v>7</v>
      </c>
      <c r="Y5" s="29" t="s">
        <v>8</v>
      </c>
      <c r="Z5" s="29" t="s">
        <v>33</v>
      </c>
      <c r="AA5" s="29" t="s">
        <v>9</v>
      </c>
      <c r="AC5" s="29" t="s">
        <v>14</v>
      </c>
      <c r="AD5" s="29" t="s">
        <v>7</v>
      </c>
      <c r="AE5" s="29" t="s">
        <v>8</v>
      </c>
      <c r="AF5" s="29" t="s">
        <v>33</v>
      </c>
      <c r="AG5" s="29" t="s">
        <v>9</v>
      </c>
    </row>
    <row r="6" spans="2:33">
      <c r="B6" s="24" t="s">
        <v>1</v>
      </c>
      <c r="C6" s="33">
        <v>45376</v>
      </c>
      <c r="D6" s="12"/>
      <c r="E6" s="15">
        <f>'Planilla de datos'!D3</f>
        <v>44383</v>
      </c>
      <c r="F6" s="12">
        <v>100</v>
      </c>
      <c r="G6" s="30"/>
      <c r="H6" s="12"/>
      <c r="I6" s="14">
        <f>-'Planilla de datos'!C22</f>
        <v>-141</v>
      </c>
      <c r="K6" s="15">
        <f>E6</f>
        <v>44383</v>
      </c>
      <c r="L6" s="12">
        <v>100</v>
      </c>
      <c r="M6" s="30"/>
      <c r="N6" s="12"/>
      <c r="O6" s="14">
        <f>I6</f>
        <v>-141</v>
      </c>
      <c r="Q6" s="15">
        <f>+K6</f>
        <v>44383</v>
      </c>
      <c r="R6" s="12">
        <v>100</v>
      </c>
      <c r="S6" s="30"/>
      <c r="T6" s="12"/>
      <c r="U6" s="14">
        <v>0</v>
      </c>
      <c r="W6" s="15">
        <f>+E6</f>
        <v>44383</v>
      </c>
      <c r="X6" s="12">
        <f>+F6</f>
        <v>100</v>
      </c>
      <c r="Y6" s="30"/>
      <c r="Z6" s="12"/>
      <c r="AA6" s="14">
        <v>0</v>
      </c>
      <c r="AC6" s="15">
        <f>+W6</f>
        <v>44383</v>
      </c>
      <c r="AD6" s="12">
        <f>+X6</f>
        <v>100</v>
      </c>
      <c r="AE6" s="30"/>
      <c r="AF6" s="12"/>
      <c r="AG6" s="14">
        <f>-X39</f>
        <v>-148.48699598766501</v>
      </c>
    </row>
    <row r="7" spans="2:33">
      <c r="B7" s="24" t="s">
        <v>2</v>
      </c>
      <c r="C7" s="34">
        <v>20.152100000000001</v>
      </c>
      <c r="D7" s="12"/>
      <c r="E7" s="15">
        <v>44464</v>
      </c>
      <c r="F7" s="12">
        <v>100</v>
      </c>
      <c r="G7" s="14">
        <f t="shared" ref="G7:G12" si="0">$C$11*$C$10*(180/360)</f>
        <v>1.1075659608676016</v>
      </c>
      <c r="H7" s="14"/>
      <c r="I7" s="14">
        <f t="shared" ref="I7:I12" si="1">SUM(G7:H7)</f>
        <v>1.1075659608676016</v>
      </c>
      <c r="K7" s="15">
        <f t="shared" ref="K7:K12" si="2">E7</f>
        <v>44464</v>
      </c>
      <c r="L7" s="12">
        <v>100</v>
      </c>
      <c r="M7" s="30">
        <f t="shared" ref="M7:M12" si="3">O23*($C$10/360*180)</f>
        <v>1.1966476256266763</v>
      </c>
      <c r="N7" s="14"/>
      <c r="O7" s="14">
        <f t="shared" ref="O7:O12" si="4">SUM(M7:N7)</f>
        <v>1.1966476256266763</v>
      </c>
      <c r="Q7" s="15">
        <f t="shared" ref="Q7:Q12" si="5">K7</f>
        <v>44464</v>
      </c>
      <c r="R7" s="12">
        <v>100</v>
      </c>
      <c r="S7" s="30">
        <f t="shared" ref="S7:S12" si="6">M7</f>
        <v>1.1966476256266763</v>
      </c>
      <c r="T7" s="14"/>
      <c r="U7" s="14">
        <f t="shared" ref="U7:U12" si="7">SUM(S7:T7)</f>
        <v>1.1966476256266763</v>
      </c>
      <c r="W7" s="15">
        <f t="shared" ref="W7:Y12" si="8">+E7</f>
        <v>44464</v>
      </c>
      <c r="X7" s="12">
        <f t="shared" si="8"/>
        <v>100</v>
      </c>
      <c r="Y7" s="14">
        <f t="shared" si="8"/>
        <v>1.1075659608676016</v>
      </c>
      <c r="Z7" s="14"/>
      <c r="AA7" s="14">
        <f t="shared" ref="AA7:AA12" si="9">+I7</f>
        <v>1.1075659608676016</v>
      </c>
      <c r="AC7" s="15">
        <f t="shared" ref="AC7:AE12" si="10">+W7</f>
        <v>44464</v>
      </c>
      <c r="AD7" s="12">
        <f t="shared" si="10"/>
        <v>100</v>
      </c>
      <c r="AE7" s="14">
        <f t="shared" si="10"/>
        <v>1.1075659608676016</v>
      </c>
      <c r="AF7" s="14"/>
      <c r="AG7" s="14">
        <f t="shared" ref="AG7:AG12" si="11">+AA7</f>
        <v>1.1075659608676016</v>
      </c>
    </row>
    <row r="8" spans="2:33">
      <c r="B8" s="24" t="s">
        <v>3</v>
      </c>
      <c r="C8" s="34">
        <f>'Planilla de datos'!D64</f>
        <v>31.885400000000001</v>
      </c>
      <c r="D8" s="12"/>
      <c r="E8" s="15">
        <v>44645</v>
      </c>
      <c r="F8" s="12">
        <v>100</v>
      </c>
      <c r="G8" s="14">
        <f t="shared" si="0"/>
        <v>1.1075659608676016</v>
      </c>
      <c r="H8" s="12"/>
      <c r="I8" s="14">
        <f t="shared" si="1"/>
        <v>1.1075659608676016</v>
      </c>
      <c r="K8" s="15">
        <f t="shared" si="2"/>
        <v>44645</v>
      </c>
      <c r="L8" s="12">
        <v>100</v>
      </c>
      <c r="M8" s="30">
        <f t="shared" si="3"/>
        <v>1.4144912309449147</v>
      </c>
      <c r="N8" s="14"/>
      <c r="O8" s="14">
        <f t="shared" si="4"/>
        <v>1.4144912309449147</v>
      </c>
      <c r="Q8" s="15">
        <f t="shared" si="5"/>
        <v>44645</v>
      </c>
      <c r="R8" s="12">
        <v>100</v>
      </c>
      <c r="S8" s="30">
        <f t="shared" si="6"/>
        <v>1.4144912309449147</v>
      </c>
      <c r="T8" s="14"/>
      <c r="U8" s="14">
        <f t="shared" si="7"/>
        <v>1.4144912309449147</v>
      </c>
      <c r="W8" s="15">
        <f t="shared" si="8"/>
        <v>44645</v>
      </c>
      <c r="X8" s="12">
        <f t="shared" si="8"/>
        <v>100</v>
      </c>
      <c r="Y8" s="14">
        <f t="shared" si="8"/>
        <v>1.1075659608676016</v>
      </c>
      <c r="Z8" s="12"/>
      <c r="AA8" s="14">
        <f t="shared" si="9"/>
        <v>1.1075659608676016</v>
      </c>
      <c r="AC8" s="15">
        <f t="shared" si="10"/>
        <v>44645</v>
      </c>
      <c r="AD8" s="12">
        <f t="shared" si="10"/>
        <v>100</v>
      </c>
      <c r="AE8" s="14">
        <f t="shared" si="10"/>
        <v>1.1075659608676016</v>
      </c>
      <c r="AF8" s="12"/>
      <c r="AG8" s="14">
        <f t="shared" si="11"/>
        <v>1.1075659608676016</v>
      </c>
    </row>
    <row r="9" spans="2:33">
      <c r="B9" s="24" t="s">
        <v>4</v>
      </c>
      <c r="C9" s="34">
        <f>((C8-C7)/C7)+1</f>
        <v>1.5822370869537168</v>
      </c>
      <c r="D9" s="12"/>
      <c r="E9" s="15">
        <v>44829</v>
      </c>
      <c r="F9" s="12">
        <v>100</v>
      </c>
      <c r="G9" s="14">
        <f t="shared" si="0"/>
        <v>1.1075659608676016</v>
      </c>
      <c r="H9" s="12"/>
      <c r="I9" s="14">
        <f t="shared" si="1"/>
        <v>1.1075659608676016</v>
      </c>
      <c r="K9" s="15">
        <f t="shared" si="2"/>
        <v>44829</v>
      </c>
      <c r="L9" s="12">
        <v>100</v>
      </c>
      <c r="M9" s="30">
        <f t="shared" si="3"/>
        <v>1.6956461869464037</v>
      </c>
      <c r="N9" s="12"/>
      <c r="O9" s="14">
        <f t="shared" si="4"/>
        <v>1.6956461869464037</v>
      </c>
      <c r="Q9" s="15">
        <f t="shared" si="5"/>
        <v>44829</v>
      </c>
      <c r="R9" s="12">
        <v>100</v>
      </c>
      <c r="S9" s="30">
        <f t="shared" si="6"/>
        <v>1.6956461869464037</v>
      </c>
      <c r="T9" s="14"/>
      <c r="U9" s="14">
        <f t="shared" si="7"/>
        <v>1.6956461869464037</v>
      </c>
      <c r="W9" s="15">
        <f t="shared" si="8"/>
        <v>44829</v>
      </c>
      <c r="X9" s="12">
        <f t="shared" si="8"/>
        <v>100</v>
      </c>
      <c r="Y9" s="14">
        <f t="shared" si="8"/>
        <v>1.1075659608676016</v>
      </c>
      <c r="Z9" s="12"/>
      <c r="AA9" s="14">
        <f t="shared" si="9"/>
        <v>1.1075659608676016</v>
      </c>
      <c r="AC9" s="15">
        <f t="shared" si="10"/>
        <v>44829</v>
      </c>
      <c r="AD9" s="12">
        <f t="shared" si="10"/>
        <v>100</v>
      </c>
      <c r="AE9" s="14">
        <f t="shared" si="10"/>
        <v>1.1075659608676016</v>
      </c>
      <c r="AF9" s="12"/>
      <c r="AG9" s="14">
        <f t="shared" si="11"/>
        <v>1.1075659608676016</v>
      </c>
    </row>
    <row r="10" spans="2:33">
      <c r="B10" s="24" t="s">
        <v>5</v>
      </c>
      <c r="C10" s="35">
        <v>1.4E-2</v>
      </c>
      <c r="D10" s="12"/>
      <c r="E10" s="15">
        <v>45010</v>
      </c>
      <c r="F10" s="12">
        <v>100</v>
      </c>
      <c r="G10" s="14">
        <f t="shared" si="0"/>
        <v>1.1075659608676016</v>
      </c>
      <c r="H10" s="14"/>
      <c r="I10" s="14">
        <f t="shared" si="1"/>
        <v>1.1075659608676016</v>
      </c>
      <c r="K10" s="15">
        <f t="shared" si="2"/>
        <v>45010</v>
      </c>
      <c r="L10" s="12">
        <v>100</v>
      </c>
      <c r="M10" s="30">
        <f t="shared" si="3"/>
        <v>2.0247722080480819</v>
      </c>
      <c r="N10" s="4"/>
      <c r="O10" s="14">
        <f t="shared" si="4"/>
        <v>2.0247722080480819</v>
      </c>
      <c r="Q10" s="15">
        <f t="shared" si="5"/>
        <v>45010</v>
      </c>
      <c r="R10" s="12">
        <v>100</v>
      </c>
      <c r="S10" s="30">
        <f t="shared" si="6"/>
        <v>2.0247722080480819</v>
      </c>
      <c r="T10" s="14"/>
      <c r="U10" s="14">
        <f t="shared" si="7"/>
        <v>2.0247722080480819</v>
      </c>
      <c r="W10" s="15">
        <f t="shared" si="8"/>
        <v>45010</v>
      </c>
      <c r="X10" s="12">
        <f t="shared" si="8"/>
        <v>100</v>
      </c>
      <c r="Y10" s="14">
        <f t="shared" si="8"/>
        <v>1.1075659608676016</v>
      </c>
      <c r="Z10" s="14"/>
      <c r="AA10" s="14">
        <f t="shared" si="9"/>
        <v>1.1075659608676016</v>
      </c>
      <c r="AC10" s="15">
        <f t="shared" si="10"/>
        <v>45010</v>
      </c>
      <c r="AD10" s="12">
        <f t="shared" si="10"/>
        <v>100</v>
      </c>
      <c r="AE10" s="14">
        <f t="shared" si="10"/>
        <v>1.1075659608676016</v>
      </c>
      <c r="AF10" s="14"/>
      <c r="AG10" s="14">
        <f t="shared" si="11"/>
        <v>1.1075659608676016</v>
      </c>
    </row>
    <row r="11" spans="2:33">
      <c r="B11" s="36" t="s">
        <v>16</v>
      </c>
      <c r="C11" s="37">
        <f>C9*F6</f>
        <v>158.22370869537167</v>
      </c>
      <c r="D11" s="12"/>
      <c r="E11" s="15">
        <v>45194</v>
      </c>
      <c r="F11" s="12">
        <v>100</v>
      </c>
      <c r="G11" s="14">
        <f t="shared" si="0"/>
        <v>1.1075659608676016</v>
      </c>
      <c r="H11" s="14"/>
      <c r="I11" s="14">
        <f t="shared" si="1"/>
        <v>1.1075659608676016</v>
      </c>
      <c r="K11" s="15">
        <f t="shared" si="2"/>
        <v>45194</v>
      </c>
      <c r="L11" s="12">
        <v>100</v>
      </c>
      <c r="M11" s="30">
        <f t="shared" si="3"/>
        <v>2.4212107190374046</v>
      </c>
      <c r="N11" s="4"/>
      <c r="O11" s="14">
        <f t="shared" si="4"/>
        <v>2.4212107190374046</v>
      </c>
      <c r="Q11" s="15">
        <f t="shared" si="5"/>
        <v>45194</v>
      </c>
      <c r="R11" s="12">
        <v>100</v>
      </c>
      <c r="S11" s="30">
        <f t="shared" si="6"/>
        <v>2.4212107190374046</v>
      </c>
      <c r="T11" s="14"/>
      <c r="U11" s="14">
        <f t="shared" si="7"/>
        <v>2.4212107190374046</v>
      </c>
      <c r="W11" s="15">
        <f t="shared" si="8"/>
        <v>45194</v>
      </c>
      <c r="X11" s="12">
        <f t="shared" si="8"/>
        <v>100</v>
      </c>
      <c r="Y11" s="14">
        <f t="shared" si="8"/>
        <v>1.1075659608676016</v>
      </c>
      <c r="Z11" s="14"/>
      <c r="AA11" s="14">
        <f t="shared" si="9"/>
        <v>1.1075659608676016</v>
      </c>
      <c r="AC11" s="15">
        <f t="shared" si="10"/>
        <v>45194</v>
      </c>
      <c r="AD11" s="12">
        <f t="shared" si="10"/>
        <v>100</v>
      </c>
      <c r="AE11" s="14">
        <f t="shared" si="10"/>
        <v>1.1075659608676016</v>
      </c>
      <c r="AF11" s="14"/>
      <c r="AG11" s="14">
        <f t="shared" si="11"/>
        <v>1.1075659608676016</v>
      </c>
    </row>
    <row r="12" spans="2:33">
      <c r="B12" s="12"/>
      <c r="C12" s="12"/>
      <c r="D12" s="12"/>
      <c r="E12" s="15">
        <v>45376</v>
      </c>
      <c r="F12" s="12">
        <v>100</v>
      </c>
      <c r="G12" s="14">
        <f t="shared" si="0"/>
        <v>1.1075659608676016</v>
      </c>
      <c r="H12" s="14">
        <f>+C11</f>
        <v>158.22370869537167</v>
      </c>
      <c r="I12" s="14">
        <f t="shared" si="1"/>
        <v>159.33127465623926</v>
      </c>
      <c r="K12" s="15">
        <f t="shared" si="2"/>
        <v>45376</v>
      </c>
      <c r="L12" s="12">
        <v>100</v>
      </c>
      <c r="M12" s="30">
        <f t="shared" si="3"/>
        <v>2.8896478038407984</v>
      </c>
      <c r="N12" s="30">
        <f>+O28</f>
        <v>412.80682912011406</v>
      </c>
      <c r="O12" s="14">
        <f t="shared" si="4"/>
        <v>415.69647692395483</v>
      </c>
      <c r="Q12" s="15">
        <f t="shared" si="5"/>
        <v>45376</v>
      </c>
      <c r="R12" s="12">
        <v>100</v>
      </c>
      <c r="S12" s="30">
        <f t="shared" si="6"/>
        <v>2.8896478038407984</v>
      </c>
      <c r="T12" s="14">
        <f>N12</f>
        <v>412.80682912011406</v>
      </c>
      <c r="U12" s="14">
        <f t="shared" si="7"/>
        <v>415.69647692395483</v>
      </c>
      <c r="W12" s="15">
        <f t="shared" si="8"/>
        <v>45376</v>
      </c>
      <c r="X12" s="12">
        <f t="shared" si="8"/>
        <v>100</v>
      </c>
      <c r="Y12" s="14">
        <f t="shared" si="8"/>
        <v>1.1075659608676016</v>
      </c>
      <c r="Z12" s="14">
        <f>+H12</f>
        <v>158.22370869537167</v>
      </c>
      <c r="AA12" s="14">
        <f t="shared" si="9"/>
        <v>159.33127465623926</v>
      </c>
      <c r="AC12" s="15">
        <f t="shared" si="10"/>
        <v>45376</v>
      </c>
      <c r="AD12" s="12">
        <f t="shared" si="10"/>
        <v>100</v>
      </c>
      <c r="AE12" s="14">
        <f t="shared" si="10"/>
        <v>1.1075659608676016</v>
      </c>
      <c r="AF12" s="14">
        <f>+Z12</f>
        <v>158.22370869537167</v>
      </c>
      <c r="AG12" s="14">
        <f t="shared" si="11"/>
        <v>159.33127465623926</v>
      </c>
    </row>
    <row r="13" spans="2:33">
      <c r="B13" s="12"/>
      <c r="C13" s="12"/>
      <c r="D13" s="12"/>
      <c r="E13" s="12"/>
      <c r="F13" s="12"/>
      <c r="G13" s="12"/>
      <c r="H13" s="12"/>
      <c r="I13" s="12"/>
      <c r="K13" s="12"/>
      <c r="L13" s="12"/>
      <c r="M13" s="12"/>
    </row>
    <row r="14" spans="2:33">
      <c r="B14" s="12"/>
      <c r="C14" s="12"/>
      <c r="D14" s="12"/>
      <c r="E14" s="12"/>
      <c r="F14" s="12"/>
      <c r="H14" s="92" t="s">
        <v>13</v>
      </c>
      <c r="I14" s="86">
        <f>XIRR(I6:I12,E6:E12,0)</f>
        <v>6.0383334960937521E-2</v>
      </c>
      <c r="K14" s="12"/>
      <c r="L14" s="12"/>
      <c r="M14" s="12"/>
      <c r="N14" s="38" t="s">
        <v>10</v>
      </c>
      <c r="O14" s="39">
        <f>XIRR(O6:O12,K6:K12,0)</f>
        <v>0.5084366113281249</v>
      </c>
      <c r="AF14" t="s">
        <v>10</v>
      </c>
      <c r="AG14" s="22">
        <f>XIRR(AG6:AG12,AC6:AC12)</f>
        <v>4.0000000596046484E-2</v>
      </c>
    </row>
    <row r="15" spans="2:33">
      <c r="B15" s="12"/>
      <c r="C15" s="12"/>
      <c r="D15" s="12"/>
      <c r="E15" s="12"/>
      <c r="F15" s="12"/>
      <c r="H15" s="92" t="s">
        <v>29</v>
      </c>
      <c r="I15" s="71">
        <f>MDURATION(E6,E12,C10,I14,2)</f>
        <v>2.585338099883248</v>
      </c>
      <c r="K15" s="12"/>
      <c r="L15" s="12"/>
      <c r="M15" s="12"/>
      <c r="N15" s="40" t="s">
        <v>64</v>
      </c>
      <c r="O15" s="43">
        <f>MDURATION(K6,K12,C10,O14,2)</f>
        <v>2.0758728559936257</v>
      </c>
      <c r="T15" s="87"/>
      <c r="U15" s="42"/>
      <c r="AF15" t="s">
        <v>64</v>
      </c>
      <c r="AG15" s="4">
        <f>MDURATION(AC6,AC12,C10,AG14,2)</f>
        <v>2.6130996295790356</v>
      </c>
    </row>
    <row r="16" spans="2:33">
      <c r="B16" s="12"/>
      <c r="C16" s="12"/>
      <c r="D16" s="12"/>
      <c r="T16" s="27"/>
      <c r="U16" s="49"/>
    </row>
    <row r="17" spans="2:25">
      <c r="B17" s="12"/>
      <c r="C17" s="12"/>
      <c r="D17" s="12"/>
    </row>
    <row r="18" spans="2:25">
      <c r="B18" s="12"/>
      <c r="C18" s="12"/>
      <c r="D18" s="12"/>
      <c r="E18" s="12"/>
      <c r="F18" s="12"/>
      <c r="G18" s="41"/>
      <c r="H18" s="41"/>
      <c r="I18" s="42"/>
      <c r="K18" s="12"/>
      <c r="L18" s="12"/>
      <c r="M18" s="12"/>
      <c r="N18" s="12"/>
      <c r="O18" s="12"/>
      <c r="U18">
        <f>U8/100</f>
        <v>1.4144912309449148E-2</v>
      </c>
    </row>
    <row r="19" spans="2:25">
      <c r="B19" s="12"/>
      <c r="C19" s="12"/>
      <c r="D19" s="12"/>
      <c r="E19" s="12"/>
      <c r="F19" s="12"/>
      <c r="G19" s="12"/>
      <c r="H19" s="12"/>
      <c r="I19" s="12"/>
      <c r="K19" s="411"/>
      <c r="L19" s="411"/>
      <c r="M19" s="411"/>
      <c r="N19" s="411"/>
      <c r="O19" s="411"/>
      <c r="P19" s="21"/>
    </row>
    <row r="21" spans="2:25" ht="28.5">
      <c r="D21" s="12"/>
      <c r="E21" s="12"/>
      <c r="F21" s="12"/>
      <c r="G21" s="12"/>
      <c r="H21" s="12"/>
      <c r="I21" s="12"/>
      <c r="J21" s="12"/>
      <c r="K21" s="45" t="s">
        <v>6</v>
      </c>
      <c r="L21" s="45" t="s">
        <v>58</v>
      </c>
      <c r="M21" s="45" t="s">
        <v>24</v>
      </c>
      <c r="N21" s="45" t="s">
        <v>4</v>
      </c>
      <c r="O21" s="45" t="s">
        <v>59</v>
      </c>
      <c r="P21" s="12"/>
      <c r="Q21" s="12"/>
      <c r="R21" s="12"/>
    </row>
    <row r="22" spans="2:25" ht="15" customHeight="1">
      <c r="D22" s="12"/>
      <c r="J22" s="12"/>
      <c r="K22" s="15" t="e">
        <f>#REF!</f>
        <v>#REF!</v>
      </c>
      <c r="L22" s="31">
        <v>44266</v>
      </c>
      <c r="M22" s="46">
        <f>+'Serie CER'!H74</f>
        <v>27.841699999999999</v>
      </c>
      <c r="N22" s="47">
        <f t="shared" ref="N22:N28" si="12">(M22/$C$7)</f>
        <v>1.3815780985604478</v>
      </c>
      <c r="O22" s="14">
        <f t="shared" ref="O22:O28" si="13">100*N22</f>
        <v>138.15780985604476</v>
      </c>
      <c r="P22" s="12"/>
      <c r="Q22" s="12"/>
      <c r="R22" s="12"/>
    </row>
    <row r="23" spans="2:25">
      <c r="D23" s="12"/>
      <c r="J23" s="12"/>
      <c r="K23" s="15">
        <f t="shared" ref="K23:K28" si="14">K7</f>
        <v>44464</v>
      </c>
      <c r="L23" s="31">
        <v>44450</v>
      </c>
      <c r="M23" s="46">
        <f>+'Serie CER'!H258</f>
        <v>34.449946594844775</v>
      </c>
      <c r="N23" s="47">
        <f t="shared" si="12"/>
        <v>1.7094966080381089</v>
      </c>
      <c r="O23" s="14">
        <f t="shared" si="13"/>
        <v>170.9496608038109</v>
      </c>
      <c r="P23" s="12"/>
      <c r="Q23" s="12"/>
      <c r="R23" s="12"/>
      <c r="W23" s="400" t="s">
        <v>81</v>
      </c>
      <c r="X23" s="400"/>
      <c r="Y23" s="400"/>
    </row>
    <row r="24" spans="2:25">
      <c r="D24" s="12"/>
      <c r="E24" s="12"/>
      <c r="F24" s="12"/>
      <c r="G24" s="12"/>
      <c r="H24" s="12"/>
      <c r="I24" s="12"/>
      <c r="J24" s="12"/>
      <c r="K24" s="15">
        <f t="shared" si="14"/>
        <v>44645</v>
      </c>
      <c r="L24" s="31">
        <v>44631</v>
      </c>
      <c r="M24" s="46">
        <f>+'Serie CER'!K74</f>
        <v>40.721383907321446</v>
      </c>
      <c r="N24" s="47">
        <f t="shared" si="12"/>
        <v>2.0207017584927351</v>
      </c>
      <c r="O24" s="14">
        <f t="shared" si="13"/>
        <v>202.07017584927351</v>
      </c>
      <c r="P24" s="12"/>
      <c r="Q24" s="12"/>
      <c r="R24" s="12"/>
      <c r="W24" s="400" t="s">
        <v>82</v>
      </c>
      <c r="X24" s="400"/>
      <c r="Y24" s="400"/>
    </row>
    <row r="25" spans="2:25">
      <c r="D25" s="12"/>
      <c r="E25" s="12"/>
      <c r="F25" s="12"/>
      <c r="G25" s="12"/>
      <c r="H25" s="12"/>
      <c r="I25" s="12"/>
      <c r="J25" s="12"/>
      <c r="K25" s="15">
        <f t="shared" si="14"/>
        <v>44829</v>
      </c>
      <c r="L25" s="31">
        <v>44815</v>
      </c>
      <c r="M25" s="46">
        <f>+'Serie CER'!K258</f>
        <v>48.815473605660884</v>
      </c>
      <c r="N25" s="47">
        <f t="shared" si="12"/>
        <v>2.4223516956377193</v>
      </c>
      <c r="O25" s="14">
        <f t="shared" si="13"/>
        <v>242.23516956377193</v>
      </c>
      <c r="P25" s="12"/>
      <c r="Q25" s="12"/>
      <c r="R25" s="12"/>
      <c r="W25" s="108" t="s">
        <v>10</v>
      </c>
      <c r="X25" s="108" t="s">
        <v>83</v>
      </c>
      <c r="Y25" s="108" t="s">
        <v>84</v>
      </c>
    </row>
    <row r="26" spans="2:25">
      <c r="D26" s="12"/>
      <c r="E26" s="12"/>
      <c r="F26" s="12"/>
      <c r="G26" s="12"/>
      <c r="H26" s="12"/>
      <c r="I26" s="12"/>
      <c r="J26" s="12"/>
      <c r="K26" s="15">
        <f t="shared" si="14"/>
        <v>45010</v>
      </c>
      <c r="L26" s="31">
        <v>44996</v>
      </c>
      <c r="M26" s="46">
        <f>+'Serie CER'!N74</f>
        <v>58.290588591151071</v>
      </c>
      <c r="N26" s="47">
        <f t="shared" si="12"/>
        <v>2.8925317257829741</v>
      </c>
      <c r="O26" s="14">
        <f t="shared" si="13"/>
        <v>289.25317257829744</v>
      </c>
      <c r="P26" s="12"/>
      <c r="Q26" s="12"/>
      <c r="R26" s="12"/>
      <c r="W26" s="16">
        <v>0.15</v>
      </c>
      <c r="X26" s="49">
        <f>XNPV(W26,AA6:AA12,W6:W12)</f>
        <v>113.62789904209252</v>
      </c>
      <c r="Y26" s="18">
        <f t="shared" ref="Y26:Y41" si="15">(X26+$I$6)/(-$I$6)</f>
        <v>-0.19412837558799628</v>
      </c>
    </row>
    <row r="27" spans="2:25">
      <c r="D27" s="12"/>
      <c r="E27" s="12"/>
      <c r="F27" s="12"/>
      <c r="G27" s="12"/>
      <c r="H27" s="12"/>
      <c r="I27" s="12"/>
      <c r="J27" s="12"/>
      <c r="K27" s="15">
        <f t="shared" si="14"/>
        <v>45194</v>
      </c>
      <c r="L27" s="31">
        <v>45180</v>
      </c>
      <c r="M27" s="46">
        <f>+'Serie CER'!N258</f>
        <v>69.703543615876697</v>
      </c>
      <c r="N27" s="47">
        <f t="shared" si="12"/>
        <v>3.4588724557677213</v>
      </c>
      <c r="O27" s="14">
        <f t="shared" si="13"/>
        <v>345.8872455767721</v>
      </c>
      <c r="P27" s="12"/>
      <c r="Q27" s="12"/>
      <c r="R27" s="12"/>
      <c r="W27" s="16">
        <v>0.14000000000000001</v>
      </c>
      <c r="X27" s="49">
        <f>XNPV(W27,AA6:AA12,W6:W12)</f>
        <v>116.29472474769366</v>
      </c>
      <c r="Y27" s="18">
        <f t="shared" si="15"/>
        <v>-0.17521471810146338</v>
      </c>
    </row>
    <row r="28" spans="2:25">
      <c r="D28" s="12"/>
      <c r="E28" s="12"/>
      <c r="F28" s="12"/>
      <c r="G28" s="12"/>
      <c r="H28" s="12"/>
      <c r="I28" s="12"/>
      <c r="J28" s="12"/>
      <c r="K28" s="15">
        <f t="shared" si="14"/>
        <v>45376</v>
      </c>
      <c r="L28" s="31">
        <v>45362</v>
      </c>
      <c r="M28" s="46">
        <f>+'Serie CER'!Q75</f>
        <v>83.189245011114508</v>
      </c>
      <c r="N28" s="47">
        <f t="shared" si="12"/>
        <v>4.1280682912011404</v>
      </c>
      <c r="O28" s="14">
        <f t="shared" si="13"/>
        <v>412.80682912011406</v>
      </c>
      <c r="P28" s="12"/>
      <c r="Q28" s="12"/>
      <c r="R28" s="12"/>
      <c r="W28" s="16">
        <v>0.13</v>
      </c>
      <c r="X28" s="49">
        <f>XNPV(W28,AA6:AA12,W6:W12)</f>
        <v>119.04953904967387</v>
      </c>
      <c r="Y28" s="18">
        <f t="shared" si="15"/>
        <v>-0.15567702801649738</v>
      </c>
    </row>
    <row r="29" spans="2:25">
      <c r="D29" s="12"/>
      <c r="E29" s="12"/>
      <c r="F29" s="12"/>
      <c r="G29" s="12"/>
      <c r="H29" s="12"/>
      <c r="I29" s="12"/>
      <c r="J29" s="12"/>
      <c r="P29" s="12"/>
      <c r="Q29" s="12"/>
      <c r="R29" s="12"/>
      <c r="W29" s="16">
        <v>0.12</v>
      </c>
      <c r="X29" s="49">
        <f>XNPV(W29,AA6:AA12,W6:W12)</f>
        <v>121.8960689835787</v>
      </c>
      <c r="Y29" s="18">
        <f t="shared" si="15"/>
        <v>-0.13548887245688865</v>
      </c>
    </row>
    <row r="30" spans="2:25">
      <c r="D30" s="12"/>
      <c r="E30" s="12"/>
      <c r="F30" s="12"/>
      <c r="G30" s="12"/>
      <c r="H30" s="12"/>
      <c r="I30" s="12"/>
      <c r="J30" s="12"/>
      <c r="K30" s="15"/>
      <c r="L30" s="12"/>
      <c r="M30" s="12"/>
      <c r="N30" s="12"/>
      <c r="O30" s="12"/>
      <c r="P30" s="12"/>
      <c r="Q30" s="12"/>
      <c r="R30" s="12"/>
      <c r="W30" s="16">
        <v>0.11</v>
      </c>
      <c r="X30" s="49">
        <f>XNPV(W30,AA6:AA12,W6:W12)</f>
        <v>124.8382348382971</v>
      </c>
      <c r="Y30" s="18">
        <f t="shared" si="15"/>
        <v>-0.11462244795533974</v>
      </c>
    </row>
    <row r="31" spans="2:25">
      <c r="D31" s="12"/>
      <c r="E31" s="129"/>
      <c r="F31" s="129"/>
      <c r="G31" s="61">
        <v>0.35</v>
      </c>
      <c r="H31" s="62">
        <f>XNPV(G31,U6:U12,Q6:Q12)</f>
        <v>189.62430679504388</v>
      </c>
      <c r="I31" s="61">
        <f>(H31/-$I$6)-1</f>
        <v>0.34485323968116233</v>
      </c>
      <c r="J31" s="110"/>
      <c r="K31" s="408"/>
      <c r="L31" s="408"/>
      <c r="M31" s="408"/>
      <c r="N31" s="408"/>
      <c r="O31" s="408"/>
      <c r="P31" s="408"/>
      <c r="Q31" s="12"/>
      <c r="R31" s="12"/>
      <c r="W31" s="16">
        <v>0.1</v>
      </c>
      <c r="X31" s="49">
        <f>XNPV(W31,AA6:AA12,W6:W12)</f>
        <v>127.88016204215781</v>
      </c>
      <c r="Y31" s="18">
        <f t="shared" si="15"/>
        <v>-9.3048496154909177E-2</v>
      </c>
    </row>
    <row r="32" spans="2:25">
      <c r="D32" s="12"/>
      <c r="E32" s="402" t="s">
        <v>18</v>
      </c>
      <c r="F32" s="402"/>
      <c r="G32" s="18">
        <v>0.4</v>
      </c>
      <c r="H32" s="49">
        <f>XNPV(G32,U6:U12,Q6:Q12)</f>
        <v>172.05656247718636</v>
      </c>
      <c r="I32" s="18">
        <f>(H32/-$I$6)-1</f>
        <v>0.22025930834883933</v>
      </c>
      <c r="J32" s="110"/>
      <c r="K32" s="110"/>
      <c r="L32" s="110"/>
      <c r="M32" s="110"/>
      <c r="N32" s="110"/>
      <c r="O32" s="110"/>
      <c r="P32" s="110"/>
      <c r="Q32" s="12"/>
      <c r="R32" s="12"/>
      <c r="W32" s="16">
        <v>0.09</v>
      </c>
      <c r="X32" s="49">
        <f>XNPV(W32,AA6:AA12,W6:W12)</f>
        <v>131.02619389687007</v>
      </c>
      <c r="Y32" s="18">
        <f t="shared" si="15"/>
        <v>-7.0736213497375397E-2</v>
      </c>
    </row>
    <row r="33" spans="4:25">
      <c r="D33" s="12"/>
      <c r="E33" s="403"/>
      <c r="F33" s="403"/>
      <c r="G33" s="63">
        <v>0.45</v>
      </c>
      <c r="H33" s="64">
        <f>XNPV(G33,U6:U12,Q6:Q12)</f>
        <v>156.66699832504659</v>
      </c>
      <c r="I33" s="63">
        <f>(H33/-I6)-1</f>
        <v>0.11111346329820271</v>
      </c>
      <c r="J33" s="110"/>
      <c r="K33" s="111"/>
      <c r="L33" s="111"/>
      <c r="M33" s="110"/>
      <c r="N33" s="111"/>
      <c r="O33" s="111"/>
      <c r="P33" s="111"/>
      <c r="Q33" s="12"/>
      <c r="R33" s="12"/>
      <c r="W33" s="16">
        <v>0.08</v>
      </c>
      <c r="X33" s="49">
        <f>XNPV(W33,AA6:AA12,W6:W12)</f>
        <v>134.28090522826736</v>
      </c>
      <c r="Y33" s="18">
        <f t="shared" si="15"/>
        <v>-4.7653154409451365E-2</v>
      </c>
    </row>
    <row r="34" spans="4:25">
      <c r="D34" s="12"/>
      <c r="E34" s="12"/>
      <c r="F34" s="12"/>
      <c r="G34" s="12"/>
      <c r="H34" s="12"/>
      <c r="I34" s="12"/>
      <c r="J34" s="110"/>
      <c r="K34" s="112"/>
      <c r="L34" s="112"/>
      <c r="M34" s="110"/>
      <c r="N34" s="113"/>
      <c r="O34" s="110"/>
      <c r="P34" s="114"/>
      <c r="Q34" s="12"/>
      <c r="R34" s="12"/>
      <c r="W34" s="16">
        <v>7.0000000000000007E-2</v>
      </c>
      <c r="X34" s="49">
        <f>XNPV(W34,AA6:AA12,W6:W12)</f>
        <v>137.6491170291261</v>
      </c>
      <c r="Y34" s="18">
        <f t="shared" si="15"/>
        <v>-2.3765127453006362E-2</v>
      </c>
    </row>
    <row r="35" spans="4:25">
      <c r="D35" s="12"/>
      <c r="E35" s="12"/>
      <c r="F35" s="12"/>
      <c r="G35" s="12"/>
      <c r="H35" s="12"/>
      <c r="I35" s="12"/>
      <c r="J35" s="110"/>
      <c r="K35" s="121"/>
      <c r="L35" s="115"/>
      <c r="M35" s="110"/>
      <c r="N35" s="113"/>
      <c r="O35" s="110"/>
      <c r="P35" s="114"/>
      <c r="Q35" s="12"/>
      <c r="R35" s="12"/>
      <c r="W35" s="16">
        <v>0.06</v>
      </c>
      <c r="X35" s="49">
        <f>XNPV(W35,AA6:AA12,W6:W12)</f>
        <v>141.1359121762861</v>
      </c>
      <c r="Y35" s="18">
        <f t="shared" si="15"/>
        <v>9.6391614387303533E-4</v>
      </c>
    </row>
    <row r="36" spans="4:25">
      <c r="D36" s="12"/>
      <c r="E36" s="12"/>
      <c r="F36" s="12"/>
      <c r="G36" s="12"/>
      <c r="H36" s="12"/>
      <c r="I36" s="12"/>
      <c r="J36" s="110"/>
      <c r="K36" s="114"/>
      <c r="L36" s="110"/>
      <c r="M36" s="110"/>
      <c r="N36" s="113"/>
      <c r="O36" s="110"/>
      <c r="P36" s="114"/>
      <c r="Q36" s="12"/>
      <c r="R36" s="12"/>
      <c r="W36" s="16">
        <v>5.5E-2</v>
      </c>
      <c r="X36" s="49">
        <f>XNPV(W36,AA6:AA12,W6:W12)</f>
        <v>142.92544264161961</v>
      </c>
      <c r="Y36" s="18">
        <f t="shared" si="15"/>
        <v>1.3655621571770292E-2</v>
      </c>
    </row>
    <row r="37" spans="4:25">
      <c r="D37" s="12"/>
      <c r="E37" s="12"/>
      <c r="F37" s="12"/>
      <c r="G37" s="12"/>
      <c r="H37" s="12"/>
      <c r="I37" s="12"/>
      <c r="J37" s="110"/>
      <c r="K37" s="110"/>
      <c r="L37" s="110"/>
      <c r="M37" s="110"/>
      <c r="N37" s="113"/>
      <c r="O37" s="110"/>
      <c r="P37" s="114"/>
      <c r="Q37" s="12"/>
      <c r="R37" s="12"/>
      <c r="W37" s="16">
        <v>0.05</v>
      </c>
      <c r="X37" s="49">
        <f>XNPV(W37,AA6:AA12,W6:W12)</f>
        <v>144.74665231196977</v>
      </c>
      <c r="Y37" s="18">
        <f t="shared" si="15"/>
        <v>2.657200221255155E-2</v>
      </c>
    </row>
    <row r="38" spans="4:25">
      <c r="D38" s="12"/>
      <c r="E38" s="12"/>
      <c r="F38" s="12"/>
      <c r="G38" s="12"/>
      <c r="H38" s="12"/>
      <c r="I38" s="12"/>
      <c r="J38" s="110"/>
      <c r="K38" s="110"/>
      <c r="L38" s="110"/>
      <c r="M38" s="110"/>
      <c r="N38" s="113"/>
      <c r="O38" s="110"/>
      <c r="P38" s="114"/>
      <c r="Q38" s="12"/>
      <c r="R38" s="12"/>
      <c r="W38" s="16">
        <v>4.4999999999999998E-2</v>
      </c>
      <c r="X38" s="49">
        <f>XNPV(W38,AA6:AA12,W6:W12)</f>
        <v>146.60025792611026</v>
      </c>
      <c r="Y38" s="18">
        <f t="shared" si="15"/>
        <v>3.9718141319930921E-2</v>
      </c>
    </row>
    <row r="39" spans="4:25">
      <c r="D39" s="12"/>
      <c r="E39" s="12"/>
      <c r="F39" s="12"/>
      <c r="G39" s="12"/>
      <c r="H39" s="12"/>
      <c r="I39" s="12"/>
      <c r="J39" s="110"/>
      <c r="K39" s="110"/>
      <c r="L39" s="110"/>
      <c r="M39" s="110"/>
      <c r="N39" s="113"/>
      <c r="O39" s="110"/>
      <c r="P39" s="114"/>
      <c r="Q39" s="12"/>
      <c r="R39" s="12"/>
      <c r="W39" s="16">
        <v>0.04</v>
      </c>
      <c r="X39" s="49">
        <f>XNPV(W39,AA6:AA12,W6:W12)</f>
        <v>148.48699598766501</v>
      </c>
      <c r="Y39" s="18">
        <f t="shared" si="15"/>
        <v>5.3099262323865332E-2</v>
      </c>
    </row>
    <row r="40" spans="4:25">
      <c r="D40" s="12"/>
      <c r="E40" s="12"/>
      <c r="F40" s="12"/>
      <c r="G40" s="12"/>
      <c r="H40" s="12"/>
      <c r="I40" s="12"/>
      <c r="J40" s="110"/>
      <c r="K40" s="110"/>
      <c r="L40" s="110"/>
      <c r="M40" s="110"/>
      <c r="N40" s="113"/>
      <c r="O40" s="110"/>
      <c r="P40" s="114"/>
      <c r="Q40" s="12"/>
      <c r="R40" s="12"/>
      <c r="W40" s="16">
        <v>0.03</v>
      </c>
      <c r="X40" s="49">
        <f>XNPV(W40,AA6:AA12,W6:W12)</f>
        <v>152.36291817829084</v>
      </c>
      <c r="Y40" s="18">
        <f t="shared" si="15"/>
        <v>8.0588072186459858E-2</v>
      </c>
    </row>
    <row r="41" spans="4:25">
      <c r="D41" s="12"/>
      <c r="E41" s="12"/>
      <c r="F41" s="12"/>
      <c r="G41" s="12"/>
      <c r="H41" s="12"/>
      <c r="I41" s="12"/>
      <c r="J41" s="110"/>
      <c r="K41" s="110"/>
      <c r="L41" s="110"/>
      <c r="M41" s="110"/>
      <c r="N41" s="113"/>
      <c r="O41" s="110"/>
      <c r="P41" s="114"/>
      <c r="Q41" s="12"/>
      <c r="R41" s="12"/>
      <c r="W41" s="16">
        <v>0.02</v>
      </c>
      <c r="X41" s="49">
        <f>XNPV(W41,AA6:AA12,W6:W12)</f>
        <v>156.38073128471464</v>
      </c>
      <c r="Y41" s="18">
        <f t="shared" si="15"/>
        <v>0.10908320060081306</v>
      </c>
    </row>
    <row r="42" spans="4:25">
      <c r="D42" s="12"/>
      <c r="E42" s="12"/>
      <c r="F42" s="12"/>
      <c r="G42" s="12"/>
      <c r="H42" s="12"/>
      <c r="I42" s="12"/>
      <c r="J42" s="110"/>
      <c r="K42" s="110"/>
      <c r="L42" s="110"/>
      <c r="M42" s="110"/>
      <c r="N42" s="110"/>
      <c r="O42" s="110"/>
      <c r="P42" s="110"/>
      <c r="Q42" s="12"/>
      <c r="R42" s="12"/>
    </row>
    <row r="43" spans="4:25">
      <c r="D43" s="12"/>
      <c r="E43" s="12"/>
      <c r="F43" s="12"/>
      <c r="G43" s="12"/>
      <c r="H43" s="12"/>
      <c r="I43" s="12"/>
      <c r="J43" s="110"/>
      <c r="K43" s="110"/>
      <c r="L43" s="110"/>
      <c r="M43" s="110"/>
      <c r="N43" s="110"/>
      <c r="O43" s="110"/>
      <c r="P43" s="110"/>
      <c r="Q43" s="12"/>
      <c r="R43" s="12"/>
    </row>
    <row r="44" spans="4:25">
      <c r="J44" s="51"/>
      <c r="K44" s="51"/>
      <c r="L44" s="51"/>
      <c r="M44" s="51"/>
      <c r="N44" s="51"/>
      <c r="O44" s="51"/>
      <c r="P44" s="51"/>
    </row>
  </sheetData>
  <mergeCells count="12">
    <mergeCell ref="B2:I2"/>
    <mergeCell ref="B4:C4"/>
    <mergeCell ref="E4:I4"/>
    <mergeCell ref="K4:O4"/>
    <mergeCell ref="W4:AA4"/>
    <mergeCell ref="Q4:U4"/>
    <mergeCell ref="E32:F33"/>
    <mergeCell ref="AC4:AG4"/>
    <mergeCell ref="K31:P31"/>
    <mergeCell ref="W23:Y23"/>
    <mergeCell ref="W24:Y24"/>
    <mergeCell ref="K19:O19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4"/>
  <sheetViews>
    <sheetView showGridLines="0" zoomScale="90" zoomScaleNormal="90" workbookViewId="0">
      <selection activeCell="G7" sqref="G7"/>
    </sheetView>
  </sheetViews>
  <sheetFormatPr baseColWidth="10" defaultRowHeight="15"/>
  <cols>
    <col min="2" max="2" width="12" customWidth="1"/>
    <col min="3" max="3" width="12.140625" bestFit="1" customWidth="1"/>
    <col min="4" max="4" width="3.42578125" customWidth="1"/>
    <col min="5" max="5" width="12.140625" bestFit="1" customWidth="1"/>
    <col min="6" max="6" width="9.42578125" customWidth="1"/>
    <col min="7" max="7" width="9" bestFit="1" customWidth="1"/>
    <col min="8" max="9" width="10.42578125" customWidth="1"/>
    <col min="11" max="11" width="11.28515625" customWidth="1"/>
    <col min="12" max="13" width="11" customWidth="1"/>
    <col min="14" max="14" width="11.140625" customWidth="1"/>
    <col min="15" max="15" width="11.85546875" customWidth="1"/>
  </cols>
  <sheetData>
    <row r="2" spans="2:33" ht="15.75">
      <c r="B2" s="409" t="s">
        <v>188</v>
      </c>
      <c r="C2" s="409"/>
      <c r="D2" s="409"/>
      <c r="E2" s="409"/>
      <c r="F2" s="409"/>
      <c r="G2" s="409"/>
      <c r="H2" s="409"/>
      <c r="I2" s="409"/>
      <c r="K2" s="6" t="s">
        <v>60</v>
      </c>
    </row>
    <row r="3" spans="2:33">
      <c r="B3" s="12"/>
      <c r="C3" s="12"/>
      <c r="D3" s="12"/>
      <c r="E3" s="12"/>
      <c r="F3" s="12"/>
      <c r="G3" s="12"/>
      <c r="H3" s="12"/>
      <c r="I3" s="12"/>
    </row>
    <row r="4" spans="2:33">
      <c r="B4" s="369" t="s">
        <v>34</v>
      </c>
      <c r="C4" s="370"/>
      <c r="D4" s="12"/>
      <c r="E4" s="371" t="s">
        <v>109</v>
      </c>
      <c r="F4" s="371"/>
      <c r="G4" s="371"/>
      <c r="H4" s="371"/>
      <c r="I4" s="371"/>
      <c r="K4" s="371" t="s">
        <v>110</v>
      </c>
      <c r="L4" s="371"/>
      <c r="M4" s="371"/>
      <c r="N4" s="371"/>
      <c r="O4" s="371"/>
      <c r="Q4" s="371" t="s">
        <v>110</v>
      </c>
      <c r="R4" s="371"/>
      <c r="S4" s="371"/>
      <c r="T4" s="371"/>
      <c r="U4" s="371"/>
      <c r="W4" s="371" t="s">
        <v>109</v>
      </c>
      <c r="X4" s="371"/>
      <c r="Y4" s="371"/>
      <c r="Z4" s="371"/>
      <c r="AA4" s="371"/>
      <c r="AC4" s="371" t="s">
        <v>109</v>
      </c>
      <c r="AD4" s="371"/>
      <c r="AE4" s="371"/>
      <c r="AF4" s="371"/>
      <c r="AG4" s="371"/>
    </row>
    <row r="5" spans="2:33">
      <c r="B5" s="24" t="s">
        <v>0</v>
      </c>
      <c r="C5" s="33">
        <v>44253</v>
      </c>
      <c r="D5" s="12"/>
      <c r="E5" s="29" t="s">
        <v>14</v>
      </c>
      <c r="F5" s="29" t="s">
        <v>7</v>
      </c>
      <c r="G5" s="29" t="s">
        <v>8</v>
      </c>
      <c r="H5" s="29" t="s">
        <v>33</v>
      </c>
      <c r="I5" s="29" t="s">
        <v>9</v>
      </c>
      <c r="K5" s="29" t="s">
        <v>14</v>
      </c>
      <c r="L5" s="29" t="s">
        <v>7</v>
      </c>
      <c r="M5" s="29" t="s">
        <v>8</v>
      </c>
      <c r="N5" s="29" t="s">
        <v>33</v>
      </c>
      <c r="O5" s="29" t="s">
        <v>9</v>
      </c>
      <c r="Q5" s="29" t="s">
        <v>14</v>
      </c>
      <c r="R5" s="29" t="s">
        <v>7</v>
      </c>
      <c r="S5" s="29" t="s">
        <v>8</v>
      </c>
      <c r="T5" s="29" t="s">
        <v>33</v>
      </c>
      <c r="U5" s="29" t="s">
        <v>9</v>
      </c>
      <c r="W5" s="29" t="s">
        <v>14</v>
      </c>
      <c r="X5" s="29" t="s">
        <v>7</v>
      </c>
      <c r="Y5" s="29" t="s">
        <v>8</v>
      </c>
      <c r="Z5" s="29" t="s">
        <v>33</v>
      </c>
      <c r="AA5" s="29" t="s">
        <v>9</v>
      </c>
      <c r="AC5" s="29" t="s">
        <v>14</v>
      </c>
      <c r="AD5" s="29" t="s">
        <v>7</v>
      </c>
      <c r="AE5" s="29" t="s">
        <v>8</v>
      </c>
      <c r="AF5" s="29" t="s">
        <v>33</v>
      </c>
      <c r="AG5" s="29" t="s">
        <v>9</v>
      </c>
    </row>
    <row r="6" spans="2:33">
      <c r="B6" s="24" t="s">
        <v>1</v>
      </c>
      <c r="C6" s="33">
        <v>45499</v>
      </c>
      <c r="D6" s="12"/>
      <c r="E6" s="15">
        <f>'Planilla de datos'!D3</f>
        <v>44383</v>
      </c>
      <c r="F6" s="12">
        <v>100</v>
      </c>
      <c r="G6" s="30"/>
      <c r="H6" s="12"/>
      <c r="I6" s="14">
        <v>-96.113</v>
      </c>
      <c r="K6" s="15">
        <f t="shared" ref="K6:K13" si="0">E6</f>
        <v>44383</v>
      </c>
      <c r="L6" s="12">
        <v>100</v>
      </c>
      <c r="M6" s="30"/>
      <c r="N6" s="12"/>
      <c r="O6" s="14">
        <f>I6</f>
        <v>-96.113</v>
      </c>
      <c r="Q6" s="15">
        <f>+K6</f>
        <v>44383</v>
      </c>
      <c r="R6" s="12">
        <v>100</v>
      </c>
      <c r="S6" s="30"/>
      <c r="T6" s="12"/>
      <c r="U6" s="14">
        <v>0</v>
      </c>
      <c r="W6" s="15">
        <f t="shared" ref="W6:Y13" si="1">+E6</f>
        <v>44383</v>
      </c>
      <c r="X6" s="12">
        <f t="shared" si="1"/>
        <v>100</v>
      </c>
      <c r="Y6" s="30"/>
      <c r="Z6" s="12"/>
      <c r="AA6" s="14">
        <v>0</v>
      </c>
      <c r="AC6" s="15">
        <f t="shared" ref="AC6:AE13" si="2">+W6</f>
        <v>44383</v>
      </c>
      <c r="AD6" s="12">
        <f t="shared" si="2"/>
        <v>100</v>
      </c>
      <c r="AE6" s="30"/>
      <c r="AF6" s="12"/>
      <c r="AG6" s="14">
        <f>-X39</f>
        <v>-111.80936085269796</v>
      </c>
    </row>
    <row r="7" spans="2:33">
      <c r="B7" s="24" t="s">
        <v>2</v>
      </c>
      <c r="C7" s="34">
        <v>26.7515</v>
      </c>
      <c r="D7" s="12"/>
      <c r="E7" s="15">
        <v>44403</v>
      </c>
      <c r="F7" s="12">
        <v>100</v>
      </c>
      <c r="G7" s="14">
        <f t="shared" ref="G7:G13" si="3">$C$11*$C$10*(180/360)</f>
        <v>0.92373081883258867</v>
      </c>
      <c r="H7" s="12"/>
      <c r="I7" s="14">
        <f>SUM(G7:G7)</f>
        <v>0.92373081883258867</v>
      </c>
      <c r="K7" s="15">
        <f t="shared" si="0"/>
        <v>44403</v>
      </c>
      <c r="L7" s="12">
        <v>100</v>
      </c>
      <c r="M7" s="30">
        <f t="shared" ref="M7:M13" si="4">O22*($C$10/360*180)</f>
        <v>0</v>
      </c>
      <c r="N7" s="12"/>
      <c r="O7" s="14">
        <f>SUM(M7:M7)</f>
        <v>0</v>
      </c>
      <c r="Q7" s="15">
        <f t="shared" ref="Q7:Q13" si="5">K7</f>
        <v>44403</v>
      </c>
      <c r="R7" s="12">
        <v>100</v>
      </c>
      <c r="S7" s="30">
        <f t="shared" ref="S7:S13" si="6">M7</f>
        <v>0</v>
      </c>
      <c r="T7" s="12"/>
      <c r="U7" s="14">
        <f>SUM(S7:S7)</f>
        <v>0</v>
      </c>
      <c r="W7" s="15">
        <f t="shared" si="1"/>
        <v>44403</v>
      </c>
      <c r="X7" s="12">
        <f t="shared" si="1"/>
        <v>100</v>
      </c>
      <c r="Y7" s="14">
        <f t="shared" si="1"/>
        <v>0.92373081883258867</v>
      </c>
      <c r="Z7" s="12"/>
      <c r="AA7" s="14">
        <f t="shared" ref="AA7:AA13" si="7">+I7</f>
        <v>0.92373081883258867</v>
      </c>
      <c r="AC7" s="15">
        <f t="shared" si="2"/>
        <v>44403</v>
      </c>
      <c r="AD7" s="12">
        <f t="shared" si="2"/>
        <v>100</v>
      </c>
      <c r="AE7" s="14">
        <f t="shared" si="2"/>
        <v>0.92373081883258867</v>
      </c>
      <c r="AF7" s="12"/>
      <c r="AG7" s="14">
        <f t="shared" ref="AG7:AG13" si="8">+AA7</f>
        <v>0.92373081883258867</v>
      </c>
    </row>
    <row r="8" spans="2:33">
      <c r="B8" s="24" t="s">
        <v>3</v>
      </c>
      <c r="C8" s="34">
        <f>'Planilla de datos'!D64</f>
        <v>31.885400000000001</v>
      </c>
      <c r="D8" s="12"/>
      <c r="E8" s="15">
        <v>44587</v>
      </c>
      <c r="F8" s="12">
        <v>100</v>
      </c>
      <c r="G8" s="14">
        <f t="shared" si="3"/>
        <v>0.92373081883258867</v>
      </c>
      <c r="H8" s="14"/>
      <c r="I8" s="14">
        <f t="shared" ref="I8:I13" si="9">SUM(G8:H8)</f>
        <v>0.92373081883258867</v>
      </c>
      <c r="K8" s="15">
        <f t="shared" si="0"/>
        <v>44587</v>
      </c>
      <c r="L8" s="12">
        <v>100</v>
      </c>
      <c r="M8" s="30">
        <f t="shared" si="4"/>
        <v>0</v>
      </c>
      <c r="N8" s="14"/>
      <c r="O8" s="14">
        <f t="shared" ref="O8:O13" si="10">SUM(M8:N8)</f>
        <v>0</v>
      </c>
      <c r="Q8" s="15">
        <f t="shared" si="5"/>
        <v>44587</v>
      </c>
      <c r="R8" s="12">
        <v>100</v>
      </c>
      <c r="S8" s="30">
        <f t="shared" si="6"/>
        <v>0</v>
      </c>
      <c r="T8" s="14"/>
      <c r="U8" s="14">
        <f t="shared" ref="U8:U13" si="11">SUM(S8:T8)</f>
        <v>0</v>
      </c>
      <c r="W8" s="15">
        <f t="shared" si="1"/>
        <v>44587</v>
      </c>
      <c r="X8" s="12">
        <f t="shared" si="1"/>
        <v>100</v>
      </c>
      <c r="Y8" s="14">
        <f t="shared" si="1"/>
        <v>0.92373081883258867</v>
      </c>
      <c r="Z8" s="14"/>
      <c r="AA8" s="14">
        <f t="shared" si="7"/>
        <v>0.92373081883258867</v>
      </c>
      <c r="AC8" s="15">
        <f t="shared" si="2"/>
        <v>44587</v>
      </c>
      <c r="AD8" s="12">
        <f t="shared" si="2"/>
        <v>100</v>
      </c>
      <c r="AE8" s="14">
        <f t="shared" si="2"/>
        <v>0.92373081883258867</v>
      </c>
      <c r="AF8" s="14"/>
      <c r="AG8" s="14">
        <f t="shared" si="8"/>
        <v>0.92373081883258867</v>
      </c>
    </row>
    <row r="9" spans="2:33">
      <c r="B9" s="24" t="s">
        <v>4</v>
      </c>
      <c r="C9" s="34">
        <f>((C8-C7)/C7)+1</f>
        <v>1.1919107339775339</v>
      </c>
      <c r="D9" s="12"/>
      <c r="E9" s="15">
        <v>44768</v>
      </c>
      <c r="F9" s="12">
        <v>100</v>
      </c>
      <c r="G9" s="14">
        <f t="shared" si="3"/>
        <v>0.92373081883258867</v>
      </c>
      <c r="H9" s="12"/>
      <c r="I9" s="14">
        <f t="shared" si="9"/>
        <v>0.92373081883258867</v>
      </c>
      <c r="K9" s="15">
        <f t="shared" si="0"/>
        <v>44768</v>
      </c>
      <c r="L9" s="12">
        <v>100</v>
      </c>
      <c r="M9" s="30">
        <f t="shared" si="4"/>
        <v>0</v>
      </c>
      <c r="N9" s="14"/>
      <c r="O9" s="14">
        <f t="shared" si="10"/>
        <v>0</v>
      </c>
      <c r="Q9" s="15">
        <f t="shared" si="5"/>
        <v>44768</v>
      </c>
      <c r="R9" s="12">
        <v>100</v>
      </c>
      <c r="S9" s="30">
        <f t="shared" si="6"/>
        <v>0</v>
      </c>
      <c r="T9" s="14"/>
      <c r="U9" s="14">
        <f t="shared" si="11"/>
        <v>0</v>
      </c>
      <c r="W9" s="15">
        <f t="shared" si="1"/>
        <v>44768</v>
      </c>
      <c r="X9" s="12">
        <f t="shared" si="1"/>
        <v>100</v>
      </c>
      <c r="Y9" s="14">
        <f t="shared" si="1"/>
        <v>0.92373081883258867</v>
      </c>
      <c r="Z9" s="12"/>
      <c r="AA9" s="14">
        <f t="shared" si="7"/>
        <v>0.92373081883258867</v>
      </c>
      <c r="AC9" s="15">
        <f t="shared" si="2"/>
        <v>44768</v>
      </c>
      <c r="AD9" s="12">
        <f t="shared" si="2"/>
        <v>100</v>
      </c>
      <c r="AE9" s="14">
        <f t="shared" si="2"/>
        <v>0.92373081883258867</v>
      </c>
      <c r="AF9" s="12"/>
      <c r="AG9" s="14">
        <f t="shared" si="8"/>
        <v>0.92373081883258867</v>
      </c>
    </row>
    <row r="10" spans="2:33">
      <c r="B10" s="24" t="s">
        <v>5</v>
      </c>
      <c r="C10" s="35">
        <v>1.55E-2</v>
      </c>
      <c r="D10" s="12"/>
      <c r="E10" s="15">
        <v>44952</v>
      </c>
      <c r="F10" s="12">
        <v>100</v>
      </c>
      <c r="G10" s="14">
        <f t="shared" si="3"/>
        <v>0.92373081883258867</v>
      </c>
      <c r="H10" s="12"/>
      <c r="I10" s="14">
        <f t="shared" si="9"/>
        <v>0.92373081883258867</v>
      </c>
      <c r="K10" s="15">
        <f t="shared" si="0"/>
        <v>44952</v>
      </c>
      <c r="L10" s="12">
        <v>100</v>
      </c>
      <c r="M10" s="30">
        <f t="shared" si="4"/>
        <v>0</v>
      </c>
      <c r="N10" s="12"/>
      <c r="O10" s="14">
        <f t="shared" si="10"/>
        <v>0</v>
      </c>
      <c r="Q10" s="15">
        <f t="shared" si="5"/>
        <v>44952</v>
      </c>
      <c r="R10" s="12">
        <v>100</v>
      </c>
      <c r="S10" s="30">
        <f t="shared" si="6"/>
        <v>0</v>
      </c>
      <c r="T10" s="14"/>
      <c r="U10" s="14">
        <f t="shared" si="11"/>
        <v>0</v>
      </c>
      <c r="W10" s="15">
        <f t="shared" si="1"/>
        <v>44952</v>
      </c>
      <c r="X10" s="12">
        <f t="shared" si="1"/>
        <v>100</v>
      </c>
      <c r="Y10" s="14">
        <f t="shared" si="1"/>
        <v>0.92373081883258867</v>
      </c>
      <c r="Z10" s="12"/>
      <c r="AA10" s="14">
        <f t="shared" si="7"/>
        <v>0.92373081883258867</v>
      </c>
      <c r="AC10" s="15">
        <f t="shared" si="2"/>
        <v>44952</v>
      </c>
      <c r="AD10" s="12">
        <f t="shared" si="2"/>
        <v>100</v>
      </c>
      <c r="AE10" s="14">
        <f t="shared" si="2"/>
        <v>0.92373081883258867</v>
      </c>
      <c r="AF10" s="12"/>
      <c r="AG10" s="14">
        <f t="shared" si="8"/>
        <v>0.92373081883258867</v>
      </c>
    </row>
    <row r="11" spans="2:33">
      <c r="B11" s="36" t="s">
        <v>16</v>
      </c>
      <c r="C11" s="37">
        <f>C9*F6</f>
        <v>119.19107339775339</v>
      </c>
      <c r="D11" s="12"/>
      <c r="E11" s="15">
        <v>45133</v>
      </c>
      <c r="F11" s="12">
        <v>100</v>
      </c>
      <c r="G11" s="14">
        <f t="shared" si="3"/>
        <v>0.92373081883258867</v>
      </c>
      <c r="H11" s="14"/>
      <c r="I11" s="14">
        <f t="shared" si="9"/>
        <v>0.92373081883258867</v>
      </c>
      <c r="K11" s="15">
        <f t="shared" si="0"/>
        <v>45133</v>
      </c>
      <c r="L11" s="12">
        <v>100</v>
      </c>
      <c r="M11" s="30">
        <f t="shared" si="4"/>
        <v>0</v>
      </c>
      <c r="N11" s="4"/>
      <c r="O11" s="14">
        <f t="shared" si="10"/>
        <v>0</v>
      </c>
      <c r="Q11" s="15">
        <f t="shared" si="5"/>
        <v>45133</v>
      </c>
      <c r="R11" s="12">
        <v>100</v>
      </c>
      <c r="S11" s="30">
        <f t="shared" si="6"/>
        <v>0</v>
      </c>
      <c r="T11" s="14"/>
      <c r="U11" s="14">
        <f t="shared" si="11"/>
        <v>0</v>
      </c>
      <c r="W11" s="15">
        <f t="shared" si="1"/>
        <v>45133</v>
      </c>
      <c r="X11" s="12">
        <f t="shared" si="1"/>
        <v>100</v>
      </c>
      <c r="Y11" s="14">
        <f t="shared" si="1"/>
        <v>0.92373081883258867</v>
      </c>
      <c r="Z11" s="14"/>
      <c r="AA11" s="14">
        <f t="shared" si="7"/>
        <v>0.92373081883258867</v>
      </c>
      <c r="AC11" s="15">
        <f t="shared" si="2"/>
        <v>45133</v>
      </c>
      <c r="AD11" s="12">
        <f t="shared" si="2"/>
        <v>100</v>
      </c>
      <c r="AE11" s="14">
        <f t="shared" si="2"/>
        <v>0.92373081883258867</v>
      </c>
      <c r="AF11" s="14"/>
      <c r="AG11" s="14">
        <f t="shared" si="8"/>
        <v>0.92373081883258867</v>
      </c>
    </row>
    <row r="12" spans="2:33">
      <c r="B12" s="12"/>
      <c r="C12" s="12"/>
      <c r="D12" s="12"/>
      <c r="E12" s="15">
        <v>45317</v>
      </c>
      <c r="F12" s="12">
        <v>100</v>
      </c>
      <c r="G12" s="14">
        <f t="shared" si="3"/>
        <v>0.92373081883258867</v>
      </c>
      <c r="H12" s="14"/>
      <c r="I12" s="14">
        <f t="shared" si="9"/>
        <v>0.92373081883258867</v>
      </c>
      <c r="K12" s="15">
        <f t="shared" si="0"/>
        <v>45317</v>
      </c>
      <c r="L12" s="12">
        <v>100</v>
      </c>
      <c r="M12" s="30">
        <f t="shared" si="4"/>
        <v>0</v>
      </c>
      <c r="N12" s="4"/>
      <c r="O12" s="14">
        <f t="shared" si="10"/>
        <v>0</v>
      </c>
      <c r="Q12" s="15">
        <f t="shared" si="5"/>
        <v>45317</v>
      </c>
      <c r="R12" s="12">
        <v>100</v>
      </c>
      <c r="S12" s="30">
        <f t="shared" si="6"/>
        <v>0</v>
      </c>
      <c r="T12" s="14"/>
      <c r="U12" s="14">
        <f t="shared" si="11"/>
        <v>0</v>
      </c>
      <c r="W12" s="15">
        <f t="shared" si="1"/>
        <v>45317</v>
      </c>
      <c r="X12" s="12">
        <f t="shared" si="1"/>
        <v>100</v>
      </c>
      <c r="Y12" s="14">
        <f t="shared" si="1"/>
        <v>0.92373081883258867</v>
      </c>
      <c r="Z12" s="14"/>
      <c r="AA12" s="14">
        <f t="shared" si="7"/>
        <v>0.92373081883258867</v>
      </c>
      <c r="AC12" s="15">
        <f t="shared" si="2"/>
        <v>45317</v>
      </c>
      <c r="AD12" s="12">
        <f t="shared" si="2"/>
        <v>100</v>
      </c>
      <c r="AE12" s="14">
        <f t="shared" si="2"/>
        <v>0.92373081883258867</v>
      </c>
      <c r="AF12" s="14"/>
      <c r="AG12" s="14">
        <f t="shared" si="8"/>
        <v>0.92373081883258867</v>
      </c>
    </row>
    <row r="13" spans="2:33">
      <c r="B13" s="12"/>
      <c r="C13" s="12"/>
      <c r="D13" s="12"/>
      <c r="E13" s="15">
        <v>45499</v>
      </c>
      <c r="F13" s="12">
        <v>100</v>
      </c>
      <c r="G13" s="14">
        <f t="shared" si="3"/>
        <v>0.92373081883258867</v>
      </c>
      <c r="H13" s="14">
        <f>+C11</f>
        <v>119.19107339775339</v>
      </c>
      <c r="I13" s="14">
        <f t="shared" si="9"/>
        <v>120.11480421658598</v>
      </c>
      <c r="K13" s="15">
        <f t="shared" si="0"/>
        <v>45499</v>
      </c>
      <c r="L13" s="12">
        <v>100</v>
      </c>
      <c r="M13" s="30">
        <f t="shared" si="4"/>
        <v>0</v>
      </c>
      <c r="N13" s="30">
        <f>+O28</f>
        <v>0</v>
      </c>
      <c r="O13" s="14">
        <f t="shared" si="10"/>
        <v>0</v>
      </c>
      <c r="Q13" s="15">
        <f t="shared" si="5"/>
        <v>45499</v>
      </c>
      <c r="R13" s="12">
        <v>100</v>
      </c>
      <c r="S13" s="30">
        <f t="shared" si="6"/>
        <v>0</v>
      </c>
      <c r="T13" s="14">
        <f>N13</f>
        <v>0</v>
      </c>
      <c r="U13" s="14">
        <f t="shared" si="11"/>
        <v>0</v>
      </c>
      <c r="W13" s="15">
        <f t="shared" si="1"/>
        <v>45499</v>
      </c>
      <c r="X13" s="12">
        <f t="shared" si="1"/>
        <v>100</v>
      </c>
      <c r="Y13" s="14">
        <f t="shared" si="1"/>
        <v>0.92373081883258867</v>
      </c>
      <c r="Z13" s="14">
        <f>+H13</f>
        <v>119.19107339775339</v>
      </c>
      <c r="AA13" s="14">
        <f t="shared" si="7"/>
        <v>120.11480421658598</v>
      </c>
      <c r="AC13" s="15">
        <f t="shared" si="2"/>
        <v>45499</v>
      </c>
      <c r="AD13" s="12">
        <f t="shared" si="2"/>
        <v>100</v>
      </c>
      <c r="AE13" s="14">
        <f t="shared" si="2"/>
        <v>0.92373081883258867</v>
      </c>
      <c r="AF13" s="14">
        <f>+Z13</f>
        <v>119.19107339775339</v>
      </c>
      <c r="AG13" s="14">
        <f t="shared" si="8"/>
        <v>120.11480421658598</v>
      </c>
    </row>
    <row r="14" spans="2:33">
      <c r="B14" s="12"/>
      <c r="C14" s="12"/>
      <c r="D14" s="12"/>
      <c r="E14" s="12"/>
      <c r="F14" s="12"/>
      <c r="G14" s="12"/>
      <c r="H14" s="12"/>
      <c r="I14" s="12"/>
      <c r="K14" s="12"/>
      <c r="L14" s="12"/>
      <c r="M14" s="12"/>
    </row>
    <row r="15" spans="2:33">
      <c r="B15" s="12"/>
      <c r="C15" s="12"/>
      <c r="D15" s="12"/>
      <c r="E15" s="12"/>
      <c r="F15" s="12"/>
      <c r="H15" s="92" t="s">
        <v>13</v>
      </c>
      <c r="I15" s="86">
        <f>XIRR(I6:I13,E6:E13,0)</f>
        <v>9.4360834960937515E-2</v>
      </c>
      <c r="K15" s="12"/>
      <c r="L15" s="12"/>
      <c r="M15" s="12"/>
      <c r="N15" s="38" t="s">
        <v>10</v>
      </c>
      <c r="O15" s="39" t="e">
        <f>XIRR(O6:O13,K6:K13,0)</f>
        <v>#NUM!</v>
      </c>
      <c r="T15" s="87"/>
      <c r="U15" s="42"/>
      <c r="AF15" t="s">
        <v>10</v>
      </c>
      <c r="AG15" s="22">
        <f>XIRR(AG6:AG13,AC6:AC13)</f>
        <v>4.0000000596046484E-2</v>
      </c>
    </row>
    <row r="16" spans="2:33">
      <c r="B16" s="12"/>
      <c r="C16" s="12"/>
      <c r="D16" s="12"/>
      <c r="E16" s="12"/>
      <c r="F16" s="12"/>
      <c r="H16" s="92" t="s">
        <v>29</v>
      </c>
      <c r="I16" s="71">
        <f>MDURATION(E6,E13,C10,I15,2)</f>
        <v>2.8283752100811661</v>
      </c>
      <c r="K16" s="12"/>
      <c r="L16" s="12"/>
      <c r="M16" s="12"/>
      <c r="N16" s="40" t="s">
        <v>64</v>
      </c>
      <c r="O16" s="43" t="e">
        <f>MDURATION(K6,K13,C10,O15,2)</f>
        <v>#NUM!</v>
      </c>
      <c r="T16" s="27"/>
      <c r="U16" s="49"/>
      <c r="AF16" t="s">
        <v>64</v>
      </c>
      <c r="AG16" s="4">
        <f>MDURATION(AC6,AC13,C10,AG15,2)</f>
        <v>2.9134149347729665</v>
      </c>
    </row>
    <row r="17" spans="2:25">
      <c r="B17" s="12"/>
      <c r="C17" s="12"/>
      <c r="D17" s="12"/>
      <c r="U17">
        <f>U8/100</f>
        <v>0</v>
      </c>
    </row>
    <row r="18" spans="2:25">
      <c r="B18" s="12"/>
      <c r="C18" s="12"/>
      <c r="D18" s="12"/>
      <c r="E18" s="12"/>
      <c r="F18" s="12"/>
      <c r="G18" s="41"/>
      <c r="H18" s="41"/>
      <c r="I18" s="42"/>
      <c r="K18" s="12"/>
      <c r="L18" s="12"/>
      <c r="M18" s="12"/>
      <c r="N18" s="12"/>
      <c r="O18" s="12"/>
    </row>
    <row r="19" spans="2:25">
      <c r="B19" s="12"/>
      <c r="C19" s="12"/>
      <c r="D19" s="12"/>
      <c r="E19" s="12"/>
      <c r="F19" s="12"/>
      <c r="G19" s="12"/>
      <c r="H19" s="12"/>
      <c r="I19" s="12"/>
      <c r="K19" s="411"/>
      <c r="L19" s="411"/>
      <c r="M19" s="411"/>
      <c r="N19" s="411"/>
      <c r="O19" s="411"/>
      <c r="P19" s="21"/>
    </row>
    <row r="21" spans="2:25" ht="28.5">
      <c r="D21" s="12"/>
      <c r="E21" s="12"/>
      <c r="F21" s="12"/>
      <c r="G21" s="12"/>
      <c r="H21" s="12"/>
      <c r="I21" s="12"/>
      <c r="J21" s="12"/>
      <c r="K21" s="45" t="s">
        <v>6</v>
      </c>
      <c r="L21" s="45" t="s">
        <v>58</v>
      </c>
      <c r="M21" s="45" t="s">
        <v>24</v>
      </c>
      <c r="N21" s="45" t="s">
        <v>4</v>
      </c>
      <c r="O21" s="45" t="s">
        <v>59</v>
      </c>
      <c r="P21" s="12"/>
      <c r="Q21" s="12"/>
      <c r="R21" s="12"/>
    </row>
    <row r="22" spans="2:25" ht="15" customHeight="1">
      <c r="D22" s="12"/>
      <c r="J22" s="12"/>
      <c r="K22" s="15">
        <f t="shared" ref="K22:K28" si="12">K7</f>
        <v>44403</v>
      </c>
      <c r="L22" s="331"/>
      <c r="M22" s="332"/>
      <c r="N22" s="47">
        <f t="shared" ref="N22:N28" si="13">(M22/$C$7)</f>
        <v>0</v>
      </c>
      <c r="O22" s="14">
        <f t="shared" ref="O22:O28" si="14">100*N22</f>
        <v>0</v>
      </c>
      <c r="P22" s="12"/>
      <c r="Q22" s="12"/>
      <c r="R22" s="12"/>
    </row>
    <row r="23" spans="2:25">
      <c r="D23" s="12"/>
      <c r="J23" s="12"/>
      <c r="K23" s="15">
        <f t="shared" si="12"/>
        <v>44587</v>
      </c>
      <c r="L23" s="331"/>
      <c r="M23" s="332"/>
      <c r="N23" s="47">
        <f t="shared" si="13"/>
        <v>0</v>
      </c>
      <c r="O23" s="14">
        <f t="shared" si="14"/>
        <v>0</v>
      </c>
      <c r="P23" s="12"/>
      <c r="Q23" s="12"/>
      <c r="R23" s="12"/>
      <c r="W23" s="400" t="s">
        <v>81</v>
      </c>
      <c r="X23" s="400"/>
      <c r="Y23" s="400"/>
    </row>
    <row r="24" spans="2:25">
      <c r="D24" s="12"/>
      <c r="E24" s="12"/>
      <c r="F24" s="12"/>
      <c r="G24" s="12"/>
      <c r="H24" s="12"/>
      <c r="I24" s="12"/>
      <c r="J24" s="12"/>
      <c r="K24" s="15">
        <f t="shared" si="12"/>
        <v>44768</v>
      </c>
      <c r="L24" s="331"/>
      <c r="M24" s="332"/>
      <c r="N24" s="47">
        <f t="shared" si="13"/>
        <v>0</v>
      </c>
      <c r="O24" s="14">
        <f t="shared" si="14"/>
        <v>0</v>
      </c>
      <c r="P24" s="12"/>
      <c r="Q24" s="12"/>
      <c r="R24" s="12"/>
      <c r="W24" s="400" t="s">
        <v>82</v>
      </c>
      <c r="X24" s="400"/>
      <c r="Y24" s="400"/>
    </row>
    <row r="25" spans="2:25">
      <c r="D25" s="12"/>
      <c r="E25" s="12"/>
      <c r="F25" s="12"/>
      <c r="G25" s="12"/>
      <c r="H25" s="12"/>
      <c r="I25" s="12"/>
      <c r="J25" s="12"/>
      <c r="K25" s="15">
        <f t="shared" si="12"/>
        <v>44952</v>
      </c>
      <c r="L25" s="331"/>
      <c r="M25" s="332"/>
      <c r="N25" s="47">
        <f t="shared" si="13"/>
        <v>0</v>
      </c>
      <c r="O25" s="14">
        <f t="shared" si="14"/>
        <v>0</v>
      </c>
      <c r="P25" s="12"/>
      <c r="Q25" s="12"/>
      <c r="R25" s="12"/>
      <c r="W25" s="108" t="s">
        <v>10</v>
      </c>
      <c r="X25" s="108" t="s">
        <v>83</v>
      </c>
      <c r="Y25" s="108" t="s">
        <v>84</v>
      </c>
    </row>
    <row r="26" spans="2:25">
      <c r="D26" s="12"/>
      <c r="E26" s="12"/>
      <c r="F26" s="12"/>
      <c r="G26" s="12"/>
      <c r="H26" s="12"/>
      <c r="I26" s="12"/>
      <c r="J26" s="12"/>
      <c r="K26" s="15">
        <f t="shared" si="12"/>
        <v>45133</v>
      </c>
      <c r="L26" s="331"/>
      <c r="M26" s="332"/>
      <c r="N26" s="47">
        <f t="shared" si="13"/>
        <v>0</v>
      </c>
      <c r="O26" s="14">
        <f t="shared" si="14"/>
        <v>0</v>
      </c>
      <c r="P26" s="12"/>
      <c r="Q26" s="12"/>
      <c r="R26" s="12"/>
      <c r="W26" s="16">
        <v>0.15</v>
      </c>
      <c r="X26" s="49">
        <f>XNPV(W26,AA6:AA13,W6:W13)</f>
        <v>82.99505799122376</v>
      </c>
      <c r="Y26" s="18">
        <f t="shared" ref="Y26:Y41" si="15">(X26+$I$6)/(-$I$6)</f>
        <v>-0.13648457553896184</v>
      </c>
    </row>
    <row r="27" spans="2:25">
      <c r="D27" s="12"/>
      <c r="E27" s="12"/>
      <c r="F27" s="12"/>
      <c r="G27" s="12"/>
      <c r="H27" s="12"/>
      <c r="I27" s="12"/>
      <c r="J27" s="12"/>
      <c r="K27" s="15">
        <f t="shared" si="12"/>
        <v>45317</v>
      </c>
      <c r="L27" s="331"/>
      <c r="M27" s="332"/>
      <c r="N27" s="47">
        <f t="shared" si="13"/>
        <v>0</v>
      </c>
      <c r="O27" s="14">
        <f t="shared" si="14"/>
        <v>0</v>
      </c>
      <c r="P27" s="12"/>
      <c r="Q27" s="12"/>
      <c r="R27" s="12"/>
      <c r="W27" s="16">
        <v>0.14000000000000001</v>
      </c>
      <c r="X27" s="49">
        <f>XNPV(W27,AA6:AA13,W6:W13)</f>
        <v>85.164657581093181</v>
      </c>
      <c r="Y27" s="18">
        <f t="shared" si="15"/>
        <v>-0.11391115061341149</v>
      </c>
    </row>
    <row r="28" spans="2:25">
      <c r="D28" s="12"/>
      <c r="E28" s="12"/>
      <c r="F28" s="12"/>
      <c r="G28" s="12"/>
      <c r="H28" s="12"/>
      <c r="I28" s="12"/>
      <c r="J28" s="12"/>
      <c r="K28" s="15">
        <f t="shared" si="12"/>
        <v>45499</v>
      </c>
      <c r="L28" s="331"/>
      <c r="M28" s="332"/>
      <c r="N28" s="47">
        <f t="shared" si="13"/>
        <v>0</v>
      </c>
      <c r="O28" s="14">
        <f t="shared" si="14"/>
        <v>0</v>
      </c>
      <c r="P28" s="12"/>
      <c r="Q28" s="12"/>
      <c r="R28" s="12"/>
      <c r="W28" s="16">
        <v>0.13</v>
      </c>
      <c r="X28" s="49">
        <f>XNPV(W28,AA6:AA13,W6:W13)</f>
        <v>87.412315614949719</v>
      </c>
      <c r="Y28" s="18">
        <f t="shared" si="15"/>
        <v>-9.0525572867877185E-2</v>
      </c>
    </row>
    <row r="29" spans="2:25">
      <c r="D29" s="12"/>
      <c r="E29" s="12"/>
      <c r="F29" s="12"/>
      <c r="G29" s="12"/>
      <c r="H29" s="12"/>
      <c r="I29" s="12"/>
      <c r="J29" s="12"/>
      <c r="P29" s="12"/>
      <c r="Q29" s="12"/>
      <c r="R29" s="12"/>
      <c r="W29" s="16">
        <v>0.12</v>
      </c>
      <c r="X29" s="49">
        <f>XNPV(W29,AA6:AA13,W6:W13)</f>
        <v>89.741577022556626</v>
      </c>
      <c r="Y29" s="18">
        <f t="shared" si="15"/>
        <v>-6.6290959364949317E-2</v>
      </c>
    </row>
    <row r="30" spans="2:25">
      <c r="D30" s="12"/>
      <c r="E30" s="12"/>
      <c r="F30" s="12"/>
      <c r="G30" s="12"/>
      <c r="H30" s="12"/>
      <c r="I30" s="12"/>
      <c r="J30" s="12"/>
      <c r="K30" s="15"/>
      <c r="L30" s="12"/>
      <c r="M30" s="12"/>
      <c r="N30" s="12"/>
      <c r="O30" s="12"/>
      <c r="P30" s="12"/>
      <c r="Q30" s="12"/>
      <c r="R30" s="12"/>
      <c r="W30" s="16">
        <v>0.11</v>
      </c>
      <c r="X30" s="49">
        <f>XNPV(W30,AA6:AA13,W6:W13)</f>
        <v>92.156181573284584</v>
      </c>
      <c r="Y30" s="18">
        <f t="shared" si="15"/>
        <v>-4.1168399974149339E-2</v>
      </c>
    </row>
    <row r="31" spans="2:25">
      <c r="D31" s="12"/>
      <c r="E31" s="129"/>
      <c r="F31" s="129"/>
      <c r="G31" s="61">
        <v>0.35</v>
      </c>
      <c r="H31" s="62">
        <f>XNPV(G31,U6:U13,Q6:Q13)</f>
        <v>0</v>
      </c>
      <c r="I31" s="61">
        <f>(H31/-$I$6)-1</f>
        <v>-1</v>
      </c>
      <c r="J31" s="110"/>
      <c r="K31" s="408"/>
      <c r="L31" s="408"/>
      <c r="M31" s="408"/>
      <c r="N31" s="408"/>
      <c r="O31" s="408"/>
      <c r="P31" s="408"/>
      <c r="Q31" s="12"/>
      <c r="R31" s="12"/>
      <c r="W31" s="16">
        <v>0.1</v>
      </c>
      <c r="X31" s="49">
        <f>XNPV(W31,AA6:AA13,W6:W13)</f>
        <v>94.660076475800622</v>
      </c>
      <c r="Y31" s="18">
        <f t="shared" si="15"/>
        <v>-1.5116826279477047E-2</v>
      </c>
    </row>
    <row r="32" spans="2:25">
      <c r="D32" s="12"/>
      <c r="E32" s="402" t="s">
        <v>18</v>
      </c>
      <c r="F32" s="402"/>
      <c r="G32" s="18">
        <v>0.4</v>
      </c>
      <c r="H32" s="49">
        <f>XNPV(G32,U6:U13,Q6:Q13)</f>
        <v>0</v>
      </c>
      <c r="I32" s="18">
        <f>(H32/-$I$6)-1</f>
        <v>-1</v>
      </c>
      <c r="J32" s="110"/>
      <c r="K32" s="110"/>
      <c r="L32" s="110"/>
      <c r="M32" s="110"/>
      <c r="N32" s="110"/>
      <c r="O32" s="110"/>
      <c r="P32" s="110"/>
      <c r="Q32" s="12"/>
      <c r="R32" s="12"/>
      <c r="W32" s="16">
        <v>0.09</v>
      </c>
      <c r="X32" s="49">
        <f>XNPV(W32,AA6:AA13,W6:W13)</f>
        <v>97.257429916954791</v>
      </c>
      <c r="Y32" s="18">
        <f t="shared" si="15"/>
        <v>1.1907129284850038E-2</v>
      </c>
    </row>
    <row r="33" spans="4:25">
      <c r="D33" s="12"/>
      <c r="E33" s="403"/>
      <c r="F33" s="403"/>
      <c r="G33" s="63">
        <v>0.45</v>
      </c>
      <c r="H33" s="64">
        <f>XNPV(G33,U6:U13,Q6:Q13)</f>
        <v>0</v>
      </c>
      <c r="I33" s="63">
        <f>(H33/-I6)-1</f>
        <v>-1</v>
      </c>
      <c r="J33" s="110"/>
      <c r="K33" s="274"/>
      <c r="L33" s="274"/>
      <c r="M33" s="110"/>
      <c r="N33" s="274"/>
      <c r="O33" s="274"/>
      <c r="P33" s="274"/>
      <c r="Q33" s="12"/>
      <c r="R33" s="12"/>
      <c r="W33" s="16">
        <v>0.08</v>
      </c>
      <c r="X33" s="49">
        <f>XNPV(W33,AA6:AA13,W6:W13)</f>
        <v>99.952645619314652</v>
      </c>
      <c r="Y33" s="18">
        <f t="shared" si="15"/>
        <v>3.9949284897096669E-2</v>
      </c>
    </row>
    <row r="34" spans="4:25">
      <c r="D34" s="12"/>
      <c r="E34" s="12"/>
      <c r="F34" s="12"/>
      <c r="G34" s="12"/>
      <c r="H34" s="12"/>
      <c r="I34" s="12"/>
      <c r="J34" s="110"/>
      <c r="K34" s="112"/>
      <c r="L34" s="112"/>
      <c r="M34" s="110"/>
      <c r="N34" s="113"/>
      <c r="O34" s="110"/>
      <c r="P34" s="114"/>
      <c r="Q34" s="12"/>
      <c r="R34" s="12"/>
      <c r="W34" s="16">
        <v>7.0000000000000007E-2</v>
      </c>
      <c r="X34" s="49">
        <f>XNPV(W34,AA6:AA13,W6:W13)</f>
        <v>102.75037850433414</v>
      </c>
      <c r="Y34" s="18">
        <f t="shared" si="15"/>
        <v>6.9058072314194099E-2</v>
      </c>
    </row>
    <row r="35" spans="4:25">
      <c r="D35" s="12"/>
      <c r="E35" s="12"/>
      <c r="F35" s="12"/>
      <c r="G35" s="12"/>
      <c r="H35" s="12"/>
      <c r="I35" s="12"/>
      <c r="J35" s="110"/>
      <c r="K35" s="121"/>
      <c r="L35" s="115"/>
      <c r="M35" s="110"/>
      <c r="N35" s="113"/>
      <c r="O35" s="110"/>
      <c r="P35" s="114"/>
      <c r="Q35" s="12"/>
      <c r="R35" s="12"/>
      <c r="W35" s="16">
        <v>0.06</v>
      </c>
      <c r="X35" s="49">
        <f>XNPV(W35,AA6:AA13,W6:W13)</f>
        <v>105.65555155647074</v>
      </c>
      <c r="Y35" s="18">
        <f t="shared" si="15"/>
        <v>9.9284712333094813E-2</v>
      </c>
    </row>
    <row r="36" spans="4:25">
      <c r="D36" s="12"/>
      <c r="E36" s="12"/>
      <c r="F36" s="12"/>
      <c r="G36" s="12"/>
      <c r="H36" s="12"/>
      <c r="I36" s="12"/>
      <c r="J36" s="110"/>
      <c r="K36" s="114"/>
      <c r="L36" s="110"/>
      <c r="M36" s="110"/>
      <c r="N36" s="113"/>
      <c r="O36" s="110"/>
      <c r="P36" s="114"/>
      <c r="Q36" s="12"/>
      <c r="R36" s="12"/>
      <c r="W36" s="16">
        <v>5.5E-2</v>
      </c>
      <c r="X36" s="49">
        <f>XNPV(W36,AA6:AA13,W6:W13)</f>
        <v>107.15004431916354</v>
      </c>
      <c r="Y36" s="18">
        <f t="shared" si="15"/>
        <v>0.11483404242052107</v>
      </c>
    </row>
    <row r="37" spans="4:25">
      <c r="D37" s="12"/>
      <c r="E37" s="12"/>
      <c r="F37" s="12"/>
      <c r="G37" s="12"/>
      <c r="H37" s="12"/>
      <c r="I37" s="12"/>
      <c r="J37" s="110"/>
      <c r="K37" s="110"/>
      <c r="L37" s="110"/>
      <c r="M37" s="110"/>
      <c r="N37" s="113"/>
      <c r="O37" s="110"/>
      <c r="P37" s="114"/>
      <c r="Q37" s="12"/>
      <c r="R37" s="12"/>
      <c r="W37" s="16">
        <v>0.05</v>
      </c>
      <c r="X37" s="49">
        <f>XNPV(W37,AA6:AA13,W6:W13)</f>
        <v>108.67337399277733</v>
      </c>
      <c r="Y37" s="18">
        <f t="shared" si="15"/>
        <v>0.13068340383483326</v>
      </c>
    </row>
    <row r="38" spans="4:25">
      <c r="D38" s="12"/>
      <c r="E38" s="12"/>
      <c r="F38" s="12"/>
      <c r="G38" s="12"/>
      <c r="H38" s="12"/>
      <c r="I38" s="12"/>
      <c r="J38" s="110"/>
      <c r="K38" s="110"/>
      <c r="L38" s="110"/>
      <c r="M38" s="110"/>
      <c r="N38" s="113"/>
      <c r="O38" s="110"/>
      <c r="P38" s="114"/>
      <c r="Q38" s="12"/>
      <c r="R38" s="12"/>
      <c r="W38" s="16">
        <v>4.4999999999999998E-2</v>
      </c>
      <c r="X38" s="49">
        <f>XNPV(W38,AA6:AA13,W6:W13)</f>
        <v>110.22623966685572</v>
      </c>
      <c r="Y38" s="18">
        <f t="shared" si="15"/>
        <v>0.14684007019711923</v>
      </c>
    </row>
    <row r="39" spans="4:25">
      <c r="D39" s="12"/>
      <c r="E39" s="12"/>
      <c r="F39" s="12"/>
      <c r="G39" s="12"/>
      <c r="H39" s="12"/>
      <c r="I39" s="12"/>
      <c r="J39" s="110"/>
      <c r="K39" s="110"/>
      <c r="L39" s="110"/>
      <c r="M39" s="110"/>
      <c r="N39" s="113"/>
      <c r="O39" s="110"/>
      <c r="P39" s="114"/>
      <c r="Q39" s="12"/>
      <c r="R39" s="12"/>
      <c r="W39" s="16">
        <v>0.04</v>
      </c>
      <c r="X39" s="49">
        <f>XNPV(W39,AA6:AA13,W6:W13)</f>
        <v>111.80936085269796</v>
      </c>
      <c r="Y39" s="18">
        <f t="shared" si="15"/>
        <v>0.16331152760498543</v>
      </c>
    </row>
    <row r="40" spans="4:25">
      <c r="D40" s="12"/>
      <c r="E40" s="12"/>
      <c r="F40" s="12"/>
      <c r="G40" s="12"/>
      <c r="H40" s="12"/>
      <c r="I40" s="12"/>
      <c r="J40" s="110"/>
      <c r="K40" s="110"/>
      <c r="L40" s="110"/>
      <c r="M40" s="110"/>
      <c r="N40" s="113"/>
      <c r="O40" s="110"/>
      <c r="P40" s="114"/>
      <c r="Q40" s="12"/>
      <c r="R40" s="12"/>
      <c r="W40" s="16">
        <v>0.03</v>
      </c>
      <c r="X40" s="49">
        <f>XNPV(W40,AA6:AA13,W6:W13)</f>
        <v>115.06935413410278</v>
      </c>
      <c r="Y40" s="18">
        <f t="shared" si="15"/>
        <v>0.19722986624184846</v>
      </c>
    </row>
    <row r="41" spans="4:25">
      <c r="D41" s="12"/>
      <c r="E41" s="12"/>
      <c r="F41" s="12"/>
      <c r="G41" s="12"/>
      <c r="H41" s="12"/>
      <c r="I41" s="12"/>
      <c r="J41" s="110"/>
      <c r="K41" s="110"/>
      <c r="L41" s="110"/>
      <c r="M41" s="110"/>
      <c r="N41" s="113"/>
      <c r="O41" s="110"/>
      <c r="P41" s="114"/>
      <c r="Q41" s="12"/>
      <c r="R41" s="12"/>
      <c r="W41" s="16">
        <v>0.02</v>
      </c>
      <c r="X41" s="49">
        <f>XNPV(W41,AA6:AA13,W6:W13)</f>
        <v>118.45954561414278</v>
      </c>
      <c r="Y41" s="18">
        <f t="shared" si="15"/>
        <v>0.23250284159419415</v>
      </c>
    </row>
    <row r="42" spans="4:25">
      <c r="D42" s="12"/>
      <c r="E42" s="12"/>
      <c r="F42" s="12"/>
      <c r="G42" s="12"/>
      <c r="H42" s="12"/>
      <c r="I42" s="12"/>
      <c r="J42" s="110"/>
      <c r="K42" s="110"/>
      <c r="L42" s="110"/>
      <c r="M42" s="110"/>
      <c r="N42" s="110"/>
      <c r="O42" s="110"/>
      <c r="P42" s="110"/>
      <c r="Q42" s="12"/>
      <c r="R42" s="12"/>
    </row>
    <row r="43" spans="4:25">
      <c r="D43" s="12"/>
      <c r="E43" s="12"/>
      <c r="F43" s="12"/>
      <c r="G43" s="12"/>
      <c r="H43" s="12"/>
      <c r="I43" s="12"/>
      <c r="J43" s="110"/>
      <c r="K43" s="110"/>
      <c r="L43" s="110"/>
      <c r="M43" s="110"/>
      <c r="N43" s="110"/>
      <c r="O43" s="110"/>
      <c r="P43" s="110"/>
      <c r="Q43" s="12"/>
      <c r="R43" s="12"/>
    </row>
    <row r="44" spans="4:25">
      <c r="J44" s="51"/>
      <c r="K44" s="51"/>
      <c r="L44" s="51"/>
      <c r="M44" s="51"/>
      <c r="N44" s="51"/>
      <c r="O44" s="51"/>
      <c r="P44" s="51"/>
    </row>
  </sheetData>
  <mergeCells count="12">
    <mergeCell ref="E32:F33"/>
    <mergeCell ref="B2:I2"/>
    <mergeCell ref="B4:C4"/>
    <mergeCell ref="E4:I4"/>
    <mergeCell ref="K4:O4"/>
    <mergeCell ref="AC4:AG4"/>
    <mergeCell ref="K19:O19"/>
    <mergeCell ref="W23:Y23"/>
    <mergeCell ref="W24:Y24"/>
    <mergeCell ref="K31:P31"/>
    <mergeCell ref="Q4:U4"/>
    <mergeCell ref="W4:AA4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showGridLines="0" zoomScale="90" zoomScaleNormal="90" workbookViewId="0">
      <selection activeCell="K27" sqref="K27"/>
    </sheetView>
  </sheetViews>
  <sheetFormatPr baseColWidth="10" defaultRowHeight="15"/>
  <cols>
    <col min="1" max="1" width="4.42578125" customWidth="1"/>
    <col min="2" max="2" width="12.28515625" customWidth="1"/>
    <col min="3" max="3" width="11.28515625" customWidth="1"/>
    <col min="4" max="4" width="3.140625" customWidth="1"/>
    <col min="5" max="5" width="12.140625" bestFit="1" customWidth="1"/>
    <col min="6" max="6" width="9.42578125" customWidth="1"/>
    <col min="7" max="7" width="10.85546875" customWidth="1"/>
    <col min="8" max="8" width="10" customWidth="1"/>
    <col min="9" max="9" width="10.140625" customWidth="1"/>
    <col min="10" max="10" width="4" customWidth="1"/>
    <col min="11" max="11" width="3" customWidth="1"/>
  </cols>
  <sheetData>
    <row r="1" spans="2:11"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2:11" ht="15.75">
      <c r="B2" s="409" t="s">
        <v>115</v>
      </c>
      <c r="C2" s="409"/>
      <c r="D2" s="409"/>
      <c r="E2" s="409"/>
      <c r="F2" s="409"/>
      <c r="G2" s="409"/>
      <c r="H2" s="409"/>
      <c r="I2" s="409"/>
      <c r="J2" s="12"/>
      <c r="K2" s="12"/>
    </row>
    <row r="3" spans="2:11"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2:11">
      <c r="B4" s="369" t="s">
        <v>37</v>
      </c>
      <c r="C4" s="370"/>
      <c r="D4" s="12"/>
      <c r="E4" s="394" t="s">
        <v>77</v>
      </c>
      <c r="F4" s="394"/>
      <c r="G4" s="394"/>
      <c r="H4" s="394"/>
      <c r="I4" s="394"/>
      <c r="J4" s="12"/>
      <c r="K4" s="12"/>
    </row>
    <row r="5" spans="2:11">
      <c r="B5" s="24" t="s">
        <v>0</v>
      </c>
      <c r="C5" s="32">
        <v>43217</v>
      </c>
      <c r="D5" s="12"/>
      <c r="E5" s="68" t="s">
        <v>14</v>
      </c>
      <c r="F5" s="68" t="s">
        <v>7</v>
      </c>
      <c r="G5" s="68" t="s">
        <v>8</v>
      </c>
      <c r="H5" s="68" t="s">
        <v>33</v>
      </c>
      <c r="I5" s="68" t="s">
        <v>9</v>
      </c>
      <c r="J5" s="12"/>
      <c r="K5" s="12"/>
    </row>
    <row r="6" spans="2:11">
      <c r="B6" s="24" t="s">
        <v>1</v>
      </c>
      <c r="C6" s="33">
        <v>45774</v>
      </c>
      <c r="D6" s="12"/>
      <c r="E6" s="69">
        <f>'Planilla de datos'!D3</f>
        <v>44383</v>
      </c>
      <c r="F6" s="70">
        <v>100</v>
      </c>
      <c r="G6" s="26"/>
      <c r="H6" s="26"/>
      <c r="I6" s="71">
        <f>-'Planilla de datos'!C77</f>
        <v>-340</v>
      </c>
      <c r="J6" s="12"/>
      <c r="K6" s="12"/>
    </row>
    <row r="7" spans="2:11">
      <c r="B7" s="24" t="s">
        <v>2</v>
      </c>
      <c r="C7" s="25">
        <v>9.0620999999999992</v>
      </c>
      <c r="D7" s="12"/>
      <c r="E7" s="69">
        <v>44496</v>
      </c>
      <c r="F7" s="70">
        <v>100</v>
      </c>
      <c r="G7" s="72">
        <f>C10*C11/2</f>
        <v>7.0370885335628621</v>
      </c>
      <c r="H7" s="74"/>
      <c r="I7" s="71">
        <f t="shared" ref="I7:I14" si="0">SUM(G7:H7)</f>
        <v>7.0370885335628621</v>
      </c>
      <c r="J7" s="12"/>
      <c r="K7" s="12"/>
    </row>
    <row r="8" spans="2:11">
      <c r="B8" s="24" t="s">
        <v>3</v>
      </c>
      <c r="C8" s="25">
        <f>'Planilla de datos'!D64</f>
        <v>31.885400000000001</v>
      </c>
      <c r="D8" s="12"/>
      <c r="E8" s="69">
        <v>44678</v>
      </c>
      <c r="F8" s="70">
        <v>100</v>
      </c>
      <c r="G8" s="72">
        <f t="shared" ref="G8:G14" si="1">G7</f>
        <v>7.0370885335628621</v>
      </c>
      <c r="H8" s="12"/>
      <c r="I8" s="71">
        <f t="shared" si="0"/>
        <v>7.0370885335628621</v>
      </c>
      <c r="J8" s="12"/>
      <c r="K8" s="12"/>
    </row>
    <row r="9" spans="2:11">
      <c r="B9" s="24" t="s">
        <v>4</v>
      </c>
      <c r="C9" s="34">
        <f>((C8-C7)/C7)+1</f>
        <v>3.5185442667814311</v>
      </c>
      <c r="D9" s="12"/>
      <c r="E9" s="69">
        <v>44861</v>
      </c>
      <c r="F9" s="70">
        <v>100</v>
      </c>
      <c r="G9" s="72">
        <f t="shared" si="1"/>
        <v>7.0370885335628621</v>
      </c>
      <c r="H9" s="12"/>
      <c r="I9" s="71">
        <f t="shared" si="0"/>
        <v>7.0370885335628621</v>
      </c>
      <c r="J9" s="12"/>
      <c r="K9" s="12"/>
    </row>
    <row r="10" spans="2:11">
      <c r="B10" s="24" t="s">
        <v>5</v>
      </c>
      <c r="C10" s="35">
        <v>0.04</v>
      </c>
      <c r="D10" s="12"/>
      <c r="E10" s="69">
        <v>45043</v>
      </c>
      <c r="F10" s="70">
        <v>100</v>
      </c>
      <c r="G10" s="72">
        <f t="shared" si="1"/>
        <v>7.0370885335628621</v>
      </c>
      <c r="H10" s="14"/>
      <c r="I10" s="71">
        <f t="shared" si="0"/>
        <v>7.0370885335628621</v>
      </c>
      <c r="J10" s="12"/>
      <c r="K10" s="12"/>
    </row>
    <row r="11" spans="2:11">
      <c r="B11" s="36" t="s">
        <v>16</v>
      </c>
      <c r="C11" s="37">
        <f>C9*F6</f>
        <v>351.85442667814311</v>
      </c>
      <c r="D11" s="12"/>
      <c r="E11" s="69">
        <v>45226</v>
      </c>
      <c r="F11" s="70">
        <v>100</v>
      </c>
      <c r="G11" s="72">
        <f t="shared" si="1"/>
        <v>7.0370885335628621</v>
      </c>
      <c r="H11" s="12"/>
      <c r="I11" s="71">
        <f t="shared" si="0"/>
        <v>7.0370885335628621</v>
      </c>
      <c r="J11" s="12"/>
      <c r="K11" s="12"/>
    </row>
    <row r="12" spans="2:11">
      <c r="B12" s="12"/>
      <c r="C12" s="12"/>
      <c r="D12" s="12"/>
      <c r="E12" s="69">
        <v>45409</v>
      </c>
      <c r="F12" s="70">
        <v>100</v>
      </c>
      <c r="G12" s="72">
        <f t="shared" si="1"/>
        <v>7.0370885335628621</v>
      </c>
      <c r="I12" s="71">
        <f t="shared" si="0"/>
        <v>7.0370885335628621</v>
      </c>
      <c r="J12" s="12"/>
      <c r="K12" s="12"/>
    </row>
    <row r="13" spans="2:11">
      <c r="B13" s="12"/>
      <c r="C13" s="12"/>
      <c r="D13" s="12"/>
      <c r="E13" s="69">
        <v>45592</v>
      </c>
      <c r="F13" s="70">
        <v>100</v>
      </c>
      <c r="G13" s="72">
        <f t="shared" si="1"/>
        <v>7.0370885335628621</v>
      </c>
      <c r="I13" s="71">
        <f t="shared" si="0"/>
        <v>7.0370885335628621</v>
      </c>
      <c r="J13" s="12"/>
      <c r="K13" s="12"/>
    </row>
    <row r="14" spans="2:11">
      <c r="B14" s="12"/>
      <c r="C14" s="12"/>
      <c r="D14" s="12"/>
      <c r="E14" s="69">
        <v>45774</v>
      </c>
      <c r="F14" s="70">
        <v>100</v>
      </c>
      <c r="G14" s="72">
        <f t="shared" si="1"/>
        <v>7.0370885335628621</v>
      </c>
      <c r="H14" s="14">
        <f>+C11</f>
        <v>351.85442667814311</v>
      </c>
      <c r="I14" s="71">
        <f t="shared" si="0"/>
        <v>358.89151521170595</v>
      </c>
      <c r="J14" s="12"/>
      <c r="K14" s="12"/>
    </row>
    <row r="15" spans="2:11">
      <c r="B15" s="12"/>
      <c r="C15" s="22"/>
      <c r="D15" s="12"/>
      <c r="J15" s="12"/>
      <c r="K15" s="12"/>
    </row>
    <row r="16" spans="2:11"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>
      <c r="B21" s="12"/>
      <c r="D21" s="12"/>
      <c r="E21" s="12"/>
      <c r="F21" s="12"/>
      <c r="G21" s="12"/>
      <c r="H21" s="92" t="s">
        <v>10</v>
      </c>
      <c r="I21" s="86">
        <f>XIRR(I6:I14,E6:E14)</f>
        <v>5.273611843585968E-2</v>
      </c>
      <c r="J21" s="12"/>
      <c r="K21" s="12"/>
    </row>
    <row r="22" spans="1:11">
      <c r="B22" s="12"/>
      <c r="C22" s="12"/>
      <c r="D22" s="12"/>
      <c r="E22" s="12"/>
      <c r="F22" s="12"/>
      <c r="G22" s="12"/>
      <c r="H22" s="92" t="s">
        <v>29</v>
      </c>
      <c r="I22" s="71">
        <f>MDURATION(E6,E14,C10,I21,2)</f>
        <v>3.4459135389716677</v>
      </c>
      <c r="J22" s="12"/>
      <c r="K22" s="12"/>
    </row>
    <row r="23" spans="1:11">
      <c r="B23" s="12"/>
      <c r="C23" s="12"/>
      <c r="D23" s="12"/>
      <c r="J23" s="12"/>
      <c r="K23" s="12"/>
    </row>
    <row r="24" spans="1:11"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>
      <c r="B26" s="12"/>
      <c r="C26" s="12"/>
      <c r="D26" s="12"/>
      <c r="E26" s="12"/>
      <c r="F26" s="12"/>
      <c r="G26" s="12"/>
      <c r="H26" s="85"/>
      <c r="I26" s="86"/>
      <c r="J26" s="12"/>
      <c r="K26" s="12"/>
    </row>
    <row r="27" spans="1:11">
      <c r="B27" s="12"/>
      <c r="C27" s="12"/>
      <c r="D27" s="12"/>
      <c r="E27" s="12"/>
      <c r="F27" s="12"/>
      <c r="G27" s="12"/>
      <c r="H27" s="85"/>
      <c r="I27" s="86"/>
      <c r="J27" s="12"/>
      <c r="K27" s="12"/>
    </row>
    <row r="28" spans="1:11">
      <c r="B28" s="12"/>
      <c r="C28" s="12"/>
      <c r="D28" s="12"/>
      <c r="E28" s="12"/>
      <c r="F28" s="12"/>
      <c r="G28" s="12"/>
      <c r="H28" s="85"/>
      <c r="I28" s="86"/>
      <c r="J28" s="12"/>
      <c r="K28" s="12"/>
    </row>
    <row r="29" spans="1:11">
      <c r="B29" s="12"/>
      <c r="C29" s="12"/>
      <c r="D29" s="12"/>
      <c r="E29" s="12"/>
      <c r="F29" s="12"/>
      <c r="G29" s="12"/>
      <c r="H29" s="27"/>
      <c r="I29" s="49"/>
      <c r="J29" s="12"/>
      <c r="K29" s="12"/>
    </row>
    <row r="30" spans="1:11">
      <c r="B30" s="12"/>
      <c r="C30" s="26"/>
      <c r="D30" s="26"/>
      <c r="E30" s="27"/>
      <c r="F30" s="27"/>
      <c r="G30" s="27"/>
      <c r="H30" s="27"/>
      <c r="I30" s="27"/>
      <c r="J30" s="26"/>
      <c r="K30" s="27"/>
    </row>
    <row r="31" spans="1:11">
      <c r="B31" s="12"/>
      <c r="C31" s="26"/>
      <c r="D31" s="26"/>
      <c r="E31" s="27"/>
      <c r="F31" s="27"/>
      <c r="G31" s="27"/>
      <c r="H31" s="27"/>
      <c r="I31" s="27"/>
      <c r="J31" s="26"/>
      <c r="K31" s="27"/>
    </row>
    <row r="32" spans="1:11">
      <c r="B32" s="12"/>
      <c r="C32" s="26"/>
      <c r="D32" s="26"/>
      <c r="E32" s="27"/>
      <c r="F32" s="27"/>
      <c r="G32" s="27"/>
      <c r="H32" s="27"/>
      <c r="I32" s="27"/>
      <c r="J32" s="26"/>
      <c r="K32" s="27"/>
    </row>
    <row r="33" spans="2:11">
      <c r="B33" s="12"/>
      <c r="C33" s="26"/>
      <c r="D33" s="26"/>
      <c r="E33" s="402"/>
      <c r="F33" s="402"/>
      <c r="G33" s="42"/>
      <c r="H33" s="109"/>
      <c r="I33" s="42"/>
      <c r="J33" s="26"/>
      <c r="K33" s="27"/>
    </row>
    <row r="34" spans="2:11">
      <c r="B34" s="12"/>
      <c r="C34" s="26"/>
      <c r="D34" s="26"/>
      <c r="E34" s="402"/>
      <c r="F34" s="402"/>
      <c r="G34" s="42"/>
      <c r="H34" s="109"/>
      <c r="I34" s="42"/>
      <c r="J34" s="26"/>
      <c r="K34" s="27"/>
    </row>
    <row r="35" spans="2:11">
      <c r="B35" s="12"/>
      <c r="C35" s="26"/>
      <c r="D35" s="26"/>
      <c r="E35" s="27"/>
      <c r="F35" s="27"/>
      <c r="G35" s="27"/>
      <c r="H35" s="27"/>
      <c r="I35" s="27"/>
      <c r="J35" s="80"/>
      <c r="K35" s="27"/>
    </row>
    <row r="36" spans="2:11">
      <c r="B36" s="12"/>
      <c r="C36" s="26"/>
      <c r="D36" s="26"/>
      <c r="E36" s="412"/>
      <c r="F36" s="412"/>
      <c r="G36" s="412"/>
      <c r="H36" s="412"/>
      <c r="I36" s="412"/>
      <c r="J36" s="151"/>
      <c r="K36" s="27"/>
    </row>
    <row r="37" spans="2:11">
      <c r="B37" s="12"/>
      <c r="C37" s="26"/>
      <c r="D37" s="26"/>
      <c r="E37" s="26"/>
      <c r="F37" s="83"/>
      <c r="G37" s="26"/>
      <c r="H37" s="26"/>
      <c r="I37" s="82"/>
      <c r="J37" s="84"/>
      <c r="K37" s="27"/>
    </row>
    <row r="38" spans="2:11">
      <c r="B38" s="12"/>
      <c r="C38" s="26"/>
      <c r="D38" s="26"/>
      <c r="E38" s="26"/>
      <c r="F38" s="83"/>
      <c r="G38" s="26"/>
      <c r="H38" s="26"/>
      <c r="I38" s="82"/>
      <c r="J38" s="84"/>
      <c r="K38" s="27"/>
    </row>
    <row r="39" spans="2:11">
      <c r="B39" s="12"/>
      <c r="C39" s="26"/>
      <c r="D39" s="26"/>
      <c r="E39" s="26"/>
      <c r="F39" s="83"/>
      <c r="G39" s="26"/>
      <c r="H39" s="26"/>
      <c r="I39" s="82"/>
      <c r="J39" s="84"/>
      <c r="K39" s="12"/>
    </row>
    <row r="40" spans="2:11">
      <c r="B40" s="12"/>
      <c r="C40" s="26"/>
      <c r="D40" s="26"/>
      <c r="E40" s="26"/>
      <c r="F40" s="83"/>
      <c r="G40" s="26"/>
      <c r="H40" s="26"/>
      <c r="I40" s="82"/>
      <c r="J40" s="84"/>
      <c r="K40" s="12"/>
    </row>
    <row r="41" spans="2:11">
      <c r="C41" s="1"/>
      <c r="D41" s="1"/>
      <c r="E41" s="1"/>
      <c r="F41" s="8"/>
      <c r="G41" s="1"/>
      <c r="H41" s="1"/>
      <c r="I41" s="7"/>
      <c r="J41" s="9"/>
    </row>
    <row r="42" spans="2:11">
      <c r="C42" s="1"/>
      <c r="D42" s="1"/>
      <c r="E42" s="1"/>
      <c r="F42" s="8"/>
      <c r="G42" s="1"/>
      <c r="H42" s="1"/>
      <c r="I42" s="7"/>
      <c r="J42" s="9"/>
    </row>
    <row r="43" spans="2:11">
      <c r="C43" s="1"/>
      <c r="D43" s="1"/>
      <c r="E43" s="1"/>
      <c r="F43" s="410"/>
      <c r="G43" s="410"/>
      <c r="H43" s="410"/>
      <c r="I43" s="410"/>
      <c r="J43" s="410"/>
    </row>
    <row r="44" spans="2:11">
      <c r="C44" s="1"/>
      <c r="D44" s="1"/>
      <c r="E44" s="1"/>
      <c r="F44" s="8"/>
      <c r="G44" s="1"/>
      <c r="H44" s="1"/>
      <c r="I44" s="7"/>
      <c r="J44" s="9"/>
    </row>
    <row r="45" spans="2:11">
      <c r="C45" s="1"/>
      <c r="D45" s="1"/>
      <c r="E45" s="1"/>
      <c r="F45" s="8"/>
      <c r="G45" s="1"/>
      <c r="H45" s="1"/>
      <c r="I45" s="7"/>
      <c r="J45" s="9"/>
    </row>
    <row r="46" spans="2:11">
      <c r="C46" s="1"/>
      <c r="D46" s="1"/>
      <c r="E46" s="1"/>
      <c r="F46" s="1"/>
      <c r="G46" s="1"/>
      <c r="H46" s="1"/>
      <c r="I46" s="1"/>
      <c r="J46" s="1"/>
    </row>
    <row r="47" spans="2:11">
      <c r="C47" s="1"/>
      <c r="D47" s="1"/>
      <c r="E47" s="1"/>
      <c r="F47" s="1"/>
      <c r="G47" s="1"/>
      <c r="H47" s="1"/>
      <c r="I47" s="1"/>
      <c r="J47" s="1"/>
    </row>
    <row r="48" spans="2:11">
      <c r="C48" s="1"/>
      <c r="D48" s="1"/>
      <c r="E48" s="1"/>
      <c r="F48" s="1"/>
      <c r="G48" s="1"/>
      <c r="H48" s="1"/>
      <c r="I48" s="1"/>
      <c r="J48" s="1"/>
    </row>
    <row r="49" spans="3:10">
      <c r="C49" s="1"/>
      <c r="D49" s="1"/>
      <c r="E49" s="1"/>
      <c r="F49" s="1"/>
      <c r="G49" s="1"/>
      <c r="H49" s="1"/>
      <c r="I49" s="1"/>
      <c r="J49" s="1"/>
    </row>
    <row r="50" spans="3:10">
      <c r="C50" s="1"/>
      <c r="D50" s="1"/>
      <c r="E50" s="1"/>
      <c r="F50" s="1"/>
      <c r="G50" s="1"/>
      <c r="H50" s="1"/>
      <c r="I50" s="1"/>
      <c r="J50" s="1"/>
    </row>
    <row r="51" spans="3:10">
      <c r="C51" s="1"/>
      <c r="D51" s="1"/>
      <c r="E51" s="1"/>
      <c r="F51" s="1"/>
      <c r="G51" s="1"/>
      <c r="H51" s="1"/>
      <c r="I51" s="1"/>
      <c r="J51" s="1"/>
    </row>
    <row r="52" spans="3:10">
      <c r="C52" s="1"/>
      <c r="D52" s="1"/>
      <c r="E52" s="1"/>
      <c r="F52" s="1"/>
      <c r="G52" s="1"/>
      <c r="H52" s="1"/>
      <c r="I52" s="1"/>
      <c r="J52" s="1"/>
    </row>
    <row r="53" spans="3:10">
      <c r="C53" s="1"/>
      <c r="D53" s="1"/>
      <c r="E53" s="1"/>
      <c r="F53" s="1"/>
      <c r="G53" s="1"/>
      <c r="H53" s="1"/>
      <c r="I53" s="1"/>
      <c r="J53" s="1"/>
    </row>
    <row r="54" spans="3:10">
      <c r="C54" s="1"/>
      <c r="D54" s="1"/>
      <c r="E54" s="1"/>
      <c r="F54" s="1"/>
      <c r="G54" s="1"/>
      <c r="H54" s="1"/>
      <c r="I54" s="1"/>
      <c r="J54" s="1"/>
    </row>
    <row r="55" spans="3:10">
      <c r="C55" s="1"/>
      <c r="D55" s="1"/>
      <c r="E55" s="1"/>
      <c r="F55" s="1"/>
      <c r="G55" s="1"/>
      <c r="H55" s="1"/>
      <c r="I55" s="1"/>
      <c r="J55" s="1"/>
    </row>
  </sheetData>
  <mergeCells count="6">
    <mergeCell ref="E33:F34"/>
    <mergeCell ref="E36:I36"/>
    <mergeCell ref="F43:J43"/>
    <mergeCell ref="B2:I2"/>
    <mergeCell ref="B4:C4"/>
    <mergeCell ref="E4:I4"/>
  </mergeCells>
  <pageMargins left="0.7" right="0.7" top="0.75" bottom="0.75" header="0.3" footer="0.3"/>
  <pageSetup paperSize="9" orientation="portrait" r:id="rId1"/>
  <ignoredErrors>
    <ignoredError sqref="I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48"/>
  <sheetViews>
    <sheetView showGridLines="0" topLeftCell="A6" zoomScale="90" zoomScaleNormal="90" workbookViewId="0">
      <selection activeCell="C38" sqref="C38"/>
    </sheetView>
  </sheetViews>
  <sheetFormatPr baseColWidth="10" defaultRowHeight="15"/>
  <cols>
    <col min="2" max="2" width="8.28515625" customWidth="1"/>
    <col min="3" max="3" width="9" bestFit="1" customWidth="1"/>
    <col min="4" max="4" width="8.7109375" bestFit="1" customWidth="1"/>
    <col min="5" max="5" width="9" bestFit="1" customWidth="1"/>
    <col min="6" max="6" width="8" bestFit="1" customWidth="1"/>
    <col min="7" max="7" width="10" customWidth="1"/>
    <col min="8" max="8" width="10.28515625" bestFit="1" customWidth="1"/>
    <col min="10" max="10" width="8.28515625" customWidth="1"/>
    <col min="11" max="11" width="9" bestFit="1" customWidth="1"/>
    <col min="12" max="12" width="8.7109375" bestFit="1" customWidth="1"/>
    <col min="13" max="13" width="9" bestFit="1" customWidth="1"/>
    <col min="14" max="14" width="8" bestFit="1" customWidth="1"/>
    <col min="15" max="15" width="10" bestFit="1" customWidth="1"/>
    <col min="16" max="16" width="10.28515625" bestFit="1" customWidth="1"/>
    <col min="18" max="18" width="8.28515625" customWidth="1"/>
    <col min="19" max="19" width="9" bestFit="1" customWidth="1"/>
    <col min="20" max="20" width="8.140625" bestFit="1" customWidth="1"/>
    <col min="21" max="21" width="9" bestFit="1" customWidth="1"/>
    <col min="22" max="22" width="8" bestFit="1" customWidth="1"/>
    <col min="23" max="23" width="10" bestFit="1" customWidth="1"/>
    <col min="24" max="24" width="10.28515625" bestFit="1" customWidth="1"/>
    <col min="26" max="26" width="8.28515625" customWidth="1"/>
    <col min="27" max="27" width="9" bestFit="1" customWidth="1"/>
    <col min="28" max="28" width="8.140625" bestFit="1" customWidth="1"/>
    <col min="29" max="29" width="9" bestFit="1" customWidth="1"/>
    <col min="30" max="30" width="8" bestFit="1" customWidth="1"/>
    <col min="31" max="31" width="10" bestFit="1" customWidth="1"/>
    <col min="32" max="32" width="10.28515625" bestFit="1" customWidth="1"/>
    <col min="33" max="33" width="7.7109375" bestFit="1" customWidth="1"/>
    <col min="34" max="34" width="10.42578125" bestFit="1" customWidth="1"/>
    <col min="35" max="35" width="9" bestFit="1" customWidth="1"/>
    <col min="36" max="36" width="8.7109375" bestFit="1" customWidth="1"/>
    <col min="37" max="37" width="9" bestFit="1" customWidth="1"/>
    <col min="38" max="38" width="8.140625" bestFit="1" customWidth="1"/>
    <col min="39" max="39" width="11.42578125" customWidth="1"/>
    <col min="41" max="41" width="7.28515625" bestFit="1" customWidth="1"/>
    <col min="42" max="42" width="8.140625" bestFit="1" customWidth="1"/>
    <col min="44" max="44" width="8.140625" bestFit="1" customWidth="1"/>
    <col min="45" max="45" width="10.140625" bestFit="1" customWidth="1"/>
    <col min="48" max="48" width="8.7109375" customWidth="1"/>
    <col min="49" max="49" width="9.140625" customWidth="1"/>
  </cols>
  <sheetData>
    <row r="2" spans="2:52">
      <c r="B2" s="319" t="s">
        <v>246</v>
      </c>
      <c r="J2" s="319" t="s">
        <v>246</v>
      </c>
      <c r="R2" s="319" t="s">
        <v>228</v>
      </c>
      <c r="Z2" s="301" t="s">
        <v>194</v>
      </c>
      <c r="AH2" s="314" t="s">
        <v>187</v>
      </c>
    </row>
    <row r="3" spans="2:52">
      <c r="B3" s="375" t="s">
        <v>185</v>
      </c>
      <c r="C3" s="375"/>
      <c r="D3" s="375"/>
      <c r="E3" s="375"/>
      <c r="F3" s="375"/>
      <c r="G3" s="375"/>
      <c r="H3" s="375"/>
      <c r="J3" s="375" t="s">
        <v>185</v>
      </c>
      <c r="K3" s="375"/>
      <c r="L3" s="375"/>
      <c r="M3" s="375"/>
      <c r="N3" s="375"/>
      <c r="O3" s="375"/>
      <c r="P3" s="375"/>
      <c r="R3" s="375" t="s">
        <v>185</v>
      </c>
      <c r="S3" s="375"/>
      <c r="T3" s="375"/>
      <c r="U3" s="375"/>
      <c r="V3" s="375"/>
      <c r="W3" s="375"/>
      <c r="X3" s="375"/>
      <c r="Z3" s="375" t="s">
        <v>185</v>
      </c>
      <c r="AA3" s="375"/>
      <c r="AB3" s="375"/>
      <c r="AC3" s="375"/>
      <c r="AD3" s="375"/>
      <c r="AE3" s="375"/>
      <c r="AF3" s="375"/>
      <c r="AH3" s="375" t="s">
        <v>185</v>
      </c>
      <c r="AI3" s="375"/>
      <c r="AJ3" s="375"/>
      <c r="AK3" s="375"/>
      <c r="AL3" s="375"/>
      <c r="AM3" s="375"/>
      <c r="AN3" s="375"/>
    </row>
    <row r="4" spans="2:52">
      <c r="B4" s="376" t="s">
        <v>233</v>
      </c>
      <c r="C4" s="376"/>
      <c r="D4" s="376"/>
      <c r="E4" s="376"/>
      <c r="F4" s="376"/>
      <c r="G4" s="376"/>
      <c r="H4" s="376"/>
      <c r="J4" s="376" t="s">
        <v>233</v>
      </c>
      <c r="K4" s="376"/>
      <c r="L4" s="376"/>
      <c r="M4" s="376"/>
      <c r="N4" s="376"/>
      <c r="O4" s="376"/>
      <c r="P4" s="376"/>
      <c r="R4" s="376" t="s">
        <v>226</v>
      </c>
      <c r="S4" s="376"/>
      <c r="T4" s="376"/>
      <c r="U4" s="376"/>
      <c r="V4" s="376"/>
      <c r="W4" s="376"/>
      <c r="X4" s="376"/>
      <c r="Z4" s="376" t="s">
        <v>212</v>
      </c>
      <c r="AA4" s="376"/>
      <c r="AB4" s="376"/>
      <c r="AC4" s="376"/>
      <c r="AD4" s="376"/>
      <c r="AE4" s="376"/>
      <c r="AF4" s="376"/>
      <c r="AH4" s="376" t="s">
        <v>216</v>
      </c>
      <c r="AI4" s="376"/>
      <c r="AJ4" s="376"/>
      <c r="AK4" s="376"/>
      <c r="AL4" s="376"/>
      <c r="AM4" s="376"/>
      <c r="AN4" s="376"/>
    </row>
    <row r="5" spans="2:52" ht="15" customHeight="1">
      <c r="B5" s="377" t="s">
        <v>46</v>
      </c>
      <c r="C5" s="378" t="s">
        <v>208</v>
      </c>
      <c r="D5" s="378"/>
      <c r="E5" s="379">
        <v>44316</v>
      </c>
      <c r="F5" s="380"/>
      <c r="G5" s="378" t="s">
        <v>209</v>
      </c>
      <c r="H5" s="378"/>
      <c r="J5" s="377" t="s">
        <v>46</v>
      </c>
      <c r="K5" s="379">
        <v>44347</v>
      </c>
      <c r="L5" s="380"/>
      <c r="M5" s="379">
        <v>44316</v>
      </c>
      <c r="N5" s="380"/>
      <c r="O5" s="378" t="s">
        <v>209</v>
      </c>
      <c r="P5" s="378"/>
      <c r="R5" s="377" t="s">
        <v>46</v>
      </c>
      <c r="S5" s="379">
        <v>44316</v>
      </c>
      <c r="T5" s="378"/>
      <c r="U5" s="379">
        <v>44286</v>
      </c>
      <c r="V5" s="380"/>
      <c r="W5" s="378" t="s">
        <v>209</v>
      </c>
      <c r="X5" s="378"/>
      <c r="Z5" s="377" t="s">
        <v>46</v>
      </c>
      <c r="AA5" s="378" t="s">
        <v>208</v>
      </c>
      <c r="AB5" s="378"/>
      <c r="AC5" s="379">
        <v>44253</v>
      </c>
      <c r="AD5" s="380"/>
      <c r="AE5" s="378" t="s">
        <v>209</v>
      </c>
      <c r="AF5" s="378"/>
      <c r="AH5" s="377" t="s">
        <v>46</v>
      </c>
      <c r="AI5" s="378" t="s">
        <v>208</v>
      </c>
      <c r="AJ5" s="378"/>
      <c r="AK5" s="379">
        <v>44195</v>
      </c>
      <c r="AL5" s="380"/>
      <c r="AM5" s="378" t="s">
        <v>209</v>
      </c>
      <c r="AN5" s="378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</row>
    <row r="6" spans="2:52" ht="15" customHeight="1">
      <c r="B6" s="377"/>
      <c r="C6" s="163" t="s">
        <v>83</v>
      </c>
      <c r="D6" s="291" t="s">
        <v>10</v>
      </c>
      <c r="E6" s="163" t="s">
        <v>83</v>
      </c>
      <c r="F6" s="291" t="s">
        <v>10</v>
      </c>
      <c r="G6" s="290" t="s">
        <v>210</v>
      </c>
      <c r="H6" s="291" t="s">
        <v>211</v>
      </c>
      <c r="J6" s="377"/>
      <c r="K6" s="163" t="s">
        <v>83</v>
      </c>
      <c r="L6" s="291" t="s">
        <v>10</v>
      </c>
      <c r="M6" s="163" t="s">
        <v>83</v>
      </c>
      <c r="N6" s="291" t="s">
        <v>10</v>
      </c>
      <c r="O6" s="290" t="s">
        <v>210</v>
      </c>
      <c r="P6" s="291" t="s">
        <v>211</v>
      </c>
      <c r="R6" s="377"/>
      <c r="S6" s="163" t="s">
        <v>83</v>
      </c>
      <c r="T6" s="291" t="s">
        <v>10</v>
      </c>
      <c r="U6" s="163" t="s">
        <v>83</v>
      </c>
      <c r="V6" s="291" t="s">
        <v>10</v>
      </c>
      <c r="W6" s="290" t="s">
        <v>210</v>
      </c>
      <c r="X6" s="291" t="s">
        <v>211</v>
      </c>
      <c r="Z6" s="377"/>
      <c r="AA6" s="163" t="s">
        <v>83</v>
      </c>
      <c r="AB6" s="291" t="s">
        <v>10</v>
      </c>
      <c r="AC6" s="163" t="s">
        <v>83</v>
      </c>
      <c r="AD6" s="291" t="s">
        <v>10</v>
      </c>
      <c r="AE6" s="290" t="s">
        <v>210</v>
      </c>
      <c r="AF6" s="291" t="s">
        <v>211</v>
      </c>
      <c r="AH6" s="377"/>
      <c r="AI6" s="163" t="s">
        <v>83</v>
      </c>
      <c r="AJ6" s="291" t="s">
        <v>10</v>
      </c>
      <c r="AK6" s="163" t="s">
        <v>83</v>
      </c>
      <c r="AL6" s="291" t="s">
        <v>10</v>
      </c>
      <c r="AM6" s="290" t="s">
        <v>210</v>
      </c>
      <c r="AN6" s="291" t="s">
        <v>211</v>
      </c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2:52">
      <c r="B7" s="292" t="s">
        <v>42</v>
      </c>
      <c r="C7" s="293">
        <f>+'Planilla de datos'!C11</f>
        <v>166.75</v>
      </c>
      <c r="D7" s="294">
        <f>+'Planilla de datos'!E70</f>
        <v>-1.6136326139234013E-2</v>
      </c>
      <c r="E7" s="293">
        <v>161.25</v>
      </c>
      <c r="F7" s="295">
        <v>-7.1300000000000002E-2</v>
      </c>
      <c r="G7" s="318">
        <f t="shared" ref="G7:G21" si="0">(C7-E7)/E7</f>
        <v>3.4108527131782945E-2</v>
      </c>
      <c r="H7" s="297">
        <f>(D7*10000)-(F7*10000)</f>
        <v>551.63673860765994</v>
      </c>
      <c r="J7" s="292" t="s">
        <v>42</v>
      </c>
      <c r="K7" s="293">
        <v>161.25</v>
      </c>
      <c r="L7" s="294">
        <v>-7.1300000000000002E-2</v>
      </c>
      <c r="M7" s="293">
        <v>155.5</v>
      </c>
      <c r="N7" s="295">
        <v>-6.9364738389812441E-2</v>
      </c>
      <c r="O7" s="318">
        <f t="shared" ref="O7:O21" si="1">(K7-M7)/M7</f>
        <v>3.6977491961414789E-2</v>
      </c>
      <c r="P7" s="297">
        <f>(L7*10000)-(N7*10000)</f>
        <v>-19.352616101875583</v>
      </c>
      <c r="R7" s="292" t="s">
        <v>42</v>
      </c>
      <c r="S7" s="293">
        <v>155.5</v>
      </c>
      <c r="T7" s="294">
        <v>-6.9364738389812441E-2</v>
      </c>
      <c r="U7" s="293">
        <v>149</v>
      </c>
      <c r="V7" s="295">
        <v>-4.58E-2</v>
      </c>
      <c r="W7" s="318">
        <f t="shared" ref="W7:W21" si="2">(S7-U7)/U7</f>
        <v>4.3624161073825503E-2</v>
      </c>
      <c r="X7" s="297">
        <f>(T7*10000)-(V7*10000)</f>
        <v>-235.64738389812442</v>
      </c>
      <c r="Z7" s="292" t="s">
        <v>42</v>
      </c>
      <c r="AA7" s="293">
        <v>149</v>
      </c>
      <c r="AB7" s="294">
        <v>-4.58E-2</v>
      </c>
      <c r="AC7" s="293">
        <v>144</v>
      </c>
      <c r="AD7" s="295">
        <v>-6.2700000000000006E-2</v>
      </c>
      <c r="AE7" s="296">
        <f t="shared" ref="AE7:AE21" si="3">(AA7-AC7)/AC7</f>
        <v>3.4722222222222224E-2</v>
      </c>
      <c r="AF7" s="297">
        <f>(AB7*10000)-(AD7*10000)</f>
        <v>169.00000000000011</v>
      </c>
      <c r="AH7" s="292" t="s">
        <v>42</v>
      </c>
      <c r="AI7" s="293">
        <f>+K7</f>
        <v>161.25</v>
      </c>
      <c r="AJ7" s="294">
        <f>+L7</f>
        <v>-7.1300000000000002E-2</v>
      </c>
      <c r="AK7" s="293">
        <f>133-0.6786</f>
        <v>132.32140000000001</v>
      </c>
      <c r="AL7" s="295">
        <v>-1.5699999999999999E-2</v>
      </c>
      <c r="AM7" s="295">
        <f t="shared" ref="AM7:AM13" si="4">(AI7-AK7)/AK7</f>
        <v>0.21862374491200959</v>
      </c>
      <c r="AN7" s="297">
        <f>(AJ7*10000)-(AL7*10000)</f>
        <v>-556</v>
      </c>
      <c r="AP7" s="12"/>
      <c r="AQ7" s="12" t="s">
        <v>139</v>
      </c>
      <c r="AR7" s="12">
        <v>365</v>
      </c>
      <c r="AS7" s="210">
        <v>0.33</v>
      </c>
      <c r="AT7" s="12"/>
      <c r="AU7" s="22"/>
      <c r="AV7" s="12"/>
      <c r="AW7" s="12"/>
      <c r="AX7" s="12"/>
      <c r="AY7" s="12"/>
      <c r="AZ7" s="12"/>
    </row>
    <row r="8" spans="2:52">
      <c r="B8" s="292" t="s">
        <v>41</v>
      </c>
      <c r="C8" s="293">
        <f>+'Planilla de datos'!C12</f>
        <v>524.70000000000005</v>
      </c>
      <c r="D8" s="294">
        <f>+'Planilla de datos'!E69</f>
        <v>-3.264036686051637E-2</v>
      </c>
      <c r="E8" s="293">
        <v>507.3</v>
      </c>
      <c r="F8" s="295">
        <v>-8.0699999999999994E-2</v>
      </c>
      <c r="G8" s="318">
        <f t="shared" si="0"/>
        <v>3.4299231224127799E-2</v>
      </c>
      <c r="H8" s="297">
        <f t="shared" ref="H8:H21" si="5">(D8*10000)-(F8*10000)</f>
        <v>480.59633139483617</v>
      </c>
      <c r="J8" s="292" t="s">
        <v>41</v>
      </c>
      <c r="K8" s="293">
        <v>507.3</v>
      </c>
      <c r="L8" s="294">
        <v>-8.0699999999999994E-2</v>
      </c>
      <c r="M8" s="293">
        <v>489.5</v>
      </c>
      <c r="N8" s="295">
        <v>-8.3373001130186059E-2</v>
      </c>
      <c r="O8" s="318">
        <f t="shared" si="1"/>
        <v>3.636363636363639E-2</v>
      </c>
      <c r="P8" s="297">
        <f t="shared" ref="P8:P21" si="6">(L8*10000)-(N8*10000)</f>
        <v>26.730011301860714</v>
      </c>
      <c r="R8" s="292" t="s">
        <v>41</v>
      </c>
      <c r="S8" s="293">
        <v>489.5</v>
      </c>
      <c r="T8" s="294">
        <v>-8.3373001130186059E-2</v>
      </c>
      <c r="U8" s="293">
        <v>468</v>
      </c>
      <c r="V8" s="295">
        <v>-4.1099999999999998E-2</v>
      </c>
      <c r="W8" s="318">
        <f t="shared" si="2"/>
        <v>4.5940170940170943E-2</v>
      </c>
      <c r="X8" s="297">
        <f t="shared" ref="X8:X21" si="7">(T8*10000)-(V8*10000)</f>
        <v>-422.7300113018606</v>
      </c>
      <c r="Z8" s="292" t="s">
        <v>41</v>
      </c>
      <c r="AA8" s="293">
        <v>468</v>
      </c>
      <c r="AB8" s="294">
        <v>-4.1099999999999998E-2</v>
      </c>
      <c r="AC8" s="293">
        <v>453</v>
      </c>
      <c r="AD8" s="295">
        <v>-6.5100000000000005E-2</v>
      </c>
      <c r="AE8" s="296">
        <f t="shared" si="3"/>
        <v>3.3112582781456956E-2</v>
      </c>
      <c r="AF8" s="297">
        <f t="shared" ref="AF8:AF21" si="8">(AB8*10000)-(AD8*10000)</f>
        <v>240</v>
      </c>
      <c r="AH8" s="292" t="s">
        <v>41</v>
      </c>
      <c r="AI8" s="293">
        <f t="shared" ref="AI8:AI21" si="9">+K8</f>
        <v>507.3</v>
      </c>
      <c r="AJ8" s="294">
        <f t="shared" ref="AJ8:AJ21" si="10">+L8</f>
        <v>-8.0699999999999994E-2</v>
      </c>
      <c r="AK8" s="293">
        <f>421.45-5.22113</f>
        <v>416.22886999999997</v>
      </c>
      <c r="AL8" s="295">
        <v>-1.41E-2</v>
      </c>
      <c r="AM8" s="295">
        <f t="shared" si="4"/>
        <v>0.21880060842487942</v>
      </c>
      <c r="AN8" s="297">
        <f t="shared" ref="AN8:AN21" si="11">(AJ8*10000)-(AL8*10000)</f>
        <v>-665.99999999999989</v>
      </c>
      <c r="AP8" s="12"/>
      <c r="AQ8" s="12" t="s">
        <v>140</v>
      </c>
      <c r="AR8" s="211">
        <v>1</v>
      </c>
      <c r="AS8" s="22">
        <f>AS7/AR7*AR8</f>
        <v>9.041095890410959E-4</v>
      </c>
      <c r="AT8" s="12"/>
      <c r="AU8" s="12"/>
      <c r="AV8" s="12"/>
      <c r="AW8" s="12"/>
      <c r="AX8" s="12"/>
      <c r="AY8" s="12"/>
      <c r="AZ8" s="12"/>
    </row>
    <row r="9" spans="2:52">
      <c r="B9" s="292" t="s">
        <v>45</v>
      </c>
      <c r="C9" s="293">
        <f>+'Planilla de datos'!C15</f>
        <v>157.69999999999999</v>
      </c>
      <c r="D9" s="294">
        <f>+'Planilla de datos'!E71</f>
        <v>2.7927407226562506E-2</v>
      </c>
      <c r="E9" s="293">
        <v>152.9</v>
      </c>
      <c r="F9" s="295">
        <v>6.1999999999999998E-3</v>
      </c>
      <c r="G9" s="318">
        <f t="shared" si="0"/>
        <v>3.1393067364290275E-2</v>
      </c>
      <c r="H9" s="297">
        <f t="shared" si="5"/>
        <v>217.27407226562508</v>
      </c>
      <c r="J9" s="292" t="s">
        <v>45</v>
      </c>
      <c r="K9" s="293">
        <v>152.9</v>
      </c>
      <c r="L9" s="294">
        <v>6.1999999999999998E-3</v>
      </c>
      <c r="M9" s="293">
        <v>146.25</v>
      </c>
      <c r="N9" s="295">
        <v>8.9184326171875012E-3</v>
      </c>
      <c r="O9" s="318">
        <f t="shared" si="1"/>
        <v>4.5470085470085506E-2</v>
      </c>
      <c r="P9" s="297">
        <f t="shared" si="6"/>
        <v>-27.184326171875014</v>
      </c>
      <c r="R9" s="292" t="s">
        <v>45</v>
      </c>
      <c r="S9" s="293">
        <v>146.25</v>
      </c>
      <c r="T9" s="294">
        <v>8.9184326171875012E-3</v>
      </c>
      <c r="U9" s="293">
        <v>141.5</v>
      </c>
      <c r="V9" s="295">
        <v>1E-3</v>
      </c>
      <c r="W9" s="318">
        <f t="shared" si="2"/>
        <v>3.3568904593639579E-2</v>
      </c>
      <c r="X9" s="297">
        <f t="shared" si="7"/>
        <v>79.184326171875014</v>
      </c>
      <c r="Z9" s="292" t="s">
        <v>45</v>
      </c>
      <c r="AA9" s="293">
        <v>141.5</v>
      </c>
      <c r="AB9" s="294">
        <v>1E-3</v>
      </c>
      <c r="AC9" s="293">
        <f>140.5-0.8241</f>
        <v>139.67590000000001</v>
      </c>
      <c r="AD9" s="295">
        <v>-3.09E-2</v>
      </c>
      <c r="AE9" s="296">
        <f t="shared" si="3"/>
        <v>1.3059518499612224E-2</v>
      </c>
      <c r="AF9" s="297">
        <f t="shared" si="8"/>
        <v>319</v>
      </c>
      <c r="AH9" s="292" t="s">
        <v>45</v>
      </c>
      <c r="AI9" s="293">
        <f t="shared" si="9"/>
        <v>152.9</v>
      </c>
      <c r="AJ9" s="294">
        <f t="shared" si="10"/>
        <v>6.1999999999999998E-3</v>
      </c>
      <c r="AK9" s="293">
        <f>127-0.8241</f>
        <v>126.1759</v>
      </c>
      <c r="AL9" s="295">
        <v>2.2000000000000001E-3</v>
      </c>
      <c r="AM9" s="295">
        <f t="shared" si="4"/>
        <v>0.21180035173119438</v>
      </c>
      <c r="AN9" s="297">
        <f t="shared" si="11"/>
        <v>40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</row>
    <row r="10" spans="2:52">
      <c r="B10" s="292" t="s">
        <v>91</v>
      </c>
      <c r="C10" s="293">
        <v>741</v>
      </c>
      <c r="D10" s="294">
        <v>1.41E-2</v>
      </c>
      <c r="E10" s="293">
        <f>739-22.72504</f>
        <v>716.27495999999996</v>
      </c>
      <c r="F10" s="295">
        <v>8.8000000000000005E-3</v>
      </c>
      <c r="G10" s="318">
        <f t="shared" si="0"/>
        <v>3.451892273324763E-2</v>
      </c>
      <c r="H10" s="297">
        <f t="shared" si="5"/>
        <v>53</v>
      </c>
      <c r="J10" s="292" t="s">
        <v>91</v>
      </c>
      <c r="K10" s="293">
        <v>716</v>
      </c>
      <c r="L10" s="294">
        <v>8.8000000000000005E-3</v>
      </c>
      <c r="M10" s="349">
        <f>719.9-21.85117</f>
        <v>698.04882999999995</v>
      </c>
      <c r="N10" s="295">
        <v>1.84E-2</v>
      </c>
      <c r="O10" s="318">
        <f t="shared" si="1"/>
        <v>2.5716209566600159E-2</v>
      </c>
      <c r="P10" s="297">
        <f t="shared" si="6"/>
        <v>-96</v>
      </c>
      <c r="R10" s="292" t="s">
        <v>91</v>
      </c>
      <c r="S10" s="293">
        <v>719.9</v>
      </c>
      <c r="T10" s="294">
        <v>1.84E-2</v>
      </c>
      <c r="U10" s="293">
        <v>706</v>
      </c>
      <c r="V10" s="295">
        <v>2.3699999999999999E-2</v>
      </c>
      <c r="W10" s="318">
        <f t="shared" si="2"/>
        <v>1.968838526912178E-2</v>
      </c>
      <c r="X10" s="297">
        <f t="shared" si="7"/>
        <v>-53</v>
      </c>
      <c r="Z10" s="292" t="s">
        <v>91</v>
      </c>
      <c r="AA10" s="293">
        <v>706</v>
      </c>
      <c r="AB10" s="294">
        <v>2.3699999999999999E-2</v>
      </c>
      <c r="AC10" s="293">
        <f>732-20.171</f>
        <v>711.82899999999995</v>
      </c>
      <c r="AD10" s="295">
        <v>-1.29E-2</v>
      </c>
      <c r="AE10" s="296">
        <f t="shared" si="3"/>
        <v>-8.1887644364024952E-3</v>
      </c>
      <c r="AF10" s="297">
        <f t="shared" si="8"/>
        <v>366</v>
      </c>
      <c r="AH10" s="292" t="s">
        <v>91</v>
      </c>
      <c r="AI10" s="293">
        <f t="shared" si="9"/>
        <v>716</v>
      </c>
      <c r="AJ10" s="294">
        <f t="shared" si="10"/>
        <v>8.8000000000000005E-3</v>
      </c>
      <c r="AK10" s="293">
        <f>680-17.61244-18.29033-18.98586-19.69598-21.85117</f>
        <v>583.56421999999998</v>
      </c>
      <c r="AL10" s="295">
        <v>2.6200000000000001E-2</v>
      </c>
      <c r="AM10" s="295">
        <f t="shared" si="4"/>
        <v>0.22694294040165799</v>
      </c>
      <c r="AN10" s="297">
        <f t="shared" si="11"/>
        <v>-174</v>
      </c>
      <c r="AP10" s="12"/>
      <c r="AQ10" s="12" t="s">
        <v>141</v>
      </c>
      <c r="AR10" s="12" t="s">
        <v>142</v>
      </c>
      <c r="AS10" s="326" t="s">
        <v>21</v>
      </c>
      <c r="AT10" s="326" t="s">
        <v>184</v>
      </c>
      <c r="AU10" s="326" t="s">
        <v>141</v>
      </c>
      <c r="AY10" s="12"/>
      <c r="AZ10" s="12"/>
    </row>
    <row r="11" spans="2:52">
      <c r="B11" s="292" t="s">
        <v>102</v>
      </c>
      <c r="C11" s="293">
        <f>+'Planilla de datos'!C72</f>
        <v>148</v>
      </c>
      <c r="D11" s="294">
        <f>+'Planilla de datos'!E72</f>
        <v>3.2965014648437499E-2</v>
      </c>
      <c r="E11" s="293">
        <v>144.5</v>
      </c>
      <c r="F11" s="295">
        <v>1.38E-2</v>
      </c>
      <c r="G11" s="318">
        <f t="shared" si="0"/>
        <v>2.4221453287197232E-2</v>
      </c>
      <c r="H11" s="297">
        <f t="shared" si="5"/>
        <v>191.650146484375</v>
      </c>
      <c r="J11" s="292" t="s">
        <v>102</v>
      </c>
      <c r="K11" s="293">
        <v>144.5</v>
      </c>
      <c r="L11" s="294">
        <v>1.38E-2</v>
      </c>
      <c r="M11" s="293">
        <v>137.5</v>
      </c>
      <c r="N11" s="295">
        <v>1.8868178710937503E-2</v>
      </c>
      <c r="O11" s="318">
        <f t="shared" si="1"/>
        <v>5.0909090909090911E-2</v>
      </c>
      <c r="P11" s="297">
        <f t="shared" si="6"/>
        <v>-50.681787109375023</v>
      </c>
      <c r="R11" s="292" t="s">
        <v>102</v>
      </c>
      <c r="S11" s="293">
        <v>137.5</v>
      </c>
      <c r="T11" s="294">
        <v>1.8868178710937503E-2</v>
      </c>
      <c r="U11" s="293">
        <v>134</v>
      </c>
      <c r="V11" s="295">
        <v>8.0999999999999996E-3</v>
      </c>
      <c r="W11" s="318">
        <f t="shared" si="2"/>
        <v>2.6119402985074626E-2</v>
      </c>
      <c r="X11" s="297">
        <f t="shared" si="7"/>
        <v>107.68178710937502</v>
      </c>
      <c r="Z11" s="292" t="s">
        <v>102</v>
      </c>
      <c r="AA11" s="293">
        <v>134</v>
      </c>
      <c r="AB11" s="294">
        <v>8.0999999999999996E-3</v>
      </c>
      <c r="AC11" s="293">
        <f>133.75-0.853</f>
        <v>132.89699999999999</v>
      </c>
      <c r="AD11" s="295">
        <v>1.06E-2</v>
      </c>
      <c r="AE11" s="296">
        <f t="shared" si="3"/>
        <v>8.2996606394426416E-3</v>
      </c>
      <c r="AF11" s="297">
        <f t="shared" si="8"/>
        <v>-25</v>
      </c>
      <c r="AH11" s="292" t="s">
        <v>102</v>
      </c>
      <c r="AI11" s="293">
        <f t="shared" si="9"/>
        <v>144.5</v>
      </c>
      <c r="AJ11" s="294">
        <f t="shared" si="10"/>
        <v>1.38E-2</v>
      </c>
      <c r="AK11" s="293">
        <f>115-0.853</f>
        <v>114.14700000000001</v>
      </c>
      <c r="AL11" s="295">
        <v>3.5299999999999998E-2</v>
      </c>
      <c r="AM11" s="295">
        <f t="shared" si="4"/>
        <v>0.26591150008322595</v>
      </c>
      <c r="AN11" s="297">
        <f t="shared" si="11"/>
        <v>-215</v>
      </c>
      <c r="AP11" s="12"/>
      <c r="AQ11" s="12"/>
      <c r="AR11" s="12"/>
      <c r="AS11" s="12"/>
      <c r="AT11" s="12"/>
      <c r="AU11" s="12"/>
      <c r="AY11" s="12"/>
      <c r="AZ11" s="12"/>
    </row>
    <row r="12" spans="2:52">
      <c r="B12" s="292" t="s">
        <v>78</v>
      </c>
      <c r="C12" s="293">
        <f>+'Planilla de datos'!C73</f>
        <v>368</v>
      </c>
      <c r="D12" s="294">
        <f>+'Planilla de datos'!E73</f>
        <v>4.3932631611824036E-2</v>
      </c>
      <c r="E12" s="293">
        <v>356</v>
      </c>
      <c r="F12" s="295">
        <v>3.4099999999999998E-2</v>
      </c>
      <c r="G12" s="318">
        <f t="shared" si="0"/>
        <v>3.3707865168539325E-2</v>
      </c>
      <c r="H12" s="297">
        <f t="shared" si="5"/>
        <v>98.326316118240356</v>
      </c>
      <c r="J12" s="292" t="s">
        <v>78</v>
      </c>
      <c r="K12" s="293">
        <v>356</v>
      </c>
      <c r="L12" s="294">
        <v>3.4099999999999998E-2</v>
      </c>
      <c r="M12" s="293">
        <v>339</v>
      </c>
      <c r="N12" s="295">
        <v>3.6822703480720531E-2</v>
      </c>
      <c r="O12" s="318">
        <f t="shared" si="1"/>
        <v>5.0147492625368731E-2</v>
      </c>
      <c r="P12" s="297">
        <f t="shared" si="6"/>
        <v>-27.227034807205314</v>
      </c>
      <c r="R12" s="292" t="s">
        <v>78</v>
      </c>
      <c r="S12" s="293">
        <v>339</v>
      </c>
      <c r="T12" s="294">
        <v>3.6822703480720531E-2</v>
      </c>
      <c r="U12" s="293">
        <v>333.5</v>
      </c>
      <c r="V12" s="295">
        <v>2.23E-2</v>
      </c>
      <c r="W12" s="318">
        <f t="shared" si="2"/>
        <v>1.6491754122938532E-2</v>
      </c>
      <c r="X12" s="297">
        <f t="shared" si="7"/>
        <v>145.22703480720531</v>
      </c>
      <c r="Z12" s="292" t="s">
        <v>78</v>
      </c>
      <c r="AA12" s="293">
        <v>333.5</v>
      </c>
      <c r="AB12" s="294">
        <v>2.23E-2</v>
      </c>
      <c r="AC12" s="293">
        <f>332-6.2268</f>
        <v>325.77319999999997</v>
      </c>
      <c r="AD12" s="295">
        <v>9.1000000000000004E-3</v>
      </c>
      <c r="AE12" s="296">
        <f t="shared" si="3"/>
        <v>2.3718341471919809E-2</v>
      </c>
      <c r="AF12" s="297">
        <f t="shared" si="8"/>
        <v>132</v>
      </c>
      <c r="AH12" s="292" t="s">
        <v>78</v>
      </c>
      <c r="AI12" s="293">
        <f t="shared" si="9"/>
        <v>356</v>
      </c>
      <c r="AJ12" s="294">
        <f t="shared" si="10"/>
        <v>3.4099999999999998E-2</v>
      </c>
      <c r="AK12" s="293">
        <f>288-6.2268</f>
        <v>281.77319999999997</v>
      </c>
      <c r="AL12" s="295">
        <v>4.6300000000000001E-2</v>
      </c>
      <c r="AM12" s="295">
        <f t="shared" si="4"/>
        <v>0.26342746577744097</v>
      </c>
      <c r="AN12" s="297">
        <f t="shared" si="11"/>
        <v>-122</v>
      </c>
      <c r="AP12" s="12"/>
      <c r="AQ12" s="212">
        <v>5000000</v>
      </c>
      <c r="AR12" s="12" t="s">
        <v>143</v>
      </c>
      <c r="AS12" s="19">
        <f>+'TO21'!E8</f>
        <v>90</v>
      </c>
      <c r="AT12" s="22">
        <f>(1+(AS7/365))^(AS12)-1</f>
        <v>8.4732162340434458E-2</v>
      </c>
      <c r="AU12" s="213">
        <f>-AQ12*AT12</f>
        <v>-423660.81170217227</v>
      </c>
      <c r="AY12" s="12"/>
      <c r="AZ12" s="12"/>
    </row>
    <row r="13" spans="2:52">
      <c r="B13" s="298" t="s">
        <v>65</v>
      </c>
      <c r="C13" s="293">
        <f>+'Planilla de datos'!C74</f>
        <v>150.69999999999999</v>
      </c>
      <c r="D13" s="294">
        <f>+'Planilla de datos'!E74</f>
        <v>4.6011450195312512E-2</v>
      </c>
      <c r="E13" s="293">
        <v>146.6</v>
      </c>
      <c r="F13" s="295">
        <v>3.3399999999999999E-2</v>
      </c>
      <c r="G13" s="318">
        <f t="shared" si="0"/>
        <v>2.7967257844474725E-2</v>
      </c>
      <c r="H13" s="297">
        <f t="shared" si="5"/>
        <v>126.11450195312511</v>
      </c>
      <c r="J13" s="298" t="s">
        <v>65</v>
      </c>
      <c r="K13" s="293">
        <v>146.6</v>
      </c>
      <c r="L13" s="294">
        <v>3.3399999999999999E-2</v>
      </c>
      <c r="M13" s="293">
        <v>141.5</v>
      </c>
      <c r="N13" s="295">
        <v>2.8474916992187509E-2</v>
      </c>
      <c r="O13" s="318">
        <f t="shared" si="1"/>
        <v>3.6042402826855086E-2</v>
      </c>
      <c r="P13" s="297">
        <f t="shared" si="6"/>
        <v>49.25083007812492</v>
      </c>
      <c r="R13" s="298" t="s">
        <v>65</v>
      </c>
      <c r="S13" s="293">
        <v>141.5</v>
      </c>
      <c r="T13" s="294">
        <v>2.8474916992187509E-2</v>
      </c>
      <c r="U13" s="293">
        <v>130.6</v>
      </c>
      <c r="V13" s="295">
        <v>4.8899999999999999E-2</v>
      </c>
      <c r="W13" s="318">
        <f t="shared" si="2"/>
        <v>8.3460949464012293E-2</v>
      </c>
      <c r="X13" s="297">
        <f t="shared" si="7"/>
        <v>-204.25083007812492</v>
      </c>
      <c r="Z13" s="298" t="s">
        <v>65</v>
      </c>
      <c r="AA13" s="293">
        <v>130.6</v>
      </c>
      <c r="AB13" s="294">
        <v>4.8899999999999999E-2</v>
      </c>
      <c r="AC13" s="293">
        <f>135.25-0.96572</f>
        <v>134.28428</v>
      </c>
      <c r="AD13" s="295">
        <v>8.9999999999999993E-3</v>
      </c>
      <c r="AE13" s="296">
        <f t="shared" si="3"/>
        <v>-2.7436420703897742E-2</v>
      </c>
      <c r="AF13" s="297">
        <f t="shared" si="8"/>
        <v>399</v>
      </c>
      <c r="AH13" s="298" t="s">
        <v>65</v>
      </c>
      <c r="AI13" s="293">
        <f t="shared" si="9"/>
        <v>146.6</v>
      </c>
      <c r="AJ13" s="294">
        <f t="shared" si="10"/>
        <v>3.3399999999999999E-2</v>
      </c>
      <c r="AK13" s="293">
        <f>118.7-0.96572</f>
        <v>117.73428</v>
      </c>
      <c r="AL13" s="295">
        <v>3.8699999999999998E-2</v>
      </c>
      <c r="AM13" s="295">
        <f t="shared" si="4"/>
        <v>0.24517685078636398</v>
      </c>
      <c r="AN13" s="297">
        <f t="shared" si="11"/>
        <v>-53</v>
      </c>
      <c r="AP13" s="12"/>
      <c r="AQ13" s="214">
        <f>+AQ12</f>
        <v>5000000</v>
      </c>
      <c r="AR13" s="40" t="s">
        <v>144</v>
      </c>
      <c r="AS13" s="327">
        <f>+AS12</f>
        <v>90</v>
      </c>
      <c r="AT13" s="215">
        <f>+'TO21'!U9</f>
        <v>8.9910089910089919E-2</v>
      </c>
      <c r="AU13" s="216">
        <f>AQ13*AT13</f>
        <v>449550.44955044962</v>
      </c>
      <c r="AY13" s="22"/>
      <c r="AZ13" s="12"/>
    </row>
    <row r="14" spans="2:52">
      <c r="B14" s="292" t="s">
        <v>180</v>
      </c>
      <c r="C14" s="293">
        <f>+'Planilla de datos'!C75</f>
        <v>136</v>
      </c>
      <c r="D14" s="294">
        <f>+'Planilla de datos'!E74</f>
        <v>4.6011450195312512E-2</v>
      </c>
      <c r="E14" s="293">
        <v>130.1</v>
      </c>
      <c r="F14" s="295">
        <v>4.2000000000000003E-2</v>
      </c>
      <c r="G14" s="318">
        <f t="shared" si="0"/>
        <v>4.5349730976172224E-2</v>
      </c>
      <c r="H14" s="297">
        <f t="shared" si="5"/>
        <v>40.114501953125114</v>
      </c>
      <c r="J14" s="292" t="s">
        <v>180</v>
      </c>
      <c r="K14" s="293">
        <v>122.75</v>
      </c>
      <c r="L14" s="294">
        <v>4.8085317382812506E-2</v>
      </c>
      <c r="M14" s="293">
        <v>122.75</v>
      </c>
      <c r="N14" s="295">
        <v>4.8085317382812506E-2</v>
      </c>
      <c r="O14" s="318">
        <f t="shared" si="1"/>
        <v>0</v>
      </c>
      <c r="P14" s="297">
        <f t="shared" si="6"/>
        <v>0</v>
      </c>
      <c r="R14" s="292" t="s">
        <v>180</v>
      </c>
      <c r="S14" s="293">
        <v>122.75</v>
      </c>
      <c r="T14" s="294">
        <v>4.8085317382812506E-2</v>
      </c>
      <c r="U14" s="293">
        <v>122</v>
      </c>
      <c r="V14" s="295">
        <v>3.1399999999999997E-2</v>
      </c>
      <c r="W14" s="318">
        <f t="shared" si="2"/>
        <v>6.1475409836065573E-3</v>
      </c>
      <c r="X14" s="297">
        <f t="shared" si="7"/>
        <v>166.85317382812508</v>
      </c>
      <c r="Z14" s="292" t="s">
        <v>180</v>
      </c>
      <c r="AA14" s="293">
        <v>122</v>
      </c>
      <c r="AB14" s="294">
        <v>3.1399999999999997E-2</v>
      </c>
      <c r="AC14" s="293">
        <v>119</v>
      </c>
      <c r="AD14" s="295">
        <v>3.9199999999999999E-2</v>
      </c>
      <c r="AE14" s="296">
        <f t="shared" si="3"/>
        <v>2.5210084033613446E-2</v>
      </c>
      <c r="AF14" s="297">
        <f t="shared" si="8"/>
        <v>-78</v>
      </c>
      <c r="AH14" s="292" t="s">
        <v>180</v>
      </c>
      <c r="AI14" s="293">
        <f t="shared" si="9"/>
        <v>122.75</v>
      </c>
      <c r="AJ14" s="294">
        <f t="shared" si="10"/>
        <v>4.8085317382812506E-2</v>
      </c>
      <c r="AK14" s="12"/>
      <c r="AL14" s="295"/>
      <c r="AM14" s="145"/>
      <c r="AN14" s="297">
        <f t="shared" si="11"/>
        <v>480.85317382812508</v>
      </c>
      <c r="AP14" s="12"/>
      <c r="AQ14" s="12"/>
      <c r="AR14" s="12" t="s">
        <v>138</v>
      </c>
      <c r="AS14" s="12"/>
      <c r="AT14" s="12"/>
      <c r="AU14" s="213"/>
      <c r="AY14" s="12"/>
      <c r="AZ14" s="12"/>
    </row>
    <row r="15" spans="2:52">
      <c r="B15" s="292" t="s">
        <v>81</v>
      </c>
      <c r="C15" s="293">
        <f>+'Planilla de datos'!C76</f>
        <v>141</v>
      </c>
      <c r="D15" s="294">
        <f>+'Planilla de datos'!E76</f>
        <v>6.0383334960937521E-2</v>
      </c>
      <c r="E15" s="293">
        <v>138.69999999999999</v>
      </c>
      <c r="F15" s="295">
        <v>4.8500000000000001E-2</v>
      </c>
      <c r="G15" s="318">
        <f t="shared" si="0"/>
        <v>1.6582552271088763E-2</v>
      </c>
      <c r="H15" s="297">
        <f t="shared" si="5"/>
        <v>118.8333496093752</v>
      </c>
      <c r="J15" s="292" t="s">
        <v>81</v>
      </c>
      <c r="K15" s="293">
        <v>138.69999999999999</v>
      </c>
      <c r="L15" s="294">
        <v>4.8500000000000001E-2</v>
      </c>
      <c r="M15" s="293">
        <v>131.75</v>
      </c>
      <c r="N15" s="295">
        <v>4.9566499023437516E-2</v>
      </c>
      <c r="O15" s="318">
        <f t="shared" si="1"/>
        <v>5.2751423149905038E-2</v>
      </c>
      <c r="P15" s="297">
        <f t="shared" si="6"/>
        <v>-10.664990234375182</v>
      </c>
      <c r="R15" s="292" t="s">
        <v>81</v>
      </c>
      <c r="S15" s="293">
        <v>131.75</v>
      </c>
      <c r="T15" s="294">
        <v>4.9566499023437516E-2</v>
      </c>
      <c r="U15" s="293">
        <v>120.25</v>
      </c>
      <c r="V15" s="295">
        <v>6.8099999999999994E-2</v>
      </c>
      <c r="W15" s="318">
        <f t="shared" si="2"/>
        <v>9.5634095634095639E-2</v>
      </c>
      <c r="X15" s="297">
        <f t="shared" si="7"/>
        <v>-185.3350097656247</v>
      </c>
      <c r="Z15" s="292" t="s">
        <v>81</v>
      </c>
      <c r="AA15" s="293">
        <v>120.25</v>
      </c>
      <c r="AB15" s="294">
        <v>6.8099999999999994E-2</v>
      </c>
      <c r="AC15" s="293">
        <f>126.35-1.0347</f>
        <v>125.31529999999999</v>
      </c>
      <c r="AD15" s="295">
        <v>3.5099999999999999E-2</v>
      </c>
      <c r="AE15" s="296">
        <f t="shared" si="3"/>
        <v>-4.0420443473382688E-2</v>
      </c>
      <c r="AF15" s="297">
        <f t="shared" si="8"/>
        <v>329.99999999999989</v>
      </c>
      <c r="AH15" s="292" t="s">
        <v>81</v>
      </c>
      <c r="AI15" s="293">
        <f t="shared" si="9"/>
        <v>138.69999999999999</v>
      </c>
      <c r="AJ15" s="294">
        <f t="shared" si="10"/>
        <v>4.8500000000000001E-2</v>
      </c>
      <c r="AK15" s="293">
        <f>108.9-1.0347</f>
        <v>107.8653</v>
      </c>
      <c r="AL15" s="295">
        <v>6.0999999999999999E-2</v>
      </c>
      <c r="AM15" s="295">
        <f t="shared" ref="AM15:AM21" si="12">(AI15-AK15)/AK15</f>
        <v>0.2858630161877822</v>
      </c>
      <c r="AN15" s="297">
        <f t="shared" si="11"/>
        <v>-125</v>
      </c>
      <c r="AP15" s="12"/>
      <c r="AQ15" s="12"/>
      <c r="AR15" s="12"/>
      <c r="AS15" s="22"/>
      <c r="AT15" s="12" t="s">
        <v>234</v>
      </c>
      <c r="AU15" s="213">
        <f>+AU13+AU12</f>
        <v>25889.637848277343</v>
      </c>
      <c r="AY15" s="213"/>
      <c r="AZ15" s="12"/>
    </row>
    <row r="16" spans="2:52">
      <c r="B16" s="292" t="s">
        <v>124</v>
      </c>
      <c r="C16" s="293">
        <f>+'Planilla de datos'!C78</f>
        <v>114.85</v>
      </c>
      <c r="D16" s="294">
        <f>+'Planilla de datos'!E78</f>
        <v>7.34679638671875E-2</v>
      </c>
      <c r="E16" s="293">
        <v>114</v>
      </c>
      <c r="F16" s="295">
        <v>6.2199999999999998E-2</v>
      </c>
      <c r="G16" s="318">
        <f t="shared" si="0"/>
        <v>7.4561403508771433E-3</v>
      </c>
      <c r="H16" s="297">
        <f t="shared" si="5"/>
        <v>112.67963867187495</v>
      </c>
      <c r="J16" s="292" t="s">
        <v>124</v>
      </c>
      <c r="K16" s="293">
        <v>114</v>
      </c>
      <c r="L16" s="294">
        <v>6.2199999999999998E-2</v>
      </c>
      <c r="M16" s="293">
        <f>107.3-1.78169</f>
        <v>105.51831</v>
      </c>
      <c r="N16" s="295">
        <v>6.9883022460937513E-2</v>
      </c>
      <c r="O16" s="318">
        <f t="shared" si="1"/>
        <v>8.0381215354946453E-2</v>
      </c>
      <c r="P16" s="297">
        <f t="shared" si="6"/>
        <v>-76.830224609375136</v>
      </c>
      <c r="R16" s="292" t="s">
        <v>124</v>
      </c>
      <c r="S16" s="293">
        <v>107.3</v>
      </c>
      <c r="T16" s="294">
        <v>6.9883022460937513E-2</v>
      </c>
      <c r="U16" s="293">
        <v>99.7</v>
      </c>
      <c r="V16" s="295">
        <v>7.6999999999999999E-2</v>
      </c>
      <c r="W16" s="318">
        <f t="shared" si="2"/>
        <v>7.6228686058174469E-2</v>
      </c>
      <c r="X16" s="297">
        <f t="shared" si="7"/>
        <v>-71.169775390624864</v>
      </c>
      <c r="Z16" s="292" t="s">
        <v>124</v>
      </c>
      <c r="AA16" s="293">
        <v>99.7</v>
      </c>
      <c r="AB16" s="294">
        <v>7.6999999999999999E-2</v>
      </c>
      <c r="AC16" s="293">
        <v>102.6</v>
      </c>
      <c r="AD16" s="295">
        <v>5.7000000000000002E-2</v>
      </c>
      <c r="AE16" s="296">
        <f t="shared" si="3"/>
        <v>-2.8265107212475552E-2</v>
      </c>
      <c r="AF16" s="297">
        <f t="shared" si="8"/>
        <v>200</v>
      </c>
      <c r="AH16" s="292" t="s">
        <v>124</v>
      </c>
      <c r="AI16" s="293">
        <f t="shared" si="9"/>
        <v>114</v>
      </c>
      <c r="AJ16" s="294">
        <f t="shared" si="10"/>
        <v>6.2199999999999998E-2</v>
      </c>
      <c r="AK16" s="293">
        <f>87.3-1.78169</f>
        <v>85.51831</v>
      </c>
      <c r="AL16" s="295">
        <v>7.7399999999999997E-2</v>
      </c>
      <c r="AM16" s="295">
        <f t="shared" si="12"/>
        <v>0.33304785840599516</v>
      </c>
      <c r="AN16" s="297">
        <f t="shared" si="11"/>
        <v>-152</v>
      </c>
      <c r="AP16" s="12"/>
      <c r="AQ16" s="12"/>
      <c r="AR16" s="12"/>
      <c r="AS16" s="12"/>
      <c r="AT16" s="12" t="s">
        <v>235</v>
      </c>
      <c r="AU16" s="157">
        <f>AU15/AQ12</f>
        <v>5.1779275696554683E-3</v>
      </c>
      <c r="AY16" s="213"/>
      <c r="AZ16" s="12"/>
    </row>
    <row r="17" spans="2:52">
      <c r="B17" s="292" t="s">
        <v>90</v>
      </c>
      <c r="C17" s="293">
        <f>+'Planilla de datos'!C77</f>
        <v>340</v>
      </c>
      <c r="D17" s="294">
        <f>+'Planilla de datos'!E77</f>
        <v>5.273611843585968E-2</v>
      </c>
      <c r="E17" s="293">
        <v>320</v>
      </c>
      <c r="F17" s="295">
        <v>5.5800000000000002E-2</v>
      </c>
      <c r="G17" s="318">
        <f t="shared" si="0"/>
        <v>6.25E-2</v>
      </c>
      <c r="H17" s="297">
        <f t="shared" si="5"/>
        <v>-30.638815641403198</v>
      </c>
      <c r="J17" s="292" t="s">
        <v>90</v>
      </c>
      <c r="K17" s="293">
        <v>320</v>
      </c>
      <c r="L17" s="294">
        <v>5.5800000000000002E-2</v>
      </c>
      <c r="M17" s="293">
        <v>305</v>
      </c>
      <c r="N17" s="295">
        <v>5.6411436200141898E-2</v>
      </c>
      <c r="O17" s="318">
        <f t="shared" si="1"/>
        <v>4.9180327868852458E-2</v>
      </c>
      <c r="P17" s="297">
        <f t="shared" si="6"/>
        <v>-6.1143620014189537</v>
      </c>
      <c r="R17" s="292" t="s">
        <v>90</v>
      </c>
      <c r="S17" s="293">
        <v>305</v>
      </c>
      <c r="T17" s="294">
        <v>5.6411436200141898E-2</v>
      </c>
      <c r="U17" s="293">
        <f>284-6.387</f>
        <v>277.613</v>
      </c>
      <c r="V17" s="295">
        <v>7.0300000000000001E-2</v>
      </c>
      <c r="W17" s="318">
        <f t="shared" si="2"/>
        <v>9.8651720200422899E-2</v>
      </c>
      <c r="X17" s="297">
        <f t="shared" si="7"/>
        <v>-138.88563799858105</v>
      </c>
      <c r="Z17" s="292" t="s">
        <v>90</v>
      </c>
      <c r="AA17" s="293">
        <v>284</v>
      </c>
      <c r="AB17" s="294">
        <v>7.0300000000000001E-2</v>
      </c>
      <c r="AC17" s="293">
        <v>290</v>
      </c>
      <c r="AD17" s="295">
        <v>4.9700000000000001E-2</v>
      </c>
      <c r="AE17" s="296">
        <f t="shared" si="3"/>
        <v>-2.0689655172413793E-2</v>
      </c>
      <c r="AF17" s="297">
        <f t="shared" si="8"/>
        <v>206</v>
      </c>
      <c r="AH17" s="292" t="s">
        <v>90</v>
      </c>
      <c r="AI17" s="293">
        <f t="shared" si="9"/>
        <v>320</v>
      </c>
      <c r="AJ17" s="294">
        <f t="shared" si="10"/>
        <v>5.5800000000000002E-2</v>
      </c>
      <c r="AK17" s="293">
        <f>240-6.387</f>
        <v>233.613</v>
      </c>
      <c r="AL17" s="295">
        <v>8.09E-2</v>
      </c>
      <c r="AM17" s="295">
        <f t="shared" si="12"/>
        <v>0.36978678412588339</v>
      </c>
      <c r="AN17" s="297">
        <f t="shared" si="11"/>
        <v>-251</v>
      </c>
      <c r="AP17" s="12"/>
      <c r="AQ17" s="12"/>
      <c r="AR17" s="12"/>
      <c r="AS17" s="12"/>
      <c r="AT17" s="12"/>
      <c r="AU17" s="12"/>
      <c r="AV17" s="12"/>
      <c r="AW17" s="12"/>
      <c r="AX17" s="213"/>
      <c r="AY17" s="213"/>
      <c r="AZ17" s="12"/>
    </row>
    <row r="18" spans="2:52">
      <c r="B18" s="292" t="s">
        <v>129</v>
      </c>
      <c r="C18" s="293">
        <f>+'Planilla de datos'!C79</f>
        <v>108.2</v>
      </c>
      <c r="D18" s="294">
        <f>+'Planilla de datos'!E79</f>
        <v>8.3005133271217363E-2</v>
      </c>
      <c r="E18" s="293">
        <v>108</v>
      </c>
      <c r="F18" s="295">
        <v>7.1499999999999994E-2</v>
      </c>
      <c r="G18" s="318">
        <f t="shared" si="0"/>
        <v>1.8518518518518782E-3</v>
      </c>
      <c r="H18" s="297">
        <f t="shared" si="5"/>
        <v>115.05133271217369</v>
      </c>
      <c r="J18" s="292" t="s">
        <v>129</v>
      </c>
      <c r="K18" s="293">
        <v>108</v>
      </c>
      <c r="L18" s="294">
        <v>7.1499999999999994E-2</v>
      </c>
      <c r="M18" s="293">
        <f>102.35-2.00441</f>
        <v>100.34558999999999</v>
      </c>
      <c r="N18" s="295">
        <v>7.7353796362876912E-2</v>
      </c>
      <c r="O18" s="318">
        <f t="shared" si="1"/>
        <v>7.6280482281284243E-2</v>
      </c>
      <c r="P18" s="297">
        <f t="shared" si="6"/>
        <v>-58.537963628769262</v>
      </c>
      <c r="R18" s="292" t="s">
        <v>129</v>
      </c>
      <c r="S18" s="293">
        <v>102.35</v>
      </c>
      <c r="T18" s="294">
        <v>7.7353796362876912E-2</v>
      </c>
      <c r="U18" s="293">
        <v>96.27</v>
      </c>
      <c r="V18" s="295">
        <v>8.09E-2</v>
      </c>
      <c r="W18" s="318">
        <f t="shared" si="2"/>
        <v>6.3155707904850922E-2</v>
      </c>
      <c r="X18" s="297">
        <f t="shared" si="7"/>
        <v>-35.462036371230852</v>
      </c>
      <c r="Z18" s="292" t="s">
        <v>129</v>
      </c>
      <c r="AA18" s="293">
        <v>96.27</v>
      </c>
      <c r="AB18" s="294">
        <v>8.09E-2</v>
      </c>
      <c r="AC18" s="293">
        <v>101.5</v>
      </c>
      <c r="AD18" s="295">
        <v>5.7700000000000001E-2</v>
      </c>
      <c r="AE18" s="296">
        <f t="shared" si="3"/>
        <v>-5.1527093596059149E-2</v>
      </c>
      <c r="AF18" s="297">
        <f t="shared" si="8"/>
        <v>232</v>
      </c>
      <c r="AH18" s="292" t="s">
        <v>129</v>
      </c>
      <c r="AI18" s="293">
        <f t="shared" si="9"/>
        <v>108</v>
      </c>
      <c r="AJ18" s="294">
        <f t="shared" si="10"/>
        <v>7.1499999999999994E-2</v>
      </c>
      <c r="AK18" s="293">
        <f>84.7-2.00441</f>
        <v>82.69559000000001</v>
      </c>
      <c r="AL18" s="295">
        <v>8.0100000000000005E-2</v>
      </c>
      <c r="AM18" s="295">
        <f t="shared" si="12"/>
        <v>0.30599467275098935</v>
      </c>
      <c r="AN18" s="297">
        <f t="shared" si="11"/>
        <v>-86.000000000000114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2:52">
      <c r="B19" s="292" t="s">
        <v>73</v>
      </c>
      <c r="C19" s="293">
        <f>+'Planilla de datos'!C80</f>
        <v>2330</v>
      </c>
      <c r="D19" s="294">
        <f>+'Planilla de datos'!E80</f>
        <v>9.0999999999999998E-2</v>
      </c>
      <c r="E19" s="293">
        <v>2348</v>
      </c>
      <c r="F19" s="295">
        <v>8.5900000000000004E-2</v>
      </c>
      <c r="G19" s="318">
        <f t="shared" si="0"/>
        <v>-7.6660988074957409E-3</v>
      </c>
      <c r="H19" s="297">
        <f t="shared" si="5"/>
        <v>51</v>
      </c>
      <c r="J19" s="292" t="s">
        <v>73</v>
      </c>
      <c r="K19" s="293">
        <v>2348</v>
      </c>
      <c r="L19" s="294">
        <v>8.5900000000000004E-2</v>
      </c>
      <c r="M19" s="293">
        <v>2146</v>
      </c>
      <c r="N19" s="295">
        <v>9.3700000000000006E-2</v>
      </c>
      <c r="O19" s="318">
        <f t="shared" si="1"/>
        <v>9.4128611369990678E-2</v>
      </c>
      <c r="P19" s="297">
        <f t="shared" si="6"/>
        <v>-78</v>
      </c>
      <c r="R19" s="292" t="s">
        <v>73</v>
      </c>
      <c r="S19" s="293">
        <v>2146</v>
      </c>
      <c r="T19" s="294">
        <v>9.3700000000000006E-2</v>
      </c>
      <c r="U19" s="293">
        <v>2000</v>
      </c>
      <c r="V19" s="295">
        <v>9.8100000000000007E-2</v>
      </c>
      <c r="W19" s="318">
        <f t="shared" si="2"/>
        <v>7.2999999999999995E-2</v>
      </c>
      <c r="X19" s="297">
        <f t="shared" si="7"/>
        <v>-44.000000000000114</v>
      </c>
      <c r="Z19" s="292" t="s">
        <v>73</v>
      </c>
      <c r="AA19" s="293">
        <v>2000</v>
      </c>
      <c r="AB19" s="294">
        <v>9.8100000000000007E-2</v>
      </c>
      <c r="AC19" s="293">
        <v>2098</v>
      </c>
      <c r="AD19" s="295">
        <v>7.9500000000000001E-2</v>
      </c>
      <c r="AE19" s="296">
        <f t="shared" si="3"/>
        <v>-4.6711153479504289E-2</v>
      </c>
      <c r="AF19" s="297">
        <f t="shared" si="8"/>
        <v>186.00000000000011</v>
      </c>
      <c r="AG19" s="161"/>
      <c r="AH19" s="292" t="s">
        <v>73</v>
      </c>
      <c r="AI19" s="293">
        <f t="shared" si="9"/>
        <v>2348</v>
      </c>
      <c r="AJ19" s="294">
        <f t="shared" si="10"/>
        <v>8.5900000000000004E-2</v>
      </c>
      <c r="AK19" s="293">
        <v>1880</v>
      </c>
      <c r="AL19" s="295">
        <v>8.5099999999999995E-2</v>
      </c>
      <c r="AM19" s="295">
        <f t="shared" si="12"/>
        <v>0.24893617021276596</v>
      </c>
      <c r="AN19" s="297">
        <f t="shared" si="11"/>
        <v>8</v>
      </c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</row>
    <row r="20" spans="2:52">
      <c r="B20" s="292" t="s">
        <v>75</v>
      </c>
      <c r="C20" s="293">
        <f>+'Planilla de datos'!C81</f>
        <v>881</v>
      </c>
      <c r="D20" s="294">
        <f>+'Planilla de datos'!E81</f>
        <v>0.1105</v>
      </c>
      <c r="E20" s="293">
        <v>840</v>
      </c>
      <c r="F20" s="295">
        <v>0.1104</v>
      </c>
      <c r="G20" s="318">
        <f t="shared" si="0"/>
        <v>4.880952380952381E-2</v>
      </c>
      <c r="H20" s="297">
        <f t="shared" si="5"/>
        <v>1</v>
      </c>
      <c r="J20" s="292" t="s">
        <v>75</v>
      </c>
      <c r="K20" s="293">
        <v>840</v>
      </c>
      <c r="L20" s="294">
        <v>0.1104</v>
      </c>
      <c r="M20" s="293">
        <v>793</v>
      </c>
      <c r="N20" s="295">
        <v>0.1113</v>
      </c>
      <c r="O20" s="318">
        <f t="shared" si="1"/>
        <v>5.9268600252206809E-2</v>
      </c>
      <c r="P20" s="297">
        <f t="shared" si="6"/>
        <v>-9</v>
      </c>
      <c r="R20" s="292" t="s">
        <v>75</v>
      </c>
      <c r="S20" s="293">
        <v>793</v>
      </c>
      <c r="T20" s="294">
        <v>0.1113</v>
      </c>
      <c r="U20" s="293">
        <v>785</v>
      </c>
      <c r="V20" s="295">
        <v>0.1072</v>
      </c>
      <c r="W20" s="318">
        <f t="shared" si="2"/>
        <v>1.019108280254777E-2</v>
      </c>
      <c r="X20" s="297">
        <f t="shared" si="7"/>
        <v>41</v>
      </c>
      <c r="Z20" s="292" t="s">
        <v>75</v>
      </c>
      <c r="AA20" s="293">
        <v>785</v>
      </c>
      <c r="AB20" s="294">
        <v>0.1072</v>
      </c>
      <c r="AC20" s="293">
        <v>823</v>
      </c>
      <c r="AD20" s="295">
        <v>9.8199999999999996E-2</v>
      </c>
      <c r="AE20" s="296">
        <f t="shared" si="3"/>
        <v>-4.6172539489671933E-2</v>
      </c>
      <c r="AF20" s="297">
        <f t="shared" si="8"/>
        <v>90</v>
      </c>
      <c r="AH20" s="292" t="s">
        <v>75</v>
      </c>
      <c r="AI20" s="293">
        <f t="shared" si="9"/>
        <v>840</v>
      </c>
      <c r="AJ20" s="294">
        <f t="shared" si="10"/>
        <v>0.1104</v>
      </c>
      <c r="AK20" s="293">
        <f>714-17.04802</f>
        <v>696.95198000000005</v>
      </c>
      <c r="AL20" s="295">
        <v>0.10489999999999999</v>
      </c>
      <c r="AM20" s="295">
        <f t="shared" si="12"/>
        <v>0.20524802870923753</v>
      </c>
      <c r="AN20" s="297">
        <f t="shared" si="11"/>
        <v>55</v>
      </c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</row>
    <row r="21" spans="2:52">
      <c r="B21" s="292" t="s">
        <v>74</v>
      </c>
      <c r="C21" s="293">
        <f>+'Planilla de datos'!C82</f>
        <v>1330</v>
      </c>
      <c r="D21" s="294">
        <f>+'Planilla de datos'!E82</f>
        <v>0.1016</v>
      </c>
      <c r="E21" s="293">
        <v>1235</v>
      </c>
      <c r="F21" s="295">
        <v>0.10730000000000001</v>
      </c>
      <c r="G21" s="318">
        <f t="shared" si="0"/>
        <v>7.6923076923076927E-2</v>
      </c>
      <c r="H21" s="297">
        <f t="shared" si="5"/>
        <v>-57</v>
      </c>
      <c r="J21" s="292" t="s">
        <v>74</v>
      </c>
      <c r="K21" s="293">
        <v>1235</v>
      </c>
      <c r="L21" s="294">
        <v>0.10730000000000001</v>
      </c>
      <c r="M21" s="293">
        <v>1200</v>
      </c>
      <c r="N21" s="295">
        <v>0.1052</v>
      </c>
      <c r="O21" s="318">
        <f t="shared" si="1"/>
        <v>2.9166666666666667E-2</v>
      </c>
      <c r="P21" s="297">
        <f t="shared" si="6"/>
        <v>21</v>
      </c>
      <c r="R21" s="292" t="s">
        <v>74</v>
      </c>
      <c r="S21" s="293">
        <v>1200</v>
      </c>
      <c r="T21" s="294">
        <v>0.1052</v>
      </c>
      <c r="U21" s="293">
        <v>1140</v>
      </c>
      <c r="V21" s="295">
        <v>0.1056</v>
      </c>
      <c r="W21" s="318">
        <f t="shared" si="2"/>
        <v>5.2631578947368418E-2</v>
      </c>
      <c r="X21" s="297">
        <f t="shared" si="7"/>
        <v>-4</v>
      </c>
      <c r="Z21" s="292" t="s">
        <v>74</v>
      </c>
      <c r="AA21" s="293">
        <v>1140</v>
      </c>
      <c r="AB21" s="294">
        <v>0.1056</v>
      </c>
      <c r="AC21" s="293">
        <v>1200</v>
      </c>
      <c r="AD21" s="295">
        <v>9.5100000000000004E-2</v>
      </c>
      <c r="AE21" s="296">
        <f t="shared" si="3"/>
        <v>-0.05</v>
      </c>
      <c r="AF21" s="297">
        <f t="shared" si="8"/>
        <v>105</v>
      </c>
      <c r="AH21" s="292" t="s">
        <v>74</v>
      </c>
      <c r="AI21" s="293">
        <f t="shared" si="9"/>
        <v>1235</v>
      </c>
      <c r="AJ21" s="294">
        <f t="shared" si="10"/>
        <v>0.10730000000000001</v>
      </c>
      <c r="AK21" s="293">
        <v>1010</v>
      </c>
      <c r="AL21" s="295">
        <v>0.104</v>
      </c>
      <c r="AM21" s="295">
        <f t="shared" si="12"/>
        <v>0.22277227722772278</v>
      </c>
      <c r="AN21" s="297">
        <f t="shared" si="11"/>
        <v>33</v>
      </c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</row>
    <row r="22" spans="2:52">
      <c r="AH22" s="292" t="s">
        <v>229</v>
      </c>
      <c r="AM22" s="5">
        <f>+BB47</f>
        <v>0.15505775288764442</v>
      </c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2:52">
      <c r="B23" s="374" t="s">
        <v>145</v>
      </c>
      <c r="C23" s="374"/>
      <c r="D23" s="374"/>
      <c r="E23" s="374"/>
      <c r="F23" s="374"/>
      <c r="G23" s="374"/>
      <c r="H23" s="374"/>
      <c r="J23" s="374" t="s">
        <v>145</v>
      </c>
      <c r="K23" s="374"/>
      <c r="L23" s="374"/>
      <c r="M23" s="374"/>
      <c r="N23" s="374"/>
      <c r="O23" s="374"/>
      <c r="P23" s="374"/>
      <c r="R23" s="374" t="s">
        <v>145</v>
      </c>
      <c r="S23" s="374"/>
      <c r="T23" s="374"/>
      <c r="U23" s="374"/>
      <c r="V23" s="374"/>
      <c r="W23" s="374"/>
      <c r="X23" s="374"/>
      <c r="Z23" s="374" t="s">
        <v>145</v>
      </c>
      <c r="AA23" s="374"/>
      <c r="AB23" s="374"/>
      <c r="AC23" s="374"/>
      <c r="AD23" s="374"/>
      <c r="AE23" s="374"/>
      <c r="AF23" s="374"/>
      <c r="AH23" s="382" t="s">
        <v>145</v>
      </c>
      <c r="AI23" s="382"/>
      <c r="AJ23" s="382"/>
      <c r="AK23" s="382"/>
      <c r="AL23" s="38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</row>
    <row r="24" spans="2:52">
      <c r="AN24" s="12"/>
      <c r="AO24" s="12"/>
      <c r="AP24" s="12"/>
      <c r="AQ24" s="12"/>
      <c r="AR24" s="12"/>
      <c r="AS24" s="12"/>
    </row>
    <row r="25" spans="2:52">
      <c r="AN25" s="5">
        <f>(1+AM16)/(1+AM22)-1</f>
        <v>0.15409628226240257</v>
      </c>
    </row>
    <row r="26" spans="2:52">
      <c r="B26" s="350" t="s">
        <v>251</v>
      </c>
      <c r="J26" s="301" t="s">
        <v>60</v>
      </c>
      <c r="R26" s="301" t="s">
        <v>60</v>
      </c>
      <c r="Z26" s="6" t="s">
        <v>60</v>
      </c>
      <c r="AH26" s="301" t="s">
        <v>60</v>
      </c>
    </row>
    <row r="27" spans="2:52">
      <c r="B27" s="375" t="s">
        <v>186</v>
      </c>
      <c r="C27" s="375"/>
      <c r="D27" s="375"/>
      <c r="E27" s="375"/>
      <c r="F27" s="375"/>
      <c r="G27" s="375"/>
      <c r="H27" s="375"/>
      <c r="J27" s="375" t="s">
        <v>186</v>
      </c>
      <c r="K27" s="375"/>
      <c r="L27" s="375"/>
      <c r="M27" s="375"/>
      <c r="N27" s="375"/>
      <c r="O27" s="375"/>
      <c r="P27" s="375"/>
      <c r="R27" s="375" t="s">
        <v>186</v>
      </c>
      <c r="S27" s="375"/>
      <c r="T27" s="375"/>
      <c r="U27" s="375"/>
      <c r="V27" s="375"/>
      <c r="W27" s="375"/>
      <c r="X27" s="375"/>
      <c r="Z27" s="375" t="s">
        <v>186</v>
      </c>
      <c r="AA27" s="375"/>
      <c r="AB27" s="375"/>
      <c r="AC27" s="375"/>
      <c r="AD27" s="375"/>
      <c r="AE27" s="375"/>
      <c r="AF27" s="375"/>
      <c r="AH27" s="375" t="s">
        <v>186</v>
      </c>
      <c r="AI27" s="375"/>
      <c r="AJ27" s="375"/>
      <c r="AK27" s="375"/>
      <c r="AL27" s="375"/>
      <c r="AM27" s="375"/>
      <c r="AN27" s="375"/>
    </row>
    <row r="28" spans="2:52">
      <c r="B28" s="376" t="s">
        <v>250</v>
      </c>
      <c r="C28" s="376"/>
      <c r="D28" s="376"/>
      <c r="E28" s="376"/>
      <c r="F28" s="376"/>
      <c r="G28" s="376"/>
      <c r="H28" s="376"/>
      <c r="J28" s="376" t="s">
        <v>233</v>
      </c>
      <c r="K28" s="376"/>
      <c r="L28" s="376"/>
      <c r="M28" s="376"/>
      <c r="N28" s="376"/>
      <c r="O28" s="376"/>
      <c r="P28" s="376"/>
      <c r="R28" s="376" t="s">
        <v>226</v>
      </c>
      <c r="S28" s="376"/>
      <c r="T28" s="376"/>
      <c r="U28" s="376"/>
      <c r="V28" s="376"/>
      <c r="W28" s="376"/>
      <c r="X28" s="376"/>
      <c r="Z28" s="376" t="s">
        <v>212</v>
      </c>
      <c r="AA28" s="376"/>
      <c r="AB28" s="376"/>
      <c r="AC28" s="376"/>
      <c r="AD28" s="376"/>
      <c r="AE28" s="376"/>
      <c r="AF28" s="376"/>
      <c r="AH28" s="376" t="s">
        <v>216</v>
      </c>
      <c r="AI28" s="376"/>
      <c r="AJ28" s="376"/>
      <c r="AK28" s="376"/>
      <c r="AL28" s="376"/>
      <c r="AM28" s="376"/>
      <c r="AN28" s="376"/>
    </row>
    <row r="29" spans="2:52">
      <c r="B29" s="377" t="s">
        <v>46</v>
      </c>
      <c r="C29" s="378" t="s">
        <v>208</v>
      </c>
      <c r="D29" s="378"/>
      <c r="E29" s="379">
        <v>44347</v>
      </c>
      <c r="F29" s="380"/>
      <c r="G29" s="378" t="s">
        <v>209</v>
      </c>
      <c r="H29" s="378"/>
      <c r="J29" s="377" t="s">
        <v>46</v>
      </c>
      <c r="K29" s="379">
        <v>44347</v>
      </c>
      <c r="L29" s="380"/>
      <c r="M29" s="379">
        <v>44316</v>
      </c>
      <c r="N29" s="380"/>
      <c r="O29" s="378" t="s">
        <v>209</v>
      </c>
      <c r="P29" s="378"/>
      <c r="R29" s="377" t="s">
        <v>46</v>
      </c>
      <c r="S29" s="378" t="s">
        <v>208</v>
      </c>
      <c r="T29" s="378"/>
      <c r="U29" s="379">
        <v>44286</v>
      </c>
      <c r="V29" s="380"/>
      <c r="W29" s="378" t="s">
        <v>209</v>
      </c>
      <c r="X29" s="378"/>
      <c r="Z29" s="377" t="s">
        <v>46</v>
      </c>
      <c r="AA29" s="378" t="s">
        <v>208</v>
      </c>
      <c r="AB29" s="378"/>
      <c r="AC29" s="379">
        <v>44253</v>
      </c>
      <c r="AD29" s="380"/>
      <c r="AE29" s="378" t="s">
        <v>209</v>
      </c>
      <c r="AF29" s="378"/>
      <c r="AH29" s="377" t="s">
        <v>46</v>
      </c>
      <c r="AI29" s="378" t="s">
        <v>208</v>
      </c>
      <c r="AJ29" s="378"/>
      <c r="AK29" s="379">
        <v>44195</v>
      </c>
      <c r="AL29" s="380"/>
      <c r="AM29" s="378" t="s">
        <v>209</v>
      </c>
      <c r="AN29" s="378"/>
    </row>
    <row r="30" spans="2:52" ht="15" customHeight="1">
      <c r="B30" s="377"/>
      <c r="C30" s="163" t="s">
        <v>83</v>
      </c>
      <c r="D30" s="291" t="s">
        <v>10</v>
      </c>
      <c r="E30" s="163" t="s">
        <v>83</v>
      </c>
      <c r="F30" s="291" t="s">
        <v>10</v>
      </c>
      <c r="G30" s="290" t="s">
        <v>210</v>
      </c>
      <c r="H30" s="291" t="s">
        <v>211</v>
      </c>
      <c r="J30" s="377"/>
      <c r="K30" s="163" t="s">
        <v>83</v>
      </c>
      <c r="L30" s="291" t="s">
        <v>10</v>
      </c>
      <c r="M30" s="163" t="s">
        <v>83</v>
      </c>
      <c r="N30" s="291" t="s">
        <v>10</v>
      </c>
      <c r="O30" s="290" t="s">
        <v>210</v>
      </c>
      <c r="P30" s="291" t="s">
        <v>211</v>
      </c>
      <c r="R30" s="377"/>
      <c r="S30" s="163" t="s">
        <v>83</v>
      </c>
      <c r="T30" s="291" t="s">
        <v>10</v>
      </c>
      <c r="U30" s="163" t="s">
        <v>83</v>
      </c>
      <c r="V30" s="291" t="s">
        <v>10</v>
      </c>
      <c r="W30" s="290" t="s">
        <v>210</v>
      </c>
      <c r="X30" s="291" t="s">
        <v>211</v>
      </c>
      <c r="Z30" s="377"/>
      <c r="AA30" s="163" t="s">
        <v>83</v>
      </c>
      <c r="AB30" s="291" t="s">
        <v>10</v>
      </c>
      <c r="AC30" s="163" t="s">
        <v>83</v>
      </c>
      <c r="AD30" s="291" t="s">
        <v>10</v>
      </c>
      <c r="AE30" s="290" t="s">
        <v>210</v>
      </c>
      <c r="AF30" s="291" t="s">
        <v>211</v>
      </c>
      <c r="AH30" s="377"/>
      <c r="AI30" s="163" t="s">
        <v>83</v>
      </c>
      <c r="AJ30" s="291" t="s">
        <v>10</v>
      </c>
      <c r="AK30" s="163" t="s">
        <v>83</v>
      </c>
      <c r="AL30" s="291" t="s">
        <v>10</v>
      </c>
      <c r="AM30" s="290" t="s">
        <v>210</v>
      </c>
      <c r="AN30" s="291" t="s">
        <v>211</v>
      </c>
    </row>
    <row r="31" spans="2:52">
      <c r="B31" s="292" t="s">
        <v>20</v>
      </c>
      <c r="C31" s="293">
        <f>+'Planilla de datos'!C9</f>
        <v>100.1</v>
      </c>
      <c r="D31" s="294">
        <f>+'Planilla de datos'!H9</f>
        <v>0.41788154785156262</v>
      </c>
      <c r="E31" s="293">
        <v>96.1</v>
      </c>
      <c r="F31" s="295">
        <v>0.45279999999999998</v>
      </c>
      <c r="G31" s="296">
        <f t="shared" ref="G31:G36" si="13">(C31-E31)/E31</f>
        <v>4.1623309053069719E-2</v>
      </c>
      <c r="H31" s="297">
        <f>(D31*10000)-(F31*10000)</f>
        <v>-349.18452148437427</v>
      </c>
      <c r="J31" s="292" t="s">
        <v>20</v>
      </c>
      <c r="K31" s="293">
        <v>96.1</v>
      </c>
      <c r="L31" s="294">
        <v>0.45279999999999998</v>
      </c>
      <c r="M31" s="293">
        <v>94.24</v>
      </c>
      <c r="N31" s="295">
        <v>0.41807884277343754</v>
      </c>
      <c r="O31" s="296">
        <f t="shared" ref="O31:O36" si="14">(K31-M31)/M31</f>
        <v>1.9736842105263153E-2</v>
      </c>
      <c r="P31" s="297">
        <f>(L31*10000)-(N31*10000)</f>
        <v>347.21157226562445</v>
      </c>
      <c r="R31" s="292" t="s">
        <v>20</v>
      </c>
      <c r="S31" s="293">
        <v>94.24</v>
      </c>
      <c r="T31" s="294">
        <v>0.41807884277343754</v>
      </c>
      <c r="U31" s="293">
        <v>90.25</v>
      </c>
      <c r="V31" s="295">
        <v>0.46600000000000003</v>
      </c>
      <c r="W31" s="296">
        <f t="shared" ref="W31:W42" si="15">(S31-U31)/U31</f>
        <v>4.4210526315789415E-2</v>
      </c>
      <c r="X31" s="297">
        <f>(T31*10000)-(V31*10000)</f>
        <v>-479.21157226562445</v>
      </c>
      <c r="Z31" s="292" t="s">
        <v>20</v>
      </c>
      <c r="AA31" s="293">
        <v>90.25</v>
      </c>
      <c r="AB31" s="294">
        <v>0.46600000000000003</v>
      </c>
      <c r="AC31" s="293">
        <f>97.5-9.1</f>
        <v>88.4</v>
      </c>
      <c r="AD31" s="295">
        <v>0.41899999999999998</v>
      </c>
      <c r="AE31" s="296">
        <f t="shared" ref="AE31:AE42" si="16">(AA31-AC31)/AC31</f>
        <v>2.0927601809954687E-2</v>
      </c>
      <c r="AF31" s="297">
        <f>(AB31*10000)-(AD31*10000)</f>
        <v>470</v>
      </c>
      <c r="AH31" s="292" t="s">
        <v>20</v>
      </c>
      <c r="AI31" s="293">
        <f>+K31</f>
        <v>96.1</v>
      </c>
      <c r="AJ31" s="294">
        <f>+L31</f>
        <v>0.45279999999999998</v>
      </c>
      <c r="AK31" s="293">
        <f>88.8-9.1</f>
        <v>79.7</v>
      </c>
      <c r="AL31" s="295">
        <v>0.502</v>
      </c>
      <c r="AM31" s="296">
        <f t="shared" ref="AM31:AM36" si="17">(AI31-AK31)/AK31</f>
        <v>0.2057716436637389</v>
      </c>
      <c r="AN31" s="297">
        <f>(AJ31*10000)-(AL31*10000)</f>
        <v>-492</v>
      </c>
    </row>
    <row r="32" spans="2:52">
      <c r="B32" s="292" t="s">
        <v>52</v>
      </c>
      <c r="C32" s="293">
        <f>+'Planilla de datos'!C10</f>
        <v>105.85</v>
      </c>
      <c r="D32" s="294">
        <f>+'Planilla de datos'!H10</f>
        <v>0.4066626513671876</v>
      </c>
      <c r="E32" s="293">
        <v>102.25</v>
      </c>
      <c r="F32" s="295">
        <v>0.42880000000000001</v>
      </c>
      <c r="G32" s="296">
        <f t="shared" si="13"/>
        <v>3.5207823960880139E-2</v>
      </c>
      <c r="H32" s="297">
        <f t="shared" ref="H32:H36" si="18">(D32*10000)-(F32*10000)</f>
        <v>-221.37348632812382</v>
      </c>
      <c r="J32" s="292" t="s">
        <v>52</v>
      </c>
      <c r="K32" s="293">
        <v>102.25</v>
      </c>
      <c r="L32" s="294">
        <v>0.42880000000000001</v>
      </c>
      <c r="M32" s="293">
        <f>109-8.55336</f>
        <v>100.44664</v>
      </c>
      <c r="N32" s="295">
        <v>0.37182125488281259</v>
      </c>
      <c r="O32" s="296">
        <f t="shared" si="14"/>
        <v>1.7953412876727363E-2</v>
      </c>
      <c r="P32" s="297">
        <f t="shared" ref="P32:P36" si="19">(L32*10000)-(N32*10000)</f>
        <v>569.78745117187418</v>
      </c>
      <c r="R32" s="292" t="s">
        <v>52</v>
      </c>
      <c r="S32" s="293">
        <v>109</v>
      </c>
      <c r="T32" s="294">
        <v>0.37182125488281259</v>
      </c>
      <c r="U32" s="293">
        <v>105</v>
      </c>
      <c r="V32" s="295">
        <v>0.42530000000000001</v>
      </c>
      <c r="W32" s="296">
        <f t="shared" si="15"/>
        <v>3.8095238095238099E-2</v>
      </c>
      <c r="X32" s="297">
        <f t="shared" ref="X32:X42" si="20">(T32*10000)-(V32*10000)</f>
        <v>-534.78745117187418</v>
      </c>
      <c r="Z32" s="292" t="s">
        <v>52</v>
      </c>
      <c r="AA32" s="293">
        <v>105</v>
      </c>
      <c r="AB32" s="294">
        <v>0.42530000000000001</v>
      </c>
      <c r="AC32" s="293">
        <v>101.35</v>
      </c>
      <c r="AD32" s="295">
        <v>0.43469999999999998</v>
      </c>
      <c r="AE32" s="296">
        <f t="shared" si="16"/>
        <v>3.6013813517513628E-2</v>
      </c>
      <c r="AF32" s="297">
        <f t="shared" ref="AF32:AF42" si="21">(AB32*10000)-(AD32*10000)</f>
        <v>-94</v>
      </c>
      <c r="AH32" s="292" t="s">
        <v>52</v>
      </c>
      <c r="AI32" s="293">
        <f t="shared" ref="AI32:AI36" si="22">+K32</f>
        <v>102.25</v>
      </c>
      <c r="AJ32" s="294">
        <f t="shared" ref="AJ32:AJ36" si="23">+L32</f>
        <v>0.42880000000000001</v>
      </c>
      <c r="AK32" s="293">
        <f>104.3-8.55336-8.55336</f>
        <v>87.193280000000001</v>
      </c>
      <c r="AL32" s="295">
        <v>0.43440000000000001</v>
      </c>
      <c r="AM32" s="296">
        <f t="shared" si="17"/>
        <v>0.17268211495197794</v>
      </c>
      <c r="AN32" s="297">
        <f t="shared" ref="AN32:AN36" si="24">(AJ32*10000)-(AL32*10000)</f>
        <v>-56</v>
      </c>
    </row>
    <row r="33" spans="2:54">
      <c r="B33" s="292" t="s">
        <v>55</v>
      </c>
      <c r="C33" s="293">
        <f>+'Planilla de datos'!C13</f>
        <v>69.45</v>
      </c>
      <c r="D33" s="294">
        <f>+'Planilla de datos'!H13</f>
        <v>0.45841657714843753</v>
      </c>
      <c r="E33" s="293">
        <v>86</v>
      </c>
      <c r="F33" s="295">
        <v>0.4541</v>
      </c>
      <c r="G33" s="296">
        <f t="shared" si="13"/>
        <v>-0.19244186046511624</v>
      </c>
      <c r="H33" s="297">
        <f t="shared" si="18"/>
        <v>43.165771484375</v>
      </c>
      <c r="J33" s="292" t="s">
        <v>55</v>
      </c>
      <c r="K33" s="293">
        <v>86</v>
      </c>
      <c r="L33" s="294">
        <v>0.4541</v>
      </c>
      <c r="M33" s="293">
        <v>82.25</v>
      </c>
      <c r="N33" s="295">
        <v>0.48414288085937507</v>
      </c>
      <c r="O33" s="296">
        <f t="shared" si="14"/>
        <v>4.5592705167173252E-2</v>
      </c>
      <c r="P33" s="297">
        <f t="shared" si="19"/>
        <v>-300.42880859375055</v>
      </c>
      <c r="R33" s="292" t="s">
        <v>55</v>
      </c>
      <c r="S33" s="293">
        <v>82.25</v>
      </c>
      <c r="T33" s="294">
        <v>0.48414288085937507</v>
      </c>
      <c r="U33" s="293">
        <v>79.5</v>
      </c>
      <c r="V33" s="295">
        <v>0.4869</v>
      </c>
      <c r="W33" s="296">
        <f t="shared" si="15"/>
        <v>3.4591194968553458E-2</v>
      </c>
      <c r="X33" s="297">
        <f t="shared" si="20"/>
        <v>-27.571191406249454</v>
      </c>
      <c r="Z33" s="292" t="s">
        <v>55</v>
      </c>
      <c r="AA33" s="293">
        <v>79.5</v>
      </c>
      <c r="AB33" s="294">
        <v>0.4869</v>
      </c>
      <c r="AC33" s="293">
        <f>97.5-20.49</f>
        <v>77.010000000000005</v>
      </c>
      <c r="AD33" s="295">
        <v>0.46589999999999998</v>
      </c>
      <c r="AE33" s="296">
        <f t="shared" si="16"/>
        <v>3.2333463186599076E-2</v>
      </c>
      <c r="AF33" s="297">
        <f t="shared" si="21"/>
        <v>210</v>
      </c>
      <c r="AH33" s="292" t="s">
        <v>55</v>
      </c>
      <c r="AI33" s="293">
        <f t="shared" si="22"/>
        <v>86</v>
      </c>
      <c r="AJ33" s="294">
        <f t="shared" si="23"/>
        <v>0.4541</v>
      </c>
      <c r="AK33" s="293">
        <f>89.85-20.489874</f>
        <v>69.360125999999994</v>
      </c>
      <c r="AL33" s="295">
        <v>0.50360000000000005</v>
      </c>
      <c r="AM33" s="296">
        <f t="shared" si="17"/>
        <v>0.23990547537355983</v>
      </c>
      <c r="AN33" s="297">
        <f t="shared" si="24"/>
        <v>-495.00000000000091</v>
      </c>
    </row>
    <row r="34" spans="2:54">
      <c r="B34" s="292" t="s">
        <v>120</v>
      </c>
      <c r="C34" s="293">
        <f>+'Planilla de datos'!C14</f>
        <v>98</v>
      </c>
      <c r="D34" s="294">
        <f>+'Planilla de datos'!H14</f>
        <v>0.45818644042968759</v>
      </c>
      <c r="E34" s="293">
        <v>103.5</v>
      </c>
      <c r="F34" s="295">
        <v>0.4541</v>
      </c>
      <c r="G34" s="296">
        <f t="shared" si="13"/>
        <v>-5.3140096618357488E-2</v>
      </c>
      <c r="H34" s="297">
        <f t="shared" si="18"/>
        <v>40.864404296876273</v>
      </c>
      <c r="J34" s="292" t="s">
        <v>120</v>
      </c>
      <c r="K34" s="293">
        <v>103.5</v>
      </c>
      <c r="L34" s="294">
        <v>0.4541</v>
      </c>
      <c r="M34" s="293">
        <v>100</v>
      </c>
      <c r="N34" s="295">
        <v>0.46326692871093766</v>
      </c>
      <c r="O34" s="296">
        <f t="shared" si="14"/>
        <v>3.5000000000000003E-2</v>
      </c>
      <c r="P34" s="297">
        <f t="shared" si="19"/>
        <v>-91.669287109376455</v>
      </c>
      <c r="R34" s="292" t="s">
        <v>120</v>
      </c>
      <c r="S34" s="293">
        <v>100</v>
      </c>
      <c r="T34" s="294">
        <v>0.46326692871093766</v>
      </c>
      <c r="U34" s="293">
        <v>96</v>
      </c>
      <c r="V34" s="295">
        <v>0.47720000000000001</v>
      </c>
      <c r="W34" s="296">
        <f t="shared" si="15"/>
        <v>4.1666666666666664E-2</v>
      </c>
      <c r="X34" s="297">
        <f t="shared" si="20"/>
        <v>-139.33071289062354</v>
      </c>
      <c r="Z34" s="292" t="s">
        <v>120</v>
      </c>
      <c r="AA34" s="293">
        <v>96</v>
      </c>
      <c r="AB34" s="294">
        <v>0.47720000000000001</v>
      </c>
      <c r="AC34" s="293">
        <f>103.5-9</f>
        <v>94.5</v>
      </c>
      <c r="AD34" s="295">
        <v>0.44529999999999997</v>
      </c>
      <c r="AE34" s="296">
        <f t="shared" si="16"/>
        <v>1.5873015873015872E-2</v>
      </c>
      <c r="AF34" s="297">
        <f t="shared" si="21"/>
        <v>319</v>
      </c>
      <c r="AH34" s="292" t="s">
        <v>120</v>
      </c>
      <c r="AI34" s="293">
        <f t="shared" si="22"/>
        <v>103.5</v>
      </c>
      <c r="AJ34" s="294">
        <f t="shared" si="23"/>
        <v>0.4541</v>
      </c>
      <c r="AK34" s="293">
        <f>92.95-9.00497</f>
        <v>83.945030000000003</v>
      </c>
      <c r="AL34" s="295">
        <v>0.51649999999999996</v>
      </c>
      <c r="AM34" s="296">
        <f t="shared" si="17"/>
        <v>0.23294970530119527</v>
      </c>
      <c r="AN34" s="297">
        <f t="shared" si="24"/>
        <v>-624</v>
      </c>
    </row>
    <row r="35" spans="2:54">
      <c r="B35" s="292" t="s">
        <v>79</v>
      </c>
      <c r="C35" s="293">
        <f>+'Planilla de datos'!C17</f>
        <v>64.900000000000006</v>
      </c>
      <c r="D35" s="294">
        <f>+'Planilla de datos'!H17</f>
        <v>0.49368477539062516</v>
      </c>
      <c r="E35" s="293">
        <v>62.5</v>
      </c>
      <c r="F35" s="295">
        <v>0.49390000000000001</v>
      </c>
      <c r="G35" s="296">
        <f t="shared" si="13"/>
        <v>3.8400000000000094E-2</v>
      </c>
      <c r="H35" s="297">
        <f t="shared" si="18"/>
        <v>-2.1522460937485448</v>
      </c>
      <c r="J35" s="292" t="s">
        <v>79</v>
      </c>
      <c r="K35" s="293">
        <v>62.5</v>
      </c>
      <c r="L35" s="294">
        <v>0.49390000000000001</v>
      </c>
      <c r="M35" s="293">
        <v>59.7</v>
      </c>
      <c r="N35" s="295">
        <v>0.50440194335937494</v>
      </c>
      <c r="O35" s="296">
        <f t="shared" si="14"/>
        <v>4.6901172529313181E-2</v>
      </c>
      <c r="P35" s="297">
        <f t="shared" si="19"/>
        <v>-105.01943359374945</v>
      </c>
      <c r="R35" s="292" t="s">
        <v>79</v>
      </c>
      <c r="S35" s="293">
        <v>59.7</v>
      </c>
      <c r="T35" s="294">
        <v>0.50440194335937494</v>
      </c>
      <c r="U35" s="293">
        <f>65-8</f>
        <v>57</v>
      </c>
      <c r="V35" s="295">
        <v>0.51380000000000003</v>
      </c>
      <c r="W35" s="296">
        <f t="shared" si="15"/>
        <v>4.7368421052631629E-2</v>
      </c>
      <c r="X35" s="297">
        <f t="shared" si="20"/>
        <v>-93.980566406250546</v>
      </c>
      <c r="Z35" s="292" t="s">
        <v>79</v>
      </c>
      <c r="AA35" s="293">
        <v>65</v>
      </c>
      <c r="AB35" s="294">
        <v>0.51380000000000003</v>
      </c>
      <c r="AC35" s="293">
        <v>68.599999999999994</v>
      </c>
      <c r="AD35" s="295">
        <v>0.44240000000000002</v>
      </c>
      <c r="AE35" s="296">
        <f t="shared" si="16"/>
        <v>-5.2478134110787091E-2</v>
      </c>
      <c r="AF35" s="297">
        <f t="shared" si="21"/>
        <v>714</v>
      </c>
      <c r="AH35" s="292" t="s">
        <v>79</v>
      </c>
      <c r="AI35" s="293">
        <f t="shared" si="22"/>
        <v>62.5</v>
      </c>
      <c r="AJ35" s="294">
        <f t="shared" si="23"/>
        <v>0.49390000000000001</v>
      </c>
      <c r="AK35" s="293">
        <f>49-8</f>
        <v>41</v>
      </c>
      <c r="AL35" s="295">
        <v>0.65359999999999996</v>
      </c>
      <c r="AM35" s="296">
        <f t="shared" si="17"/>
        <v>0.52439024390243905</v>
      </c>
      <c r="AN35" s="297">
        <f t="shared" si="24"/>
        <v>-1597</v>
      </c>
    </row>
    <row r="36" spans="2:54">
      <c r="B36" s="292" t="s">
        <v>80</v>
      </c>
      <c r="C36" s="293">
        <f>+'Planilla de datos'!C19</f>
        <v>43.97</v>
      </c>
      <c r="D36" s="294">
        <f>+'Planilla de datos'!H19</f>
        <v>0.51678725585937513</v>
      </c>
      <c r="E36" s="293">
        <v>42.8</v>
      </c>
      <c r="F36" s="295">
        <v>0.51039999999999996</v>
      </c>
      <c r="G36" s="296">
        <f t="shared" si="13"/>
        <v>2.7336448598130884E-2</v>
      </c>
      <c r="H36" s="297">
        <f t="shared" si="18"/>
        <v>63.872558593750909</v>
      </c>
      <c r="J36" s="292" t="s">
        <v>80</v>
      </c>
      <c r="K36" s="293">
        <v>42.8</v>
      </c>
      <c r="L36" s="294">
        <v>0.51039999999999996</v>
      </c>
      <c r="M36" s="293">
        <v>39.9</v>
      </c>
      <c r="N36" s="295">
        <v>0.53027102539062487</v>
      </c>
      <c r="O36" s="296">
        <f t="shared" si="14"/>
        <v>7.2681704260651597E-2</v>
      </c>
      <c r="P36" s="297">
        <f t="shared" si="19"/>
        <v>-198.71025390624891</v>
      </c>
      <c r="R36" s="292" t="s">
        <v>80</v>
      </c>
      <c r="S36" s="293">
        <v>39.9</v>
      </c>
      <c r="T36" s="294">
        <v>0.53027102539062487</v>
      </c>
      <c r="U36" s="293">
        <f>47.99-7.75</f>
        <v>40.24</v>
      </c>
      <c r="V36" s="295">
        <v>0.50760000000000005</v>
      </c>
      <c r="W36" s="296">
        <f t="shared" si="15"/>
        <v>-8.4493041749503818E-3</v>
      </c>
      <c r="X36" s="297">
        <f t="shared" si="20"/>
        <v>226.710253906248</v>
      </c>
      <c r="Z36" s="292" t="s">
        <v>80</v>
      </c>
      <c r="AA36" s="293">
        <v>47.99</v>
      </c>
      <c r="AB36" s="294">
        <v>0.50760000000000005</v>
      </c>
      <c r="AC36" s="293">
        <v>48.71</v>
      </c>
      <c r="AD36" s="295">
        <v>0.47689999999999999</v>
      </c>
      <c r="AE36" s="296">
        <f t="shared" si="16"/>
        <v>-1.4781359063847236E-2</v>
      </c>
      <c r="AF36" s="297">
        <f t="shared" si="21"/>
        <v>307.00000000000091</v>
      </c>
      <c r="AH36" s="292" t="s">
        <v>80</v>
      </c>
      <c r="AI36" s="293">
        <f t="shared" si="22"/>
        <v>42.8</v>
      </c>
      <c r="AJ36" s="294">
        <f t="shared" si="23"/>
        <v>0.51039999999999996</v>
      </c>
      <c r="AK36" s="293">
        <f>37-7.75</f>
        <v>29.25</v>
      </c>
      <c r="AL36" s="295">
        <v>0.60099999999999998</v>
      </c>
      <c r="AM36" s="296">
        <f t="shared" si="17"/>
        <v>0.46324786324786316</v>
      </c>
      <c r="AN36" s="297">
        <f t="shared" si="24"/>
        <v>-906</v>
      </c>
    </row>
    <row r="37" spans="2:54">
      <c r="B37" s="292" t="s">
        <v>171</v>
      </c>
      <c r="C37" s="293">
        <f>+'Planilla de datos'!C26</f>
        <v>107.75</v>
      </c>
      <c r="D37" s="294">
        <f>+'Planilla de datos'!H26</f>
        <v>0.46635158691406264</v>
      </c>
      <c r="E37" s="293">
        <v>104</v>
      </c>
      <c r="F37" s="295">
        <v>0.45639999999999997</v>
      </c>
      <c r="G37" s="296">
        <f>(C37-E37)/E37</f>
        <v>3.6057692307692304E-2</v>
      </c>
      <c r="H37" s="297">
        <f>(D37*10000)-(F37*10000)</f>
        <v>99.515869140626819</v>
      </c>
      <c r="J37" s="292" t="s">
        <v>171</v>
      </c>
      <c r="K37" s="293">
        <v>104</v>
      </c>
      <c r="L37" s="294">
        <v>0.45639999999999997</v>
      </c>
      <c r="M37" s="293">
        <v>101.25</v>
      </c>
      <c r="N37" s="295">
        <v>0.45778947753906263</v>
      </c>
      <c r="O37" s="296">
        <f>(K37-M37)/M37</f>
        <v>2.7160493827160494E-2</v>
      </c>
      <c r="P37" s="297">
        <f>(L37*10000)-(N37*10000)</f>
        <v>-13.894775390625909</v>
      </c>
      <c r="R37" s="298" t="s">
        <v>117</v>
      </c>
      <c r="S37" s="293">
        <v>106</v>
      </c>
      <c r="T37" s="294">
        <v>0.40678817871093753</v>
      </c>
      <c r="U37" s="293">
        <v>103.2</v>
      </c>
      <c r="V37" s="295">
        <v>0.47349999999999998</v>
      </c>
      <c r="W37" s="296">
        <f t="shared" si="15"/>
        <v>2.7131782945736406E-2</v>
      </c>
      <c r="X37" s="297">
        <f t="shared" si="20"/>
        <v>-667.11821289062482</v>
      </c>
      <c r="Z37" s="298" t="s">
        <v>117</v>
      </c>
      <c r="AA37" s="293">
        <v>103.2</v>
      </c>
      <c r="AB37" s="294">
        <v>0.47349999999999998</v>
      </c>
      <c r="AC37" s="293">
        <f>107.45-9.62</f>
        <v>97.83</v>
      </c>
      <c r="AD37" s="295">
        <v>0.51819999999999999</v>
      </c>
      <c r="AE37" s="296">
        <f t="shared" si="16"/>
        <v>5.4891137687825865E-2</v>
      </c>
      <c r="AF37" s="297">
        <f t="shared" si="21"/>
        <v>-447</v>
      </c>
      <c r="AH37" s="292" t="s">
        <v>171</v>
      </c>
      <c r="AI37" s="293">
        <f t="shared" ref="AI37:AJ41" si="25">+K37</f>
        <v>104</v>
      </c>
      <c r="AJ37" s="294">
        <f t="shared" si="25"/>
        <v>0.45639999999999997</v>
      </c>
      <c r="AK37" s="293">
        <f>100-9.5894136-9.639023382</f>
        <v>80.771563017999995</v>
      </c>
      <c r="AL37" s="295">
        <v>0.58330000000000004</v>
      </c>
      <c r="AM37" s="296">
        <f>(AI37-AK37)/AK37</f>
        <v>0.28758186809909242</v>
      </c>
      <c r="AN37" s="297">
        <f>(AJ37*10000)-(AL37*10000)</f>
        <v>-1269</v>
      </c>
    </row>
    <row r="38" spans="2:54">
      <c r="B38" s="292" t="s">
        <v>172</v>
      </c>
      <c r="C38" s="293">
        <f>+'Planilla de datos'!C29</f>
        <v>89</v>
      </c>
      <c r="D38" s="294">
        <f>+'Planilla de datos'!H29</f>
        <v>0.54036532226562528</v>
      </c>
      <c r="E38" s="293">
        <f>96.95-9.41477</f>
        <v>87.535229999999999</v>
      </c>
      <c r="F38" s="295">
        <v>0.51029999999999998</v>
      </c>
      <c r="G38" s="296">
        <f>(C38-E38)/E38</f>
        <v>1.6733491189775837E-2</v>
      </c>
      <c r="H38" s="297">
        <f>(D38*10000)-(F38*10000)</f>
        <v>300.65322265625309</v>
      </c>
      <c r="J38" s="292" t="s">
        <v>172</v>
      </c>
      <c r="K38" s="293">
        <v>96.95</v>
      </c>
      <c r="L38" s="294">
        <v>0.51029999999999998</v>
      </c>
      <c r="M38" s="293">
        <v>95.49</v>
      </c>
      <c r="N38" s="295">
        <v>0.503801416015625</v>
      </c>
      <c r="O38" s="296">
        <f>(K38-M38)/M38</f>
        <v>1.5289559116137899E-2</v>
      </c>
      <c r="P38" s="297">
        <f>(L38*10000)-(N38*10000)</f>
        <v>64.98583984375</v>
      </c>
      <c r="R38" s="292" t="s">
        <v>171</v>
      </c>
      <c r="S38" s="293">
        <v>101.25</v>
      </c>
      <c r="T38" s="294">
        <v>0.45778947753906263</v>
      </c>
      <c r="U38" s="293">
        <f>106.25-9.639</f>
        <v>96.611000000000004</v>
      </c>
      <c r="V38" s="295">
        <v>0.50439999999999996</v>
      </c>
      <c r="W38" s="296">
        <f t="shared" si="15"/>
        <v>4.8017306517891295E-2</v>
      </c>
      <c r="X38" s="297">
        <f t="shared" si="20"/>
        <v>-466.10522460937409</v>
      </c>
      <c r="Z38" s="292" t="s">
        <v>171</v>
      </c>
      <c r="AA38" s="293">
        <v>106.25</v>
      </c>
      <c r="AB38" s="294">
        <v>0.50439999999999996</v>
      </c>
      <c r="AC38" s="293">
        <v>104</v>
      </c>
      <c r="AD38" s="295">
        <v>0.44890000000000002</v>
      </c>
      <c r="AE38" s="296">
        <f t="shared" si="16"/>
        <v>2.1634615384615384E-2</v>
      </c>
      <c r="AF38" s="297">
        <f t="shared" si="21"/>
        <v>555</v>
      </c>
      <c r="AH38" s="292" t="s">
        <v>172</v>
      </c>
      <c r="AI38" s="293">
        <f t="shared" si="25"/>
        <v>96.95</v>
      </c>
      <c r="AJ38" s="294">
        <f t="shared" si="25"/>
        <v>0.51029999999999998</v>
      </c>
      <c r="AK38" s="293">
        <f>82-9.21444-9.41477</f>
        <v>63.37079</v>
      </c>
      <c r="AL38" s="295">
        <v>0.59060000000000001</v>
      </c>
      <c r="AM38" s="296">
        <f>(AI38-AK38)/AK38</f>
        <v>0.52988466768364417</v>
      </c>
      <c r="AN38" s="297">
        <f>(AJ38*10000)-(AL38*10000)</f>
        <v>-803</v>
      </c>
    </row>
    <row r="39" spans="2:54">
      <c r="B39" s="292" t="s">
        <v>155</v>
      </c>
      <c r="C39" s="293">
        <f>+'Planilla de datos'!C30</f>
        <v>90.6</v>
      </c>
      <c r="D39" s="294">
        <f>+'Planilla de datos'!H30</f>
        <v>0.52398575195312502</v>
      </c>
      <c r="E39" s="293">
        <v>86.45</v>
      </c>
      <c r="F39" s="295">
        <v>0.52900000000000003</v>
      </c>
      <c r="G39" s="296">
        <f>(C39-E39)/E39</f>
        <v>4.8004626951995276E-2</v>
      </c>
      <c r="H39" s="297">
        <f>(D39*10000)-(F39*10000)</f>
        <v>-50.142480468749454</v>
      </c>
      <c r="J39" s="292" t="s">
        <v>155</v>
      </c>
      <c r="K39" s="293">
        <v>86.45</v>
      </c>
      <c r="L39" s="294">
        <v>0.52900000000000003</v>
      </c>
      <c r="M39" s="293">
        <f>93.25-9.225528</f>
        <v>84.024472000000003</v>
      </c>
      <c r="N39" s="295">
        <v>0.52572100585937509</v>
      </c>
      <c r="O39" s="296">
        <f>(K39-M39)/M39</f>
        <v>2.8866923436305553E-2</v>
      </c>
      <c r="P39" s="297">
        <f>(L39*10000)-(N39*10000)</f>
        <v>32.789941406249454</v>
      </c>
      <c r="R39" s="292" t="s">
        <v>172</v>
      </c>
      <c r="S39" s="293">
        <v>95.49</v>
      </c>
      <c r="T39" s="294">
        <v>0.503801416015625</v>
      </c>
      <c r="U39" s="293">
        <v>91.75</v>
      </c>
      <c r="V39" s="295">
        <v>0.49730000000000002</v>
      </c>
      <c r="W39" s="296">
        <f t="shared" si="15"/>
        <v>4.0762942779291496E-2</v>
      </c>
      <c r="X39" s="297">
        <f t="shared" si="20"/>
        <v>65.01416015625</v>
      </c>
      <c r="Z39" s="292" t="s">
        <v>172</v>
      </c>
      <c r="AA39" s="293">
        <v>91.75</v>
      </c>
      <c r="AB39" s="294">
        <v>0.49730000000000002</v>
      </c>
      <c r="AC39" s="293">
        <f>98.65-9.2144</f>
        <v>89.435600000000008</v>
      </c>
      <c r="AD39" s="295">
        <v>0.49099999999999999</v>
      </c>
      <c r="AE39" s="296">
        <f t="shared" si="16"/>
        <v>2.5877838355196272E-2</v>
      </c>
      <c r="AF39" s="297">
        <f t="shared" si="21"/>
        <v>63</v>
      </c>
      <c r="AH39" s="292" t="s">
        <v>155</v>
      </c>
      <c r="AI39" s="293">
        <f t="shared" si="25"/>
        <v>86.45</v>
      </c>
      <c r="AJ39" s="294">
        <f t="shared" si="25"/>
        <v>0.52900000000000003</v>
      </c>
      <c r="AK39" s="293">
        <f>83-9.5173189-9.225528</f>
        <v>64.257153100000011</v>
      </c>
      <c r="AL39" s="295">
        <v>0.58289999999999997</v>
      </c>
      <c r="AM39" s="296">
        <f>(AI39-AK39)/AK39</f>
        <v>0.34537550808487327</v>
      </c>
      <c r="AN39" s="297">
        <f>(AJ39*10000)-(AL39*10000)</f>
        <v>-539</v>
      </c>
    </row>
    <row r="40" spans="2:54">
      <c r="B40" s="292" t="s">
        <v>32</v>
      </c>
      <c r="C40" s="293">
        <f>+'Planilla de datos'!C27</f>
        <v>98.85</v>
      </c>
      <c r="D40" s="294">
        <f>+'Planilla de datos'!H27</f>
        <v>0.52693625976562508</v>
      </c>
      <c r="E40" s="293">
        <v>96.4</v>
      </c>
      <c r="F40" s="295">
        <v>0.50229999999999997</v>
      </c>
      <c r="G40" s="296">
        <f>(C40-E40)/E40</f>
        <v>2.5414937759335982E-2</v>
      </c>
      <c r="H40" s="297">
        <f>(D40*10000)-(F40*10000)</f>
        <v>246.36259765625073</v>
      </c>
      <c r="J40" s="292" t="s">
        <v>32</v>
      </c>
      <c r="K40" s="293">
        <v>96.4</v>
      </c>
      <c r="L40" s="294">
        <v>0.50229999999999997</v>
      </c>
      <c r="M40" s="293">
        <f>101.7-9.5561</f>
        <v>92.143900000000002</v>
      </c>
      <c r="N40" s="295">
        <v>0.51572918945312507</v>
      </c>
      <c r="O40" s="296">
        <f>(K40-M40)/M40</f>
        <v>4.6189709790881474E-2</v>
      </c>
      <c r="P40" s="297">
        <f>(L40*10000)-(N40*10000)</f>
        <v>-134.29189453125036</v>
      </c>
      <c r="R40" s="292" t="s">
        <v>155</v>
      </c>
      <c r="S40" s="293">
        <v>93.25</v>
      </c>
      <c r="T40" s="294">
        <v>0.52572100585937509</v>
      </c>
      <c r="U40" s="293">
        <v>92</v>
      </c>
      <c r="V40" s="295">
        <v>0.50609999999999999</v>
      </c>
      <c r="W40" s="296">
        <f t="shared" si="15"/>
        <v>1.358695652173913E-2</v>
      </c>
      <c r="X40" s="297">
        <f t="shared" si="20"/>
        <v>196.21005859375055</v>
      </c>
      <c r="Z40" s="292" t="s">
        <v>155</v>
      </c>
      <c r="AA40" s="293">
        <v>92</v>
      </c>
      <c r="AB40" s="294">
        <v>0.50609999999999999</v>
      </c>
      <c r="AC40" s="293">
        <v>90</v>
      </c>
      <c r="AD40" s="295">
        <v>0.50190000000000001</v>
      </c>
      <c r="AE40" s="296">
        <f t="shared" si="16"/>
        <v>2.2222222222222223E-2</v>
      </c>
      <c r="AF40" s="297">
        <f t="shared" si="21"/>
        <v>42</v>
      </c>
      <c r="AH40" s="292" t="s">
        <v>32</v>
      </c>
      <c r="AI40" s="293">
        <f t="shared" si="25"/>
        <v>96.4</v>
      </c>
      <c r="AJ40" s="294">
        <f t="shared" si="25"/>
        <v>0.50229999999999997</v>
      </c>
      <c r="AK40" s="293">
        <f>91-9.3532-9.5561</f>
        <v>72.090699999999998</v>
      </c>
      <c r="AL40" s="295">
        <v>0.61750000000000005</v>
      </c>
      <c r="AM40" s="296">
        <f>(AI40-AK40)/AK40</f>
        <v>0.33720438281220749</v>
      </c>
      <c r="AN40" s="297">
        <f>(AJ40*10000)-(AL40*10000)</f>
        <v>-1152.0000000000009</v>
      </c>
    </row>
    <row r="41" spans="2:54">
      <c r="B41" s="292" t="s">
        <v>26</v>
      </c>
      <c r="C41" s="293">
        <f>+'Planilla de datos'!C28</f>
        <v>94.25</v>
      </c>
      <c r="D41" s="294">
        <f>+'Planilla de datos'!H28</f>
        <v>0.54860588867187499</v>
      </c>
      <c r="E41" s="293">
        <v>88.7</v>
      </c>
      <c r="F41" s="295">
        <v>0.56410000000000005</v>
      </c>
      <c r="G41" s="296">
        <f>(C41-E41)/E41</f>
        <v>6.2570462232243482E-2</v>
      </c>
      <c r="H41" s="297">
        <f>(D41*10000)-(F41*10000)</f>
        <v>-154.94111328125109</v>
      </c>
      <c r="J41" s="292" t="s">
        <v>26</v>
      </c>
      <c r="K41" s="293">
        <v>88.7</v>
      </c>
      <c r="L41" s="294">
        <v>0.56410000000000005</v>
      </c>
      <c r="M41" s="293">
        <v>84.9</v>
      </c>
      <c r="N41" s="295">
        <v>0.57127696289062491</v>
      </c>
      <c r="O41" s="296">
        <f>(K41-M41)/M41</f>
        <v>4.4758539458186065E-2</v>
      </c>
      <c r="P41" s="297">
        <f>(L41*10000)-(N41*10000)</f>
        <v>-71.769628906247817</v>
      </c>
      <c r="R41" s="292" t="s">
        <v>32</v>
      </c>
      <c r="S41" s="293">
        <v>101.7</v>
      </c>
      <c r="T41" s="294">
        <v>0.51572918945312507</v>
      </c>
      <c r="U41" s="293">
        <v>99</v>
      </c>
      <c r="V41" s="295">
        <v>0.50439999999999996</v>
      </c>
      <c r="W41" s="296">
        <f t="shared" si="15"/>
        <v>2.7272727272727303E-2</v>
      </c>
      <c r="X41" s="297">
        <f t="shared" si="20"/>
        <v>113.29189453125036</v>
      </c>
      <c r="Z41" s="292" t="s">
        <v>32</v>
      </c>
      <c r="AA41" s="293">
        <v>99</v>
      </c>
      <c r="AB41" s="294">
        <v>0.50439999999999996</v>
      </c>
      <c r="AC41" s="293">
        <v>96</v>
      </c>
      <c r="AD41" s="295">
        <v>0.49790000000000001</v>
      </c>
      <c r="AE41" s="296">
        <f t="shared" si="16"/>
        <v>3.125E-2</v>
      </c>
      <c r="AF41" s="297">
        <f t="shared" si="21"/>
        <v>65</v>
      </c>
      <c r="AH41" s="292" t="s">
        <v>26</v>
      </c>
      <c r="AI41" s="293">
        <f t="shared" si="25"/>
        <v>88.7</v>
      </c>
      <c r="AJ41" s="294">
        <f t="shared" si="25"/>
        <v>0.56410000000000005</v>
      </c>
      <c r="AK41" s="293">
        <f>83.3-9.0864667-9.3339041</f>
        <v>64.879629199999997</v>
      </c>
      <c r="AL41" s="295">
        <v>0.64359999999999995</v>
      </c>
      <c r="AM41" s="296">
        <f>(AI41-AK41)/AK41</f>
        <v>0.36714714762888945</v>
      </c>
      <c r="AN41" s="297">
        <f>(AJ41*10000)-(AL41*10000)</f>
        <v>-794.99999999999818</v>
      </c>
    </row>
    <row r="42" spans="2:54">
      <c r="B42" s="174"/>
      <c r="C42" s="172"/>
      <c r="D42" s="173"/>
      <c r="E42" s="173"/>
      <c r="F42" s="173"/>
      <c r="G42" s="164"/>
      <c r="H42" s="164"/>
      <c r="J42" s="174"/>
      <c r="K42" s="172"/>
      <c r="L42" s="173"/>
      <c r="M42" s="173"/>
      <c r="N42" s="173"/>
      <c r="O42" s="164"/>
      <c r="P42" s="164"/>
      <c r="R42" s="292" t="s">
        <v>26</v>
      </c>
      <c r="S42" s="293">
        <v>84.9</v>
      </c>
      <c r="T42" s="294">
        <v>0.57127696289062491</v>
      </c>
      <c r="U42" s="293">
        <f>94.84-9.333904</f>
        <v>85.506095999999999</v>
      </c>
      <c r="V42" s="295">
        <v>0.5333</v>
      </c>
      <c r="W42" s="296">
        <f t="shared" si="15"/>
        <v>-7.088336719290678E-3</v>
      </c>
      <c r="X42" s="297">
        <f t="shared" si="20"/>
        <v>379.76962890624873</v>
      </c>
      <c r="Z42" s="292" t="s">
        <v>26</v>
      </c>
      <c r="AA42" s="293">
        <v>94.84</v>
      </c>
      <c r="AB42" s="294">
        <v>0.5333</v>
      </c>
      <c r="AC42" s="293">
        <v>89.8</v>
      </c>
      <c r="AD42" s="295">
        <v>0.55020000000000002</v>
      </c>
      <c r="AE42" s="296">
        <f t="shared" si="16"/>
        <v>5.6124721603563549E-2</v>
      </c>
      <c r="AF42" s="297">
        <f t="shared" si="21"/>
        <v>-169</v>
      </c>
      <c r="AH42" s="292" t="s">
        <v>229</v>
      </c>
      <c r="AI42" s="172"/>
      <c r="AJ42" s="173"/>
      <c r="AK42" s="173"/>
      <c r="AL42" s="173"/>
      <c r="AM42" s="164">
        <f>+BB47</f>
        <v>0.15505775288764442</v>
      </c>
      <c r="AN42" s="164"/>
    </row>
    <row r="43" spans="2:54">
      <c r="B43" s="374" t="s">
        <v>145</v>
      </c>
      <c r="C43" s="374"/>
      <c r="D43" s="374"/>
      <c r="E43" s="374"/>
      <c r="F43" s="374"/>
      <c r="G43" s="374"/>
      <c r="H43" s="374"/>
      <c r="J43" s="374" t="s">
        <v>145</v>
      </c>
      <c r="K43" s="374"/>
      <c r="L43" s="374"/>
      <c r="M43" s="374"/>
      <c r="N43" s="374"/>
      <c r="O43" s="374"/>
      <c r="P43" s="374"/>
      <c r="R43" s="174"/>
      <c r="S43" s="172"/>
      <c r="T43" s="173"/>
      <c r="U43" s="173"/>
      <c r="V43" s="173"/>
      <c r="W43" s="164"/>
      <c r="X43" s="164"/>
      <c r="Z43" s="174"/>
      <c r="AA43" s="172"/>
      <c r="AB43" s="173"/>
      <c r="AC43" s="173"/>
      <c r="AD43" s="173"/>
      <c r="AE43" s="164"/>
      <c r="AF43" s="164"/>
    </row>
    <row r="44" spans="2:54">
      <c r="R44" s="374" t="s">
        <v>145</v>
      </c>
      <c r="S44" s="374"/>
      <c r="T44" s="374"/>
      <c r="U44" s="374"/>
      <c r="V44" s="374"/>
      <c r="W44" s="374"/>
      <c r="X44" s="374"/>
      <c r="Z44" s="374" t="s">
        <v>145</v>
      </c>
      <c r="AA44" s="374"/>
      <c r="AB44" s="374"/>
      <c r="AC44" s="374"/>
      <c r="AD44" s="374"/>
      <c r="AE44" s="374"/>
      <c r="AF44" s="374"/>
      <c r="AH44" s="381" t="s">
        <v>145</v>
      </c>
      <c r="AI44" s="381"/>
      <c r="AJ44" s="381"/>
      <c r="AK44" s="381"/>
      <c r="AL44" s="381"/>
      <c r="AM44" s="381"/>
      <c r="AN44" s="381"/>
    </row>
    <row r="45" spans="2:54">
      <c r="BA45" s="324">
        <v>44330</v>
      </c>
      <c r="BB45" s="4">
        <v>165</v>
      </c>
    </row>
    <row r="46" spans="2:54">
      <c r="BA46" s="324">
        <v>44560</v>
      </c>
      <c r="BB46">
        <v>142.85</v>
      </c>
    </row>
    <row r="47" spans="2:54">
      <c r="BB47" s="2">
        <f>(BB45-BB46)/BB46</f>
        <v>0.15505775288764442</v>
      </c>
    </row>
    <row r="48" spans="2:54">
      <c r="B48" s="277" t="s">
        <v>194</v>
      </c>
      <c r="J48" s="277" t="s">
        <v>194</v>
      </c>
      <c r="R48" s="277" t="s">
        <v>194</v>
      </c>
      <c r="Z48" s="277" t="s">
        <v>194</v>
      </c>
    </row>
  </sheetData>
  <mergeCells count="70">
    <mergeCell ref="J43:P43"/>
    <mergeCell ref="J23:P23"/>
    <mergeCell ref="J27:P27"/>
    <mergeCell ref="J28:P28"/>
    <mergeCell ref="J29:J30"/>
    <mergeCell ref="K29:L29"/>
    <mergeCell ref="M29:N29"/>
    <mergeCell ref="O29:P29"/>
    <mergeCell ref="J3:P3"/>
    <mergeCell ref="J4:P4"/>
    <mergeCell ref="J5:J6"/>
    <mergeCell ref="K5:L5"/>
    <mergeCell ref="M5:N5"/>
    <mergeCell ref="O5:P5"/>
    <mergeCell ref="Z44:AF44"/>
    <mergeCell ref="Z28:AF28"/>
    <mergeCell ref="Z29:Z30"/>
    <mergeCell ref="AA29:AB29"/>
    <mergeCell ref="AC29:AD29"/>
    <mergeCell ref="AE29:AF29"/>
    <mergeCell ref="Z3:AF3"/>
    <mergeCell ref="AH23:AL23"/>
    <mergeCell ref="Z23:AF23"/>
    <mergeCell ref="Z27:AF27"/>
    <mergeCell ref="AA5:AB5"/>
    <mergeCell ref="AC5:AD5"/>
    <mergeCell ref="AE5:AF5"/>
    <mergeCell ref="Z4:AF4"/>
    <mergeCell ref="Z5:Z6"/>
    <mergeCell ref="AH3:AN3"/>
    <mergeCell ref="AH4:AN4"/>
    <mergeCell ref="S29:T29"/>
    <mergeCell ref="U29:V29"/>
    <mergeCell ref="W29:X29"/>
    <mergeCell ref="R3:X3"/>
    <mergeCell ref="R4:X4"/>
    <mergeCell ref="R5:R6"/>
    <mergeCell ref="S5:T5"/>
    <mergeCell ref="U5:V5"/>
    <mergeCell ref="W5:X5"/>
    <mergeCell ref="R44:X44"/>
    <mergeCell ref="AH5:AH6"/>
    <mergeCell ref="AI5:AJ5"/>
    <mergeCell ref="AK5:AL5"/>
    <mergeCell ref="AM5:AN5"/>
    <mergeCell ref="AH27:AN27"/>
    <mergeCell ref="AH28:AN28"/>
    <mergeCell ref="AH29:AH30"/>
    <mergeCell ref="AI29:AJ29"/>
    <mergeCell ref="AK29:AL29"/>
    <mergeCell ref="AM29:AN29"/>
    <mergeCell ref="AH44:AN44"/>
    <mergeCell ref="R23:X23"/>
    <mergeCell ref="R27:X27"/>
    <mergeCell ref="R28:X28"/>
    <mergeCell ref="R29:R30"/>
    <mergeCell ref="B3:H3"/>
    <mergeCell ref="B4:H4"/>
    <mergeCell ref="B5:B6"/>
    <mergeCell ref="C5:D5"/>
    <mergeCell ref="E5:F5"/>
    <mergeCell ref="G5:H5"/>
    <mergeCell ref="B43:H43"/>
    <mergeCell ref="B23:H23"/>
    <mergeCell ref="B27:H27"/>
    <mergeCell ref="B28:H28"/>
    <mergeCell ref="B29:B30"/>
    <mergeCell ref="C29:D29"/>
    <mergeCell ref="E29:F29"/>
    <mergeCell ref="G29:H29"/>
  </mergeCells>
  <conditionalFormatting sqref="AE43:AF43">
    <cfRule type="cellIs" dxfId="9" priority="43" operator="lessThan">
      <formula>0</formula>
    </cfRule>
    <cfRule type="cellIs" dxfId="8" priority="44" operator="greaterThan">
      <formula>0</formula>
    </cfRule>
  </conditionalFormatting>
  <conditionalFormatting sqref="AE7:AE21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{CE33DF43-BF9A-4F2C-B667-2CD3A104CD29}</x14:id>
        </ext>
      </extLst>
    </cfRule>
  </conditionalFormatting>
  <conditionalFormatting sqref="AM7:AM13 AM15:AM21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{36061289-A852-4901-9506-F9BD12AD71A8}</x14:id>
        </ext>
      </extLst>
    </cfRule>
  </conditionalFormatting>
  <conditionalFormatting sqref="AE31:AE42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{7439EA34-4469-477F-9FB4-97A72E1A3C90}</x14:id>
        </ext>
      </extLst>
    </cfRule>
  </conditionalFormatting>
  <conditionalFormatting sqref="W43:X43">
    <cfRule type="cellIs" dxfId="7" priority="15" operator="lessThan">
      <formula>0</formula>
    </cfRule>
    <cfRule type="cellIs" dxfId="6" priority="16" operator="greaterThan">
      <formula>0</formula>
    </cfRule>
  </conditionalFormatting>
  <conditionalFormatting sqref="W7:W2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{6D3FA408-F8B1-4A85-99AA-09D7A63C30E0}</x14:id>
        </ext>
      </extLst>
    </cfRule>
  </conditionalFormatting>
  <conditionalFormatting sqref="W31:W42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{A5F3D374-79D6-4040-891D-D6656CDD6E77}</x14:id>
        </ext>
      </extLst>
    </cfRule>
  </conditionalFormatting>
  <conditionalFormatting sqref="AM42:AN42">
    <cfRule type="cellIs" dxfId="5" priority="12" operator="lessThan">
      <formula>0</formula>
    </cfRule>
    <cfRule type="cellIs" dxfId="4" priority="13" operator="greaterThan">
      <formula>0</formula>
    </cfRule>
  </conditionalFormatting>
  <conditionalFormatting sqref="O42:P42">
    <cfRule type="cellIs" dxfId="3" priority="8" operator="lessThan">
      <formula>0</formula>
    </cfRule>
    <cfRule type="cellIs" dxfId="2" priority="9" operator="greaterThan">
      <formula>0</formula>
    </cfRule>
  </conditionalFormatting>
  <conditionalFormatting sqref="O7:O2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{29817AA0-5ED1-487F-B862-574B9CFD0F60}</x14:id>
        </ext>
      </extLst>
    </cfRule>
  </conditionalFormatting>
  <conditionalFormatting sqref="G42:H42">
    <cfRule type="cellIs" dxfId="1" priority="4" operator="lessThan">
      <formula>0</formula>
    </cfRule>
    <cfRule type="cellIs" dxfId="0" priority="5" operator="greaterThan">
      <formula>0</formula>
    </cfRule>
  </conditionalFormatting>
  <conditionalFormatting sqref="O31:O41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{32C995AB-A89C-431A-A3DB-0256DB134975}</x14:id>
        </ext>
      </extLst>
    </cfRule>
  </conditionalFormatting>
  <conditionalFormatting sqref="G31:G41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{049485C5-6CDF-4BB3-BB8D-36A1AA87497E}</x14:id>
        </ext>
      </extLst>
    </cfRule>
  </conditionalFormatting>
  <conditionalFormatting sqref="AM31:AM4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{94EDC7D7-B25D-4319-BA48-8ECFC36D4313}</x14:id>
        </ext>
      </extLst>
    </cfRule>
  </conditionalFormatting>
  <conditionalFormatting sqref="G7:G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{17BE9819-5A84-4381-95EF-0049ED1EA108}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33DF43-BF9A-4F2C-B667-2CD3A104C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AE7:AE21</xm:sqref>
        </x14:conditionalFormatting>
        <x14:conditionalFormatting xmlns:xm="http://schemas.microsoft.com/office/excel/2006/main">
          <x14:cfRule type="dataBar" id="{36061289-A852-4901-9506-F9BD12AD7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AM7:AM13 AM15:AM21</xm:sqref>
        </x14:conditionalFormatting>
        <x14:conditionalFormatting xmlns:xm="http://schemas.microsoft.com/office/excel/2006/main">
          <x14:cfRule type="dataBar" id="{7439EA34-4469-477F-9FB4-97A72E1A3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AE31:AE42</xm:sqref>
        </x14:conditionalFormatting>
        <x14:conditionalFormatting xmlns:xm="http://schemas.microsoft.com/office/excel/2006/main">
          <x14:cfRule type="dataBar" id="{6D3FA408-F8B1-4A85-99AA-09D7A63C3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W7:W21</xm:sqref>
        </x14:conditionalFormatting>
        <x14:conditionalFormatting xmlns:xm="http://schemas.microsoft.com/office/excel/2006/main">
          <x14:cfRule type="dataBar" id="{A5F3D374-79D6-4040-891D-D6656CDD6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W31:W42</xm:sqref>
        </x14:conditionalFormatting>
        <x14:conditionalFormatting xmlns:xm="http://schemas.microsoft.com/office/excel/2006/main">
          <x14:cfRule type="dataBar" id="{29817AA0-5ED1-487F-B862-574B9CFD0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O7:O21</xm:sqref>
        </x14:conditionalFormatting>
        <x14:conditionalFormatting xmlns:xm="http://schemas.microsoft.com/office/excel/2006/main">
          <x14:cfRule type="dataBar" id="{32C995AB-A89C-431A-A3DB-0256DB1349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O31:O41</xm:sqref>
        </x14:conditionalFormatting>
        <x14:conditionalFormatting xmlns:xm="http://schemas.microsoft.com/office/excel/2006/main">
          <x14:cfRule type="dataBar" id="{049485C5-6CDF-4BB3-BB8D-36A1AA8749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G31:G41</xm:sqref>
        </x14:conditionalFormatting>
        <x14:conditionalFormatting xmlns:xm="http://schemas.microsoft.com/office/excel/2006/main">
          <x14:cfRule type="dataBar" id="{94EDC7D7-B25D-4319-BA48-8ECFC36D43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AM31:AM41</xm:sqref>
        </x14:conditionalFormatting>
        <x14:conditionalFormatting xmlns:xm="http://schemas.microsoft.com/office/excel/2006/main">
          <x14:cfRule type="dataBar" id="{17BE9819-5A84-4381-95EF-0049ED1EA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G7:G21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showGridLines="0" zoomScale="90" zoomScaleNormal="90" workbookViewId="0">
      <selection activeCell="O27" sqref="O27"/>
    </sheetView>
  </sheetViews>
  <sheetFormatPr baseColWidth="10" defaultRowHeight="15"/>
  <cols>
    <col min="1" max="1" width="4.140625" customWidth="1"/>
    <col min="2" max="2" width="12.5703125" bestFit="1" customWidth="1"/>
    <col min="4" max="4" width="2" customWidth="1"/>
    <col min="5" max="5" width="11.28515625" customWidth="1"/>
    <col min="6" max="6" width="5.42578125" hidden="1" customWidth="1"/>
    <col min="7" max="7" width="8.5703125" customWidth="1"/>
    <col min="15" max="15" width="10.42578125" customWidth="1"/>
  </cols>
  <sheetData>
    <row r="2" spans="2:14" ht="15.75">
      <c r="B2" s="409" t="s">
        <v>125</v>
      </c>
      <c r="C2" s="409"/>
      <c r="D2" s="409"/>
      <c r="E2" s="409"/>
      <c r="F2" s="409"/>
      <c r="G2" s="409"/>
      <c r="H2" s="409"/>
      <c r="I2" s="409"/>
      <c r="J2" s="409"/>
      <c r="K2" s="153"/>
      <c r="L2" s="153"/>
      <c r="M2" s="153"/>
      <c r="N2" s="153"/>
    </row>
    <row r="3" spans="2:14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2:14">
      <c r="B4" s="369" t="s">
        <v>34</v>
      </c>
      <c r="C4" s="370"/>
      <c r="D4" s="12"/>
      <c r="E4" s="371" t="s">
        <v>123</v>
      </c>
      <c r="F4" s="371"/>
      <c r="G4" s="371"/>
      <c r="H4" s="371"/>
      <c r="I4" s="371"/>
      <c r="J4" s="371"/>
      <c r="K4" s="154"/>
      <c r="L4" s="154"/>
      <c r="M4" s="154"/>
      <c r="N4" s="154"/>
    </row>
    <row r="5" spans="2:14">
      <c r="B5" s="24" t="s">
        <v>0</v>
      </c>
      <c r="C5" s="33">
        <v>44078</v>
      </c>
      <c r="D5" s="12"/>
      <c r="E5" s="29" t="s">
        <v>14</v>
      </c>
      <c r="F5" s="29" t="s">
        <v>21</v>
      </c>
      <c r="G5" s="29" t="s">
        <v>7</v>
      </c>
      <c r="H5" s="29" t="s">
        <v>8</v>
      </c>
      <c r="I5" s="29" t="s">
        <v>33</v>
      </c>
      <c r="J5" s="29" t="s">
        <v>9</v>
      </c>
      <c r="K5" s="29"/>
      <c r="L5" s="29" t="s">
        <v>21</v>
      </c>
      <c r="M5" s="29" t="s">
        <v>126</v>
      </c>
      <c r="N5" s="29" t="s">
        <v>127</v>
      </c>
    </row>
    <row r="6" spans="2:14">
      <c r="B6" s="24" t="s">
        <v>1</v>
      </c>
      <c r="C6" s="33">
        <v>46335</v>
      </c>
      <c r="D6" s="12"/>
      <c r="E6" s="15">
        <f>'Planilla de datos'!D3</f>
        <v>44383</v>
      </c>
      <c r="F6" s="15"/>
      <c r="G6" s="14">
        <f>C11</f>
        <v>141.43630234208661</v>
      </c>
      <c r="H6" s="30"/>
      <c r="I6" s="12"/>
      <c r="J6" s="14">
        <f>-'Planilla de datos'!C78</f>
        <v>-114.85</v>
      </c>
      <c r="K6" s="14"/>
      <c r="L6" s="14"/>
      <c r="M6" s="14"/>
      <c r="N6" s="14"/>
    </row>
    <row r="7" spans="2:14">
      <c r="B7" s="24" t="s">
        <v>2</v>
      </c>
      <c r="C7" s="34">
        <v>22.544</v>
      </c>
      <c r="D7" s="12"/>
      <c r="E7" s="15">
        <v>44509</v>
      </c>
      <c r="F7" s="12" t="e">
        <f>E7-#REF!</f>
        <v>#REF!</v>
      </c>
      <c r="G7" s="14">
        <f t="shared" ref="G7:G13" si="0">+G6</f>
        <v>141.43630234208661</v>
      </c>
      <c r="H7" s="14">
        <f t="shared" ref="H7:H13" si="1">$C$11*$C$10*(180/360)</f>
        <v>1.4143630234208662</v>
      </c>
      <c r="I7" s="14"/>
      <c r="J7" s="14">
        <f>SUM(H7:I7)</f>
        <v>1.4143630234208662</v>
      </c>
      <c r="K7" s="14"/>
      <c r="L7" s="67">
        <f t="shared" ref="L7:L17" si="2">DAYS360($E$6,E7)</f>
        <v>123</v>
      </c>
      <c r="M7" s="14">
        <f t="shared" ref="M7:M17" si="3">J7/(1+$J$19)^(L7/360)</f>
        <v>1.380515504992238</v>
      </c>
      <c r="N7" s="14">
        <f t="shared" ref="N7:N17" si="4">M7*(L7/360)</f>
        <v>0.471676130872348</v>
      </c>
    </row>
    <row r="8" spans="2:14">
      <c r="B8" s="24" t="s">
        <v>3</v>
      </c>
      <c r="C8" s="34">
        <f>+'Planilla de datos'!D64</f>
        <v>31.885400000000001</v>
      </c>
      <c r="D8" s="12"/>
      <c r="E8" s="15">
        <v>44690</v>
      </c>
      <c r="F8" s="12">
        <f t="shared" ref="F8:F17" si="5">E8-E7</f>
        <v>181</v>
      </c>
      <c r="G8" s="14">
        <f t="shared" si="0"/>
        <v>141.43630234208661</v>
      </c>
      <c r="H8" s="14">
        <f t="shared" si="1"/>
        <v>1.4143630234208662</v>
      </c>
      <c r="I8" s="12"/>
      <c r="J8" s="14">
        <f>SUM(H8:I8)</f>
        <v>1.4143630234208662</v>
      </c>
      <c r="K8" s="14"/>
      <c r="L8" s="67">
        <f t="shared" si="2"/>
        <v>303</v>
      </c>
      <c r="M8" s="14">
        <f t="shared" si="3"/>
        <v>1.3324371862327438</v>
      </c>
      <c r="N8" s="14">
        <f t="shared" si="4"/>
        <v>1.1214679650792261</v>
      </c>
    </row>
    <row r="9" spans="2:14">
      <c r="B9" s="24" t="s">
        <v>4</v>
      </c>
      <c r="C9" s="34">
        <f>((C8-C7)/C7)+1</f>
        <v>1.414363023420866</v>
      </c>
      <c r="D9" s="12"/>
      <c r="E9" s="15">
        <v>44874</v>
      </c>
      <c r="F9" s="12">
        <f t="shared" si="5"/>
        <v>184</v>
      </c>
      <c r="G9" s="14">
        <f t="shared" si="0"/>
        <v>141.43630234208661</v>
      </c>
      <c r="H9" s="14">
        <f t="shared" si="1"/>
        <v>1.4143630234208662</v>
      </c>
      <c r="I9" s="12"/>
      <c r="J9" s="14">
        <f>SUM(H9:I9)</f>
        <v>1.4143630234208662</v>
      </c>
      <c r="K9" s="14"/>
      <c r="L9" s="67">
        <f t="shared" si="2"/>
        <v>483</v>
      </c>
      <c r="M9" s="14">
        <f t="shared" si="3"/>
        <v>1.2860332599204043</v>
      </c>
      <c r="N9" s="14">
        <f t="shared" si="4"/>
        <v>1.7254279570598756</v>
      </c>
    </row>
    <row r="10" spans="2:14">
      <c r="B10" s="24" t="s">
        <v>5</v>
      </c>
      <c r="C10" s="35">
        <v>0.02</v>
      </c>
      <c r="D10" s="12"/>
      <c r="E10" s="15">
        <v>45055</v>
      </c>
      <c r="F10" s="12">
        <f t="shared" si="5"/>
        <v>181</v>
      </c>
      <c r="G10" s="14">
        <f t="shared" si="0"/>
        <v>141.43630234208661</v>
      </c>
      <c r="H10" s="14">
        <f t="shared" si="1"/>
        <v>1.4143630234208662</v>
      </c>
      <c r="I10" s="14"/>
      <c r="J10" s="14">
        <f>SUM(H10:I10)</f>
        <v>1.4143630234208662</v>
      </c>
      <c r="K10" s="14"/>
      <c r="L10" s="67">
        <f t="shared" si="2"/>
        <v>663</v>
      </c>
      <c r="M10" s="14">
        <f t="shared" si="3"/>
        <v>1.2412454130746622</v>
      </c>
      <c r="N10" s="14">
        <f t="shared" si="4"/>
        <v>2.2859603024125028</v>
      </c>
    </row>
    <row r="11" spans="2:14">
      <c r="B11" s="36" t="s">
        <v>16</v>
      </c>
      <c r="C11" s="37">
        <f>C9*100</f>
        <v>141.43630234208661</v>
      </c>
      <c r="D11" s="12"/>
      <c r="E11" s="15">
        <v>45239</v>
      </c>
      <c r="F11" s="12">
        <f t="shared" si="5"/>
        <v>184</v>
      </c>
      <c r="G11" s="14">
        <f t="shared" si="0"/>
        <v>141.43630234208661</v>
      </c>
      <c r="H11" s="14">
        <f t="shared" si="1"/>
        <v>1.4143630234208662</v>
      </c>
      <c r="I11" s="14"/>
      <c r="J11" s="14">
        <f t="shared" ref="J11:J16" si="6">SUM(H11:I11)</f>
        <v>1.4143630234208662</v>
      </c>
      <c r="K11" s="14"/>
      <c r="L11" s="67">
        <f t="shared" si="2"/>
        <v>843</v>
      </c>
      <c r="M11" s="14">
        <f t="shared" si="3"/>
        <v>1.1980173635433391</v>
      </c>
      <c r="N11" s="14">
        <f t="shared" si="4"/>
        <v>2.8053573262973193</v>
      </c>
    </row>
    <row r="12" spans="2:14">
      <c r="B12" s="12"/>
      <c r="C12" s="12"/>
      <c r="D12" s="12"/>
      <c r="E12" s="15">
        <v>45421</v>
      </c>
      <c r="F12" s="12">
        <f t="shared" si="5"/>
        <v>182</v>
      </c>
      <c r="G12" s="14">
        <f t="shared" si="0"/>
        <v>141.43630234208661</v>
      </c>
      <c r="H12" s="14">
        <f t="shared" si="1"/>
        <v>1.4143630234208662</v>
      </c>
      <c r="I12" s="14"/>
      <c r="J12" s="14">
        <f t="shared" si="6"/>
        <v>1.4143630234208662</v>
      </c>
      <c r="K12" s="14"/>
      <c r="L12" s="67">
        <f t="shared" si="2"/>
        <v>1023</v>
      </c>
      <c r="M12" s="14">
        <f t="shared" si="3"/>
        <v>1.156294789276294</v>
      </c>
      <c r="N12" s="14">
        <f t="shared" si="4"/>
        <v>3.2858043595268023</v>
      </c>
    </row>
    <row r="13" spans="2:14">
      <c r="B13" s="12"/>
      <c r="C13" s="12"/>
      <c r="D13" s="12"/>
      <c r="E13" s="15">
        <v>45605</v>
      </c>
      <c r="F13" s="12">
        <f t="shared" si="5"/>
        <v>184</v>
      </c>
      <c r="G13" s="14">
        <f t="shared" si="0"/>
        <v>141.43630234208661</v>
      </c>
      <c r="H13" s="14">
        <f t="shared" si="1"/>
        <v>1.4143630234208662</v>
      </c>
      <c r="I13" s="14">
        <f>$G$6/5</f>
        <v>28.287260468417323</v>
      </c>
      <c r="J13" s="14">
        <f t="shared" si="6"/>
        <v>29.701623491838188</v>
      </c>
      <c r="K13" s="14"/>
      <c r="L13" s="67">
        <f t="shared" si="2"/>
        <v>1203</v>
      </c>
      <c r="M13" s="14">
        <f t="shared" si="3"/>
        <v>23.436530461306603</v>
      </c>
      <c r="N13" s="14">
        <f t="shared" si="4"/>
        <v>78.317072624866228</v>
      </c>
    </row>
    <row r="14" spans="2:14">
      <c r="B14" s="12"/>
      <c r="C14" s="12"/>
      <c r="D14" s="12"/>
      <c r="E14" s="15">
        <v>45786</v>
      </c>
      <c r="F14" s="12">
        <f t="shared" si="5"/>
        <v>181</v>
      </c>
      <c r="G14" s="14">
        <f>G13-I13</f>
        <v>113.14904187366929</v>
      </c>
      <c r="H14" s="14">
        <f>G14*$C$10*(180/360)</f>
        <v>1.131490418736693</v>
      </c>
      <c r="I14" s="14">
        <f>$G$6/5</f>
        <v>28.287260468417323</v>
      </c>
      <c r="J14" s="14">
        <f t="shared" si="6"/>
        <v>29.418750887154015</v>
      </c>
      <c r="K14" s="14"/>
      <c r="L14" s="67">
        <f t="shared" si="2"/>
        <v>1383</v>
      </c>
      <c r="M14" s="14">
        <f t="shared" si="3"/>
        <v>22.404889970170142</v>
      </c>
      <c r="N14" s="14">
        <f t="shared" si="4"/>
        <v>86.072118968736973</v>
      </c>
    </row>
    <row r="15" spans="2:14">
      <c r="B15" s="12"/>
      <c r="C15" s="12"/>
      <c r="D15" s="12"/>
      <c r="E15" s="15">
        <v>45970</v>
      </c>
      <c r="F15" s="12">
        <f t="shared" si="5"/>
        <v>184</v>
      </c>
      <c r="G15" s="14">
        <f>G14-I14</f>
        <v>84.861781405251975</v>
      </c>
      <c r="H15" s="14">
        <f>G15*$C$10*(180/360)</f>
        <v>0.84861781405251979</v>
      </c>
      <c r="I15" s="14">
        <f>$G$6/5</f>
        <v>28.287260468417323</v>
      </c>
      <c r="J15" s="14">
        <f t="shared" si="6"/>
        <v>29.135878282469843</v>
      </c>
      <c r="K15" s="14"/>
      <c r="L15" s="67">
        <f t="shared" si="2"/>
        <v>1563</v>
      </c>
      <c r="M15" s="14">
        <f t="shared" si="3"/>
        <v>21.416680451701044</v>
      </c>
      <c r="N15" s="14">
        <f t="shared" si="4"/>
        <v>92.98408762780204</v>
      </c>
    </row>
    <row r="16" spans="2:14">
      <c r="B16" s="12"/>
      <c r="C16" s="12"/>
      <c r="D16" s="12"/>
      <c r="E16" s="15">
        <v>46151</v>
      </c>
      <c r="F16" s="12">
        <f t="shared" si="5"/>
        <v>181</v>
      </c>
      <c r="G16" s="14">
        <f>G15-I15</f>
        <v>56.574520936834652</v>
      </c>
      <c r="H16" s="14">
        <f>G16*$C$10*(180/360)</f>
        <v>0.56574520936834649</v>
      </c>
      <c r="I16" s="14">
        <f>$G$6/5</f>
        <v>28.287260468417323</v>
      </c>
      <c r="J16" s="14">
        <f t="shared" si="6"/>
        <v>28.853005677785671</v>
      </c>
      <c r="K16" s="14"/>
      <c r="L16" s="67">
        <f t="shared" si="2"/>
        <v>1743</v>
      </c>
      <c r="M16" s="14">
        <f t="shared" si="3"/>
        <v>20.470128071965188</v>
      </c>
      <c r="N16" s="14">
        <f t="shared" si="4"/>
        <v>99.109536748431452</v>
      </c>
    </row>
    <row r="17" spans="1:14">
      <c r="B17" s="12"/>
      <c r="C17" s="12"/>
      <c r="D17" s="12"/>
      <c r="E17" s="15">
        <v>46335</v>
      </c>
      <c r="F17" s="12">
        <f t="shared" si="5"/>
        <v>184</v>
      </c>
      <c r="G17" s="14">
        <f>G16-I16</f>
        <v>28.28726046841733</v>
      </c>
      <c r="H17" s="14">
        <f>G17*$C$10*(180/360)</f>
        <v>0.2828726046841733</v>
      </c>
      <c r="I17" s="14">
        <f>$G$6/5</f>
        <v>28.287260468417323</v>
      </c>
      <c r="J17" s="14">
        <f>SUM(H17:I17)</f>
        <v>28.570133073101495</v>
      </c>
      <c r="K17" s="14"/>
      <c r="L17" s="67">
        <f t="shared" si="2"/>
        <v>1923</v>
      </c>
      <c r="M17" s="14">
        <f t="shared" si="3"/>
        <v>19.563529873026337</v>
      </c>
      <c r="N17" s="14">
        <f t="shared" si="4"/>
        <v>104.50185540508235</v>
      </c>
    </row>
    <row r="18" spans="1:14">
      <c r="B18" s="12"/>
      <c r="C18" s="12"/>
      <c r="D18" s="12"/>
      <c r="K18" s="14"/>
      <c r="M18" s="14">
        <f>SUM(M7:M17)</f>
        <v>114.886302345209</v>
      </c>
      <c r="N18" s="14">
        <f>SUM(N7:N17)</f>
        <v>472.68036541616709</v>
      </c>
    </row>
    <row r="19" spans="1:14">
      <c r="B19" s="12"/>
      <c r="C19" s="12"/>
      <c r="D19" s="12"/>
      <c r="I19" s="92" t="s">
        <v>13</v>
      </c>
      <c r="J19" s="86">
        <f>XIRR(J6:J17,E6:E17,0)</f>
        <v>7.34679638671875E-2</v>
      </c>
      <c r="L19" s="86"/>
      <c r="M19" s="86"/>
      <c r="N19" s="86"/>
    </row>
    <row r="20" spans="1:14">
      <c r="I20" s="92" t="s">
        <v>29</v>
      </c>
      <c r="J20" s="71">
        <f>N20/(1+J19)</f>
        <v>3.8327476213809417</v>
      </c>
      <c r="K20" s="86"/>
      <c r="L20" s="71"/>
      <c r="M20" s="71" t="s">
        <v>22</v>
      </c>
      <c r="N20" s="71">
        <f>N18/M18</f>
        <v>4.1143317851406058</v>
      </c>
    </row>
    <row r="21" spans="1:14">
      <c r="A21" s="12"/>
      <c r="K21" s="71"/>
    </row>
    <row r="22" spans="1:14">
      <c r="A22" s="110"/>
    </row>
    <row r="23" spans="1:14">
      <c r="A23" s="110"/>
    </row>
    <row r="24" spans="1:14">
      <c r="A24" s="110"/>
    </row>
    <row r="25" spans="1:14">
      <c r="A25" s="110"/>
    </row>
    <row r="26" spans="1:14">
      <c r="A26" s="110"/>
    </row>
    <row r="27" spans="1:14">
      <c r="A27" s="110"/>
    </row>
    <row r="28" spans="1:14">
      <c r="A28" s="110"/>
    </row>
    <row r="29" spans="1:14">
      <c r="A29" s="51"/>
    </row>
  </sheetData>
  <mergeCells count="3">
    <mergeCell ref="B2:J2"/>
    <mergeCell ref="B4:C4"/>
    <mergeCell ref="E4:J4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1"/>
  <sheetViews>
    <sheetView showGridLines="0" zoomScale="90" zoomScaleNormal="90" workbookViewId="0">
      <selection activeCell="P20" sqref="P20"/>
    </sheetView>
  </sheetViews>
  <sheetFormatPr baseColWidth="10" defaultRowHeight="15"/>
  <cols>
    <col min="1" max="1" width="4.140625" customWidth="1"/>
    <col min="2" max="2" width="12.5703125" bestFit="1" customWidth="1"/>
    <col min="4" max="4" width="2" customWidth="1"/>
    <col min="5" max="5" width="11.28515625" customWidth="1"/>
    <col min="6" max="6" width="5.42578125" hidden="1" customWidth="1"/>
    <col min="7" max="7" width="8.5703125" customWidth="1"/>
    <col min="15" max="15" width="10.42578125" customWidth="1"/>
  </cols>
  <sheetData>
    <row r="2" spans="2:14" ht="15.75">
      <c r="B2" s="409" t="s">
        <v>128</v>
      </c>
      <c r="C2" s="409"/>
      <c r="D2" s="409"/>
      <c r="E2" s="409"/>
      <c r="F2" s="409"/>
      <c r="G2" s="409"/>
      <c r="H2" s="409"/>
      <c r="I2" s="409"/>
      <c r="J2" s="409"/>
      <c r="K2" s="153"/>
      <c r="L2" s="153"/>
      <c r="M2" s="153"/>
      <c r="N2" s="153"/>
    </row>
    <row r="3" spans="2:14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2:14">
      <c r="B4" s="369" t="s">
        <v>34</v>
      </c>
      <c r="C4" s="370"/>
      <c r="D4" s="12"/>
      <c r="E4" s="371" t="s">
        <v>123</v>
      </c>
      <c r="F4" s="371"/>
      <c r="G4" s="371"/>
      <c r="H4" s="371"/>
      <c r="I4" s="371"/>
      <c r="J4" s="371"/>
      <c r="K4" s="154"/>
      <c r="L4" s="154"/>
      <c r="M4" s="154"/>
      <c r="N4" s="154"/>
    </row>
    <row r="5" spans="2:14">
      <c r="B5" s="24" t="s">
        <v>0</v>
      </c>
      <c r="C5" s="33">
        <v>44078</v>
      </c>
      <c r="D5" s="12"/>
      <c r="E5" s="29" t="s">
        <v>14</v>
      </c>
      <c r="F5" s="29" t="s">
        <v>21</v>
      </c>
      <c r="G5" s="29" t="s">
        <v>7</v>
      </c>
      <c r="H5" s="29" t="s">
        <v>8</v>
      </c>
      <c r="I5" s="29" t="s">
        <v>33</v>
      </c>
      <c r="J5" s="29" t="s">
        <v>9</v>
      </c>
      <c r="K5" s="29"/>
      <c r="L5" s="29" t="s">
        <v>21</v>
      </c>
      <c r="M5" s="29" t="s">
        <v>126</v>
      </c>
      <c r="N5" s="29" t="s">
        <v>127</v>
      </c>
    </row>
    <row r="6" spans="2:14">
      <c r="B6" s="24" t="s">
        <v>1</v>
      </c>
      <c r="C6" s="33">
        <v>43413</v>
      </c>
      <c r="D6" s="12"/>
      <c r="E6" s="15">
        <f>'Planilla de datos'!D3</f>
        <v>44383</v>
      </c>
      <c r="F6" s="15"/>
      <c r="G6" s="49">
        <f>+C11</f>
        <v>141.43630234208661</v>
      </c>
      <c r="H6" s="30"/>
      <c r="I6" s="12"/>
      <c r="J6" s="14">
        <f>-'Planilla de datos'!C79</f>
        <v>-108.2</v>
      </c>
      <c r="K6" s="14"/>
      <c r="L6" s="14"/>
      <c r="M6" s="14"/>
      <c r="N6" s="14"/>
    </row>
    <row r="7" spans="2:14">
      <c r="B7" s="24" t="s">
        <v>2</v>
      </c>
      <c r="C7" s="34">
        <v>22.544</v>
      </c>
      <c r="D7" s="12"/>
      <c r="E7" s="15">
        <v>44509</v>
      </c>
      <c r="F7" s="12" t="e">
        <f>E7-#REF!</f>
        <v>#REF!</v>
      </c>
      <c r="G7" s="49">
        <f t="shared" ref="G7:G12" si="0">+G6</f>
        <v>141.43630234208661</v>
      </c>
      <c r="H7" s="14">
        <f t="shared" ref="H7:H12" si="1">$C$11*$C$10*(180/360)</f>
        <v>1.5911584013484743</v>
      </c>
      <c r="I7" s="14"/>
      <c r="J7" s="14">
        <f>SUM(H7:I7)</f>
        <v>1.5911584013484743</v>
      </c>
      <c r="K7" s="14"/>
      <c r="L7" s="67">
        <f t="shared" ref="L7:L21" si="2">DAYS360($E$6,E7)</f>
        <v>123</v>
      </c>
      <c r="M7" s="14">
        <f t="shared" ref="M7:M21" si="3">J7/(1+$J$23)^(L7/360)</f>
        <v>1.5483934431006294</v>
      </c>
      <c r="N7" s="14">
        <f t="shared" ref="N7:N21" si="4">M7*(L7/360)</f>
        <v>0.52903442639271503</v>
      </c>
    </row>
    <row r="8" spans="2:14">
      <c r="B8" s="24" t="s">
        <v>3</v>
      </c>
      <c r="C8" s="34">
        <f>+'Planilla de datos'!D64</f>
        <v>31.885400000000001</v>
      </c>
      <c r="D8" s="12"/>
      <c r="E8" s="15">
        <v>44690</v>
      </c>
      <c r="F8" s="12">
        <f t="shared" ref="F8:F21" si="5">E8-E7</f>
        <v>181</v>
      </c>
      <c r="G8" s="49">
        <f t="shared" si="0"/>
        <v>141.43630234208661</v>
      </c>
      <c r="H8" s="14">
        <f t="shared" si="1"/>
        <v>1.5911584013484743</v>
      </c>
      <c r="I8" s="12"/>
      <c r="J8" s="14">
        <f>SUM(H8:I8)</f>
        <v>1.5911584013484743</v>
      </c>
      <c r="K8" s="14"/>
      <c r="L8" s="67">
        <f t="shared" si="2"/>
        <v>303</v>
      </c>
      <c r="M8" s="14">
        <f t="shared" si="3"/>
        <v>1.4878736960901184</v>
      </c>
      <c r="N8" s="14">
        <f t="shared" si="4"/>
        <v>1.2522936942091831</v>
      </c>
    </row>
    <row r="9" spans="2:14">
      <c r="B9" s="24" t="s">
        <v>4</v>
      </c>
      <c r="C9" s="34">
        <f>((C8-C7)/C7)+1</f>
        <v>1.414363023420866</v>
      </c>
      <c r="D9" s="12"/>
      <c r="E9" s="15">
        <v>44874</v>
      </c>
      <c r="F9" s="12">
        <f t="shared" si="5"/>
        <v>184</v>
      </c>
      <c r="G9" s="49">
        <f t="shared" si="0"/>
        <v>141.43630234208661</v>
      </c>
      <c r="H9" s="14">
        <f t="shared" si="1"/>
        <v>1.5911584013484743</v>
      </c>
      <c r="I9" s="12"/>
      <c r="J9" s="14">
        <f>SUM(H9:I9)</f>
        <v>1.5911584013484743</v>
      </c>
      <c r="K9" s="14"/>
      <c r="L9" s="67">
        <f t="shared" si="2"/>
        <v>483</v>
      </c>
      <c r="M9" s="14">
        <f t="shared" si="3"/>
        <v>1.429719394241195</v>
      </c>
      <c r="N9" s="14">
        <f t="shared" si="4"/>
        <v>1.9182068539402697</v>
      </c>
    </row>
    <row r="10" spans="2:14">
      <c r="B10" s="24" t="s">
        <v>5</v>
      </c>
      <c r="C10" s="35">
        <v>2.2499999999999999E-2</v>
      </c>
      <c r="D10" s="12"/>
      <c r="E10" s="15">
        <v>45055</v>
      </c>
      <c r="F10" s="12">
        <f t="shared" si="5"/>
        <v>181</v>
      </c>
      <c r="G10" s="49">
        <f t="shared" si="0"/>
        <v>141.43630234208661</v>
      </c>
      <c r="H10" s="14">
        <f t="shared" si="1"/>
        <v>1.5911584013484743</v>
      </c>
      <c r="I10" s="14"/>
      <c r="J10" s="14">
        <f>SUM(H10:I10)</f>
        <v>1.5911584013484743</v>
      </c>
      <c r="K10" s="14"/>
      <c r="L10" s="67">
        <f t="shared" si="2"/>
        <v>663</v>
      </c>
      <c r="M10" s="14">
        <f t="shared" si="3"/>
        <v>1.3738380829239427</v>
      </c>
      <c r="N10" s="14">
        <f t="shared" si="4"/>
        <v>2.5301518027182612</v>
      </c>
    </row>
    <row r="11" spans="2:14">
      <c r="B11" s="36" t="s">
        <v>16</v>
      </c>
      <c r="C11" s="37">
        <f>C9*100</f>
        <v>141.43630234208661</v>
      </c>
      <c r="D11" s="12"/>
      <c r="E11" s="15">
        <v>45239</v>
      </c>
      <c r="F11" s="12">
        <f t="shared" si="5"/>
        <v>184</v>
      </c>
      <c r="G11" s="49">
        <f t="shared" si="0"/>
        <v>141.43630234208661</v>
      </c>
      <c r="H11" s="14">
        <f t="shared" si="1"/>
        <v>1.5911584013484743</v>
      </c>
      <c r="I11" s="14"/>
      <c r="J11" s="14">
        <f t="shared" ref="J11:J17" si="6">SUM(H11:I11)</f>
        <v>1.5911584013484743</v>
      </c>
      <c r="K11" s="14"/>
      <c r="L11" s="67">
        <f t="shared" si="2"/>
        <v>843</v>
      </c>
      <c r="M11" s="14">
        <f t="shared" si="3"/>
        <v>1.3201409211447843</v>
      </c>
      <c r="N11" s="14">
        <f t="shared" si="4"/>
        <v>3.0913299903473699</v>
      </c>
    </row>
    <row r="12" spans="2:14">
      <c r="B12" s="12"/>
      <c r="C12" s="12"/>
      <c r="D12" s="12"/>
      <c r="E12" s="15">
        <v>45421</v>
      </c>
      <c r="F12" s="12">
        <f t="shared" si="5"/>
        <v>182</v>
      </c>
      <c r="G12" s="49">
        <f t="shared" si="0"/>
        <v>141.43630234208661</v>
      </c>
      <c r="H12" s="14">
        <f t="shared" si="1"/>
        <v>1.5911584013484743</v>
      </c>
      <c r="I12" s="14">
        <f>$G$6/10</f>
        <v>14.143630234208661</v>
      </c>
      <c r="J12" s="14">
        <f t="shared" si="6"/>
        <v>15.734788635557136</v>
      </c>
      <c r="K12" s="14"/>
      <c r="L12" s="67">
        <f t="shared" si="2"/>
        <v>1023</v>
      </c>
      <c r="M12" s="14">
        <f t="shared" si="3"/>
        <v>12.544476231911551</v>
      </c>
      <c r="N12" s="14">
        <f t="shared" si="4"/>
        <v>35.647219959015324</v>
      </c>
    </row>
    <row r="13" spans="2:14">
      <c r="B13" s="12"/>
      <c r="C13" s="12"/>
      <c r="D13" s="12"/>
      <c r="E13" s="15">
        <v>45605</v>
      </c>
      <c r="F13" s="12">
        <f t="shared" si="5"/>
        <v>184</v>
      </c>
      <c r="G13" s="49">
        <f>G12-I12</f>
        <v>127.29267210787795</v>
      </c>
      <c r="H13" s="14">
        <f>G13*$C$10*(180/360)</f>
        <v>1.4320425612136269</v>
      </c>
      <c r="I13" s="14">
        <f t="shared" ref="I13:I21" si="7">$G$6/10</f>
        <v>14.143630234208661</v>
      </c>
      <c r="J13" s="14">
        <f t="shared" si="6"/>
        <v>15.575672795422289</v>
      </c>
      <c r="K13" s="14"/>
      <c r="L13" s="67">
        <f t="shared" si="2"/>
        <v>1203</v>
      </c>
      <c r="M13" s="14">
        <f t="shared" si="3"/>
        <v>11.932272893045912</v>
      </c>
      <c r="N13" s="14">
        <f t="shared" si="4"/>
        <v>39.873678584261761</v>
      </c>
    </row>
    <row r="14" spans="2:14">
      <c r="B14" s="12"/>
      <c r="C14" s="12"/>
      <c r="D14" s="12"/>
      <c r="E14" s="15">
        <v>45786</v>
      </c>
      <c r="F14" s="12">
        <f t="shared" si="5"/>
        <v>181</v>
      </c>
      <c r="G14" s="49">
        <f t="shared" ref="G14:G21" si="8">G13-I13</f>
        <v>113.14904187366929</v>
      </c>
      <c r="H14" s="14">
        <f t="shared" ref="H14:H21" si="9">G14*$C$10*(180/360)</f>
        <v>1.2729267210787796</v>
      </c>
      <c r="I14" s="14">
        <f t="shared" si="7"/>
        <v>14.143630234208661</v>
      </c>
      <c r="J14" s="14">
        <f t="shared" si="6"/>
        <v>15.41655695528744</v>
      </c>
      <c r="K14" s="14"/>
      <c r="L14" s="67">
        <f t="shared" si="2"/>
        <v>1383</v>
      </c>
      <c r="M14" s="14">
        <f t="shared" si="3"/>
        <v>11.348762204594683</v>
      </c>
      <c r="N14" s="14">
        <f t="shared" si="4"/>
        <v>43.598161469317908</v>
      </c>
    </row>
    <row r="15" spans="2:14">
      <c r="B15" s="12"/>
      <c r="C15" s="12"/>
      <c r="D15" s="12"/>
      <c r="E15" s="15">
        <v>45970</v>
      </c>
      <c r="F15" s="12">
        <f t="shared" si="5"/>
        <v>184</v>
      </c>
      <c r="G15" s="49">
        <f t="shared" si="8"/>
        <v>99.005411639460633</v>
      </c>
      <c r="H15" s="14">
        <f t="shared" si="9"/>
        <v>1.113810880943932</v>
      </c>
      <c r="I15" s="14">
        <f t="shared" si="7"/>
        <v>14.143630234208661</v>
      </c>
      <c r="J15" s="14">
        <f t="shared" si="6"/>
        <v>15.257441115152593</v>
      </c>
      <c r="K15" s="14"/>
      <c r="L15" s="67">
        <f t="shared" si="2"/>
        <v>1563</v>
      </c>
      <c r="M15" s="14">
        <f t="shared" si="3"/>
        <v>10.792636481827296</v>
      </c>
      <c r="N15" s="14">
        <f t="shared" si="4"/>
        <v>46.858030058600178</v>
      </c>
    </row>
    <row r="16" spans="2:14">
      <c r="B16" s="12"/>
      <c r="C16" s="12"/>
      <c r="D16" s="12"/>
      <c r="E16" s="15">
        <v>46151</v>
      </c>
      <c r="F16" s="12">
        <f t="shared" si="5"/>
        <v>181</v>
      </c>
      <c r="G16" s="49">
        <f t="shared" si="8"/>
        <v>84.861781405251975</v>
      </c>
      <c r="H16" s="14">
        <f t="shared" si="9"/>
        <v>0.95469504080908463</v>
      </c>
      <c r="I16" s="14">
        <f t="shared" si="7"/>
        <v>14.143630234208661</v>
      </c>
      <c r="J16" s="14">
        <f t="shared" si="6"/>
        <v>15.098325275017746</v>
      </c>
      <c r="K16" s="14"/>
      <c r="L16" s="67">
        <f t="shared" si="2"/>
        <v>1743</v>
      </c>
      <c r="M16" s="14">
        <f t="shared" si="3"/>
        <v>10.262646429957572</v>
      </c>
      <c r="N16" s="14">
        <f t="shared" si="4"/>
        <v>49.688313131711247</v>
      </c>
    </row>
    <row r="17" spans="1:21">
      <c r="B17" s="12"/>
      <c r="C17" s="12"/>
      <c r="D17" s="12"/>
      <c r="E17" s="15">
        <v>46335</v>
      </c>
      <c r="F17" s="12">
        <f t="shared" si="5"/>
        <v>184</v>
      </c>
      <c r="G17" s="49">
        <f t="shared" si="8"/>
        <v>70.718151171043317</v>
      </c>
      <c r="H17" s="14">
        <f t="shared" si="9"/>
        <v>0.79557920067423726</v>
      </c>
      <c r="I17" s="14">
        <f t="shared" si="7"/>
        <v>14.143630234208661</v>
      </c>
      <c r="J17" s="14">
        <f t="shared" si="6"/>
        <v>14.939209434882898</v>
      </c>
      <c r="K17" s="14"/>
      <c r="L17" s="67">
        <f t="shared" si="2"/>
        <v>1923</v>
      </c>
      <c r="M17" s="14">
        <f t="shared" si="3"/>
        <v>9.7575985774622094</v>
      </c>
      <c r="N17" s="14">
        <f t="shared" si="4"/>
        <v>52.121839067943966</v>
      </c>
    </row>
    <row r="18" spans="1:21">
      <c r="B18" s="12"/>
      <c r="C18" s="12"/>
      <c r="D18" s="12"/>
      <c r="E18" s="15">
        <v>46516</v>
      </c>
      <c r="F18" s="12">
        <f t="shared" si="5"/>
        <v>181</v>
      </c>
      <c r="G18" s="49">
        <f t="shared" si="8"/>
        <v>56.574520936834659</v>
      </c>
      <c r="H18" s="14">
        <f t="shared" si="9"/>
        <v>0.6364633605393899</v>
      </c>
      <c r="I18" s="14">
        <f t="shared" si="7"/>
        <v>14.143630234208661</v>
      </c>
      <c r="J18" s="14">
        <f>SUM(H18:I18)</f>
        <v>14.780093594748051</v>
      </c>
      <c r="L18" s="67">
        <f t="shared" si="2"/>
        <v>2103</v>
      </c>
      <c r="M18" s="14">
        <f t="shared" si="3"/>
        <v>9.2763528208384329</v>
      </c>
      <c r="N18" s="14">
        <f t="shared" si="4"/>
        <v>54.189361061731184</v>
      </c>
    </row>
    <row r="19" spans="1:21">
      <c r="B19" s="12"/>
      <c r="C19" s="12"/>
      <c r="D19" s="12"/>
      <c r="E19" s="15">
        <v>46700</v>
      </c>
      <c r="F19" s="12">
        <f t="shared" si="5"/>
        <v>184</v>
      </c>
      <c r="G19" s="49">
        <f t="shared" si="8"/>
        <v>42.430890702626002</v>
      </c>
      <c r="H19" s="14">
        <f t="shared" si="9"/>
        <v>0.47734752040454248</v>
      </c>
      <c r="I19" s="14">
        <f t="shared" si="7"/>
        <v>14.143630234208661</v>
      </c>
      <c r="J19" s="14">
        <f>SUM(H19:I19)</f>
        <v>14.620977754613204</v>
      </c>
      <c r="L19" s="67">
        <f t="shared" si="2"/>
        <v>2283</v>
      </c>
      <c r="M19" s="14">
        <f t="shared" si="3"/>
        <v>8.8178200760104897</v>
      </c>
      <c r="N19" s="14">
        <f t="shared" si="4"/>
        <v>55.919675648699858</v>
      </c>
    </row>
    <row r="20" spans="1:21">
      <c r="E20" s="15">
        <v>46882</v>
      </c>
      <c r="F20" s="12">
        <f t="shared" si="5"/>
        <v>182</v>
      </c>
      <c r="G20" s="49">
        <f t="shared" si="8"/>
        <v>28.28726046841734</v>
      </c>
      <c r="H20" s="14">
        <f t="shared" si="9"/>
        <v>0.31823168026969506</v>
      </c>
      <c r="I20" s="14">
        <f t="shared" si="7"/>
        <v>14.143630234208661</v>
      </c>
      <c r="J20" s="14">
        <f>SUM(H20:I20)</f>
        <v>14.461861914478357</v>
      </c>
      <c r="L20" s="67">
        <f t="shared" si="2"/>
        <v>2463</v>
      </c>
      <c r="M20" s="14">
        <f t="shared" si="3"/>
        <v>8.3809600317990096</v>
      </c>
      <c r="N20" s="14">
        <f t="shared" si="4"/>
        <v>57.339734884224889</v>
      </c>
    </row>
    <row r="21" spans="1:21">
      <c r="A21" s="12"/>
      <c r="E21" s="15">
        <v>47066</v>
      </c>
      <c r="F21" s="12">
        <f t="shared" si="5"/>
        <v>184</v>
      </c>
      <c r="G21" s="49">
        <f t="shared" si="8"/>
        <v>14.143630234208679</v>
      </c>
      <c r="H21" s="14">
        <f t="shared" si="9"/>
        <v>0.15911584013484764</v>
      </c>
      <c r="I21" s="14">
        <f t="shared" si="7"/>
        <v>14.143630234208661</v>
      </c>
      <c r="J21" s="14">
        <f>SUM(H21:I21)</f>
        <v>14.302746074343508</v>
      </c>
      <c r="L21" s="67">
        <f t="shared" si="2"/>
        <v>2643</v>
      </c>
      <c r="M21" s="14">
        <f t="shared" si="3"/>
        <v>7.9647790010627419</v>
      </c>
      <c r="N21" s="14">
        <f t="shared" si="4"/>
        <v>58.474752499468963</v>
      </c>
    </row>
    <row r="22" spans="1:21">
      <c r="A22" s="110"/>
      <c r="F22" s="12"/>
      <c r="G22" s="247"/>
      <c r="K22" s="86"/>
      <c r="L22" s="86"/>
      <c r="M22" s="14">
        <f>SUM(M7:M21)</f>
        <v>108.23827028601055</v>
      </c>
      <c r="N22" s="14">
        <f>SUM(N7:N21)</f>
        <v>503.03178313258309</v>
      </c>
    </row>
    <row r="23" spans="1:21">
      <c r="A23" s="110"/>
      <c r="G23" s="247"/>
      <c r="I23" s="92" t="s">
        <v>13</v>
      </c>
      <c r="J23" s="86">
        <f>XIRR(J6:J21,E6:E21)</f>
        <v>8.3005133271217363E-2</v>
      </c>
      <c r="K23" s="71"/>
      <c r="L23" s="71"/>
      <c r="M23" s="71" t="s">
        <v>22</v>
      </c>
      <c r="N23" s="71">
        <f>N22/M22</f>
        <v>4.6474484653474581</v>
      </c>
    </row>
    <row r="24" spans="1:21">
      <c r="A24" s="110"/>
      <c r="G24" s="247"/>
      <c r="I24" s="92" t="s">
        <v>29</v>
      </c>
      <c r="J24" s="71">
        <f>N23/(1+J23)</f>
        <v>4.2912524812415604</v>
      </c>
    </row>
    <row r="25" spans="1:21">
      <c r="A25" s="110"/>
    </row>
    <row r="26" spans="1:21">
      <c r="A26" s="110"/>
    </row>
    <row r="27" spans="1:21">
      <c r="A27" s="110"/>
    </row>
    <row r="28" spans="1:21">
      <c r="A28" s="110"/>
    </row>
    <row r="29" spans="1:21">
      <c r="A29" s="51"/>
    </row>
    <row r="30" spans="1:21">
      <c r="O30" s="12"/>
      <c r="P30" s="12"/>
      <c r="Q30" s="12"/>
      <c r="R30" s="12"/>
      <c r="S30" s="12"/>
      <c r="T30" s="12"/>
      <c r="U30" s="12"/>
    </row>
    <row r="31" spans="1:21">
      <c r="J31" s="4"/>
      <c r="K31" s="165"/>
      <c r="O31" s="12"/>
      <c r="P31" s="12"/>
      <c r="Q31" s="12"/>
      <c r="R31" s="12"/>
      <c r="S31" s="12"/>
      <c r="T31" s="12"/>
      <c r="U31" s="12"/>
    </row>
    <row r="32" spans="1:21">
      <c r="J32" s="4"/>
      <c r="K32" s="165"/>
      <c r="O32" s="12"/>
      <c r="P32" s="12"/>
      <c r="Q32" s="12"/>
      <c r="R32" s="12"/>
      <c r="S32" s="12"/>
      <c r="T32" s="12"/>
      <c r="U32" s="12"/>
    </row>
    <row r="33" spans="10:21">
      <c r="J33" s="4"/>
      <c r="K33" s="165"/>
      <c r="L33" s="2"/>
      <c r="O33" s="12"/>
      <c r="P33" s="12"/>
      <c r="Q33" s="12"/>
      <c r="R33" s="12"/>
      <c r="S33" s="12"/>
      <c r="T33" s="12"/>
      <c r="U33" s="12"/>
    </row>
    <row r="34" spans="10:21">
      <c r="J34" s="162"/>
      <c r="O34" s="12"/>
      <c r="P34" s="12"/>
      <c r="Q34" s="148"/>
      <c r="R34" s="12"/>
      <c r="S34" s="12"/>
      <c r="T34" s="148"/>
      <c r="U34" s="12"/>
    </row>
    <row r="35" spans="10:21">
      <c r="O35" s="12"/>
      <c r="P35" s="12"/>
      <c r="Q35" s="47"/>
      <c r="R35" s="12"/>
      <c r="S35" s="12"/>
      <c r="T35" s="12"/>
      <c r="U35" s="12"/>
    </row>
    <row r="36" spans="10:21">
      <c r="O36" s="12"/>
      <c r="P36" s="12"/>
      <c r="Q36" s="12"/>
      <c r="R36" s="12"/>
      <c r="S36" s="12"/>
      <c r="T36" s="12"/>
      <c r="U36" s="12"/>
    </row>
    <row r="37" spans="10:21">
      <c r="O37" s="12"/>
      <c r="P37" s="12"/>
      <c r="Q37" s="12"/>
      <c r="R37" s="12"/>
      <c r="S37" s="12"/>
      <c r="T37" s="12"/>
      <c r="U37" s="12"/>
    </row>
    <row r="38" spans="10:21">
      <c r="O38" s="12"/>
      <c r="P38" s="12"/>
      <c r="Q38" s="12"/>
      <c r="R38" s="12"/>
      <c r="S38" s="12"/>
      <c r="T38" s="12"/>
      <c r="U38" s="12"/>
    </row>
    <row r="39" spans="10:21">
      <c r="O39" s="12"/>
      <c r="P39" s="12"/>
      <c r="Q39" s="12"/>
      <c r="R39" s="12"/>
      <c r="S39" s="12"/>
      <c r="T39" s="12"/>
      <c r="U39" s="12"/>
    </row>
    <row r="40" spans="10:21">
      <c r="O40" s="12"/>
      <c r="P40" s="12"/>
      <c r="Q40" s="12"/>
      <c r="R40" s="12"/>
      <c r="S40" s="12"/>
      <c r="T40" s="12"/>
      <c r="U40" s="12"/>
    </row>
    <row r="41" spans="10:21">
      <c r="O41" s="12"/>
      <c r="P41" s="12"/>
      <c r="Q41" s="12"/>
      <c r="R41" s="12"/>
      <c r="S41" s="12"/>
      <c r="T41" s="12"/>
      <c r="U41" s="12"/>
    </row>
  </sheetData>
  <mergeCells count="3">
    <mergeCell ref="B2:J2"/>
    <mergeCell ref="B4:C4"/>
    <mergeCell ref="E4:J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7"/>
  <sheetViews>
    <sheetView showGridLines="0" zoomScale="90" zoomScaleNormal="90" workbookViewId="0">
      <selection activeCell="K12" sqref="K12"/>
    </sheetView>
  </sheetViews>
  <sheetFormatPr baseColWidth="10" defaultRowHeight="14.25"/>
  <cols>
    <col min="1" max="1" width="11.42578125" style="12"/>
    <col min="2" max="3" width="12" style="12" customWidth="1"/>
    <col min="4" max="4" width="16.42578125" style="12" customWidth="1"/>
    <col min="5" max="5" width="13.7109375" style="12" customWidth="1"/>
    <col min="6" max="6" width="14" style="12" customWidth="1"/>
    <col min="7" max="7" width="15.5703125" style="12" customWidth="1"/>
    <col min="8" max="8" width="15.5703125" style="12" bestFit="1" customWidth="1"/>
    <col min="9" max="9" width="11.5703125" style="12" bestFit="1" customWidth="1"/>
    <col min="10" max="10" width="12.140625" style="12" customWidth="1"/>
    <col min="11" max="11" width="10.42578125" style="12" customWidth="1"/>
    <col min="12" max="12" width="13.42578125" style="12" customWidth="1"/>
    <col min="13" max="13" width="12" style="12" customWidth="1"/>
    <col min="14" max="14" width="11.85546875" style="12" customWidth="1"/>
    <col min="15" max="15" width="14.85546875" style="12" customWidth="1"/>
    <col min="16" max="16" width="14.42578125" style="12" customWidth="1"/>
    <col min="17" max="16384" width="11.42578125" style="12"/>
  </cols>
  <sheetData>
    <row r="2" spans="2:16" ht="15">
      <c r="B2" s="150" t="s">
        <v>43</v>
      </c>
      <c r="C2" s="150"/>
      <c r="E2" s="31">
        <f>'Planilla de datos'!D3</f>
        <v>44383</v>
      </c>
    </row>
    <row r="3" spans="2:16">
      <c r="F3" s="15"/>
    </row>
    <row r="4" spans="2:16" ht="15.75">
      <c r="B4" s="414" t="s">
        <v>67</v>
      </c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</row>
    <row r="5" spans="2:16">
      <c r="F5" s="15"/>
    </row>
    <row r="6" spans="2:16" ht="30">
      <c r="B6" s="156" t="s">
        <v>49</v>
      </c>
      <c r="C6" s="156" t="s">
        <v>130</v>
      </c>
      <c r="D6" s="156" t="s">
        <v>68</v>
      </c>
      <c r="E6" s="156" t="s">
        <v>69</v>
      </c>
      <c r="F6" s="156" t="s">
        <v>71</v>
      </c>
      <c r="G6" s="156" t="s">
        <v>72</v>
      </c>
      <c r="H6" s="156" t="s">
        <v>1</v>
      </c>
      <c r="I6" s="156" t="s">
        <v>21</v>
      </c>
      <c r="J6" s="156" t="s">
        <v>47</v>
      </c>
      <c r="K6" s="156" t="s">
        <v>131</v>
      </c>
      <c r="L6" s="156" t="s">
        <v>48</v>
      </c>
      <c r="M6" s="156" t="s">
        <v>57</v>
      </c>
      <c r="N6" s="156" t="s">
        <v>17</v>
      </c>
      <c r="O6" s="156" t="s">
        <v>10</v>
      </c>
      <c r="P6" s="156"/>
    </row>
    <row r="7" spans="2:16">
      <c r="B7" s="267" t="s">
        <v>175</v>
      </c>
      <c r="C7" s="155">
        <v>44169</v>
      </c>
      <c r="D7" s="155">
        <v>44154</v>
      </c>
      <c r="E7" s="159">
        <f>+'Serie CER'!E101</f>
        <v>24.285399999999999</v>
      </c>
      <c r="F7" s="155">
        <v>44438</v>
      </c>
      <c r="G7" s="160">
        <f>+'Serie CER'!H246</f>
        <v>34.071504181122556</v>
      </c>
      <c r="H7" s="158">
        <v>44452</v>
      </c>
      <c r="I7" s="309">
        <f>+H7-$E$2</f>
        <v>69</v>
      </c>
      <c r="J7" s="128">
        <f>+'Planilla de datos'!C37</f>
        <v>131.15</v>
      </c>
      <c r="K7" s="160">
        <f t="shared" ref="K7:K12" si="0">(G7/E7)</f>
        <v>1.4029624457955214</v>
      </c>
      <c r="L7" s="128">
        <f t="shared" ref="L7:L12" si="1">K7*100</f>
        <v>140.29624457955214</v>
      </c>
      <c r="M7" s="157">
        <f>L7/J7-1</f>
        <v>6.9738807316447771E-2</v>
      </c>
      <c r="N7" s="157">
        <f>M7/I7*365</f>
        <v>0.36890818363048455</v>
      </c>
      <c r="O7" s="157">
        <f>(1+M7)^(365/I7)-1</f>
        <v>0.42848294779024987</v>
      </c>
    </row>
    <row r="8" spans="2:16">
      <c r="B8" s="310" t="s">
        <v>217</v>
      </c>
      <c r="C8" s="155">
        <v>44273</v>
      </c>
      <c r="D8" s="155">
        <v>44259</v>
      </c>
      <c r="E8" s="159">
        <v>27.5701</v>
      </c>
      <c r="F8" s="155">
        <v>44606</v>
      </c>
      <c r="G8" s="160">
        <f>+'Serie CER'!K49</f>
        <v>39.734328189178392</v>
      </c>
      <c r="H8" s="158">
        <v>44620</v>
      </c>
      <c r="I8" s="310">
        <f>+H8-$E$2</f>
        <v>237</v>
      </c>
      <c r="J8" s="128">
        <f>+'Planilla de datos'!C38</f>
        <v>113.4</v>
      </c>
      <c r="K8" s="160">
        <f t="shared" si="0"/>
        <v>1.4412108838625319</v>
      </c>
      <c r="L8" s="128">
        <f t="shared" si="1"/>
        <v>144.12108838625321</v>
      </c>
      <c r="M8" s="157">
        <f>L8/J8-1</f>
        <v>0.27090906866184472</v>
      </c>
      <c r="N8" s="157">
        <f t="shared" ref="N8:N11" si="2">M8/I8*365</f>
        <v>0.41722282726402249</v>
      </c>
      <c r="O8" s="157">
        <f t="shared" ref="O8:O11" si="3">(1+M8)^(365/I8)-1</f>
        <v>0.44658874949807537</v>
      </c>
    </row>
    <row r="9" spans="2:16">
      <c r="B9" s="310" t="s">
        <v>218</v>
      </c>
      <c r="C9" s="155">
        <v>44286</v>
      </c>
      <c r="D9" s="155">
        <v>44271</v>
      </c>
      <c r="E9" s="159">
        <v>28.030100000000001</v>
      </c>
      <c r="F9" s="155">
        <v>44636</v>
      </c>
      <c r="G9" s="160">
        <f>+'Serie CER'!K79</f>
        <v>40.922491431026977</v>
      </c>
      <c r="H9" s="158">
        <v>44651</v>
      </c>
      <c r="I9" s="310">
        <f>+H9-$E$2</f>
        <v>268</v>
      </c>
      <c r="J9" s="128">
        <f>+'Planilla de datos'!C39</f>
        <v>111.1</v>
      </c>
      <c r="K9" s="160">
        <f t="shared" si="0"/>
        <v>1.4599481068931961</v>
      </c>
      <c r="L9" s="128">
        <f t="shared" si="1"/>
        <v>145.99481068931962</v>
      </c>
      <c r="M9" s="157">
        <f t="shared" ref="M9:M11" si="4">L9/J9-1</f>
        <v>0.31408470467434402</v>
      </c>
      <c r="N9" s="157">
        <f t="shared" si="2"/>
        <v>0.42776461644080438</v>
      </c>
      <c r="O9" s="157">
        <f t="shared" si="3"/>
        <v>0.45063427571650694</v>
      </c>
    </row>
    <row r="10" spans="2:16">
      <c r="B10" s="316" t="s">
        <v>219</v>
      </c>
      <c r="C10" s="155">
        <v>44305</v>
      </c>
      <c r="D10" s="155">
        <v>44291</v>
      </c>
      <c r="E10" s="159">
        <v>28.677</v>
      </c>
      <c r="F10" s="155">
        <v>44651</v>
      </c>
      <c r="G10" s="160">
        <f>+'Serie CER'!K94</f>
        <v>41.531792810690824</v>
      </c>
      <c r="H10" s="158">
        <v>44669</v>
      </c>
      <c r="I10" s="361">
        <f>+H10-$E$2</f>
        <v>286</v>
      </c>
      <c r="J10" s="128">
        <f>+'Planilla de datos'!C40</f>
        <v>109</v>
      </c>
      <c r="K10" s="160">
        <f t="shared" si="0"/>
        <v>1.448261422418343</v>
      </c>
      <c r="L10" s="128">
        <f t="shared" si="1"/>
        <v>144.8261422418343</v>
      </c>
      <c r="M10" s="157">
        <f t="shared" si="4"/>
        <v>0.32868020405352572</v>
      </c>
      <c r="N10" s="157">
        <f t="shared" si="2"/>
        <v>0.4194694911871919</v>
      </c>
      <c r="O10" s="157">
        <f t="shared" si="3"/>
        <v>0.4371831981091765</v>
      </c>
    </row>
    <row r="11" spans="2:16">
      <c r="B11" s="329" t="s">
        <v>237</v>
      </c>
      <c r="C11" s="155">
        <v>44337</v>
      </c>
      <c r="D11" s="155">
        <v>44323</v>
      </c>
      <c r="E11" s="159">
        <v>30.020700000000001</v>
      </c>
      <c r="F11" s="155">
        <v>44690</v>
      </c>
      <c r="G11" s="160">
        <f>+'Serie CER'!K133</f>
        <v>43.158771178319213</v>
      </c>
      <c r="H11" s="158">
        <v>44704</v>
      </c>
      <c r="I11" s="329">
        <f>+H11-$E$2</f>
        <v>321</v>
      </c>
      <c r="J11" s="128">
        <f>+'Planilla de datos'!C41</f>
        <v>103.6</v>
      </c>
      <c r="K11" s="160">
        <f t="shared" si="0"/>
        <v>1.4376337386642954</v>
      </c>
      <c r="L11" s="128">
        <f t="shared" si="1"/>
        <v>143.76337386642953</v>
      </c>
      <c r="M11" s="157">
        <f t="shared" si="4"/>
        <v>0.38767735392306513</v>
      </c>
      <c r="N11" s="157">
        <f t="shared" si="2"/>
        <v>0.44081692891563479</v>
      </c>
      <c r="O11" s="157">
        <f t="shared" si="3"/>
        <v>0.45141705058699122</v>
      </c>
    </row>
    <row r="12" spans="2:16">
      <c r="B12" s="361" t="s">
        <v>259</v>
      </c>
      <c r="C12" s="155">
        <v>44377</v>
      </c>
      <c r="D12" s="155">
        <v>44362</v>
      </c>
      <c r="E12" s="159">
        <f>+'Serie CER'!H170</f>
        <v>31.6447</v>
      </c>
      <c r="F12" s="155">
        <v>44546</v>
      </c>
      <c r="G12" s="160">
        <f>+'Serie CER'!H354</f>
        <v>37.632798915729822</v>
      </c>
      <c r="H12" s="158">
        <v>44561</v>
      </c>
      <c r="I12" s="361">
        <f>+H12-$C$12</f>
        <v>184</v>
      </c>
      <c r="J12" s="128">
        <v>99.2</v>
      </c>
      <c r="K12" s="160">
        <f t="shared" si="0"/>
        <v>1.189229125753438</v>
      </c>
      <c r="L12" s="128">
        <f t="shared" si="1"/>
        <v>118.9229125753438</v>
      </c>
      <c r="M12" s="157">
        <f t="shared" ref="M12" si="5">L12/J12-1</f>
        <v>0.19881968321919152</v>
      </c>
      <c r="N12" s="157">
        <f t="shared" ref="N12" si="6">M12/I12*365</f>
        <v>0.3943977411685049</v>
      </c>
      <c r="O12" s="157">
        <f t="shared" ref="O12" si="7">(1+M12)^(365/I12)-1</f>
        <v>0.4329257907713544</v>
      </c>
    </row>
    <row r="13" spans="2:16" ht="15">
      <c r="E13" s="110"/>
      <c r="F13" s="121"/>
      <c r="G13" s="139"/>
      <c r="H13" s="114"/>
      <c r="I13" s="110"/>
      <c r="J13" s="110"/>
      <c r="K13" s="22"/>
      <c r="M13" s="383"/>
      <c r="N13" s="383"/>
    </row>
    <row r="14" spans="2:16">
      <c r="E14" s="110"/>
      <c r="F14" s="121"/>
      <c r="G14" s="139"/>
      <c r="H14" s="110"/>
      <c r="I14" s="110"/>
      <c r="J14" s="110"/>
      <c r="K14" s="22"/>
      <c r="N14" s="15"/>
    </row>
    <row r="15" spans="2:16">
      <c r="B15" s="15"/>
      <c r="C15" s="22"/>
      <c r="E15" s="110"/>
      <c r="F15" s="110"/>
      <c r="G15" s="115"/>
      <c r="H15" s="114"/>
      <c r="I15" s="110"/>
      <c r="J15" s="110"/>
      <c r="K15" s="22"/>
    </row>
    <row r="16" spans="2:16">
      <c r="E16" s="110"/>
      <c r="F16" s="110"/>
      <c r="G16" s="110"/>
      <c r="H16" s="110"/>
      <c r="I16" s="110"/>
      <c r="J16" s="110"/>
      <c r="N16" s="30"/>
    </row>
    <row r="17" spans="6:20">
      <c r="K17" s="31"/>
      <c r="N17" s="14"/>
      <c r="O17" s="22"/>
      <c r="P17" s="22"/>
      <c r="Q17" s="22"/>
    </row>
    <row r="18" spans="6:20" ht="15">
      <c r="F18" s="399"/>
      <c r="G18" s="399"/>
      <c r="H18" s="110"/>
      <c r="K18" s="31"/>
      <c r="N18" s="22"/>
      <c r="O18" s="22"/>
      <c r="P18" s="22"/>
      <c r="Q18" s="383" t="s">
        <v>182</v>
      </c>
      <c r="R18" s="383"/>
      <c r="S18" s="383"/>
      <c r="T18" s="383"/>
    </row>
    <row r="20" spans="6:20" ht="15">
      <c r="K20" s="31"/>
      <c r="Q20" s="413" t="s">
        <v>175</v>
      </c>
      <c r="R20" s="413"/>
      <c r="S20" s="413"/>
      <c r="T20" s="413"/>
    </row>
    <row r="21" spans="6:20">
      <c r="K21" s="31"/>
      <c r="Q21" s="12" t="s">
        <v>2</v>
      </c>
      <c r="R21" s="47">
        <f>+E7</f>
        <v>24.285399999999999</v>
      </c>
      <c r="S21" s="14">
        <f>-'Planilla de datos'!C37</f>
        <v>-131.15</v>
      </c>
      <c r="T21" s="155">
        <f>'Planilla de datos'!D3</f>
        <v>44383</v>
      </c>
    </row>
    <row r="22" spans="6:20">
      <c r="K22" s="65"/>
      <c r="Q22" s="12" t="s">
        <v>176</v>
      </c>
      <c r="R22" s="47">
        <f>'Planilla de datos'!D64</f>
        <v>31.885400000000001</v>
      </c>
      <c r="S22" s="14">
        <f>R23*100</f>
        <v>131.2945226349988</v>
      </c>
      <c r="T22" s="155">
        <f>H7</f>
        <v>44452</v>
      </c>
    </row>
    <row r="23" spans="6:20">
      <c r="Q23" s="12" t="s">
        <v>4</v>
      </c>
      <c r="R23" s="268">
        <f>(R22/R21)</f>
        <v>1.3129452263499881</v>
      </c>
      <c r="T23" s="12">
        <f>T22-T21</f>
        <v>69</v>
      </c>
    </row>
    <row r="24" spans="6:20">
      <c r="R24" s="268"/>
    </row>
    <row r="25" spans="6:20">
      <c r="R25" s="269" t="s">
        <v>10</v>
      </c>
      <c r="S25" s="270">
        <f>XIRR(S21:S22,T21:T22)</f>
        <v>5.8430284261703483E-3</v>
      </c>
      <c r="T25" s="22">
        <f>(S22/-S21)^(360/T23)-1</f>
        <v>5.762755310697143E-3</v>
      </c>
    </row>
    <row r="26" spans="6:20">
      <c r="K26" s="22"/>
    </row>
    <row r="27" spans="6:20">
      <c r="K27" s="22"/>
    </row>
    <row r="28" spans="6:20" ht="15">
      <c r="K28" s="22"/>
      <c r="Q28" s="413" t="s">
        <v>217</v>
      </c>
      <c r="R28" s="413"/>
      <c r="S28" s="413"/>
      <c r="T28" s="413"/>
    </row>
    <row r="29" spans="6:20">
      <c r="Q29" s="12" t="s">
        <v>2</v>
      </c>
      <c r="R29" s="47">
        <f>+E8</f>
        <v>27.5701</v>
      </c>
      <c r="S29" s="14">
        <f>-J8</f>
        <v>-113.4</v>
      </c>
      <c r="T29" s="155">
        <f>+'Planilla de datos'!D3</f>
        <v>44383</v>
      </c>
    </row>
    <row r="30" spans="6:20">
      <c r="Q30" s="12" t="s">
        <v>176</v>
      </c>
      <c r="R30" s="47">
        <f>+'Planilla de datos'!D64</f>
        <v>31.885400000000001</v>
      </c>
      <c r="S30" s="14">
        <f>R31*100</f>
        <v>115.65210137068782</v>
      </c>
      <c r="T30" s="155">
        <f>+H8</f>
        <v>44620</v>
      </c>
    </row>
    <row r="31" spans="6:20">
      <c r="Q31" s="12" t="s">
        <v>4</v>
      </c>
      <c r="R31" s="268">
        <f>(R30/R29)</f>
        <v>1.1565210137068782</v>
      </c>
    </row>
    <row r="32" spans="6:20">
      <c r="R32" s="268"/>
    </row>
    <row r="33" spans="17:20">
      <c r="R33" s="269" t="s">
        <v>10</v>
      </c>
      <c r="S33" s="270">
        <f>XIRR(S29:S30,T29:T30)</f>
        <v>3.0749306082725525E-2</v>
      </c>
    </row>
    <row r="36" spans="17:20" ht="15">
      <c r="Q36" s="413" t="s">
        <v>218</v>
      </c>
      <c r="R36" s="413"/>
      <c r="S36" s="413"/>
      <c r="T36" s="413"/>
    </row>
    <row r="37" spans="17:20">
      <c r="Q37" s="12" t="s">
        <v>2</v>
      </c>
      <c r="R37" s="47">
        <f>+E9</f>
        <v>28.030100000000001</v>
      </c>
      <c r="S37" s="14">
        <f>-J9</f>
        <v>-111.1</v>
      </c>
      <c r="T37" s="155">
        <f>+'Planilla de datos'!D3</f>
        <v>44383</v>
      </c>
    </row>
    <row r="38" spans="17:20">
      <c r="Q38" s="12" t="s">
        <v>176</v>
      </c>
      <c r="R38" s="47">
        <f>+'Planilla de datos'!D64</f>
        <v>31.885400000000001</v>
      </c>
      <c r="S38" s="14">
        <f>R39*100</f>
        <v>113.75414286784564</v>
      </c>
      <c r="T38" s="155">
        <f>+H9</f>
        <v>44651</v>
      </c>
    </row>
    <row r="39" spans="17:20">
      <c r="Q39" s="12" t="s">
        <v>4</v>
      </c>
      <c r="R39" s="268">
        <f>(R38/R37)</f>
        <v>1.1375414286784564</v>
      </c>
    </row>
    <row r="40" spans="17:20">
      <c r="R40" s="268"/>
    </row>
    <row r="41" spans="17:20">
      <c r="R41" s="269" t="s">
        <v>10</v>
      </c>
      <c r="S41" s="270">
        <f>XIRR(S37:S38,T37:T38)</f>
        <v>3.2676270604133612E-2</v>
      </c>
    </row>
    <row r="44" spans="17:20" ht="15">
      <c r="Q44" s="413" t="s">
        <v>219</v>
      </c>
      <c r="R44" s="413"/>
      <c r="S44" s="413"/>
      <c r="T44" s="413"/>
    </row>
    <row r="45" spans="17:20">
      <c r="Q45" s="12" t="s">
        <v>2</v>
      </c>
      <c r="R45" s="47">
        <f>+E10</f>
        <v>28.677</v>
      </c>
      <c r="S45" s="14">
        <f>-J10</f>
        <v>-109</v>
      </c>
      <c r="T45" s="155">
        <f>+'Planilla de datos'!D3</f>
        <v>44383</v>
      </c>
    </row>
    <row r="46" spans="17:20">
      <c r="Q46" s="12" t="s">
        <v>176</v>
      </c>
      <c r="R46" s="47">
        <f>+'Planilla de datos'!D64</f>
        <v>31.885400000000001</v>
      </c>
      <c r="S46" s="14">
        <f>R47*100</f>
        <v>111.18806011786448</v>
      </c>
      <c r="T46" s="155">
        <f>+H10</f>
        <v>44669</v>
      </c>
    </row>
    <row r="47" spans="17:20">
      <c r="Q47" s="12" t="s">
        <v>4</v>
      </c>
      <c r="R47" s="268">
        <f>(R46/R45)</f>
        <v>1.1118806011786448</v>
      </c>
    </row>
    <row r="48" spans="17:20">
      <c r="R48" s="268"/>
    </row>
    <row r="49" spans="17:20">
      <c r="R49" s="269" t="s">
        <v>10</v>
      </c>
      <c r="S49" s="270">
        <f>XIRR(S45:S46,T45:T46)</f>
        <v>2.568953335285187E-2</v>
      </c>
    </row>
    <row r="52" spans="17:20" ht="15">
      <c r="Q52" s="413" t="s">
        <v>237</v>
      </c>
      <c r="R52" s="413"/>
      <c r="S52" s="413"/>
      <c r="T52" s="413"/>
    </row>
    <row r="53" spans="17:20">
      <c r="Q53" s="12" t="s">
        <v>2</v>
      </c>
      <c r="R53" s="47">
        <f>+E11</f>
        <v>30.020700000000001</v>
      </c>
      <c r="S53" s="14">
        <f>-'Planilla de datos'!C41</f>
        <v>-103.6</v>
      </c>
      <c r="T53" s="155">
        <f>+'Planilla de datos'!D3</f>
        <v>44383</v>
      </c>
    </row>
    <row r="54" spans="17:20">
      <c r="Q54" s="12" t="s">
        <v>176</v>
      </c>
      <c r="R54" s="47">
        <f>+'Planilla de datos'!D64</f>
        <v>31.885400000000001</v>
      </c>
      <c r="S54" s="14">
        <f>R55*100</f>
        <v>106.21138081390507</v>
      </c>
      <c r="T54" s="155">
        <v>44704</v>
      </c>
    </row>
    <row r="55" spans="17:20">
      <c r="Q55" s="12" t="s">
        <v>4</v>
      </c>
      <c r="R55" s="268">
        <f>(R54/R53)</f>
        <v>1.0621138081390507</v>
      </c>
    </row>
    <row r="56" spans="17:20">
      <c r="R56" s="268"/>
    </row>
    <row r="57" spans="17:20">
      <c r="R57" s="269" t="s">
        <v>10</v>
      </c>
      <c r="S57" s="270">
        <f>XIRR(S53:S54,T53:T54)</f>
        <v>2.8710618615150455E-2</v>
      </c>
    </row>
  </sheetData>
  <mergeCells count="9">
    <mergeCell ref="Q52:T52"/>
    <mergeCell ref="Q44:T44"/>
    <mergeCell ref="Q28:T28"/>
    <mergeCell ref="Q36:T36"/>
    <mergeCell ref="B4:O4"/>
    <mergeCell ref="Q18:T18"/>
    <mergeCell ref="Q20:T20"/>
    <mergeCell ref="F18:G18"/>
    <mergeCell ref="M13:N13"/>
  </mergeCells>
  <pageMargins left="0.7" right="0.7" top="0.75" bottom="0.75" header="0.3" footer="0.3"/>
  <pageSetup orientation="portrait" r:id="rId1"/>
  <ignoredErrors>
    <ignoredError sqref="S49" evalError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94"/>
  <sheetViews>
    <sheetView showGridLines="0" workbookViewId="0">
      <selection activeCell="W28" sqref="A28:W28"/>
    </sheetView>
  </sheetViews>
  <sheetFormatPr baseColWidth="10" defaultRowHeight="15"/>
  <cols>
    <col min="6" max="6" width="14" bestFit="1" customWidth="1"/>
    <col min="12" max="12" width="14" bestFit="1" customWidth="1"/>
    <col min="18" max="18" width="14" bestFit="1" customWidth="1"/>
    <col min="24" max="24" width="14" bestFit="1" customWidth="1"/>
    <col min="30" max="30" width="14" bestFit="1" customWidth="1"/>
  </cols>
  <sheetData>
    <row r="2" spans="2:34">
      <c r="B2" s="415" t="s">
        <v>160</v>
      </c>
      <c r="C2" s="415"/>
      <c r="F2" s="415" t="s">
        <v>183</v>
      </c>
      <c r="G2" s="415"/>
      <c r="H2" s="415"/>
      <c r="I2" s="415"/>
      <c r="J2" s="415"/>
      <c r="L2" s="415" t="s">
        <v>195</v>
      </c>
      <c r="M2" s="415"/>
      <c r="N2" s="415"/>
      <c r="O2" s="415"/>
      <c r="P2" s="415"/>
      <c r="R2" s="415" t="s">
        <v>206</v>
      </c>
      <c r="S2" s="415"/>
      <c r="T2" s="415"/>
      <c r="U2" s="415"/>
      <c r="V2" s="415"/>
      <c r="X2" s="415" t="s">
        <v>214</v>
      </c>
      <c r="Y2" s="415"/>
      <c r="Z2" s="415"/>
      <c r="AA2" s="415"/>
      <c r="AB2" s="415"/>
      <c r="AD2" s="415" t="s">
        <v>222</v>
      </c>
      <c r="AE2" s="415"/>
      <c r="AF2" s="415"/>
      <c r="AG2" s="415"/>
      <c r="AH2" s="415"/>
    </row>
    <row r="3" spans="2:34">
      <c r="B3" s="186" t="s">
        <v>14</v>
      </c>
      <c r="C3" s="186" t="s">
        <v>142</v>
      </c>
    </row>
    <row r="4" spans="2:34">
      <c r="B4" s="11">
        <v>44133</v>
      </c>
      <c r="C4" s="2">
        <v>0.34499999999999997</v>
      </c>
      <c r="F4" s="181" t="s">
        <v>0</v>
      </c>
      <c r="G4" s="178">
        <v>44225</v>
      </c>
      <c r="I4" s="187">
        <f>+'Planilla de datos'!D3</f>
        <v>44383</v>
      </c>
      <c r="J4" s="4">
        <f>'Planilla de datos'!C49</f>
        <v>115.98350000000001</v>
      </c>
      <c r="L4" s="181" t="s">
        <v>0</v>
      </c>
      <c r="M4" s="178">
        <v>44253</v>
      </c>
      <c r="O4" s="187">
        <f>+'Planilla de datos'!D3</f>
        <v>44383</v>
      </c>
      <c r="P4" s="4">
        <f>'Planilla de datos'!C50</f>
        <v>112.53</v>
      </c>
      <c r="R4" s="181" t="s">
        <v>0</v>
      </c>
      <c r="S4" s="178">
        <v>44280</v>
      </c>
      <c r="U4" s="187">
        <f>+O4</f>
        <v>44383</v>
      </c>
      <c r="V4" s="4">
        <f>+'Planilla de datos'!C51</f>
        <v>109</v>
      </c>
      <c r="X4" s="181" t="s">
        <v>0</v>
      </c>
      <c r="Y4" s="178">
        <v>44286</v>
      </c>
      <c r="AA4" s="187">
        <f>+U4</f>
        <v>44383</v>
      </c>
      <c r="AB4" s="4">
        <f>+'Planilla de datos'!C52</f>
        <v>108.3</v>
      </c>
      <c r="AD4" s="181" t="s">
        <v>0</v>
      </c>
      <c r="AE4" s="178">
        <v>44305</v>
      </c>
      <c r="AG4" s="187">
        <f>+AA4</f>
        <v>44383</v>
      </c>
      <c r="AH4" s="4">
        <f>+'Planilla de datos'!C53</f>
        <v>106.25</v>
      </c>
    </row>
    <row r="5" spans="2:34">
      <c r="B5" s="11">
        <v>44134</v>
      </c>
      <c r="C5" s="2">
        <f>+C4</f>
        <v>0.34499999999999997</v>
      </c>
      <c r="F5" s="182" t="s">
        <v>147</v>
      </c>
      <c r="G5" s="179">
        <v>44377</v>
      </c>
      <c r="I5" s="11">
        <f>+G5</f>
        <v>44377</v>
      </c>
      <c r="J5" s="4">
        <f>G7+(G10/365*G6*G7)</f>
        <v>116.13698630136986</v>
      </c>
      <c r="L5" s="182" t="s">
        <v>147</v>
      </c>
      <c r="M5" s="179">
        <v>44407</v>
      </c>
      <c r="O5" s="11">
        <f>+M5</f>
        <v>44407</v>
      </c>
      <c r="P5" s="4">
        <f>M7+(M10/365*M6*M7)</f>
        <v>116.34931506849315</v>
      </c>
      <c r="R5" s="182" t="s">
        <v>147</v>
      </c>
      <c r="S5" s="179">
        <v>44439</v>
      </c>
      <c r="U5" s="11">
        <f>+S5</f>
        <v>44439</v>
      </c>
      <c r="V5" s="4">
        <f>S7+(S10/365*S6*S7)</f>
        <v>116.66232876712328</v>
      </c>
      <c r="X5" s="182" t="s">
        <v>147</v>
      </c>
      <c r="Y5" s="179">
        <v>44469</v>
      </c>
      <c r="AA5" s="11">
        <f>+Y5</f>
        <v>44469</v>
      </c>
      <c r="AB5" s="4">
        <f>Y7+(Y10/365*Y6*Y7)</f>
        <v>119.3027397260274</v>
      </c>
      <c r="AD5" s="182" t="s">
        <v>147</v>
      </c>
      <c r="AE5" s="179">
        <v>44498</v>
      </c>
      <c r="AG5" s="11">
        <f>+AE5</f>
        <v>44498</v>
      </c>
      <c r="AH5" s="4">
        <f>AE7+(AE10/365*AE6*AE7)</f>
        <v>120.75410958904109</v>
      </c>
    </row>
    <row r="6" spans="2:34">
      <c r="B6" s="11">
        <v>44137</v>
      </c>
      <c r="C6" s="2">
        <f t="shared" ref="C6:C13" si="0">+C5</f>
        <v>0.34499999999999997</v>
      </c>
      <c r="F6" s="182" t="s">
        <v>21</v>
      </c>
      <c r="G6" s="180">
        <f>G5-G4</f>
        <v>152</v>
      </c>
      <c r="I6">
        <f>I5-I4</f>
        <v>-6</v>
      </c>
      <c r="J6" s="2">
        <f>(J5-J4)/J4</f>
        <v>1.3233460049908187E-3</v>
      </c>
      <c r="L6" s="182" t="s">
        <v>21</v>
      </c>
      <c r="M6" s="180">
        <f>M5-M4</f>
        <v>154</v>
      </c>
      <c r="O6">
        <f>O5-O4</f>
        <v>24</v>
      </c>
      <c r="P6" s="2">
        <f>(P5-P4)/P4</f>
        <v>3.3940416497761965E-2</v>
      </c>
      <c r="R6" s="182" t="s">
        <v>21</v>
      </c>
      <c r="S6" s="180">
        <f>S5-S4</f>
        <v>159</v>
      </c>
      <c r="U6">
        <f>U5-U4</f>
        <v>56</v>
      </c>
      <c r="V6" s="2">
        <f>(V5-V4)/V4</f>
        <v>7.0296594193791598E-2</v>
      </c>
      <c r="X6" s="182" t="s">
        <v>21</v>
      </c>
      <c r="Y6" s="180">
        <f>Y5-Y4</f>
        <v>183</v>
      </c>
      <c r="AA6">
        <f>AA5-AA4</f>
        <v>86</v>
      </c>
      <c r="AB6" s="2">
        <f>(AB5-AB4)/AB4</f>
        <v>0.10159501132065928</v>
      </c>
      <c r="AD6" s="182" t="s">
        <v>21</v>
      </c>
      <c r="AE6" s="180">
        <f>AE5-AE4</f>
        <v>193</v>
      </c>
      <c r="AG6">
        <f>AG5-AG4</f>
        <v>115</v>
      </c>
      <c r="AH6" s="2">
        <f>(AH5-AH4)/AH4</f>
        <v>0.13650926672038677</v>
      </c>
    </row>
    <row r="7" spans="2:34">
      <c r="B7" s="11">
        <v>44138</v>
      </c>
      <c r="C7" s="2">
        <f t="shared" si="0"/>
        <v>0.34499999999999997</v>
      </c>
      <c r="F7" s="182" t="s">
        <v>151</v>
      </c>
      <c r="G7" s="180">
        <v>100</v>
      </c>
      <c r="J7" s="2"/>
      <c r="L7" s="182" t="s">
        <v>151</v>
      </c>
      <c r="M7" s="180">
        <v>100</v>
      </c>
      <c r="P7" s="2"/>
      <c r="R7" s="182" t="s">
        <v>151</v>
      </c>
      <c r="S7" s="180">
        <v>100</v>
      </c>
      <c r="V7" s="2"/>
      <c r="X7" s="182" t="s">
        <v>151</v>
      </c>
      <c r="Y7" s="180">
        <v>100</v>
      </c>
      <c r="AB7" s="2"/>
      <c r="AD7" s="182" t="s">
        <v>151</v>
      </c>
      <c r="AE7" s="180">
        <v>100</v>
      </c>
      <c r="AH7" s="2"/>
    </row>
    <row r="8" spans="2:34">
      <c r="B8" s="11">
        <v>44139</v>
      </c>
      <c r="C8" s="2">
        <f t="shared" si="0"/>
        <v>0.34499999999999997</v>
      </c>
      <c r="F8" s="182" t="s">
        <v>157</v>
      </c>
      <c r="G8" s="189">
        <v>2.2499999999999999E-2</v>
      </c>
      <c r="I8" s="184" t="s">
        <v>17</v>
      </c>
      <c r="J8" s="183">
        <f>J6/I6*365</f>
        <v>-8.050354863694148E-2</v>
      </c>
      <c r="L8" s="182" t="s">
        <v>157</v>
      </c>
      <c r="M8" s="189">
        <v>2.2499999999999999E-2</v>
      </c>
      <c r="O8" s="184" t="s">
        <v>17</v>
      </c>
      <c r="P8" s="183">
        <f>P6/O6*365</f>
        <v>0.51617716757012988</v>
      </c>
      <c r="R8" s="182" t="s">
        <v>157</v>
      </c>
      <c r="S8" s="189">
        <v>1.7500000000000002E-2</v>
      </c>
      <c r="U8" s="184" t="s">
        <v>17</v>
      </c>
      <c r="V8" s="183">
        <f>V6/U6*365</f>
        <v>0.45818315858453451</v>
      </c>
      <c r="X8" s="182" t="s">
        <v>157</v>
      </c>
      <c r="Y8" s="189">
        <v>0.02</v>
      </c>
      <c r="AA8" s="184" t="s">
        <v>17</v>
      </c>
      <c r="AB8" s="183">
        <f>AB6/AA6*365</f>
        <v>0.43118812944233298</v>
      </c>
      <c r="AD8" s="182" t="s">
        <v>157</v>
      </c>
      <c r="AE8" s="189">
        <v>2.75E-2</v>
      </c>
      <c r="AG8" s="184" t="s">
        <v>17</v>
      </c>
      <c r="AH8" s="183">
        <f>AH6/AG6*365</f>
        <v>0.43326854219948846</v>
      </c>
    </row>
    <row r="9" spans="2:34">
      <c r="B9" s="11">
        <v>44140</v>
      </c>
      <c r="C9" s="2">
        <f t="shared" si="0"/>
        <v>0.34499999999999997</v>
      </c>
      <c r="F9" s="182" t="s">
        <v>159</v>
      </c>
      <c r="G9" s="190">
        <f>AVERAGE(C61:C163)</f>
        <v>0.36499999999999971</v>
      </c>
      <c r="I9" s="185" t="s">
        <v>150</v>
      </c>
      <c r="J9" s="169">
        <f>(1+J6)^(365/I6)-1</f>
        <v>-7.7299265679789952E-2</v>
      </c>
      <c r="L9" s="182" t="s">
        <v>159</v>
      </c>
      <c r="M9" s="190">
        <f>AVERAGE(Lepase!C81:C194)</f>
        <v>0.36499999999999994</v>
      </c>
      <c r="O9" s="185" t="s">
        <v>150</v>
      </c>
      <c r="P9" s="169">
        <f>(1+P6)^(365/O6)-1</f>
        <v>0.66131727224953885</v>
      </c>
      <c r="R9" s="182" t="s">
        <v>159</v>
      </c>
      <c r="S9" s="289">
        <v>0.36499999999999999</v>
      </c>
      <c r="U9" s="185" t="s">
        <v>150</v>
      </c>
      <c r="V9" s="169">
        <f>(1+V6)^(365/U6)-1</f>
        <v>0.55705442167041097</v>
      </c>
      <c r="X9" s="182" t="s">
        <v>159</v>
      </c>
      <c r="Y9" s="289">
        <v>0.36499999999999999</v>
      </c>
      <c r="AA9" s="185" t="s">
        <v>150</v>
      </c>
      <c r="AB9" s="169">
        <f>(1+AB6)^(365/AA6)-1</f>
        <v>0.5078183295487475</v>
      </c>
      <c r="AD9" s="182" t="s">
        <v>159</v>
      </c>
      <c r="AE9" s="289">
        <v>0.36499999999999999</v>
      </c>
      <c r="AG9" s="185" t="s">
        <v>150</v>
      </c>
      <c r="AH9" s="169">
        <f>(1+AH6)^(365/AG6)-1</f>
        <v>0.50101077486585366</v>
      </c>
    </row>
    <row r="10" spans="2:34">
      <c r="B10" s="11">
        <v>44144</v>
      </c>
      <c r="C10" s="2">
        <f t="shared" si="0"/>
        <v>0.34499999999999997</v>
      </c>
      <c r="F10" s="191" t="s">
        <v>158</v>
      </c>
      <c r="G10" s="192">
        <f>(G8+G9)</f>
        <v>0.38749999999999973</v>
      </c>
      <c r="L10" s="191" t="s">
        <v>158</v>
      </c>
      <c r="M10" s="192">
        <f>(M8+M9)</f>
        <v>0.38749999999999996</v>
      </c>
      <c r="R10" s="191" t="s">
        <v>158</v>
      </c>
      <c r="S10" s="192">
        <f>(S8+S9)</f>
        <v>0.38250000000000001</v>
      </c>
      <c r="X10" s="191" t="s">
        <v>158</v>
      </c>
      <c r="Y10" s="192">
        <f>(Y8+Y9)</f>
        <v>0.38500000000000001</v>
      </c>
      <c r="AD10" s="191" t="s">
        <v>158</v>
      </c>
      <c r="AE10" s="192">
        <f>(AE8+AE9)</f>
        <v>0.39250000000000002</v>
      </c>
    </row>
    <row r="11" spans="2:34">
      <c r="B11" s="11">
        <v>44145</v>
      </c>
      <c r="C11" s="2">
        <f t="shared" si="0"/>
        <v>0.34499999999999997</v>
      </c>
    </row>
    <row r="12" spans="2:34">
      <c r="B12" s="11">
        <v>44146</v>
      </c>
      <c r="C12" s="2">
        <f t="shared" si="0"/>
        <v>0.34499999999999997</v>
      </c>
      <c r="V12">
        <f>V5/100</f>
        <v>1.1666232876712328</v>
      </c>
    </row>
    <row r="13" spans="2:34">
      <c r="B13" s="11">
        <v>44147</v>
      </c>
      <c r="C13" s="2">
        <f t="shared" si="0"/>
        <v>0.34499999999999997</v>
      </c>
      <c r="F13" t="s">
        <v>148</v>
      </c>
      <c r="G13" s="11">
        <v>44218</v>
      </c>
      <c r="L13" t="s">
        <v>148</v>
      </c>
      <c r="M13" s="11">
        <v>44246</v>
      </c>
      <c r="R13" t="s">
        <v>148</v>
      </c>
      <c r="S13" s="11"/>
      <c r="X13" t="s">
        <v>148</v>
      </c>
      <c r="Y13" s="11"/>
      <c r="AD13" t="s">
        <v>148</v>
      </c>
      <c r="AE13" s="11"/>
    </row>
    <row r="14" spans="2:34">
      <c r="B14" s="11">
        <v>44148</v>
      </c>
      <c r="C14" s="2">
        <v>0.36499999999999999</v>
      </c>
      <c r="F14" t="s">
        <v>149</v>
      </c>
      <c r="G14" s="11">
        <v>44370</v>
      </c>
      <c r="L14" t="s">
        <v>149</v>
      </c>
      <c r="M14" s="11">
        <v>44414</v>
      </c>
      <c r="R14" t="s">
        <v>149</v>
      </c>
      <c r="S14" s="11"/>
      <c r="X14" t="s">
        <v>149</v>
      </c>
      <c r="Y14" s="11"/>
      <c r="AD14" t="s">
        <v>149</v>
      </c>
      <c r="AE14" s="11"/>
    </row>
    <row r="15" spans="2:34">
      <c r="B15" s="11">
        <v>44151</v>
      </c>
      <c r="C15" s="2">
        <f>+C14</f>
        <v>0.36499999999999999</v>
      </c>
    </row>
    <row r="16" spans="2:34">
      <c r="B16" s="11">
        <v>44152</v>
      </c>
      <c r="C16" s="2">
        <f t="shared" ref="C16:C61" si="1">+C15</f>
        <v>0.36499999999999999</v>
      </c>
    </row>
    <row r="17" spans="2:10">
      <c r="B17" s="11">
        <v>44153</v>
      </c>
      <c r="C17" s="2">
        <f t="shared" si="1"/>
        <v>0.36499999999999999</v>
      </c>
    </row>
    <row r="18" spans="2:10">
      <c r="B18" s="11">
        <v>44154</v>
      </c>
      <c r="C18" s="2">
        <f>+C17</f>
        <v>0.36499999999999999</v>
      </c>
    </row>
    <row r="19" spans="2:10">
      <c r="B19" s="11">
        <v>44155</v>
      </c>
      <c r="C19" s="2">
        <f>+C18</f>
        <v>0.36499999999999999</v>
      </c>
      <c r="J19">
        <f>J5/100</f>
        <v>1.1613698630136986</v>
      </c>
    </row>
    <row r="20" spans="2:10">
      <c r="B20" s="11">
        <v>44158</v>
      </c>
      <c r="C20" s="2">
        <f t="shared" si="1"/>
        <v>0.36499999999999999</v>
      </c>
    </row>
    <row r="21" spans="2:10">
      <c r="B21" s="11">
        <v>44159</v>
      </c>
      <c r="C21" s="2">
        <f t="shared" si="1"/>
        <v>0.36499999999999999</v>
      </c>
    </row>
    <row r="22" spans="2:10">
      <c r="B22" s="11">
        <v>44160</v>
      </c>
      <c r="C22" s="2">
        <f t="shared" si="1"/>
        <v>0.36499999999999999</v>
      </c>
    </row>
    <row r="23" spans="2:10">
      <c r="B23" s="11">
        <v>44161</v>
      </c>
      <c r="C23" s="2">
        <f t="shared" si="1"/>
        <v>0.36499999999999999</v>
      </c>
    </row>
    <row r="24" spans="2:10">
      <c r="B24" s="11">
        <v>44162</v>
      </c>
      <c r="C24" s="2">
        <f t="shared" si="1"/>
        <v>0.36499999999999999</v>
      </c>
    </row>
    <row r="25" spans="2:10">
      <c r="B25" s="11">
        <v>44165</v>
      </c>
      <c r="C25" s="2">
        <f t="shared" si="1"/>
        <v>0.36499999999999999</v>
      </c>
    </row>
    <row r="26" spans="2:10">
      <c r="B26" s="11">
        <v>44166</v>
      </c>
      <c r="C26" s="2">
        <f t="shared" si="1"/>
        <v>0.36499999999999999</v>
      </c>
    </row>
    <row r="27" spans="2:10">
      <c r="B27" s="11">
        <v>44167</v>
      </c>
      <c r="C27" s="2">
        <f t="shared" si="1"/>
        <v>0.36499999999999999</v>
      </c>
    </row>
    <row r="28" spans="2:10">
      <c r="B28" s="11">
        <v>44168</v>
      </c>
      <c r="C28" s="2">
        <f t="shared" si="1"/>
        <v>0.36499999999999999</v>
      </c>
    </row>
    <row r="29" spans="2:10">
      <c r="B29" s="11">
        <v>44169</v>
      </c>
      <c r="C29" s="2">
        <f t="shared" si="1"/>
        <v>0.36499999999999999</v>
      </c>
    </row>
    <row r="30" spans="2:10">
      <c r="B30" s="11">
        <v>44172</v>
      </c>
      <c r="C30" s="2">
        <f t="shared" si="1"/>
        <v>0.36499999999999999</v>
      </c>
    </row>
    <row r="31" spans="2:10">
      <c r="B31" s="11">
        <v>44173</v>
      </c>
      <c r="C31" s="2">
        <f t="shared" si="1"/>
        <v>0.36499999999999999</v>
      </c>
    </row>
    <row r="32" spans="2:10">
      <c r="B32" s="11">
        <v>44174</v>
      </c>
      <c r="C32" s="2">
        <f t="shared" si="1"/>
        <v>0.36499999999999999</v>
      </c>
    </row>
    <row r="33" spans="2:3">
      <c r="B33" s="11">
        <v>44175</v>
      </c>
      <c r="C33" s="2">
        <f t="shared" si="1"/>
        <v>0.36499999999999999</v>
      </c>
    </row>
    <row r="34" spans="2:3">
      <c r="B34" s="11">
        <v>44176</v>
      </c>
      <c r="C34" s="2">
        <f t="shared" si="1"/>
        <v>0.36499999999999999</v>
      </c>
    </row>
    <row r="35" spans="2:3">
      <c r="B35" s="11">
        <v>44179</v>
      </c>
      <c r="C35" s="2">
        <f t="shared" si="1"/>
        <v>0.36499999999999999</v>
      </c>
    </row>
    <row r="36" spans="2:3">
      <c r="B36" s="11">
        <v>44180</v>
      </c>
      <c r="C36" s="2">
        <f t="shared" si="1"/>
        <v>0.36499999999999999</v>
      </c>
    </row>
    <row r="37" spans="2:3">
      <c r="B37" s="11">
        <v>44181</v>
      </c>
      <c r="C37" s="2">
        <f t="shared" si="1"/>
        <v>0.36499999999999999</v>
      </c>
    </row>
    <row r="38" spans="2:3">
      <c r="B38" s="11">
        <v>44182</v>
      </c>
      <c r="C38" s="2">
        <f t="shared" si="1"/>
        <v>0.36499999999999999</v>
      </c>
    </row>
    <row r="39" spans="2:3">
      <c r="B39" s="11">
        <v>44183</v>
      </c>
      <c r="C39" s="2">
        <f t="shared" si="1"/>
        <v>0.36499999999999999</v>
      </c>
    </row>
    <row r="40" spans="2:3">
      <c r="B40" s="11">
        <v>44184</v>
      </c>
      <c r="C40" s="2">
        <f t="shared" si="1"/>
        <v>0.36499999999999999</v>
      </c>
    </row>
    <row r="41" spans="2:3">
      <c r="B41" s="11">
        <v>44185</v>
      </c>
      <c r="C41" s="2">
        <f t="shared" si="1"/>
        <v>0.36499999999999999</v>
      </c>
    </row>
    <row r="42" spans="2:3">
      <c r="B42" s="11">
        <v>44188</v>
      </c>
      <c r="C42" s="2">
        <f t="shared" si="1"/>
        <v>0.36499999999999999</v>
      </c>
    </row>
    <row r="43" spans="2:3">
      <c r="B43" s="11">
        <v>44189</v>
      </c>
      <c r="C43" s="2">
        <f t="shared" si="1"/>
        <v>0.36499999999999999</v>
      </c>
    </row>
    <row r="44" spans="2:3">
      <c r="B44" s="11">
        <v>44193</v>
      </c>
      <c r="C44" s="2">
        <f t="shared" si="1"/>
        <v>0.36499999999999999</v>
      </c>
    </row>
    <row r="45" spans="2:3">
      <c r="B45" s="11">
        <v>44194</v>
      </c>
      <c r="C45" s="2">
        <f t="shared" si="1"/>
        <v>0.36499999999999999</v>
      </c>
    </row>
    <row r="46" spans="2:3">
      <c r="B46" s="11">
        <v>44195</v>
      </c>
      <c r="C46" s="2">
        <f t="shared" si="1"/>
        <v>0.36499999999999999</v>
      </c>
    </row>
    <row r="47" spans="2:3">
      <c r="B47" s="11">
        <v>44200</v>
      </c>
      <c r="C47" s="2">
        <f t="shared" si="1"/>
        <v>0.36499999999999999</v>
      </c>
    </row>
    <row r="48" spans="2:3">
      <c r="B48" s="11">
        <v>44201</v>
      </c>
      <c r="C48" s="2">
        <f t="shared" si="1"/>
        <v>0.36499999999999999</v>
      </c>
    </row>
    <row r="49" spans="2:3">
      <c r="B49" s="11">
        <v>44202</v>
      </c>
      <c r="C49" s="2">
        <f t="shared" si="1"/>
        <v>0.36499999999999999</v>
      </c>
    </row>
    <row r="50" spans="2:3">
      <c r="B50" s="11">
        <v>44203</v>
      </c>
      <c r="C50" s="2">
        <f t="shared" si="1"/>
        <v>0.36499999999999999</v>
      </c>
    </row>
    <row r="51" spans="2:3">
      <c r="B51" s="11">
        <v>44204</v>
      </c>
      <c r="C51" s="2">
        <f t="shared" si="1"/>
        <v>0.36499999999999999</v>
      </c>
    </row>
    <row r="52" spans="2:3">
      <c r="B52" s="11">
        <v>44207</v>
      </c>
      <c r="C52" s="2">
        <f t="shared" si="1"/>
        <v>0.36499999999999999</v>
      </c>
    </row>
    <row r="53" spans="2:3">
      <c r="B53" s="11">
        <v>44208</v>
      </c>
      <c r="C53" s="2">
        <f t="shared" si="1"/>
        <v>0.36499999999999999</v>
      </c>
    </row>
    <row r="54" spans="2:3">
      <c r="B54" s="11">
        <v>44209</v>
      </c>
      <c r="C54" s="2">
        <f t="shared" si="1"/>
        <v>0.36499999999999999</v>
      </c>
    </row>
    <row r="55" spans="2:3">
      <c r="B55" s="11">
        <v>44210</v>
      </c>
      <c r="C55" s="2">
        <f t="shared" si="1"/>
        <v>0.36499999999999999</v>
      </c>
    </row>
    <row r="56" spans="2:3">
      <c r="B56" s="11">
        <v>44211</v>
      </c>
      <c r="C56" s="2">
        <f t="shared" si="1"/>
        <v>0.36499999999999999</v>
      </c>
    </row>
    <row r="57" spans="2:3">
      <c r="B57" s="11">
        <v>44214</v>
      </c>
      <c r="C57" s="2">
        <f t="shared" si="1"/>
        <v>0.36499999999999999</v>
      </c>
    </row>
    <row r="58" spans="2:3">
      <c r="B58" s="11">
        <v>44215</v>
      </c>
      <c r="C58" s="2">
        <f t="shared" si="1"/>
        <v>0.36499999999999999</v>
      </c>
    </row>
    <row r="59" spans="2:3">
      <c r="B59" s="11">
        <v>44216</v>
      </c>
      <c r="C59" s="2">
        <f t="shared" si="1"/>
        <v>0.36499999999999999</v>
      </c>
    </row>
    <row r="60" spans="2:3">
      <c r="B60" s="11">
        <v>44217</v>
      </c>
      <c r="C60" s="2">
        <f t="shared" si="1"/>
        <v>0.36499999999999999</v>
      </c>
    </row>
    <row r="61" spans="2:3">
      <c r="B61" s="188">
        <v>44218</v>
      </c>
      <c r="C61" s="169">
        <f t="shared" si="1"/>
        <v>0.36499999999999999</v>
      </c>
    </row>
    <row r="62" spans="2:3">
      <c r="B62" s="11">
        <v>44221</v>
      </c>
      <c r="C62" s="5">
        <f>+C61</f>
        <v>0.36499999999999999</v>
      </c>
    </row>
    <row r="63" spans="2:3">
      <c r="B63" s="11">
        <v>44222</v>
      </c>
      <c r="C63" s="5">
        <f>+C62</f>
        <v>0.36499999999999999</v>
      </c>
    </row>
    <row r="64" spans="2:3">
      <c r="B64" s="11">
        <v>44223</v>
      </c>
      <c r="C64" s="5">
        <f t="shared" ref="C64:C127" si="2">+C63</f>
        <v>0.36499999999999999</v>
      </c>
    </row>
    <row r="65" spans="2:3">
      <c r="B65" s="11">
        <v>44224</v>
      </c>
      <c r="C65" s="5">
        <f t="shared" si="2"/>
        <v>0.36499999999999999</v>
      </c>
    </row>
    <row r="66" spans="2:3">
      <c r="B66" s="11">
        <v>44225</v>
      </c>
      <c r="C66" s="5">
        <f t="shared" si="2"/>
        <v>0.36499999999999999</v>
      </c>
    </row>
    <row r="67" spans="2:3">
      <c r="B67" s="11">
        <v>44228</v>
      </c>
      <c r="C67" s="5">
        <f t="shared" si="2"/>
        <v>0.36499999999999999</v>
      </c>
    </row>
    <row r="68" spans="2:3">
      <c r="B68" s="11">
        <v>44229</v>
      </c>
      <c r="C68" s="5">
        <f t="shared" si="2"/>
        <v>0.36499999999999999</v>
      </c>
    </row>
    <row r="69" spans="2:3">
      <c r="B69" s="11">
        <v>44230</v>
      </c>
      <c r="C69" s="5">
        <f t="shared" si="2"/>
        <v>0.36499999999999999</v>
      </c>
    </row>
    <row r="70" spans="2:3">
      <c r="B70" s="11">
        <v>44231</v>
      </c>
      <c r="C70" s="5">
        <f t="shared" si="2"/>
        <v>0.36499999999999999</v>
      </c>
    </row>
    <row r="71" spans="2:3">
      <c r="B71" s="11">
        <v>44232</v>
      </c>
      <c r="C71" s="5">
        <f t="shared" si="2"/>
        <v>0.36499999999999999</v>
      </c>
    </row>
    <row r="72" spans="2:3">
      <c r="B72" s="11">
        <v>44235</v>
      </c>
      <c r="C72" s="5">
        <f t="shared" si="2"/>
        <v>0.36499999999999999</v>
      </c>
    </row>
    <row r="73" spans="2:3">
      <c r="B73" s="11">
        <v>44236</v>
      </c>
      <c r="C73" s="5">
        <f t="shared" si="2"/>
        <v>0.36499999999999999</v>
      </c>
    </row>
    <row r="74" spans="2:3">
      <c r="B74" s="11">
        <v>44237</v>
      </c>
      <c r="C74" s="5">
        <f t="shared" si="2"/>
        <v>0.36499999999999999</v>
      </c>
    </row>
    <row r="75" spans="2:3">
      <c r="B75" s="11">
        <v>44238</v>
      </c>
      <c r="C75" s="5">
        <f t="shared" si="2"/>
        <v>0.36499999999999999</v>
      </c>
    </row>
    <row r="76" spans="2:3">
      <c r="B76" s="11">
        <v>44239</v>
      </c>
      <c r="C76" s="5">
        <f t="shared" si="2"/>
        <v>0.36499999999999999</v>
      </c>
    </row>
    <row r="77" spans="2:3">
      <c r="B77" s="11">
        <v>44242</v>
      </c>
      <c r="C77" s="5">
        <f t="shared" si="2"/>
        <v>0.36499999999999999</v>
      </c>
    </row>
    <row r="78" spans="2:3">
      <c r="B78" s="11">
        <v>44243</v>
      </c>
      <c r="C78" s="5">
        <f t="shared" si="2"/>
        <v>0.36499999999999999</v>
      </c>
    </row>
    <row r="79" spans="2:3">
      <c r="B79" s="11">
        <v>44244</v>
      </c>
      <c r="C79" s="5">
        <f t="shared" si="2"/>
        <v>0.36499999999999999</v>
      </c>
    </row>
    <row r="80" spans="2:3">
      <c r="B80" s="11">
        <v>44245</v>
      </c>
      <c r="C80" s="5">
        <f t="shared" si="2"/>
        <v>0.36499999999999999</v>
      </c>
    </row>
    <row r="81" spans="2:3">
      <c r="B81" s="11">
        <v>44246</v>
      </c>
      <c r="C81" s="5">
        <f t="shared" si="2"/>
        <v>0.36499999999999999</v>
      </c>
    </row>
    <row r="82" spans="2:3">
      <c r="B82" s="11">
        <v>44249</v>
      </c>
      <c r="C82" s="5">
        <f t="shared" si="2"/>
        <v>0.36499999999999999</v>
      </c>
    </row>
    <row r="83" spans="2:3">
      <c r="B83" s="11">
        <v>44250</v>
      </c>
      <c r="C83" s="5">
        <f t="shared" si="2"/>
        <v>0.36499999999999999</v>
      </c>
    </row>
    <row r="84" spans="2:3">
      <c r="B84" s="11">
        <v>44251</v>
      </c>
      <c r="C84" s="5">
        <f t="shared" si="2"/>
        <v>0.36499999999999999</v>
      </c>
    </row>
    <row r="85" spans="2:3">
      <c r="B85" s="11">
        <v>44252</v>
      </c>
      <c r="C85" s="5">
        <f t="shared" si="2"/>
        <v>0.36499999999999999</v>
      </c>
    </row>
    <row r="86" spans="2:3">
      <c r="B86" s="11">
        <v>44253</v>
      </c>
      <c r="C86" s="5">
        <f t="shared" si="2"/>
        <v>0.36499999999999999</v>
      </c>
    </row>
    <row r="87" spans="2:3">
      <c r="B87" s="11">
        <v>44256</v>
      </c>
      <c r="C87" s="5">
        <f t="shared" si="2"/>
        <v>0.36499999999999999</v>
      </c>
    </row>
    <row r="88" spans="2:3">
      <c r="B88" s="11">
        <v>44257</v>
      </c>
      <c r="C88" s="5">
        <f t="shared" si="2"/>
        <v>0.36499999999999999</v>
      </c>
    </row>
    <row r="89" spans="2:3">
      <c r="B89" s="11">
        <v>44258</v>
      </c>
      <c r="C89" s="5">
        <f t="shared" si="2"/>
        <v>0.36499999999999999</v>
      </c>
    </row>
    <row r="90" spans="2:3">
      <c r="B90" s="11">
        <v>44259</v>
      </c>
      <c r="C90" s="5">
        <f t="shared" si="2"/>
        <v>0.36499999999999999</v>
      </c>
    </row>
    <row r="91" spans="2:3">
      <c r="B91" s="11">
        <v>44260</v>
      </c>
      <c r="C91" s="5">
        <f t="shared" si="2"/>
        <v>0.36499999999999999</v>
      </c>
    </row>
    <row r="92" spans="2:3">
      <c r="B92" s="11">
        <v>44263</v>
      </c>
      <c r="C92" s="5">
        <f t="shared" si="2"/>
        <v>0.36499999999999999</v>
      </c>
    </row>
    <row r="93" spans="2:3">
      <c r="B93" s="11">
        <v>44264</v>
      </c>
      <c r="C93" s="5">
        <f t="shared" si="2"/>
        <v>0.36499999999999999</v>
      </c>
    </row>
    <row r="94" spans="2:3">
      <c r="B94" s="11">
        <v>44265</v>
      </c>
      <c r="C94" s="5">
        <f t="shared" si="2"/>
        <v>0.36499999999999999</v>
      </c>
    </row>
    <row r="95" spans="2:3">
      <c r="B95" s="11">
        <v>44266</v>
      </c>
      <c r="C95" s="5">
        <f t="shared" si="2"/>
        <v>0.36499999999999999</v>
      </c>
    </row>
    <row r="96" spans="2:3">
      <c r="B96" s="11">
        <v>44267</v>
      </c>
      <c r="C96" s="5">
        <f t="shared" si="2"/>
        <v>0.36499999999999999</v>
      </c>
    </row>
    <row r="97" spans="2:3">
      <c r="B97" s="11">
        <v>44270</v>
      </c>
      <c r="C97" s="5">
        <f t="shared" si="2"/>
        <v>0.36499999999999999</v>
      </c>
    </row>
    <row r="98" spans="2:3">
      <c r="B98" s="11">
        <v>44271</v>
      </c>
      <c r="C98" s="5">
        <f t="shared" si="2"/>
        <v>0.36499999999999999</v>
      </c>
    </row>
    <row r="99" spans="2:3">
      <c r="B99" s="11">
        <v>44272</v>
      </c>
      <c r="C99" s="5">
        <f t="shared" si="2"/>
        <v>0.36499999999999999</v>
      </c>
    </row>
    <row r="100" spans="2:3">
      <c r="B100" s="11">
        <v>44273</v>
      </c>
      <c r="C100" s="5">
        <f t="shared" si="2"/>
        <v>0.36499999999999999</v>
      </c>
    </row>
    <row r="101" spans="2:3">
      <c r="B101" s="11">
        <v>44274</v>
      </c>
      <c r="C101" s="5">
        <f t="shared" si="2"/>
        <v>0.36499999999999999</v>
      </c>
    </row>
    <row r="102" spans="2:3">
      <c r="B102" s="11">
        <v>44277</v>
      </c>
      <c r="C102" s="5">
        <f t="shared" si="2"/>
        <v>0.36499999999999999</v>
      </c>
    </row>
    <row r="103" spans="2:3">
      <c r="B103" s="188">
        <v>44278</v>
      </c>
      <c r="C103" s="193">
        <f t="shared" si="2"/>
        <v>0.36499999999999999</v>
      </c>
    </row>
    <row r="104" spans="2:3">
      <c r="B104" s="11">
        <v>44280</v>
      </c>
      <c r="C104" s="5">
        <f t="shared" si="2"/>
        <v>0.36499999999999999</v>
      </c>
    </row>
    <row r="105" spans="2:3">
      <c r="B105" s="11">
        <v>44281</v>
      </c>
      <c r="C105" s="5">
        <f t="shared" si="2"/>
        <v>0.36499999999999999</v>
      </c>
    </row>
    <row r="106" spans="2:3">
      <c r="B106" s="11">
        <v>44284</v>
      </c>
      <c r="C106" s="5">
        <f t="shared" si="2"/>
        <v>0.36499999999999999</v>
      </c>
    </row>
    <row r="107" spans="2:3">
      <c r="B107" s="11">
        <v>44285</v>
      </c>
      <c r="C107" s="5">
        <f t="shared" si="2"/>
        <v>0.36499999999999999</v>
      </c>
    </row>
    <row r="108" spans="2:3">
      <c r="B108" s="11">
        <v>44286</v>
      </c>
      <c r="C108" s="5">
        <f t="shared" si="2"/>
        <v>0.36499999999999999</v>
      </c>
    </row>
    <row r="109" spans="2:3">
      <c r="B109" s="11">
        <v>44287</v>
      </c>
      <c r="C109" s="5">
        <f t="shared" si="2"/>
        <v>0.36499999999999999</v>
      </c>
    </row>
    <row r="110" spans="2:3">
      <c r="B110" s="11">
        <v>44291</v>
      </c>
      <c r="C110" s="5">
        <f t="shared" si="2"/>
        <v>0.36499999999999999</v>
      </c>
    </row>
    <row r="111" spans="2:3">
      <c r="B111" s="11">
        <v>44292</v>
      </c>
      <c r="C111" s="5">
        <f t="shared" si="2"/>
        <v>0.36499999999999999</v>
      </c>
    </row>
    <row r="112" spans="2:3">
      <c r="B112" s="11">
        <v>44293</v>
      </c>
      <c r="C112" s="5">
        <f t="shared" si="2"/>
        <v>0.36499999999999999</v>
      </c>
    </row>
    <row r="113" spans="2:3">
      <c r="B113" s="11">
        <v>44294</v>
      </c>
      <c r="C113" s="5">
        <f t="shared" si="2"/>
        <v>0.36499999999999999</v>
      </c>
    </row>
    <row r="114" spans="2:3">
      <c r="B114" s="11">
        <v>44295</v>
      </c>
      <c r="C114" s="5">
        <f t="shared" si="2"/>
        <v>0.36499999999999999</v>
      </c>
    </row>
    <row r="115" spans="2:3">
      <c r="B115" s="11">
        <v>44298</v>
      </c>
      <c r="C115" s="5">
        <f t="shared" si="2"/>
        <v>0.36499999999999999</v>
      </c>
    </row>
    <row r="116" spans="2:3">
      <c r="B116" s="11">
        <v>44299</v>
      </c>
      <c r="C116" s="5">
        <f t="shared" si="2"/>
        <v>0.36499999999999999</v>
      </c>
    </row>
    <row r="117" spans="2:3">
      <c r="B117" s="11">
        <v>44300</v>
      </c>
      <c r="C117" s="5">
        <f t="shared" si="2"/>
        <v>0.36499999999999999</v>
      </c>
    </row>
    <row r="118" spans="2:3">
      <c r="B118" s="11">
        <v>44301</v>
      </c>
      <c r="C118" s="5">
        <f t="shared" si="2"/>
        <v>0.36499999999999999</v>
      </c>
    </row>
    <row r="119" spans="2:3">
      <c r="B119" s="11">
        <v>44302</v>
      </c>
      <c r="C119" s="5">
        <f t="shared" si="2"/>
        <v>0.36499999999999999</v>
      </c>
    </row>
    <row r="120" spans="2:3">
      <c r="B120" s="11">
        <v>44305</v>
      </c>
      <c r="C120" s="5">
        <f t="shared" si="2"/>
        <v>0.36499999999999999</v>
      </c>
    </row>
    <row r="121" spans="2:3">
      <c r="B121" s="11">
        <v>44306</v>
      </c>
      <c r="C121" s="5">
        <f t="shared" si="2"/>
        <v>0.36499999999999999</v>
      </c>
    </row>
    <row r="122" spans="2:3">
      <c r="B122" s="11">
        <v>44307</v>
      </c>
      <c r="C122" s="5">
        <f t="shared" si="2"/>
        <v>0.36499999999999999</v>
      </c>
    </row>
    <row r="123" spans="2:3">
      <c r="B123" s="11">
        <v>44308</v>
      </c>
      <c r="C123" s="5">
        <f t="shared" si="2"/>
        <v>0.36499999999999999</v>
      </c>
    </row>
    <row r="124" spans="2:3">
      <c r="B124" s="11">
        <v>44309</v>
      </c>
      <c r="C124" s="5">
        <f t="shared" si="2"/>
        <v>0.36499999999999999</v>
      </c>
    </row>
    <row r="125" spans="2:3">
      <c r="B125" s="11">
        <v>44312</v>
      </c>
      <c r="C125" s="5">
        <f t="shared" si="2"/>
        <v>0.36499999999999999</v>
      </c>
    </row>
    <row r="126" spans="2:3">
      <c r="B126" s="11">
        <v>44313</v>
      </c>
      <c r="C126" s="5">
        <f t="shared" si="2"/>
        <v>0.36499999999999999</v>
      </c>
    </row>
    <row r="127" spans="2:3">
      <c r="B127" s="11">
        <v>44314</v>
      </c>
      <c r="C127" s="5">
        <f t="shared" si="2"/>
        <v>0.36499999999999999</v>
      </c>
    </row>
    <row r="128" spans="2:3">
      <c r="B128" s="11">
        <v>44315</v>
      </c>
      <c r="C128" s="5">
        <f t="shared" ref="C128:C168" si="3">+C127</f>
        <v>0.36499999999999999</v>
      </c>
    </row>
    <row r="129" spans="2:3">
      <c r="B129" s="11">
        <v>44319</v>
      </c>
      <c r="C129" s="5">
        <f t="shared" si="3"/>
        <v>0.36499999999999999</v>
      </c>
    </row>
    <row r="130" spans="2:3">
      <c r="B130" s="11">
        <v>44320</v>
      </c>
      <c r="C130" s="5">
        <f t="shared" si="3"/>
        <v>0.36499999999999999</v>
      </c>
    </row>
    <row r="131" spans="2:3">
      <c r="B131" s="11">
        <v>44321</v>
      </c>
      <c r="C131" s="5">
        <f t="shared" si="3"/>
        <v>0.36499999999999999</v>
      </c>
    </row>
    <row r="132" spans="2:3">
      <c r="B132" s="11">
        <v>44322</v>
      </c>
      <c r="C132" s="5">
        <f t="shared" si="3"/>
        <v>0.36499999999999999</v>
      </c>
    </row>
    <row r="133" spans="2:3">
      <c r="B133" s="11">
        <v>44323</v>
      </c>
      <c r="C133" s="5">
        <f t="shared" si="3"/>
        <v>0.36499999999999999</v>
      </c>
    </row>
    <row r="134" spans="2:3">
      <c r="B134" s="11">
        <v>44326</v>
      </c>
      <c r="C134" s="5">
        <f t="shared" si="3"/>
        <v>0.36499999999999999</v>
      </c>
    </row>
    <row r="135" spans="2:3">
      <c r="B135" s="11">
        <v>44327</v>
      </c>
      <c r="C135" s="5">
        <f t="shared" si="3"/>
        <v>0.36499999999999999</v>
      </c>
    </row>
    <row r="136" spans="2:3">
      <c r="B136" s="11">
        <v>44328</v>
      </c>
      <c r="C136" s="5">
        <f t="shared" si="3"/>
        <v>0.36499999999999999</v>
      </c>
    </row>
    <row r="137" spans="2:3">
      <c r="B137" s="11">
        <v>44329</v>
      </c>
      <c r="C137" s="5">
        <f t="shared" si="3"/>
        <v>0.36499999999999999</v>
      </c>
    </row>
    <row r="138" spans="2:3">
      <c r="B138" s="11">
        <v>44330</v>
      </c>
      <c r="C138" s="5">
        <f t="shared" si="3"/>
        <v>0.36499999999999999</v>
      </c>
    </row>
    <row r="139" spans="2:3">
      <c r="B139" s="11">
        <v>44333</v>
      </c>
      <c r="C139" s="5">
        <f t="shared" si="3"/>
        <v>0.36499999999999999</v>
      </c>
    </row>
    <row r="140" spans="2:3">
      <c r="B140" s="11">
        <v>44334</v>
      </c>
      <c r="C140" s="5">
        <f t="shared" si="3"/>
        <v>0.36499999999999999</v>
      </c>
    </row>
    <row r="141" spans="2:3">
      <c r="B141" s="11">
        <v>44335</v>
      </c>
      <c r="C141" s="5">
        <f t="shared" si="3"/>
        <v>0.36499999999999999</v>
      </c>
    </row>
    <row r="142" spans="2:3">
      <c r="B142" s="11">
        <v>44336</v>
      </c>
      <c r="C142" s="5">
        <f t="shared" si="3"/>
        <v>0.36499999999999999</v>
      </c>
    </row>
    <row r="143" spans="2:3">
      <c r="B143" s="11">
        <v>44337</v>
      </c>
      <c r="C143" s="5">
        <f t="shared" si="3"/>
        <v>0.36499999999999999</v>
      </c>
    </row>
    <row r="144" spans="2:3">
      <c r="B144" s="11">
        <v>44342</v>
      </c>
      <c r="C144" s="5">
        <f t="shared" si="3"/>
        <v>0.36499999999999999</v>
      </c>
    </row>
    <row r="145" spans="2:3">
      <c r="B145" s="11">
        <v>44343</v>
      </c>
      <c r="C145" s="5">
        <f t="shared" si="3"/>
        <v>0.36499999999999999</v>
      </c>
    </row>
    <row r="146" spans="2:3">
      <c r="B146" s="11">
        <v>44344</v>
      </c>
      <c r="C146" s="5">
        <f t="shared" si="3"/>
        <v>0.36499999999999999</v>
      </c>
    </row>
    <row r="147" spans="2:3">
      <c r="B147" s="11">
        <v>44347</v>
      </c>
      <c r="C147" s="5">
        <f t="shared" si="3"/>
        <v>0.36499999999999999</v>
      </c>
    </row>
    <row r="148" spans="2:3">
      <c r="B148" s="11">
        <v>44348</v>
      </c>
      <c r="C148" s="5">
        <f t="shared" si="3"/>
        <v>0.36499999999999999</v>
      </c>
    </row>
    <row r="149" spans="2:3">
      <c r="B149" s="11">
        <v>44349</v>
      </c>
      <c r="C149" s="5">
        <f t="shared" si="3"/>
        <v>0.36499999999999999</v>
      </c>
    </row>
    <row r="150" spans="2:3">
      <c r="B150" s="11">
        <v>44350</v>
      </c>
      <c r="C150" s="5">
        <f t="shared" si="3"/>
        <v>0.36499999999999999</v>
      </c>
    </row>
    <row r="151" spans="2:3">
      <c r="B151" s="11">
        <v>44351</v>
      </c>
      <c r="C151" s="5">
        <f t="shared" si="3"/>
        <v>0.36499999999999999</v>
      </c>
    </row>
    <row r="152" spans="2:3">
      <c r="B152" s="11">
        <v>44354</v>
      </c>
      <c r="C152" s="5">
        <f t="shared" si="3"/>
        <v>0.36499999999999999</v>
      </c>
    </row>
    <row r="153" spans="2:3">
      <c r="B153" s="11">
        <v>44355</v>
      </c>
      <c r="C153" s="5">
        <f t="shared" si="3"/>
        <v>0.36499999999999999</v>
      </c>
    </row>
    <row r="154" spans="2:3">
      <c r="B154" s="11">
        <v>44356</v>
      </c>
      <c r="C154" s="5">
        <f t="shared" si="3"/>
        <v>0.36499999999999999</v>
      </c>
    </row>
    <row r="155" spans="2:3">
      <c r="B155" s="11">
        <v>44357</v>
      </c>
      <c r="C155" s="5">
        <f t="shared" si="3"/>
        <v>0.36499999999999999</v>
      </c>
    </row>
    <row r="156" spans="2:3">
      <c r="B156" s="11">
        <v>44358</v>
      </c>
      <c r="C156" s="5">
        <f t="shared" si="3"/>
        <v>0.36499999999999999</v>
      </c>
    </row>
    <row r="157" spans="2:3">
      <c r="B157" s="11">
        <v>44361</v>
      </c>
      <c r="C157" s="5">
        <f t="shared" si="3"/>
        <v>0.36499999999999999</v>
      </c>
    </row>
    <row r="158" spans="2:3">
      <c r="B158" s="11">
        <v>44362</v>
      </c>
      <c r="C158" s="5">
        <f t="shared" si="3"/>
        <v>0.36499999999999999</v>
      </c>
    </row>
    <row r="159" spans="2:3">
      <c r="B159" s="11">
        <v>44363</v>
      </c>
      <c r="C159" s="5">
        <f t="shared" si="3"/>
        <v>0.36499999999999999</v>
      </c>
    </row>
    <row r="160" spans="2:3">
      <c r="B160" s="11">
        <v>44364</v>
      </c>
      <c r="C160" s="5">
        <f t="shared" si="3"/>
        <v>0.36499999999999999</v>
      </c>
    </row>
    <row r="161" spans="2:3">
      <c r="B161" s="11">
        <v>44365</v>
      </c>
      <c r="C161" s="5">
        <f t="shared" si="3"/>
        <v>0.36499999999999999</v>
      </c>
    </row>
    <row r="162" spans="2:3">
      <c r="B162" s="11">
        <v>44369</v>
      </c>
      <c r="C162" s="5">
        <f t="shared" si="3"/>
        <v>0.36499999999999999</v>
      </c>
    </row>
    <row r="163" spans="2:3">
      <c r="B163" s="11">
        <v>44370</v>
      </c>
      <c r="C163" s="271">
        <f t="shared" si="3"/>
        <v>0.36499999999999999</v>
      </c>
    </row>
    <row r="164" spans="2:3">
      <c r="B164" s="11">
        <v>44371</v>
      </c>
      <c r="C164" s="5">
        <f t="shared" si="3"/>
        <v>0.36499999999999999</v>
      </c>
    </row>
    <row r="165" spans="2:3">
      <c r="B165" s="11">
        <v>44372</v>
      </c>
      <c r="C165" s="5">
        <f t="shared" si="3"/>
        <v>0.36499999999999999</v>
      </c>
    </row>
    <row r="166" spans="2:3">
      <c r="B166" s="11">
        <v>44375</v>
      </c>
      <c r="C166" s="5">
        <f t="shared" si="3"/>
        <v>0.36499999999999999</v>
      </c>
    </row>
    <row r="167" spans="2:3">
      <c r="B167" s="11">
        <v>44376</v>
      </c>
      <c r="C167" s="5">
        <f t="shared" si="3"/>
        <v>0.36499999999999999</v>
      </c>
    </row>
    <row r="168" spans="2:3">
      <c r="B168" s="11">
        <v>44377</v>
      </c>
      <c r="C168" s="5">
        <f t="shared" si="3"/>
        <v>0.36499999999999999</v>
      </c>
    </row>
    <row r="169" spans="2:3">
      <c r="B169" s="11">
        <v>44378</v>
      </c>
      <c r="C169" s="5">
        <f>+C168</f>
        <v>0.36499999999999999</v>
      </c>
    </row>
    <row r="170" spans="2:3">
      <c r="B170" s="11">
        <v>44379</v>
      </c>
      <c r="C170" s="5">
        <f t="shared" ref="C170:C194" si="4">+C169</f>
        <v>0.36499999999999999</v>
      </c>
    </row>
    <row r="171" spans="2:3">
      <c r="B171" s="11">
        <v>44382</v>
      </c>
      <c r="C171" s="5">
        <f t="shared" si="4"/>
        <v>0.36499999999999999</v>
      </c>
    </row>
    <row r="172" spans="2:3">
      <c r="B172" s="11">
        <v>44383</v>
      </c>
      <c r="C172" s="5">
        <f t="shared" si="4"/>
        <v>0.36499999999999999</v>
      </c>
    </row>
    <row r="173" spans="2:3">
      <c r="B173" s="11">
        <v>44384</v>
      </c>
      <c r="C173" s="5">
        <f t="shared" si="4"/>
        <v>0.36499999999999999</v>
      </c>
    </row>
    <row r="174" spans="2:3">
      <c r="B174" s="11">
        <v>44385</v>
      </c>
      <c r="C174" s="5">
        <f t="shared" si="4"/>
        <v>0.36499999999999999</v>
      </c>
    </row>
    <row r="175" spans="2:3">
      <c r="B175" s="11">
        <v>44389</v>
      </c>
      <c r="C175" s="5">
        <f t="shared" si="4"/>
        <v>0.36499999999999999</v>
      </c>
    </row>
    <row r="176" spans="2:3">
      <c r="B176" s="11">
        <v>44390</v>
      </c>
      <c r="C176" s="5">
        <f t="shared" si="4"/>
        <v>0.36499999999999999</v>
      </c>
    </row>
    <row r="177" spans="2:3">
      <c r="B177" s="11">
        <v>44391</v>
      </c>
      <c r="C177" s="5">
        <f t="shared" si="4"/>
        <v>0.36499999999999999</v>
      </c>
    </row>
    <row r="178" spans="2:3">
      <c r="B178" s="11">
        <v>44392</v>
      </c>
      <c r="C178" s="5">
        <f t="shared" si="4"/>
        <v>0.36499999999999999</v>
      </c>
    </row>
    <row r="179" spans="2:3">
      <c r="B179" s="11">
        <v>44393</v>
      </c>
      <c r="C179" s="5">
        <f t="shared" si="4"/>
        <v>0.36499999999999999</v>
      </c>
    </row>
    <row r="180" spans="2:3">
      <c r="B180" s="11">
        <v>44396</v>
      </c>
      <c r="C180" s="5">
        <f t="shared" si="4"/>
        <v>0.36499999999999999</v>
      </c>
    </row>
    <row r="181" spans="2:3">
      <c r="B181" s="11">
        <v>44397</v>
      </c>
      <c r="C181" s="5">
        <f t="shared" si="4"/>
        <v>0.36499999999999999</v>
      </c>
    </row>
    <row r="182" spans="2:3">
      <c r="B182" s="11">
        <v>44398</v>
      </c>
      <c r="C182" s="5">
        <f t="shared" si="4"/>
        <v>0.36499999999999999</v>
      </c>
    </row>
    <row r="183" spans="2:3">
      <c r="B183" s="11">
        <v>44399</v>
      </c>
      <c r="C183" s="5">
        <f t="shared" si="4"/>
        <v>0.36499999999999999</v>
      </c>
    </row>
    <row r="184" spans="2:3">
      <c r="B184" s="11">
        <v>44400</v>
      </c>
      <c r="C184" s="5">
        <f t="shared" si="4"/>
        <v>0.36499999999999999</v>
      </c>
    </row>
    <row r="185" spans="2:3">
      <c r="B185" s="11">
        <v>44403</v>
      </c>
      <c r="C185" s="5">
        <f t="shared" si="4"/>
        <v>0.36499999999999999</v>
      </c>
    </row>
    <row r="186" spans="2:3">
      <c r="B186" s="11">
        <v>44404</v>
      </c>
      <c r="C186" s="5">
        <f t="shared" si="4"/>
        <v>0.36499999999999999</v>
      </c>
    </row>
    <row r="187" spans="2:3">
      <c r="B187" s="11">
        <v>44405</v>
      </c>
      <c r="C187" s="5">
        <f t="shared" si="4"/>
        <v>0.36499999999999999</v>
      </c>
    </row>
    <row r="188" spans="2:3">
      <c r="B188" s="11">
        <v>44406</v>
      </c>
      <c r="C188" s="5">
        <f t="shared" si="4"/>
        <v>0.36499999999999999</v>
      </c>
    </row>
    <row r="189" spans="2:3">
      <c r="B189" s="11">
        <v>44407</v>
      </c>
      <c r="C189" s="5">
        <f t="shared" si="4"/>
        <v>0.36499999999999999</v>
      </c>
    </row>
    <row r="190" spans="2:3">
      <c r="B190" s="11">
        <v>44410</v>
      </c>
      <c r="C190" s="5">
        <f t="shared" si="4"/>
        <v>0.36499999999999999</v>
      </c>
    </row>
    <row r="191" spans="2:3">
      <c r="B191" s="11">
        <v>44411</v>
      </c>
      <c r="C191" s="5">
        <f t="shared" si="4"/>
        <v>0.36499999999999999</v>
      </c>
    </row>
    <row r="192" spans="2:3">
      <c r="B192" s="11">
        <v>44412</v>
      </c>
      <c r="C192" s="5">
        <f t="shared" si="4"/>
        <v>0.36499999999999999</v>
      </c>
    </row>
    <row r="193" spans="2:3">
      <c r="B193" s="11">
        <v>44413</v>
      </c>
      <c r="C193" s="5">
        <f t="shared" si="4"/>
        <v>0.36499999999999999</v>
      </c>
    </row>
    <row r="194" spans="2:3">
      <c r="B194" s="11">
        <v>44414</v>
      </c>
      <c r="C194" s="5">
        <f t="shared" si="4"/>
        <v>0.36499999999999999</v>
      </c>
    </row>
  </sheetData>
  <mergeCells count="6">
    <mergeCell ref="AD2:AH2"/>
    <mergeCell ref="X2:AB2"/>
    <mergeCell ref="R2:V2"/>
    <mergeCell ref="L2:P2"/>
    <mergeCell ref="B2:C2"/>
    <mergeCell ref="F2:J2"/>
  </mergeCells>
  <pageMargins left="0.7" right="0.7" top="0.75" bottom="0.75" header="0.3" footer="0.3"/>
  <pageSetup orientation="portrait" r:id="rId1"/>
  <ignoredErrors>
    <ignoredError sqref="M10 P5" evalError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72"/>
  <sheetViews>
    <sheetView topLeftCell="A168" zoomScale="80" zoomScaleNormal="80" workbookViewId="0">
      <selection activeCell="B24" sqref="B24"/>
    </sheetView>
  </sheetViews>
  <sheetFormatPr baseColWidth="10" defaultRowHeight="15"/>
  <cols>
    <col min="1" max="1" width="18.28515625" bestFit="1" customWidth="1"/>
    <col min="4" max="4" width="12.28515625" bestFit="1" customWidth="1"/>
    <col min="5" max="5" width="11.85546875" bestFit="1" customWidth="1"/>
    <col min="7" max="7" width="12.28515625" bestFit="1" customWidth="1"/>
    <col min="10" max="10" width="12.28515625" bestFit="1" customWidth="1"/>
    <col min="13" max="13" width="12.28515625" bestFit="1" customWidth="1"/>
    <col min="16" max="16" width="12.28515625" bestFit="1" customWidth="1"/>
  </cols>
  <sheetData>
    <row r="3" spans="1:17">
      <c r="A3" s="12"/>
      <c r="B3" s="15"/>
      <c r="D3" s="383" t="s">
        <v>93</v>
      </c>
      <c r="E3" s="383"/>
      <c r="G3" s="416" t="s">
        <v>94</v>
      </c>
      <c r="H3" s="416"/>
      <c r="J3" s="416" t="s">
        <v>95</v>
      </c>
      <c r="K3" s="416"/>
      <c r="M3" s="416" t="s">
        <v>96</v>
      </c>
      <c r="N3" s="416"/>
      <c r="P3" s="416" t="s">
        <v>97</v>
      </c>
      <c r="Q3" s="416"/>
    </row>
    <row r="4" spans="1:17">
      <c r="A4" s="12"/>
      <c r="B4" s="47"/>
      <c r="D4" s="48" t="s">
        <v>14</v>
      </c>
      <c r="E4" s="48" t="s">
        <v>24</v>
      </c>
      <c r="G4" s="48" t="s">
        <v>14</v>
      </c>
      <c r="H4" s="48" t="s">
        <v>24</v>
      </c>
      <c r="J4" s="48" t="s">
        <v>14</v>
      </c>
      <c r="K4" s="48" t="s">
        <v>24</v>
      </c>
      <c r="M4" s="48" t="s">
        <v>14</v>
      </c>
      <c r="N4" s="48" t="s">
        <v>24</v>
      </c>
      <c r="P4" s="48" t="s">
        <v>14</v>
      </c>
      <c r="Q4" s="48" t="s">
        <v>24</v>
      </c>
    </row>
    <row r="5" spans="1:17">
      <c r="B5" s="5"/>
      <c r="D5" s="15">
        <v>44058</v>
      </c>
      <c r="E5" s="47">
        <v>22.462</v>
      </c>
      <c r="G5" s="15">
        <v>44197</v>
      </c>
      <c r="H5" s="47">
        <v>25.520199999999999</v>
      </c>
      <c r="J5" s="239">
        <v>44562</v>
      </c>
      <c r="K5" s="47">
        <f>H369*(1+B34)</f>
        <v>38.19115983220005</v>
      </c>
      <c r="M5" s="15">
        <v>44927</v>
      </c>
      <c r="N5" s="47">
        <f>K369*(1+$B$43)</f>
        <v>54.510138354079054</v>
      </c>
      <c r="P5" s="15">
        <v>45292</v>
      </c>
      <c r="Q5" s="47">
        <f>+N369*(1+$B$45)</f>
        <v>77.718423201816677</v>
      </c>
    </row>
    <row r="6" spans="1:17">
      <c r="A6" s="237"/>
      <c r="B6" s="2"/>
      <c r="D6" s="15">
        <v>44059</v>
      </c>
      <c r="E6" s="47">
        <v>22.4756</v>
      </c>
      <c r="G6" s="15">
        <v>44198</v>
      </c>
      <c r="H6" s="47">
        <v>25.546199999999999</v>
      </c>
      <c r="J6" s="239">
        <v>44563</v>
      </c>
      <c r="K6" s="47">
        <f>K5*(1+$B$34)</f>
        <v>38.226331192698126</v>
      </c>
      <c r="M6" s="15">
        <v>44928</v>
      </c>
      <c r="N6" s="47">
        <f t="shared" ref="N6:N69" si="0">N5*(1+$B$43)</f>
        <v>54.56313684916681</v>
      </c>
      <c r="P6" s="15">
        <v>45293</v>
      </c>
      <c r="Q6" s="47">
        <f t="shared" ref="Q6:Q69" si="1">Q5*(1+$B$45)</f>
        <v>77.793986383174499</v>
      </c>
    </row>
    <row r="7" spans="1:17">
      <c r="A7" s="237"/>
      <c r="B7" s="2"/>
      <c r="D7" s="15">
        <v>44060</v>
      </c>
      <c r="E7" s="47">
        <v>22.4893</v>
      </c>
      <c r="G7" s="15">
        <v>44199</v>
      </c>
      <c r="H7" s="47">
        <v>25.572199999999999</v>
      </c>
      <c r="J7" s="239">
        <v>44564</v>
      </c>
      <c r="K7" s="47">
        <f t="shared" ref="K7:K19" si="2">K6*(1+$B$34)</f>
        <v>38.261534943534819</v>
      </c>
      <c r="M7" s="15">
        <v>44929</v>
      </c>
      <c r="N7" s="47">
        <f t="shared" si="0"/>
        <v>54.616186873026393</v>
      </c>
      <c r="P7" s="15">
        <v>45294</v>
      </c>
      <c r="Q7" s="47">
        <f t="shared" si="1"/>
        <v>77.869623032239744</v>
      </c>
    </row>
    <row r="8" spans="1:17">
      <c r="B8" s="2"/>
      <c r="D8" s="15">
        <v>44061</v>
      </c>
      <c r="E8" s="47">
        <v>22.5029</v>
      </c>
      <c r="G8" s="15">
        <v>44200</v>
      </c>
      <c r="H8" s="47">
        <v>25.598199999999999</v>
      </c>
      <c r="J8" s="239">
        <v>44565</v>
      </c>
      <c r="K8" s="47">
        <f t="shared" si="2"/>
        <v>38.296771114539347</v>
      </c>
      <c r="M8" s="15">
        <v>44930</v>
      </c>
      <c r="N8" s="47">
        <f t="shared" si="0"/>
        <v>54.669288475757611</v>
      </c>
      <c r="P8" s="15">
        <v>45295</v>
      </c>
      <c r="Q8" s="47">
        <f t="shared" si="1"/>
        <v>77.945333220442762</v>
      </c>
    </row>
    <row r="9" spans="1:17">
      <c r="A9" s="237"/>
      <c r="B9" s="2"/>
      <c r="D9" s="15">
        <v>44062</v>
      </c>
      <c r="E9" s="47">
        <v>22.5166</v>
      </c>
      <c r="G9" s="15">
        <v>44201</v>
      </c>
      <c r="H9" s="47">
        <v>25.624199999999998</v>
      </c>
      <c r="J9" s="239">
        <v>44566</v>
      </c>
      <c r="K9" s="47">
        <f t="shared" si="2"/>
        <v>38.332039735568394</v>
      </c>
      <c r="M9" s="15">
        <v>44931</v>
      </c>
      <c r="N9" s="47">
        <f t="shared" si="0"/>
        <v>54.722441707508978</v>
      </c>
      <c r="P9" s="15">
        <v>45296</v>
      </c>
      <c r="Q9" s="47">
        <f t="shared" si="1"/>
        <v>78.021117019283338</v>
      </c>
    </row>
    <row r="10" spans="1:17">
      <c r="B10" s="2"/>
      <c r="D10" s="15">
        <v>44063</v>
      </c>
      <c r="E10" s="47">
        <v>22.5303</v>
      </c>
      <c r="G10" s="15">
        <v>44202</v>
      </c>
      <c r="H10" s="47">
        <v>25.650200000000002</v>
      </c>
      <c r="J10" s="239">
        <v>44567</v>
      </c>
      <c r="K10" s="47">
        <f t="shared" si="2"/>
        <v>38.367340836506145</v>
      </c>
      <c r="M10" s="15">
        <v>44932</v>
      </c>
      <c r="N10" s="47">
        <f t="shared" si="0"/>
        <v>54.775646618477772</v>
      </c>
      <c r="P10" s="15">
        <v>45297</v>
      </c>
      <c r="Q10" s="47">
        <f t="shared" si="1"/>
        <v>78.096974500330774</v>
      </c>
    </row>
    <row r="11" spans="1:17">
      <c r="B11" s="2"/>
      <c r="D11" s="15">
        <v>44064</v>
      </c>
      <c r="E11" s="47">
        <v>22.544</v>
      </c>
      <c r="G11" s="15">
        <v>44203</v>
      </c>
      <c r="H11" s="47">
        <v>25.676300000000001</v>
      </c>
      <c r="J11" s="239">
        <v>44568</v>
      </c>
      <c r="K11" s="47">
        <f t="shared" si="2"/>
        <v>38.402674447264296</v>
      </c>
      <c r="M11" s="15">
        <v>44933</v>
      </c>
      <c r="N11" s="47">
        <f t="shared" si="0"/>
        <v>54.828903258910074</v>
      </c>
      <c r="P11" s="15">
        <v>45298</v>
      </c>
      <c r="Q11" s="47">
        <f t="shared" si="1"/>
        <v>78.172905735223978</v>
      </c>
    </row>
    <row r="12" spans="1:17">
      <c r="A12" t="s">
        <v>134</v>
      </c>
      <c r="B12" s="2"/>
      <c r="D12" s="15">
        <v>44065</v>
      </c>
      <c r="E12" s="47">
        <v>22.557600000000001</v>
      </c>
      <c r="G12" s="15">
        <v>44204</v>
      </c>
      <c r="H12" s="47">
        <v>25.702400000000001</v>
      </c>
      <c r="J12" s="239">
        <v>44569</v>
      </c>
      <c r="K12" s="47">
        <f t="shared" si="2"/>
        <v>38.438040597782091</v>
      </c>
      <c r="M12" s="15">
        <v>44934</v>
      </c>
      <c r="N12" s="47">
        <f t="shared" si="0"/>
        <v>54.882211679100813</v>
      </c>
      <c r="P12" s="15">
        <v>45299</v>
      </c>
      <c r="Q12" s="47">
        <f t="shared" si="1"/>
        <v>78.248910795671492</v>
      </c>
    </row>
    <row r="13" spans="1:17">
      <c r="A13" s="237">
        <v>44197</v>
      </c>
      <c r="B13" s="279">
        <v>0.04</v>
      </c>
      <c r="D13" s="15">
        <v>44066</v>
      </c>
      <c r="E13" s="47">
        <v>22.571300000000001</v>
      </c>
      <c r="G13" s="15">
        <v>44205</v>
      </c>
      <c r="H13" s="47">
        <v>25.7285</v>
      </c>
      <c r="J13" s="239">
        <v>44570</v>
      </c>
      <c r="K13" s="47">
        <f t="shared" si="2"/>
        <v>38.473439318026358</v>
      </c>
      <c r="M13" s="15">
        <v>44935</v>
      </c>
      <c r="N13" s="47">
        <f t="shared" si="0"/>
        <v>54.935571929393817</v>
      </c>
      <c r="P13" s="15">
        <v>45300</v>
      </c>
      <c r="Q13" s="47">
        <f t="shared" si="1"/>
        <v>78.324989753451575</v>
      </c>
    </row>
    <row r="14" spans="1:17">
      <c r="B14" s="2">
        <f>(1+B13)^(1/28)-1</f>
        <v>1.4017212496246767E-3</v>
      </c>
      <c r="D14" s="15">
        <v>44067</v>
      </c>
      <c r="E14" s="47">
        <v>22.585100000000001</v>
      </c>
      <c r="G14" s="15">
        <v>44206</v>
      </c>
      <c r="H14" s="47">
        <v>25.7547</v>
      </c>
      <c r="J14" s="239">
        <v>44571</v>
      </c>
      <c r="K14" s="47">
        <f t="shared" si="2"/>
        <v>38.508870637991514</v>
      </c>
      <c r="M14" s="15">
        <v>44936</v>
      </c>
      <c r="N14" s="47">
        <f t="shared" si="0"/>
        <v>54.98898406018187</v>
      </c>
      <c r="P14" s="15">
        <v>45301</v>
      </c>
      <c r="Q14" s="47">
        <f t="shared" si="1"/>
        <v>78.401142680412292</v>
      </c>
    </row>
    <row r="15" spans="1:17">
      <c r="A15" s="237">
        <v>44228</v>
      </c>
      <c r="B15" s="279">
        <v>3.5999999999999997E-2</v>
      </c>
      <c r="D15" s="15">
        <v>44068</v>
      </c>
      <c r="E15" s="47">
        <v>22.598800000000001</v>
      </c>
      <c r="G15" s="15">
        <v>44207</v>
      </c>
      <c r="H15" s="47">
        <v>25.780899999999999</v>
      </c>
      <c r="J15" s="239">
        <v>44572</v>
      </c>
      <c r="K15" s="47">
        <f t="shared" si="2"/>
        <v>38.544334587699595</v>
      </c>
      <c r="M15" s="15">
        <v>44937</v>
      </c>
      <c r="N15" s="47">
        <f t="shared" si="0"/>
        <v>55.042448121906752</v>
      </c>
      <c r="P15" s="15">
        <v>45302</v>
      </c>
      <c r="Q15" s="47">
        <f t="shared" si="1"/>
        <v>78.477369648471551</v>
      </c>
    </row>
    <row r="16" spans="1:17">
      <c r="B16" s="2">
        <f>(1+B15)^(1/31)-1</f>
        <v>1.1415266537946334E-3</v>
      </c>
      <c r="D16" s="15">
        <v>44069</v>
      </c>
      <c r="E16" s="47">
        <v>22.612500000000001</v>
      </c>
      <c r="G16" s="15">
        <v>44208</v>
      </c>
      <c r="H16" s="47">
        <v>25.807099999999998</v>
      </c>
      <c r="J16" s="239">
        <v>44573</v>
      </c>
      <c r="K16" s="47">
        <f t="shared" si="2"/>
        <v>38.579831197200292</v>
      </c>
      <c r="M16" s="15">
        <v>44938</v>
      </c>
      <c r="N16" s="47">
        <f t="shared" si="0"/>
        <v>55.095964165059279</v>
      </c>
      <c r="P16" s="15">
        <v>45303</v>
      </c>
      <c r="Q16" s="47">
        <f t="shared" si="1"/>
        <v>78.553670729617195</v>
      </c>
    </row>
    <row r="17" spans="1:17">
      <c r="A17" s="237">
        <v>44256</v>
      </c>
      <c r="B17" s="279">
        <v>4.8000000000000001E-2</v>
      </c>
      <c r="D17" s="15">
        <v>44070</v>
      </c>
      <c r="E17" s="47">
        <v>22.626200000000001</v>
      </c>
      <c r="G17" s="15">
        <v>44209</v>
      </c>
      <c r="H17" s="47">
        <v>25.833300000000001</v>
      </c>
      <c r="J17" s="239">
        <v>44574</v>
      </c>
      <c r="K17" s="47">
        <f t="shared" si="2"/>
        <v>38.615360496570965</v>
      </c>
      <c r="M17" s="15">
        <v>44939</v>
      </c>
      <c r="N17" s="47">
        <f t="shared" si="0"/>
        <v>55.149532240179354</v>
      </c>
      <c r="P17" s="15">
        <v>45304</v>
      </c>
      <c r="Q17" s="47">
        <f t="shared" si="1"/>
        <v>78.630045995907039</v>
      </c>
    </row>
    <row r="18" spans="1:17">
      <c r="B18" s="2">
        <f>(1+B17)^(1/30)-1</f>
        <v>1.5640079833574294E-3</v>
      </c>
      <c r="D18" s="15">
        <v>44071</v>
      </c>
      <c r="E18" s="47">
        <v>22.64</v>
      </c>
      <c r="G18" s="15">
        <v>44210</v>
      </c>
      <c r="H18" s="47">
        <v>25.8596</v>
      </c>
      <c r="J18" s="239">
        <v>44575</v>
      </c>
      <c r="K18" s="47">
        <f t="shared" si="2"/>
        <v>38.650922515916676</v>
      </c>
      <c r="M18" s="15">
        <v>44940</v>
      </c>
      <c r="N18" s="47">
        <f t="shared" si="0"/>
        <v>55.20315239785603</v>
      </c>
      <c r="P18" s="15">
        <v>45305</v>
      </c>
      <c r="Q18" s="47">
        <f t="shared" si="1"/>
        <v>78.706495519468973</v>
      </c>
    </row>
    <row r="19" spans="1:17">
      <c r="A19" s="237">
        <v>44287</v>
      </c>
      <c r="B19" s="325">
        <v>4.1000000000000002E-2</v>
      </c>
      <c r="D19" s="15">
        <v>44072</v>
      </c>
      <c r="E19" s="47">
        <v>22.653700000000001</v>
      </c>
      <c r="G19" s="15">
        <v>44211</v>
      </c>
      <c r="H19" s="47">
        <v>25.885899999999999</v>
      </c>
      <c r="J19" s="239">
        <v>44576</v>
      </c>
      <c r="K19" s="47">
        <f t="shared" si="2"/>
        <v>38.686517285370215</v>
      </c>
      <c r="M19" s="15">
        <v>44941</v>
      </c>
      <c r="N19" s="47">
        <f t="shared" si="0"/>
        <v>55.256824688727541</v>
      </c>
      <c r="P19" s="15">
        <v>45306</v>
      </c>
      <c r="Q19" s="47">
        <f t="shared" si="1"/>
        <v>78.783019372501002</v>
      </c>
    </row>
    <row r="20" spans="1:17">
      <c r="B20" s="2">
        <f>(1+B19)^(1/31)-1</f>
        <v>1.2970271754824125E-3</v>
      </c>
      <c r="C20" s="5"/>
      <c r="D20" s="15">
        <v>44073</v>
      </c>
      <c r="E20" s="47">
        <v>22.6675</v>
      </c>
      <c r="G20" s="121">
        <v>44212</v>
      </c>
      <c r="H20" s="47">
        <v>25.918600000000001</v>
      </c>
      <c r="I20" t="s">
        <v>202</v>
      </c>
      <c r="J20" s="238">
        <v>44577</v>
      </c>
      <c r="K20" s="47">
        <f>K19*(1+$B$36)</f>
        <v>38.720995047326923</v>
      </c>
      <c r="M20" s="15">
        <v>44942</v>
      </c>
      <c r="N20" s="47">
        <f t="shared" si="0"/>
        <v>55.310549163481355</v>
      </c>
      <c r="P20" s="15">
        <v>45307</v>
      </c>
      <c r="Q20" s="47">
        <f t="shared" si="1"/>
        <v>78.859617627271334</v>
      </c>
    </row>
    <row r="21" spans="1:17">
      <c r="A21" s="237">
        <v>44317</v>
      </c>
      <c r="B21" s="325">
        <v>3.3000000000000002E-2</v>
      </c>
      <c r="C21" s="2"/>
      <c r="D21" s="15">
        <v>44074</v>
      </c>
      <c r="E21" s="47">
        <v>22.6812</v>
      </c>
      <c r="G21" s="121">
        <v>44213</v>
      </c>
      <c r="H21" s="47">
        <v>25.951499999999999</v>
      </c>
      <c r="J21" s="238">
        <v>44578</v>
      </c>
      <c r="K21" s="47">
        <f t="shared" ref="K21:K50" si="3">K20*(1+$B$36)</f>
        <v>38.755503536166096</v>
      </c>
      <c r="M21" s="15">
        <v>44943</v>
      </c>
      <c r="N21" s="47">
        <f t="shared" si="0"/>
        <v>55.364325872854216</v>
      </c>
      <c r="P21" s="15">
        <v>45308</v>
      </c>
      <c r="Q21" s="47">
        <f t="shared" si="1"/>
        <v>78.936290356118448</v>
      </c>
    </row>
    <row r="22" spans="1:17">
      <c r="B22" s="2">
        <f>(1+B21)^(1/30)-1</f>
        <v>1.0828255039210255E-3</v>
      </c>
      <c r="D22" s="15">
        <v>44075</v>
      </c>
      <c r="E22" s="47">
        <v>22.695</v>
      </c>
      <c r="G22" s="121">
        <v>44214</v>
      </c>
      <c r="H22" s="47">
        <v>25.984300000000001</v>
      </c>
      <c r="J22" s="238">
        <v>44579</v>
      </c>
      <c r="K22" s="47">
        <f t="shared" si="3"/>
        <v>38.790042779271793</v>
      </c>
      <c r="M22" s="15">
        <v>44944</v>
      </c>
      <c r="N22" s="47">
        <f t="shared" si="0"/>
        <v>55.418154867632211</v>
      </c>
      <c r="P22" s="15">
        <v>45309</v>
      </c>
      <c r="Q22" s="47">
        <f t="shared" si="1"/>
        <v>79.013037631451155</v>
      </c>
    </row>
    <row r="23" spans="1:17">
      <c r="A23" s="237">
        <v>44348</v>
      </c>
      <c r="B23" s="2">
        <v>2.8000000000000001E-2</v>
      </c>
      <c r="D23" s="15">
        <v>44076</v>
      </c>
      <c r="E23" s="47">
        <v>22.7088</v>
      </c>
      <c r="G23" s="121">
        <v>44215</v>
      </c>
      <c r="H23" s="47">
        <v>26.017199999999999</v>
      </c>
      <c r="J23" s="238">
        <v>44580</v>
      </c>
      <c r="K23" s="47">
        <f t="shared" si="3"/>
        <v>38.824612804052492</v>
      </c>
      <c r="M23" s="15">
        <v>44945</v>
      </c>
      <c r="N23" s="47">
        <f t="shared" si="0"/>
        <v>55.472036198650791</v>
      </c>
      <c r="P23" s="15">
        <v>45310</v>
      </c>
      <c r="Q23" s="47">
        <f t="shared" si="1"/>
        <v>79.089859525748651</v>
      </c>
    </row>
    <row r="24" spans="1:17">
      <c r="B24" s="2">
        <f>(1+B23)^(1/31)-1</f>
        <v>8.9120873048309512E-4</v>
      </c>
      <c r="D24" s="15">
        <v>44077</v>
      </c>
      <c r="E24" s="47">
        <v>22.7225</v>
      </c>
      <c r="G24" s="121">
        <v>44216</v>
      </c>
      <c r="H24" s="47">
        <v>26.0501</v>
      </c>
      <c r="J24" s="238">
        <v>44581</v>
      </c>
      <c r="K24" s="47">
        <f t="shared" si="3"/>
        <v>38.859213637941089</v>
      </c>
      <c r="M24" s="15">
        <v>44946</v>
      </c>
      <c r="N24" s="47">
        <f t="shared" si="0"/>
        <v>55.525969916794843</v>
      </c>
      <c r="P24" s="15">
        <v>45311</v>
      </c>
      <c r="Q24" s="47">
        <f t="shared" si="1"/>
        <v>79.166756111560616</v>
      </c>
    </row>
    <row r="25" spans="1:17">
      <c r="A25" s="237">
        <v>44378</v>
      </c>
      <c r="B25" s="2">
        <f>+B23</f>
        <v>2.8000000000000001E-2</v>
      </c>
      <c r="D25" s="15">
        <v>44078</v>
      </c>
      <c r="E25" s="47">
        <v>22.7364</v>
      </c>
      <c r="G25" s="121">
        <v>44217</v>
      </c>
      <c r="H25" s="47">
        <v>26.083100000000002</v>
      </c>
      <c r="J25" s="238">
        <v>44582</v>
      </c>
      <c r="K25" s="47">
        <f t="shared" si="3"/>
        <v>38.89384530839493</v>
      </c>
      <c r="M25" s="15">
        <v>44947</v>
      </c>
      <c r="N25" s="47">
        <f t="shared" si="0"/>
        <v>55.579956072998719</v>
      </c>
      <c r="P25" s="15">
        <v>45312</v>
      </c>
      <c r="Q25" s="47">
        <f t="shared" si="1"/>
        <v>79.243727461507262</v>
      </c>
    </row>
    <row r="26" spans="1:17">
      <c r="B26" s="2">
        <f>(1+B25)^(1/30)-1</f>
        <v>9.2092936304122297E-4</v>
      </c>
      <c r="D26" s="15">
        <v>44079</v>
      </c>
      <c r="E26" s="47">
        <v>22.7502</v>
      </c>
      <c r="G26" s="121">
        <v>44218</v>
      </c>
      <c r="H26" s="47">
        <v>26.116099999999999</v>
      </c>
      <c r="J26" s="238">
        <v>44583</v>
      </c>
      <c r="K26" s="47">
        <f t="shared" si="3"/>
        <v>38.928507842895833</v>
      </c>
      <c r="M26" s="15">
        <v>44948</v>
      </c>
      <c r="N26" s="47">
        <f t="shared" si="0"/>
        <v>55.633994718246299</v>
      </c>
      <c r="P26" s="15">
        <v>45313</v>
      </c>
      <c r="Q26" s="47">
        <f t="shared" si="1"/>
        <v>79.320773648279413</v>
      </c>
    </row>
    <row r="27" spans="1:17">
      <c r="A27" s="237">
        <v>44409</v>
      </c>
      <c r="B27" s="2">
        <f>+B23</f>
        <v>2.8000000000000001E-2</v>
      </c>
      <c r="D27" s="15">
        <v>44080</v>
      </c>
      <c r="E27" s="47">
        <v>22.763999999999999</v>
      </c>
      <c r="G27" s="121">
        <v>44219</v>
      </c>
      <c r="H27" s="47">
        <v>26.1492</v>
      </c>
      <c r="J27" s="238">
        <v>44584</v>
      </c>
      <c r="K27" s="47">
        <f t="shared" si="3"/>
        <v>38.963201268950101</v>
      </c>
      <c r="M27" s="15">
        <v>44949</v>
      </c>
      <c r="N27" s="47">
        <f t="shared" si="0"/>
        <v>55.688085903571029</v>
      </c>
      <c r="P27" s="15">
        <v>45314</v>
      </c>
      <c r="Q27" s="47">
        <f t="shared" si="1"/>
        <v>79.397894744638563</v>
      </c>
    </row>
    <row r="28" spans="1:17">
      <c r="B28" s="2">
        <f>(1+B27)^(1/30)-1</f>
        <v>9.2092936304122297E-4</v>
      </c>
      <c r="D28" s="15">
        <v>44081</v>
      </c>
      <c r="E28" s="47">
        <v>22.777799999999999</v>
      </c>
      <c r="G28" s="121">
        <v>44220</v>
      </c>
      <c r="H28" s="47">
        <v>26.182300000000001</v>
      </c>
      <c r="J28" s="238">
        <v>44585</v>
      </c>
      <c r="K28" s="47">
        <f t="shared" si="3"/>
        <v>38.997925614088558</v>
      </c>
      <c r="M28" s="15">
        <v>44950</v>
      </c>
      <c r="N28" s="47">
        <f t="shared" si="0"/>
        <v>55.742229680055978</v>
      </c>
      <c r="P28" s="15">
        <v>45315</v>
      </c>
      <c r="Q28" s="47">
        <f t="shared" si="1"/>
        <v>79.475090823416949</v>
      </c>
    </row>
    <row r="29" spans="1:17">
      <c r="A29" s="237">
        <v>44440</v>
      </c>
      <c r="B29" s="2">
        <f>+B23</f>
        <v>2.8000000000000001E-2</v>
      </c>
      <c r="D29" s="15">
        <v>44082</v>
      </c>
      <c r="E29" s="47">
        <v>22.805499999999999</v>
      </c>
      <c r="G29" s="121">
        <v>44221</v>
      </c>
      <c r="H29" s="47">
        <v>26.215499999999999</v>
      </c>
      <c r="J29" s="238">
        <v>44586</v>
      </c>
      <c r="K29" s="47">
        <f t="shared" si="3"/>
        <v>39.032680905866563</v>
      </c>
      <c r="M29" s="15">
        <v>44951</v>
      </c>
      <c r="N29" s="47">
        <f t="shared" si="0"/>
        <v>55.796426098833876</v>
      </c>
      <c r="P29" s="15">
        <v>45316</v>
      </c>
      <c r="Q29" s="47">
        <f t="shared" si="1"/>
        <v>79.552361957517618</v>
      </c>
    </row>
    <row r="30" spans="1:17">
      <c r="B30" s="2">
        <f>(1+B29)^(1/30)-1</f>
        <v>9.2092936304122297E-4</v>
      </c>
      <c r="D30" s="15">
        <v>44083</v>
      </c>
      <c r="E30" s="47">
        <v>22.805499999999999</v>
      </c>
      <c r="G30" s="121">
        <v>44222</v>
      </c>
      <c r="H30" s="47">
        <v>26.2486</v>
      </c>
      <c r="J30" s="238">
        <v>44587</v>
      </c>
      <c r="K30" s="47">
        <f t="shared" si="3"/>
        <v>39.067467171864031</v>
      </c>
      <c r="M30" s="15">
        <v>44952</v>
      </c>
      <c r="N30" s="47">
        <f t="shared" si="0"/>
        <v>55.850675211087179</v>
      </c>
      <c r="P30" s="15">
        <v>45317</v>
      </c>
      <c r="Q30" s="47">
        <f t="shared" si="1"/>
        <v>79.629708219914505</v>
      </c>
    </row>
    <row r="31" spans="1:17">
      <c r="A31" s="237">
        <v>44470</v>
      </c>
      <c r="B31" s="2">
        <f>+B23</f>
        <v>2.8000000000000001E-2</v>
      </c>
      <c r="D31" s="15">
        <v>44084</v>
      </c>
      <c r="E31" s="47">
        <v>22.819400000000002</v>
      </c>
      <c r="G31" s="121">
        <v>44223</v>
      </c>
      <c r="H31" s="47">
        <v>26.2819</v>
      </c>
      <c r="J31" s="238">
        <v>44588</v>
      </c>
      <c r="K31" s="47">
        <f t="shared" si="3"/>
        <v>39.102284439685455</v>
      </c>
      <c r="M31" s="15">
        <v>44953</v>
      </c>
      <c r="N31" s="47">
        <f t="shared" si="0"/>
        <v>55.90497706804809</v>
      </c>
      <c r="P31" s="15">
        <v>45318</v>
      </c>
      <c r="Q31" s="47">
        <f t="shared" si="1"/>
        <v>79.707129683652482</v>
      </c>
    </row>
    <row r="32" spans="1:17">
      <c r="B32" s="2">
        <f>(1+B31)^(1/30)-1</f>
        <v>9.2092936304122297E-4</v>
      </c>
      <c r="D32" s="15">
        <v>44085</v>
      </c>
      <c r="E32" s="47">
        <v>22.833200000000001</v>
      </c>
      <c r="G32" s="121">
        <v>44224</v>
      </c>
      <c r="H32" s="47">
        <v>26.315100000000001</v>
      </c>
      <c r="J32" s="238">
        <v>44589</v>
      </c>
      <c r="K32" s="47">
        <f t="shared" si="3"/>
        <v>39.137132736959934</v>
      </c>
      <c r="M32" s="15">
        <v>44954</v>
      </c>
      <c r="N32" s="47">
        <f t="shared" si="0"/>
        <v>55.959331720998634</v>
      </c>
      <c r="P32" s="15">
        <v>45319</v>
      </c>
      <c r="Q32" s="47">
        <f t="shared" si="1"/>
        <v>79.784626421847463</v>
      </c>
    </row>
    <row r="33" spans="1:23">
      <c r="A33" s="237">
        <v>44501</v>
      </c>
      <c r="B33" s="2">
        <f>+B23</f>
        <v>2.8000000000000001E-2</v>
      </c>
      <c r="D33" s="15">
        <v>44086</v>
      </c>
      <c r="E33" s="47">
        <v>22.847100000000001</v>
      </c>
      <c r="G33" s="121">
        <v>44225</v>
      </c>
      <c r="H33" s="47">
        <v>26.348500000000001</v>
      </c>
      <c r="J33" s="238">
        <v>44590</v>
      </c>
      <c r="K33" s="47">
        <f t="shared" si="3"/>
        <v>39.172012091341188</v>
      </c>
      <c r="M33" s="15">
        <v>44955</v>
      </c>
      <c r="N33" s="47">
        <f t="shared" si="0"/>
        <v>56.01373922127069</v>
      </c>
      <c r="P33" s="15">
        <v>45320</v>
      </c>
      <c r="Q33" s="47">
        <f t="shared" si="1"/>
        <v>79.862198507686429</v>
      </c>
    </row>
    <row r="34" spans="1:23">
      <c r="B34" s="2">
        <f>(1+B33)^(1/30)-1</f>
        <v>9.2092936304122297E-4</v>
      </c>
      <c r="D34" s="15">
        <v>44087</v>
      </c>
      <c r="E34" s="47">
        <v>22.861000000000001</v>
      </c>
      <c r="G34" s="121">
        <v>44226</v>
      </c>
      <c r="H34" s="47">
        <v>26.381799999999998</v>
      </c>
      <c r="J34" s="238">
        <v>44591</v>
      </c>
      <c r="K34" s="47">
        <f t="shared" si="3"/>
        <v>39.206922530507583</v>
      </c>
      <c r="M34" s="15">
        <v>44956</v>
      </c>
      <c r="N34" s="47">
        <f t="shared" si="0"/>
        <v>56.068199620246055</v>
      </c>
      <c r="P34" s="15">
        <v>45321</v>
      </c>
      <c r="Q34" s="47">
        <f t="shared" si="1"/>
        <v>79.93984601442753</v>
      </c>
    </row>
    <row r="35" spans="1:23">
      <c r="A35" s="237">
        <v>44531</v>
      </c>
      <c r="B35" s="2">
        <f>+B23</f>
        <v>2.8000000000000001E-2</v>
      </c>
      <c r="D35" s="15">
        <v>44088</v>
      </c>
      <c r="E35" s="47">
        <v>22.8749</v>
      </c>
      <c r="G35" s="121">
        <v>44227</v>
      </c>
      <c r="H35" s="47">
        <v>26.415199999999999</v>
      </c>
      <c r="J35" s="238">
        <v>44592</v>
      </c>
      <c r="K35" s="47">
        <f t="shared" si="3"/>
        <v>39.241864082162145</v>
      </c>
      <c r="M35" s="15">
        <v>44957</v>
      </c>
      <c r="N35" s="47">
        <f t="shared" si="0"/>
        <v>56.122712969356471</v>
      </c>
      <c r="P35" s="15">
        <v>45322</v>
      </c>
      <c r="Q35" s="47">
        <f t="shared" si="1"/>
        <v>80.017569015400142</v>
      </c>
    </row>
    <row r="36" spans="1:23">
      <c r="B36" s="2">
        <f>(1+B35)^(1/31)-1</f>
        <v>8.9120873048309512E-4</v>
      </c>
      <c r="D36" s="15">
        <v>44089</v>
      </c>
      <c r="E36" s="47">
        <v>22.8888</v>
      </c>
      <c r="G36" s="121">
        <v>44228</v>
      </c>
      <c r="H36" s="47">
        <v>26.448699999999999</v>
      </c>
      <c r="J36" s="238">
        <v>44593</v>
      </c>
      <c r="K36" s="47">
        <f t="shared" si="3"/>
        <v>39.276836774032596</v>
      </c>
      <c r="M36" s="15">
        <v>44958</v>
      </c>
      <c r="N36" s="47">
        <f t="shared" si="0"/>
        <v>56.177279320083692</v>
      </c>
      <c r="P36" s="15">
        <v>45323</v>
      </c>
      <c r="Q36" s="47">
        <f t="shared" si="1"/>
        <v>80.095367584004933</v>
      </c>
    </row>
    <row r="37" spans="1:23">
      <c r="A37" t="s">
        <v>174</v>
      </c>
      <c r="B37" s="2">
        <f>(1+B13)*(1+B15)*(1+B17)*(1+B19)*(1+B21)*(1+B23)*(1+B25)*(1+B27)*(1+B29)*(1+B31)*(1+B33)*(1+B35)-1</f>
        <v>0.47318480593816092</v>
      </c>
      <c r="D37" s="15">
        <v>44090</v>
      </c>
      <c r="E37" s="47">
        <v>22.909087915273471</v>
      </c>
      <c r="G37" s="121">
        <v>44229</v>
      </c>
      <c r="H37" s="47">
        <v>26.482099999999999</v>
      </c>
      <c r="J37" s="238">
        <v>44594</v>
      </c>
      <c r="K37" s="47">
        <f t="shared" si="3"/>
        <v>39.31184063387137</v>
      </c>
      <c r="M37" s="15">
        <v>44959</v>
      </c>
      <c r="N37" s="47">
        <f t="shared" si="0"/>
        <v>56.231898723959524</v>
      </c>
      <c r="P37" s="15">
        <v>45324</v>
      </c>
      <c r="Q37" s="47">
        <f t="shared" si="1"/>
        <v>80.173241793713942</v>
      </c>
    </row>
    <row r="38" spans="1:23">
      <c r="D38" s="15">
        <v>44091</v>
      </c>
      <c r="E38" s="47">
        <v>22.929441696279067</v>
      </c>
      <c r="G38" s="121">
        <v>44230</v>
      </c>
      <c r="H38" s="47">
        <v>26.515699999999999</v>
      </c>
      <c r="J38" s="238">
        <v>44595</v>
      </c>
      <c r="K38" s="47">
        <f t="shared" si="3"/>
        <v>39.346875689455636</v>
      </c>
      <c r="M38" s="15">
        <v>44960</v>
      </c>
      <c r="N38" s="47">
        <f t="shared" si="0"/>
        <v>56.286571232565876</v>
      </c>
      <c r="P38" s="15">
        <v>45325</v>
      </c>
      <c r="Q38" s="47">
        <f t="shared" si="1"/>
        <v>80.251191718070643</v>
      </c>
    </row>
    <row r="39" spans="1:23">
      <c r="D39" s="15">
        <v>44092</v>
      </c>
      <c r="E39" s="47">
        <v>22.949813560780729</v>
      </c>
      <c r="G39" s="121">
        <v>44231</v>
      </c>
      <c r="H39" s="47">
        <v>26.549199999999999</v>
      </c>
      <c r="J39" s="238">
        <v>44596</v>
      </c>
      <c r="K39" s="47">
        <f t="shared" si="3"/>
        <v>39.381941968587313</v>
      </c>
      <c r="M39" s="15">
        <v>44961</v>
      </c>
      <c r="N39" s="47">
        <f t="shared" si="0"/>
        <v>56.341296897534811</v>
      </c>
      <c r="P39" s="15">
        <v>45326</v>
      </c>
      <c r="Q39" s="47">
        <f t="shared" si="1"/>
        <v>80.329217430689994</v>
      </c>
    </row>
    <row r="40" spans="1:23">
      <c r="A40" t="s">
        <v>135</v>
      </c>
      <c r="B40" s="2">
        <f>(1.03)^(12)-1</f>
        <v>0.42576088684617863</v>
      </c>
      <c r="D40" s="15">
        <v>44093</v>
      </c>
      <c r="E40" s="47">
        <v>22.970203524844901</v>
      </c>
      <c r="G40" s="121">
        <v>44232</v>
      </c>
      <c r="H40" s="47">
        <v>26.582799999999999</v>
      </c>
      <c r="J40" s="238">
        <v>44597</v>
      </c>
      <c r="K40" s="47">
        <f t="shared" si="3"/>
        <v>39.417039499093093</v>
      </c>
      <c r="M40" s="15">
        <v>44962</v>
      </c>
      <c r="N40" s="47">
        <f t="shared" si="0"/>
        <v>56.396075770548592</v>
      </c>
      <c r="P40" s="15">
        <v>45327</v>
      </c>
      <c r="Q40" s="47">
        <f t="shared" si="1"/>
        <v>80.407319005258557</v>
      </c>
      <c r="V40" s="3">
        <v>44363</v>
      </c>
      <c r="W40">
        <v>31.678999999999998</v>
      </c>
    </row>
    <row r="41" spans="1:23">
      <c r="B41" s="360">
        <f>(1+B40)^(1/360)-1</f>
        <v>9.8577896906171247E-4</v>
      </c>
      <c r="D41" s="15">
        <v>44094</v>
      </c>
      <c r="E41" s="47">
        <v>22.990611604552296</v>
      </c>
      <c r="G41" s="121">
        <v>44233</v>
      </c>
      <c r="H41" s="47">
        <v>26.616499999999998</v>
      </c>
      <c r="J41" s="238">
        <v>44598</v>
      </c>
      <c r="K41" s="47">
        <f t="shared" si="3"/>
        <v>39.452168308824483</v>
      </c>
      <c r="M41" s="15">
        <v>44963</v>
      </c>
      <c r="N41" s="47">
        <f t="shared" si="0"/>
        <v>56.450907903339733</v>
      </c>
      <c r="P41" s="15">
        <v>45328</v>
      </c>
      <c r="Q41" s="47">
        <f t="shared" si="1"/>
        <v>80.485496515534507</v>
      </c>
      <c r="V41" s="3">
        <v>44364</v>
      </c>
      <c r="W41">
        <v>31.7133</v>
      </c>
    </row>
    <row r="42" spans="1:23">
      <c r="A42" t="s">
        <v>136</v>
      </c>
      <c r="B42" s="2">
        <f>+B40</f>
        <v>0.42576088684617863</v>
      </c>
      <c r="D42" s="15">
        <v>44095</v>
      </c>
      <c r="E42" s="47">
        <v>23.01103781599792</v>
      </c>
      <c r="G42" s="121">
        <v>44234</v>
      </c>
      <c r="H42" s="47">
        <v>26.650200000000002</v>
      </c>
      <c r="J42" s="238">
        <v>44599</v>
      </c>
      <c r="K42" s="47">
        <f t="shared" si="3"/>
        <v>39.487328425657793</v>
      </c>
      <c r="M42" s="15">
        <v>44964</v>
      </c>
      <c r="N42" s="47">
        <f t="shared" si="0"/>
        <v>56.505793347691032</v>
      </c>
      <c r="P42" s="15">
        <v>45329</v>
      </c>
      <c r="Q42" s="47">
        <f t="shared" si="1"/>
        <v>80.563750035347766</v>
      </c>
      <c r="V42" s="3">
        <v>44365</v>
      </c>
      <c r="W42">
        <v>31.747599999999998</v>
      </c>
    </row>
    <row r="43" spans="1:23">
      <c r="B43" s="2">
        <f>(1+B42)^(1/365)-1</f>
        <v>9.7226858503818292E-4</v>
      </c>
      <c r="D43" s="15">
        <v>44096</v>
      </c>
      <c r="E43" s="47">
        <v>23.031482175291075</v>
      </c>
      <c r="G43" s="121">
        <v>44235</v>
      </c>
      <c r="H43" s="47">
        <v>26.683900000000001</v>
      </c>
      <c r="J43" s="238">
        <v>44600</v>
      </c>
      <c r="K43" s="47">
        <f t="shared" si="3"/>
        <v>39.52251987749419</v>
      </c>
      <c r="M43" s="15">
        <v>44965</v>
      </c>
      <c r="N43" s="47">
        <f t="shared" si="0"/>
        <v>56.560732155435652</v>
      </c>
      <c r="P43" s="15">
        <v>45330</v>
      </c>
      <c r="Q43" s="47">
        <f t="shared" si="1"/>
        <v>80.642079638600009</v>
      </c>
      <c r="V43" s="3">
        <v>44366</v>
      </c>
      <c r="W43">
        <v>31.782</v>
      </c>
    </row>
    <row r="44" spans="1:23">
      <c r="A44" t="s">
        <v>137</v>
      </c>
      <c r="B44" s="2">
        <f>+B42</f>
        <v>0.42576088684617863</v>
      </c>
      <c r="D44" s="15">
        <v>44097</v>
      </c>
      <c r="E44" s="47">
        <v>23.051944698555374</v>
      </c>
      <c r="G44" s="121">
        <v>44236</v>
      </c>
      <c r="H44" s="47">
        <v>26.717700000000001</v>
      </c>
      <c r="J44" s="238">
        <v>44601</v>
      </c>
      <c r="K44" s="47">
        <f t="shared" si="3"/>
        <v>39.557742692259701</v>
      </c>
      <c r="M44" s="15">
        <v>44966</v>
      </c>
      <c r="N44" s="47">
        <f t="shared" si="0"/>
        <v>56.615724378457138</v>
      </c>
      <c r="P44" s="15">
        <v>45331</v>
      </c>
      <c r="Q44" s="47">
        <f t="shared" si="1"/>
        <v>80.720485399264774</v>
      </c>
      <c r="V44" s="3">
        <v>44367</v>
      </c>
      <c r="W44">
        <v>31.816400000000002</v>
      </c>
    </row>
    <row r="45" spans="1:23">
      <c r="B45" s="2">
        <f>(1+B44)^(1/365)-1</f>
        <v>9.7226858503818292E-4</v>
      </c>
      <c r="D45" s="15">
        <v>44098</v>
      </c>
      <c r="E45" s="47">
        <v>23.072425401928758</v>
      </c>
      <c r="G45" s="121">
        <v>44237</v>
      </c>
      <c r="H45" s="47">
        <v>26.7515</v>
      </c>
      <c r="J45" s="238">
        <v>44602</v>
      </c>
      <c r="K45" s="47">
        <f t="shared" si="3"/>
        <v>39.592996897905245</v>
      </c>
      <c r="M45" s="15">
        <v>44967</v>
      </c>
      <c r="N45" s="47">
        <f t="shared" si="0"/>
        <v>56.670770068689492</v>
      </c>
      <c r="P45" s="15">
        <v>45332</v>
      </c>
      <c r="Q45" s="47">
        <f t="shared" si="1"/>
        <v>80.798967391387507</v>
      </c>
      <c r="V45" s="3">
        <v>44368</v>
      </c>
      <c r="W45">
        <v>31.850899999999999</v>
      </c>
    </row>
    <row r="46" spans="1:23">
      <c r="D46" s="15">
        <v>44099</v>
      </c>
      <c r="E46" s="47">
        <v>23.092924301563503</v>
      </c>
      <c r="G46" s="121">
        <v>44238</v>
      </c>
      <c r="H46" s="47">
        <v>26.785399999999999</v>
      </c>
      <c r="J46" s="238">
        <v>44603</v>
      </c>
      <c r="K46" s="47">
        <f t="shared" si="3"/>
        <v>39.62828252240665</v>
      </c>
      <c r="M46" s="15">
        <v>44968</v>
      </c>
      <c r="N46" s="47">
        <f t="shared" si="0"/>
        <v>56.725869278117202</v>
      </c>
      <c r="P46" s="15">
        <v>45333</v>
      </c>
      <c r="Q46" s="47">
        <f t="shared" si="1"/>
        <v>80.877525689085672</v>
      </c>
      <c r="V46" s="3">
        <v>44369</v>
      </c>
      <c r="W46">
        <v>31.885400000000001</v>
      </c>
    </row>
    <row r="47" spans="1:23">
      <c r="D47" s="15">
        <v>44100</v>
      </c>
      <c r="E47" s="47">
        <v>23.113441413626241</v>
      </c>
      <c r="G47" s="121">
        <v>44239</v>
      </c>
      <c r="H47" s="47">
        <v>26.819299999999998</v>
      </c>
      <c r="J47" s="238">
        <v>44604</v>
      </c>
      <c r="K47" s="47">
        <f t="shared" si="3"/>
        <v>39.663599593764673</v>
      </c>
      <c r="M47" s="15">
        <v>44969</v>
      </c>
      <c r="N47" s="47">
        <f t="shared" si="0"/>
        <v>56.781022058775299</v>
      </c>
      <c r="P47" s="15">
        <v>45334</v>
      </c>
      <c r="Q47" s="47">
        <f t="shared" si="1"/>
        <v>80.956160366548787</v>
      </c>
      <c r="U47" s="3"/>
      <c r="V47" s="3">
        <v>44370</v>
      </c>
      <c r="W47">
        <v>31.919899999999998</v>
      </c>
    </row>
    <row r="48" spans="1:23">
      <c r="D48" s="15">
        <v>44101</v>
      </c>
      <c r="E48" s="47">
        <v>23.133976754297965</v>
      </c>
      <c r="G48" s="121">
        <v>44240</v>
      </c>
      <c r="H48" s="47">
        <v>26.853300000000001</v>
      </c>
      <c r="J48" s="238">
        <v>44605</v>
      </c>
      <c r="K48" s="47">
        <f t="shared" si="3"/>
        <v>39.698948140005022</v>
      </c>
      <c r="M48" s="15">
        <v>44970</v>
      </c>
      <c r="N48" s="47">
        <f t="shared" si="0"/>
        <v>56.836228462749403</v>
      </c>
      <c r="P48" s="15">
        <v>45335</v>
      </c>
      <c r="Q48" s="47">
        <f t="shared" si="1"/>
        <v>81.034871498038498</v>
      </c>
      <c r="U48" s="3"/>
      <c r="V48" s="3">
        <v>44371</v>
      </c>
      <c r="W48">
        <v>31.9544</v>
      </c>
    </row>
    <row r="49" spans="2:23">
      <c r="B49" s="5"/>
      <c r="D49" s="15">
        <v>44102</v>
      </c>
      <c r="E49" s="47">
        <v>23.154530339774041</v>
      </c>
      <c r="G49" s="121">
        <v>44241</v>
      </c>
      <c r="H49" s="47">
        <v>26.8873</v>
      </c>
      <c r="J49" s="238">
        <v>44606</v>
      </c>
      <c r="K49" s="47">
        <f t="shared" si="3"/>
        <v>39.734328189178392</v>
      </c>
      <c r="M49" s="15">
        <v>44971</v>
      </c>
      <c r="N49" s="47">
        <f t="shared" si="0"/>
        <v>56.891488542175786</v>
      </c>
      <c r="P49" s="15">
        <v>45336</v>
      </c>
      <c r="Q49" s="47">
        <f t="shared" si="1"/>
        <v>81.113659157888648</v>
      </c>
      <c r="U49" s="3"/>
      <c r="V49" s="3">
        <v>44372</v>
      </c>
      <c r="W49">
        <v>31.989000000000001</v>
      </c>
    </row>
    <row r="50" spans="2:23">
      <c r="B50" s="5"/>
      <c r="D50" s="15">
        <v>44103</v>
      </c>
      <c r="E50" s="47">
        <v>23.175102186264226</v>
      </c>
      <c r="G50" s="121">
        <v>44242</v>
      </c>
      <c r="H50" s="47">
        <v>26.921299999999999</v>
      </c>
      <c r="J50" s="238">
        <v>44607</v>
      </c>
      <c r="K50" s="47">
        <f t="shared" si="3"/>
        <v>39.76973976936047</v>
      </c>
      <c r="M50" s="15">
        <v>44972</v>
      </c>
      <c r="N50" s="47">
        <f t="shared" si="0"/>
        <v>56.946802349241402</v>
      </c>
      <c r="P50" s="15">
        <v>45337</v>
      </c>
      <c r="Q50" s="47">
        <f t="shared" si="1"/>
        <v>81.192523420505353</v>
      </c>
      <c r="U50" s="3"/>
      <c r="V50" s="3">
        <v>44373</v>
      </c>
      <c r="W50">
        <v>32.023699999999998</v>
      </c>
    </row>
    <row r="51" spans="2:23">
      <c r="B51" s="5"/>
      <c r="D51" s="15">
        <v>44104</v>
      </c>
      <c r="E51" s="47">
        <v>23.19569230999268</v>
      </c>
      <c r="G51" s="121">
        <v>44243</v>
      </c>
      <c r="H51" s="47">
        <v>26.959</v>
      </c>
      <c r="I51" t="s">
        <v>203</v>
      </c>
      <c r="J51" s="239">
        <v>44608</v>
      </c>
      <c r="K51" s="47">
        <f t="shared" ref="K51:K114" si="4">K50*(1+$B$41)</f>
        <v>39.808943942430162</v>
      </c>
      <c r="M51" s="15">
        <v>44973</v>
      </c>
      <c r="N51" s="47">
        <f t="shared" si="0"/>
        <v>57.002169936183947</v>
      </c>
      <c r="P51" s="15">
        <v>45338</v>
      </c>
      <c r="Q51" s="47">
        <f t="shared" si="1"/>
        <v>81.271464360367091</v>
      </c>
      <c r="U51" s="3"/>
      <c r="V51" s="3">
        <v>44374</v>
      </c>
      <c r="W51">
        <v>32.058399999999999</v>
      </c>
    </row>
    <row r="52" spans="2:23">
      <c r="B52" s="5"/>
      <c r="D52" s="15">
        <v>44105</v>
      </c>
      <c r="E52" s="47">
        <v>23.216300727197975</v>
      </c>
      <c r="G52" s="121">
        <v>44244</v>
      </c>
      <c r="H52" s="47">
        <v>26.9968</v>
      </c>
      <c r="J52" s="239">
        <v>44609</v>
      </c>
      <c r="K52" s="47">
        <f t="shared" si="4"/>
        <v>39.848186762149169</v>
      </c>
      <c r="M52" s="15">
        <v>44974</v>
      </c>
      <c r="N52" s="47">
        <f t="shared" si="0"/>
        <v>57.057591355291905</v>
      </c>
      <c r="P52" s="15">
        <v>45339</v>
      </c>
      <c r="Q52" s="47">
        <f t="shared" si="1"/>
        <v>81.350482052024731</v>
      </c>
      <c r="U52" s="3"/>
      <c r="V52" s="3">
        <v>44375</v>
      </c>
      <c r="W52">
        <v>32.0931</v>
      </c>
    </row>
    <row r="53" spans="2:23">
      <c r="B53" s="2"/>
      <c r="D53" s="15">
        <v>44106</v>
      </c>
      <c r="E53" s="47">
        <v>23.236927454133113</v>
      </c>
      <c r="G53" s="121">
        <v>44245</v>
      </c>
      <c r="H53" s="47">
        <v>27.034700000000001</v>
      </c>
      <c r="J53" s="239">
        <v>44610</v>
      </c>
      <c r="K53" s="47">
        <f t="shared" si="4"/>
        <v>39.88746826661454</v>
      </c>
      <c r="M53" s="15">
        <v>44975</v>
      </c>
      <c r="N53" s="47">
        <f t="shared" si="0"/>
        <v>57.1130666589046</v>
      </c>
      <c r="P53" s="15">
        <v>45340</v>
      </c>
      <c r="Q53" s="47">
        <f t="shared" si="1"/>
        <v>81.429576570101631</v>
      </c>
      <c r="U53" s="3"/>
      <c r="V53" s="3">
        <v>44376</v>
      </c>
      <c r="W53">
        <v>32.127800000000001</v>
      </c>
    </row>
    <row r="54" spans="2:23">
      <c r="B54" s="2"/>
      <c r="D54" s="15">
        <v>44107</v>
      </c>
      <c r="E54" s="47">
        <v>23.257572507065536</v>
      </c>
      <c r="G54" s="121">
        <v>44246</v>
      </c>
      <c r="H54" s="47">
        <v>27.072600000000001</v>
      </c>
      <c r="J54" s="239">
        <v>44611</v>
      </c>
      <c r="K54" s="47">
        <f t="shared" si="4"/>
        <v>39.926788493960885</v>
      </c>
      <c r="M54" s="15">
        <v>44976</v>
      </c>
      <c r="N54" s="47">
        <f t="shared" si="0"/>
        <v>57.168595899412246</v>
      </c>
      <c r="P54" s="15">
        <v>45341</v>
      </c>
      <c r="Q54" s="47">
        <f t="shared" si="1"/>
        <v>81.508747989293695</v>
      </c>
      <c r="U54" s="3"/>
      <c r="V54" s="3">
        <v>44377</v>
      </c>
      <c r="W54">
        <v>32.162599999999998</v>
      </c>
    </row>
    <row r="55" spans="2:23">
      <c r="D55" s="15">
        <v>44108</v>
      </c>
      <c r="E55" s="47">
        <v>23.278235902277135</v>
      </c>
      <c r="G55" s="121">
        <v>44247</v>
      </c>
      <c r="H55" s="47">
        <v>27.110499999999998</v>
      </c>
      <c r="J55" s="239">
        <v>44612</v>
      </c>
      <c r="K55" s="47">
        <f t="shared" si="4"/>
        <v>39.966147482360405</v>
      </c>
      <c r="M55" s="15">
        <v>44977</v>
      </c>
      <c r="N55" s="47">
        <f t="shared" si="0"/>
        <v>57.224179129255987</v>
      </c>
      <c r="P55" s="15">
        <v>45342</v>
      </c>
      <c r="Q55" s="47">
        <f t="shared" si="1"/>
        <v>81.587996384369475</v>
      </c>
      <c r="U55" s="3"/>
      <c r="V55" s="3">
        <v>44378</v>
      </c>
      <c r="W55">
        <v>32.197400000000002</v>
      </c>
    </row>
    <row r="56" spans="2:23">
      <c r="D56" s="15">
        <v>44109</v>
      </c>
      <c r="E56" s="47">
        <v>23.298917656064269</v>
      </c>
      <c r="G56" s="121">
        <v>44248</v>
      </c>
      <c r="H56" s="47">
        <v>27.148499999999999</v>
      </c>
      <c r="J56" s="239">
        <v>44613</v>
      </c>
      <c r="K56" s="47">
        <f t="shared" si="4"/>
        <v>40.005545270022935</v>
      </c>
      <c r="M56" s="15">
        <v>44978</v>
      </c>
      <c r="N56" s="47">
        <f t="shared" si="0"/>
        <v>57.279816400927963</v>
      </c>
      <c r="P56" s="15">
        <v>45343</v>
      </c>
      <c r="Q56" s="47">
        <f t="shared" si="1"/>
        <v>81.667321830170209</v>
      </c>
      <c r="U56" s="3"/>
      <c r="V56" s="3">
        <v>44379</v>
      </c>
      <c r="W56">
        <v>32.232300000000002</v>
      </c>
    </row>
    <row r="57" spans="2:23">
      <c r="D57" s="15">
        <v>44110</v>
      </c>
      <c r="E57" s="47">
        <v>23.31961778473778</v>
      </c>
      <c r="G57" s="121">
        <v>44249</v>
      </c>
      <c r="H57" s="47">
        <v>27.186599999999999</v>
      </c>
      <c r="J57" s="239">
        <v>44614</v>
      </c>
      <c r="K57" s="47">
        <f t="shared" si="4"/>
        <v>40.044981895195967</v>
      </c>
      <c r="M57" s="15">
        <v>44979</v>
      </c>
      <c r="N57" s="47">
        <f t="shared" si="0"/>
        <v>57.33550776697134</v>
      </c>
      <c r="P57" s="15">
        <v>45344</v>
      </c>
      <c r="Q57" s="47">
        <f t="shared" si="1"/>
        <v>81.746724401609882</v>
      </c>
      <c r="U57" s="3"/>
      <c r="V57" s="3">
        <v>44380</v>
      </c>
      <c r="W57">
        <v>32.267200000000003</v>
      </c>
    </row>
    <row r="58" spans="2:23">
      <c r="D58" s="15">
        <v>44111</v>
      </c>
      <c r="E58" s="47">
        <v>23.340336304622994</v>
      </c>
      <c r="G58" s="121">
        <v>44250</v>
      </c>
      <c r="H58" s="47">
        <v>27.224699999999999</v>
      </c>
      <c r="J58" s="239">
        <v>44615</v>
      </c>
      <c r="K58" s="47">
        <f t="shared" si="4"/>
        <v>40.084457396164709</v>
      </c>
      <c r="M58" s="15">
        <v>44980</v>
      </c>
      <c r="N58" s="47">
        <f t="shared" si="0"/>
        <v>57.391253279980376</v>
      </c>
      <c r="P58" s="15">
        <v>45345</v>
      </c>
      <c r="Q58" s="47">
        <f t="shared" si="1"/>
        <v>81.826204173675336</v>
      </c>
      <c r="U58" s="3"/>
      <c r="V58" s="3">
        <v>44381</v>
      </c>
      <c r="W58">
        <v>32.302100000000003</v>
      </c>
    </row>
    <row r="59" spans="2:23">
      <c r="D59" s="15">
        <v>44112</v>
      </c>
      <c r="E59" s="47">
        <v>23.361073232059749</v>
      </c>
      <c r="G59" s="121">
        <v>44251</v>
      </c>
      <c r="H59" s="47">
        <v>27.262799999999999</v>
      </c>
      <c r="J59" s="239">
        <v>44616</v>
      </c>
      <c r="K59" s="47">
        <f t="shared" si="4"/>
        <v>40.123971811252098</v>
      </c>
      <c r="M59" s="15">
        <v>44981</v>
      </c>
      <c r="N59" s="47">
        <f t="shared" si="0"/>
        <v>57.447052992600469</v>
      </c>
      <c r="P59" s="15">
        <v>45346</v>
      </c>
      <c r="Q59" s="47">
        <f t="shared" si="1"/>
        <v>81.905761221426317</v>
      </c>
      <c r="U59" s="3"/>
      <c r="V59" s="3">
        <v>44382</v>
      </c>
      <c r="W59">
        <v>32.3371</v>
      </c>
    </row>
    <row r="60" spans="2:23">
      <c r="D60" s="15">
        <v>44113</v>
      </c>
      <c r="E60" s="47">
        <v>23.381828583402392</v>
      </c>
      <c r="G60" s="121">
        <v>44252</v>
      </c>
      <c r="H60" s="47">
        <v>27.301100000000002</v>
      </c>
      <c r="J60" s="239">
        <v>44617</v>
      </c>
      <c r="K60" s="47">
        <f t="shared" si="4"/>
        <v>40.163525178818858</v>
      </c>
      <c r="M60" s="15">
        <v>44982</v>
      </c>
      <c r="N60" s="47">
        <f t="shared" si="0"/>
        <v>57.502906957528197</v>
      </c>
      <c r="P60" s="15">
        <v>45347</v>
      </c>
      <c r="Q60" s="47">
        <f t="shared" si="1"/>
        <v>81.985395619995543</v>
      </c>
      <c r="U60" s="3"/>
      <c r="V60" s="3">
        <v>44383</v>
      </c>
      <c r="W60">
        <v>32.372100000000003</v>
      </c>
    </row>
    <row r="61" spans="2:23">
      <c r="D61" s="15">
        <v>44114</v>
      </c>
      <c r="E61" s="47">
        <v>23.402602375019807</v>
      </c>
      <c r="G61" s="121">
        <v>44253</v>
      </c>
      <c r="H61" s="47">
        <v>27.339300000000001</v>
      </c>
      <c r="J61" s="239">
        <v>44618</v>
      </c>
      <c r="K61" s="47">
        <f t="shared" si="4"/>
        <v>40.203117537263516</v>
      </c>
      <c r="M61" s="15">
        <v>44983</v>
      </c>
      <c r="N61" s="47">
        <f t="shared" si="0"/>
        <v>57.558815227511374</v>
      </c>
      <c r="P61" s="15">
        <v>45348</v>
      </c>
      <c r="Q61" s="47">
        <f t="shared" si="1"/>
        <v>82.06510744458879</v>
      </c>
      <c r="U61" s="3"/>
      <c r="V61" s="3">
        <v>44384</v>
      </c>
      <c r="W61">
        <v>32.407200000000003</v>
      </c>
    </row>
    <row r="62" spans="2:23">
      <c r="D62" s="15">
        <v>44115</v>
      </c>
      <c r="E62" s="47">
        <v>23.423394623295419</v>
      </c>
      <c r="G62" s="121">
        <v>44254</v>
      </c>
      <c r="H62" s="47">
        <v>27.377600000000001</v>
      </c>
      <c r="J62" s="239">
        <v>44619</v>
      </c>
      <c r="K62" s="47">
        <f t="shared" si="4"/>
        <v>40.242748925022468</v>
      </c>
      <c r="M62" s="15">
        <v>44984</v>
      </c>
      <c r="N62" s="47">
        <f t="shared" si="0"/>
        <v>57.614777855349104</v>
      </c>
      <c r="P62" s="15">
        <v>45349</v>
      </c>
      <c r="Q62" s="47">
        <f t="shared" si="1"/>
        <v>82.144896770484948</v>
      </c>
      <c r="U62" s="3"/>
      <c r="V62" s="3">
        <v>44385</v>
      </c>
      <c r="W62">
        <v>32.442300000000003</v>
      </c>
    </row>
    <row r="63" spans="2:23">
      <c r="D63" s="15">
        <v>44116</v>
      </c>
      <c r="E63" s="47">
        <v>23.444205344627207</v>
      </c>
      <c r="G63" s="121">
        <v>44255</v>
      </c>
      <c r="H63" s="47">
        <v>27.416</v>
      </c>
      <c r="J63" s="239">
        <v>44620</v>
      </c>
      <c r="K63" s="47">
        <f t="shared" si="4"/>
        <v>40.282419380569984</v>
      </c>
      <c r="M63" s="15">
        <v>44985</v>
      </c>
      <c r="N63" s="47">
        <f t="shared" si="0"/>
        <v>57.670794893891816</v>
      </c>
      <c r="P63" s="15">
        <v>45350</v>
      </c>
      <c r="Q63" s="47">
        <f t="shared" si="1"/>
        <v>82.224763673036094</v>
      </c>
      <c r="U63" s="3"/>
      <c r="V63" s="3">
        <v>44386</v>
      </c>
      <c r="W63">
        <v>32.477400000000003</v>
      </c>
    </row>
    <row r="64" spans="2:23">
      <c r="D64" s="15">
        <v>44117</v>
      </c>
      <c r="E64" s="47">
        <v>23.465034555427721</v>
      </c>
      <c r="G64" s="121">
        <v>44256</v>
      </c>
      <c r="H64" s="47">
        <v>27.4544</v>
      </c>
      <c r="J64" s="239">
        <v>44621</v>
      </c>
      <c r="K64" s="47">
        <f t="shared" si="4"/>
        <v>40.322128942418274</v>
      </c>
      <c r="M64" s="15">
        <v>44986</v>
      </c>
      <c r="N64" s="47">
        <f t="shared" si="0"/>
        <v>57.726866396041331</v>
      </c>
      <c r="P64" s="15">
        <v>45351</v>
      </c>
      <c r="Q64" s="47">
        <f t="shared" si="1"/>
        <v>82.304708227667575</v>
      </c>
      <c r="U64" s="3"/>
      <c r="V64" s="3">
        <v>44387</v>
      </c>
      <c r="W64">
        <v>32.512599999999999</v>
      </c>
    </row>
    <row r="65" spans="4:23">
      <c r="D65" s="15">
        <v>44118</v>
      </c>
      <c r="E65" s="47">
        <v>23.485882272124094</v>
      </c>
      <c r="G65" s="121">
        <v>44257</v>
      </c>
      <c r="H65" s="47">
        <v>27.492899999999999</v>
      </c>
      <c r="J65" s="239">
        <v>44622</v>
      </c>
      <c r="K65" s="47">
        <f t="shared" si="4"/>
        <v>40.361877649117503</v>
      </c>
      <c r="M65" s="15">
        <v>44987</v>
      </c>
      <c r="N65" s="47">
        <f t="shared" si="0"/>
        <v>57.7829924147509</v>
      </c>
      <c r="P65" s="15">
        <v>45352</v>
      </c>
      <c r="Q65" s="47">
        <f t="shared" si="1"/>
        <v>82.384730509878068</v>
      </c>
      <c r="U65" s="3"/>
      <c r="V65" s="3">
        <v>44388</v>
      </c>
      <c r="W65">
        <v>32.547800000000002</v>
      </c>
    </row>
    <row r="66" spans="4:23">
      <c r="D66" s="15">
        <v>44119</v>
      </c>
      <c r="E66" s="47">
        <v>23.506699999999999</v>
      </c>
      <c r="G66" s="121">
        <v>44258</v>
      </c>
      <c r="H66" s="47">
        <v>27.531500000000001</v>
      </c>
      <c r="J66" s="239">
        <v>44623</v>
      </c>
      <c r="K66" s="47">
        <f t="shared" si="4"/>
        <v>40.401665539255845</v>
      </c>
      <c r="M66" s="15">
        <v>44988</v>
      </c>
      <c r="N66" s="47">
        <f t="shared" si="0"/>
        <v>57.839173003025259</v>
      </c>
      <c r="P66" s="15">
        <v>45353</v>
      </c>
      <c r="Q66" s="47">
        <f t="shared" si="1"/>
        <v>82.464830595239661</v>
      </c>
      <c r="U66" s="3"/>
      <c r="V66" s="3">
        <v>44389</v>
      </c>
      <c r="W66">
        <v>32.582999999999998</v>
      </c>
    </row>
    <row r="67" spans="4:23">
      <c r="D67" s="15">
        <v>44120</v>
      </c>
      <c r="E67" s="47">
        <v>23.527699999999999</v>
      </c>
      <c r="G67" s="121">
        <v>44259</v>
      </c>
      <c r="H67" s="47">
        <v>27.5701</v>
      </c>
      <c r="J67" s="239">
        <v>44624</v>
      </c>
      <c r="K67" s="47">
        <f t="shared" si="4"/>
        <v>40.441492651459505</v>
      </c>
      <c r="M67" s="15">
        <v>44989</v>
      </c>
      <c r="N67" s="47">
        <f t="shared" si="0"/>
        <v>57.895408213920689</v>
      </c>
      <c r="P67" s="15">
        <v>45354</v>
      </c>
      <c r="Q67" s="47">
        <f t="shared" si="1"/>
        <v>82.545008559397914</v>
      </c>
      <c r="U67" s="3"/>
      <c r="V67" s="3">
        <v>44390</v>
      </c>
      <c r="W67">
        <v>32.618299999999998</v>
      </c>
    </row>
    <row r="68" spans="4:23">
      <c r="D68" s="15">
        <v>44121</v>
      </c>
      <c r="E68" s="47">
        <v>23.5487</v>
      </c>
      <c r="G68" s="121">
        <v>44260</v>
      </c>
      <c r="H68" s="47">
        <v>27.608699999999999</v>
      </c>
      <c r="J68" s="239">
        <v>44625</v>
      </c>
      <c r="K68" s="47">
        <f t="shared" si="4"/>
        <v>40.481359024392781</v>
      </c>
      <c r="M68" s="15">
        <v>44990</v>
      </c>
      <c r="N68" s="47">
        <f t="shared" si="0"/>
        <v>57.951698100545045</v>
      </c>
      <c r="P68" s="15">
        <v>45355</v>
      </c>
      <c r="Q68" s="47">
        <f t="shared" si="1"/>
        <v>82.625264478071927</v>
      </c>
      <c r="U68" s="3"/>
      <c r="V68" s="3">
        <v>44391</v>
      </c>
      <c r="W68">
        <v>32.653599999999997</v>
      </c>
    </row>
    <row r="69" spans="4:23">
      <c r="D69" s="15">
        <v>44122</v>
      </c>
      <c r="E69" s="47">
        <v>23.569700000000001</v>
      </c>
      <c r="G69" s="121">
        <v>44261</v>
      </c>
      <c r="H69" s="47">
        <v>27.647400000000001</v>
      </c>
      <c r="J69" s="239">
        <v>44626</v>
      </c>
      <c r="K69" s="47">
        <f t="shared" si="4"/>
        <v>40.521264696758067</v>
      </c>
      <c r="M69" s="15">
        <v>44991</v>
      </c>
      <c r="N69" s="47">
        <f t="shared" si="0"/>
        <v>58.008042716057822</v>
      </c>
      <c r="P69" s="15">
        <v>45356</v>
      </c>
      <c r="Q69" s="47">
        <f t="shared" si="1"/>
        <v>82.705598427054426</v>
      </c>
      <c r="U69" s="3"/>
      <c r="V69" s="3">
        <v>44392</v>
      </c>
      <c r="W69">
        <v>32.689</v>
      </c>
    </row>
    <row r="70" spans="4:23">
      <c r="D70" s="15">
        <v>44123</v>
      </c>
      <c r="E70" s="47">
        <v>23.590699999999998</v>
      </c>
      <c r="G70" s="121">
        <v>44262</v>
      </c>
      <c r="H70" s="47">
        <v>27.686199999999999</v>
      </c>
      <c r="J70" s="239">
        <v>44627</v>
      </c>
      <c r="K70" s="47">
        <f t="shared" si="4"/>
        <v>40.561209707295916</v>
      </c>
      <c r="M70" s="15">
        <v>44992</v>
      </c>
      <c r="N70" s="47">
        <f t="shared" ref="N70:N133" si="5">N69*(1+$B$43)</f>
        <v>58.064442113670196</v>
      </c>
      <c r="P70" s="15">
        <v>45357</v>
      </c>
      <c r="Q70" s="47">
        <f t="shared" ref="Q70:Q133" si="6">Q69*(1+$B$45)</f>
        <v>82.786010482211836</v>
      </c>
      <c r="U70" s="3"/>
    </row>
    <row r="71" spans="4:23">
      <c r="D71" s="15">
        <v>44124</v>
      </c>
      <c r="E71" s="47">
        <v>23.611699999999999</v>
      </c>
      <c r="G71" s="121">
        <v>44263</v>
      </c>
      <c r="H71" s="47">
        <v>27.725000000000001</v>
      </c>
      <c r="J71" s="239">
        <v>44628</v>
      </c>
      <c r="K71" s="47">
        <f t="shared" si="4"/>
        <v>40.601194094785072</v>
      </c>
      <c r="M71" s="15">
        <v>44993</v>
      </c>
      <c r="N71" s="47">
        <f t="shared" si="5"/>
        <v>58.120896346645083</v>
      </c>
      <c r="P71" s="15">
        <v>45358</v>
      </c>
      <c r="Q71" s="47">
        <f t="shared" si="6"/>
        <v>82.866500719484335</v>
      </c>
      <c r="U71" s="3"/>
    </row>
    <row r="72" spans="4:23">
      <c r="D72" s="15">
        <v>44125</v>
      </c>
      <c r="E72" s="47">
        <v>23.6327</v>
      </c>
      <c r="G72" s="121">
        <v>44264</v>
      </c>
      <c r="H72" s="47">
        <v>27.7638</v>
      </c>
      <c r="J72" s="239">
        <v>44629</v>
      </c>
      <c r="K72" s="47">
        <f t="shared" si="4"/>
        <v>40.641217898042505</v>
      </c>
      <c r="M72" s="15">
        <v>44994</v>
      </c>
      <c r="N72" s="47">
        <f t="shared" si="5"/>
        <v>58.177405468297188</v>
      </c>
      <c r="P72" s="15">
        <v>45359</v>
      </c>
      <c r="Q72" s="47">
        <f t="shared" si="6"/>
        <v>82.947069214885929</v>
      </c>
      <c r="U72" s="3"/>
    </row>
    <row r="73" spans="4:23">
      <c r="D73" s="15">
        <v>44126</v>
      </c>
      <c r="E73" s="47">
        <v>23.6538</v>
      </c>
      <c r="G73" s="121">
        <v>44265</v>
      </c>
      <c r="H73" s="47">
        <v>27.802700000000002</v>
      </c>
      <c r="J73" s="239">
        <v>44630</v>
      </c>
      <c r="K73" s="47">
        <f t="shared" si="4"/>
        <v>40.68128115592345</v>
      </c>
      <c r="M73" s="15">
        <v>44995</v>
      </c>
      <c r="N73" s="47">
        <f t="shared" si="5"/>
        <v>58.23396953199304</v>
      </c>
      <c r="P73" s="15">
        <v>45360</v>
      </c>
      <c r="Q73" s="47">
        <f t="shared" si="6"/>
        <v>83.027716044504544</v>
      </c>
      <c r="U73" s="3"/>
    </row>
    <row r="74" spans="4:23">
      <c r="D74" s="15">
        <v>44127</v>
      </c>
      <c r="E74" s="47">
        <v>23.674900000000001</v>
      </c>
      <c r="G74" s="121">
        <v>44266</v>
      </c>
      <c r="H74" s="47">
        <v>27.841699999999999</v>
      </c>
      <c r="J74" s="239">
        <v>44631</v>
      </c>
      <c r="K74" s="47">
        <f t="shared" si="4"/>
        <v>40.721383907321446</v>
      </c>
      <c r="M74" s="15">
        <v>44996</v>
      </c>
      <c r="N74" s="47">
        <f t="shared" si="5"/>
        <v>58.290588591151071</v>
      </c>
      <c r="P74" s="15">
        <v>45361</v>
      </c>
      <c r="Q74" s="47">
        <f t="shared" si="6"/>
        <v>83.108441284502092</v>
      </c>
      <c r="U74" s="3"/>
    </row>
    <row r="75" spans="4:23">
      <c r="D75" s="15">
        <v>44128</v>
      </c>
      <c r="E75" s="47">
        <v>23.696000000000002</v>
      </c>
      <c r="G75" s="121">
        <v>44267</v>
      </c>
      <c r="H75" s="47">
        <v>27.880700000000001</v>
      </c>
      <c r="J75" s="239">
        <v>44632</v>
      </c>
      <c r="K75" s="47">
        <f t="shared" si="4"/>
        <v>40.761526191168372</v>
      </c>
      <c r="M75" s="15">
        <v>44997</v>
      </c>
      <c r="N75" s="47">
        <f t="shared" si="5"/>
        <v>58.347262699241632</v>
      </c>
      <c r="P75" s="15">
        <v>45362</v>
      </c>
      <c r="Q75" s="47">
        <f t="shared" si="6"/>
        <v>83.189245011114508</v>
      </c>
      <c r="U75" s="3"/>
    </row>
    <row r="76" spans="4:23">
      <c r="D76" s="15">
        <v>44129</v>
      </c>
      <c r="E76" s="47">
        <v>23.717099999999999</v>
      </c>
      <c r="G76" s="121">
        <v>44268</v>
      </c>
      <c r="H76" s="47">
        <v>27.919799999999999</v>
      </c>
      <c r="J76" s="239">
        <v>44633</v>
      </c>
      <c r="K76" s="47">
        <f t="shared" si="4"/>
        <v>40.801708046434484</v>
      </c>
      <c r="M76" s="15">
        <v>44998</v>
      </c>
      <c r="N76" s="47">
        <f t="shared" si="5"/>
        <v>58.403991909787074</v>
      </c>
      <c r="P76" s="15">
        <v>45363</v>
      </c>
      <c r="Q76" s="47">
        <f t="shared" si="6"/>
        <v>83.270127300651865</v>
      </c>
      <c r="U76" s="3"/>
    </row>
    <row r="77" spans="4:23">
      <c r="D77" s="15">
        <v>44130</v>
      </c>
      <c r="E77" s="47">
        <v>23.738199999999999</v>
      </c>
      <c r="G77" s="121">
        <v>44269</v>
      </c>
      <c r="H77" s="47">
        <v>27.959</v>
      </c>
      <c r="J77" s="239">
        <v>44634</v>
      </c>
      <c r="K77" s="47">
        <f t="shared" si="4"/>
        <v>40.841929512128452</v>
      </c>
      <c r="M77" s="15">
        <v>44999</v>
      </c>
      <c r="N77" s="47">
        <f t="shared" si="5"/>
        <v>58.460776276361784</v>
      </c>
      <c r="P77" s="15">
        <v>45364</v>
      </c>
      <c r="Q77" s="47">
        <f t="shared" si="6"/>
        <v>83.351088229498416</v>
      </c>
      <c r="U77" s="3"/>
    </row>
    <row r="78" spans="4:23">
      <c r="D78" s="15">
        <v>44131</v>
      </c>
      <c r="E78" s="47">
        <v>23.759399999999999</v>
      </c>
      <c r="G78" s="121">
        <v>44270</v>
      </c>
      <c r="H78" s="47">
        <v>27.998200000000001</v>
      </c>
      <c r="J78" s="239">
        <v>44635</v>
      </c>
      <c r="K78" s="47">
        <f t="shared" si="4"/>
        <v>40.882190627297412</v>
      </c>
      <c r="M78" s="15">
        <v>45000</v>
      </c>
      <c r="N78" s="47">
        <f t="shared" si="5"/>
        <v>58.517615852592236</v>
      </c>
      <c r="P78" s="15">
        <v>45365</v>
      </c>
      <c r="Q78" s="47">
        <f t="shared" si="6"/>
        <v>83.432127874112709</v>
      </c>
    </row>
    <row r="79" spans="4:23">
      <c r="D79" s="15">
        <v>44132</v>
      </c>
      <c r="E79" s="47">
        <v>23.7806</v>
      </c>
      <c r="G79" s="121">
        <v>44271</v>
      </c>
      <c r="H79" s="47">
        <v>28.030100000000001</v>
      </c>
      <c r="I79" t="s">
        <v>231</v>
      </c>
      <c r="J79" s="238">
        <v>44636</v>
      </c>
      <c r="K79" s="47">
        <f t="shared" si="4"/>
        <v>40.922491431026977</v>
      </c>
      <c r="L79" t="s">
        <v>232</v>
      </c>
      <c r="M79" s="15">
        <v>45001</v>
      </c>
      <c r="N79" s="47">
        <f t="shared" si="5"/>
        <v>58.574510692157041</v>
      </c>
      <c r="P79" s="15">
        <v>45366</v>
      </c>
      <c r="Q79" s="47">
        <f t="shared" si="6"/>
        <v>83.513246311027601</v>
      </c>
    </row>
    <row r="80" spans="4:23">
      <c r="D80" s="15">
        <v>44133</v>
      </c>
      <c r="E80" s="47">
        <v>23.8017</v>
      </c>
      <c r="G80" s="121">
        <v>44272</v>
      </c>
      <c r="H80" s="47">
        <v>28.062100000000001</v>
      </c>
      <c r="J80" s="238">
        <v>44637</v>
      </c>
      <c r="K80" s="47">
        <f t="shared" si="4"/>
        <v>40.962831962441292</v>
      </c>
      <c r="M80" s="15">
        <v>45002</v>
      </c>
      <c r="N80" s="47">
        <f t="shared" si="5"/>
        <v>58.631460848787007</v>
      </c>
      <c r="P80" s="15">
        <v>45367</v>
      </c>
      <c r="Q80" s="47">
        <f t="shared" si="6"/>
        <v>83.59444361685037</v>
      </c>
    </row>
    <row r="81" spans="4:17">
      <c r="D81" s="15">
        <v>44134</v>
      </c>
      <c r="E81" s="47">
        <v>23.823</v>
      </c>
      <c r="G81" s="121">
        <v>44273</v>
      </c>
      <c r="H81" s="47">
        <v>28.094100000000001</v>
      </c>
      <c r="J81" s="238">
        <v>44638</v>
      </c>
      <c r="K81" s="47">
        <f t="shared" si="4"/>
        <v>41.003212260703073</v>
      </c>
      <c r="M81" s="15">
        <v>45003</v>
      </c>
      <c r="N81" s="47">
        <f t="shared" si="5"/>
        <v>58.688466376265183</v>
      </c>
      <c r="P81" s="15">
        <v>45368</v>
      </c>
      <c r="Q81" s="47">
        <f t="shared" si="6"/>
        <v>83.675719868262775</v>
      </c>
    </row>
    <row r="82" spans="4:17">
      <c r="D82" s="15">
        <v>44135</v>
      </c>
      <c r="E82" s="47">
        <v>23.844200000000001</v>
      </c>
      <c r="G82" s="121">
        <v>44274</v>
      </c>
      <c r="H82" s="47">
        <v>28.126200000000001</v>
      </c>
      <c r="J82" s="238">
        <v>44639</v>
      </c>
      <c r="K82" s="47">
        <f t="shared" si="4"/>
        <v>41.04363236501365</v>
      </c>
      <c r="M82" s="15">
        <v>45004</v>
      </c>
      <c r="N82" s="47">
        <f t="shared" si="5"/>
        <v>58.745527328426896</v>
      </c>
      <c r="P82" s="15">
        <v>45369</v>
      </c>
      <c r="Q82" s="47">
        <f t="shared" si="6"/>
        <v>83.757075142021137</v>
      </c>
    </row>
    <row r="83" spans="4:17">
      <c r="D83" s="15">
        <v>44136</v>
      </c>
      <c r="E83" s="47">
        <v>23.865400000000001</v>
      </c>
      <c r="G83" s="121">
        <v>44275</v>
      </c>
      <c r="H83" s="47">
        <v>28.158300000000001</v>
      </c>
      <c r="J83" s="238">
        <v>44640</v>
      </c>
      <c r="K83" s="47">
        <f t="shared" si="4"/>
        <v>41.084092314612981</v>
      </c>
      <c r="M83" s="15">
        <v>45005</v>
      </c>
      <c r="N83" s="47">
        <f t="shared" si="5"/>
        <v>58.802643759159828</v>
      </c>
      <c r="P83" s="15">
        <v>45370</v>
      </c>
      <c r="Q83" s="47">
        <f t="shared" si="6"/>
        <v>83.838509514956399</v>
      </c>
    </row>
    <row r="84" spans="4:17">
      <c r="D84" s="15">
        <v>44137</v>
      </c>
      <c r="E84" s="47">
        <v>23.886700000000001</v>
      </c>
      <c r="G84" s="121">
        <v>44276</v>
      </c>
      <c r="H84" s="47">
        <v>28.1905</v>
      </c>
      <c r="J84" s="238">
        <v>44641</v>
      </c>
      <c r="K84" s="47">
        <f t="shared" si="4"/>
        <v>41.124592148779719</v>
      </c>
      <c r="M84" s="15">
        <v>45006</v>
      </c>
      <c r="N84" s="47">
        <f t="shared" si="5"/>
        <v>58.859815722404051</v>
      </c>
      <c r="P84" s="15">
        <v>45371</v>
      </c>
      <c r="Q84" s="47">
        <f t="shared" si="6"/>
        <v>83.920023063974213</v>
      </c>
    </row>
    <row r="85" spans="4:17">
      <c r="D85" s="15">
        <v>44138</v>
      </c>
      <c r="E85" s="47">
        <v>23.908000000000001</v>
      </c>
      <c r="G85" s="121">
        <v>44277</v>
      </c>
      <c r="H85" s="47">
        <v>28.2226</v>
      </c>
      <c r="J85" s="238">
        <v>44642</v>
      </c>
      <c r="K85" s="47">
        <f t="shared" si="4"/>
        <v>41.165131906831228</v>
      </c>
      <c r="M85" s="15">
        <v>45007</v>
      </c>
      <c r="N85" s="47">
        <f t="shared" si="5"/>
        <v>58.917043272152078</v>
      </c>
      <c r="P85" s="15">
        <v>45372</v>
      </c>
      <c r="Q85" s="47">
        <f t="shared" si="6"/>
        <v>84.001615866054991</v>
      </c>
    </row>
    <row r="86" spans="4:17">
      <c r="D86" s="15">
        <v>44139</v>
      </c>
      <c r="E86" s="47">
        <v>23.929300000000001</v>
      </c>
      <c r="G86" s="121">
        <v>44278</v>
      </c>
      <c r="H86" s="47">
        <v>28.254899999999999</v>
      </c>
      <c r="J86" s="238">
        <v>44643</v>
      </c>
      <c r="K86" s="47">
        <f t="shared" si="4"/>
        <v>41.20571162812363</v>
      </c>
      <c r="M86" s="15">
        <v>45008</v>
      </c>
      <c r="N86" s="47">
        <f t="shared" si="5"/>
        <v>58.974326462448929</v>
      </c>
      <c r="P86" s="15">
        <v>45373</v>
      </c>
      <c r="Q86" s="47">
        <f t="shared" si="6"/>
        <v>84.083287998254008</v>
      </c>
    </row>
    <row r="87" spans="4:17">
      <c r="D87" s="15">
        <v>44140</v>
      </c>
      <c r="E87" s="47">
        <v>23.950600000000001</v>
      </c>
      <c r="G87" s="121">
        <v>44279</v>
      </c>
      <c r="H87" s="47">
        <v>28.287099999999999</v>
      </c>
      <c r="J87" s="238">
        <v>44644</v>
      </c>
      <c r="K87" s="47">
        <f t="shared" si="4"/>
        <v>41.246331352051854</v>
      </c>
      <c r="M87" s="15">
        <v>45009</v>
      </c>
      <c r="N87" s="47">
        <f t="shared" si="5"/>
        <v>59.031665347392156</v>
      </c>
      <c r="P87" s="15">
        <v>45374</v>
      </c>
      <c r="Q87" s="47">
        <f t="shared" si="6"/>
        <v>84.165039537701432</v>
      </c>
    </row>
    <row r="88" spans="4:17">
      <c r="D88" s="15">
        <v>44141</v>
      </c>
      <c r="E88" s="47">
        <v>23.972000000000001</v>
      </c>
      <c r="G88" s="121">
        <v>44280</v>
      </c>
      <c r="H88" s="47">
        <v>28.319400000000002</v>
      </c>
      <c r="J88" s="238">
        <v>44645</v>
      </c>
      <c r="K88" s="47">
        <f t="shared" si="4"/>
        <v>41.286991118049656</v>
      </c>
      <c r="M88" s="15">
        <v>45010</v>
      </c>
      <c r="N88" s="47">
        <f t="shared" si="5"/>
        <v>59.089059981131911</v>
      </c>
      <c r="P88" s="15">
        <v>45375</v>
      </c>
      <c r="Q88" s="47">
        <f t="shared" si="6"/>
        <v>84.246870561602435</v>
      </c>
    </row>
    <row r="89" spans="4:17">
      <c r="D89" s="15">
        <v>44142</v>
      </c>
      <c r="E89" s="47">
        <v>23.993300000000001</v>
      </c>
      <c r="G89" s="121">
        <v>44281</v>
      </c>
      <c r="H89" s="47">
        <v>28.351700000000001</v>
      </c>
      <c r="J89" s="238">
        <v>44646</v>
      </c>
      <c r="K89" s="47">
        <f t="shared" si="4"/>
        <v>41.327690965589667</v>
      </c>
      <c r="M89" s="15">
        <v>45011</v>
      </c>
      <c r="N89" s="47">
        <f t="shared" si="5"/>
        <v>59.146510417870999</v>
      </c>
      <c r="P89" s="15">
        <v>45376</v>
      </c>
      <c r="Q89" s="47">
        <f t="shared" si="6"/>
        <v>84.328781147237265</v>
      </c>
    </row>
    <row r="90" spans="4:17">
      <c r="D90" s="15">
        <v>44143</v>
      </c>
      <c r="E90" s="47">
        <v>24.014700000000001</v>
      </c>
      <c r="G90" s="121">
        <v>44282</v>
      </c>
      <c r="H90" s="47">
        <v>28.3841</v>
      </c>
      <c r="J90" s="238">
        <v>44647</v>
      </c>
      <c r="K90" s="47">
        <f t="shared" si="4"/>
        <v>41.368430934183429</v>
      </c>
      <c r="M90" s="15">
        <v>45012</v>
      </c>
      <c r="N90" s="47">
        <f t="shared" si="5"/>
        <v>59.204016711864931</v>
      </c>
      <c r="P90" s="15">
        <v>45377</v>
      </c>
      <c r="Q90" s="47">
        <f t="shared" si="6"/>
        <v>84.410771371961289</v>
      </c>
    </row>
    <row r="91" spans="4:17">
      <c r="D91" s="15">
        <v>44144</v>
      </c>
      <c r="E91" s="47">
        <v>24.036100000000001</v>
      </c>
      <c r="G91" s="121">
        <v>44283</v>
      </c>
      <c r="H91" s="47">
        <v>28.416499999999999</v>
      </c>
      <c r="J91" s="238">
        <v>44648</v>
      </c>
      <c r="K91" s="47">
        <f t="shared" si="4"/>
        <v>41.409211063381427</v>
      </c>
      <c r="M91" s="15">
        <v>45013</v>
      </c>
      <c r="N91" s="47">
        <f t="shared" si="5"/>
        <v>59.26157891742195</v>
      </c>
      <c r="P91" s="15">
        <v>45378</v>
      </c>
      <c r="Q91" s="47">
        <f t="shared" si="6"/>
        <v>84.492841313205091</v>
      </c>
    </row>
    <row r="92" spans="4:17">
      <c r="D92" s="15">
        <v>44145</v>
      </c>
      <c r="E92" s="47">
        <v>24.057500000000001</v>
      </c>
      <c r="G92" s="121">
        <v>44284</v>
      </c>
      <c r="H92" s="47">
        <v>28.448899999999998</v>
      </c>
      <c r="J92" s="238">
        <v>44649</v>
      </c>
      <c r="K92" s="47">
        <f t="shared" si="4"/>
        <v>41.450031392773148</v>
      </c>
      <c r="M92" s="15">
        <v>45014</v>
      </c>
      <c r="N92" s="47">
        <f t="shared" si="5"/>
        <v>59.319197088903124</v>
      </c>
      <c r="P92" s="15">
        <v>45379</v>
      </c>
      <c r="Q92" s="47">
        <f t="shared" si="6"/>
        <v>84.57499104847453</v>
      </c>
    </row>
    <row r="93" spans="4:17">
      <c r="D93" s="15">
        <v>44146</v>
      </c>
      <c r="E93" s="47">
        <v>24.079000000000001</v>
      </c>
      <c r="G93" s="121">
        <v>44285</v>
      </c>
      <c r="H93" s="47">
        <v>28.481400000000001</v>
      </c>
      <c r="J93" s="238">
        <v>44650</v>
      </c>
      <c r="K93" s="47">
        <f t="shared" si="4"/>
        <v>41.490891961987089</v>
      </c>
      <c r="M93" s="15">
        <v>45015</v>
      </c>
      <c r="N93" s="47">
        <f t="shared" si="5"/>
        <v>59.376871280722355</v>
      </c>
      <c r="P93" s="15">
        <v>45380</v>
      </c>
      <c r="Q93" s="47">
        <f t="shared" si="6"/>
        <v>84.657220655350841</v>
      </c>
    </row>
    <row r="94" spans="4:17">
      <c r="D94" s="15">
        <v>44147</v>
      </c>
      <c r="E94" s="47">
        <v>24.1004</v>
      </c>
      <c r="G94" s="121">
        <v>44286</v>
      </c>
      <c r="H94" s="47">
        <v>28.5139</v>
      </c>
      <c r="J94" s="238">
        <v>44651</v>
      </c>
      <c r="K94" s="47">
        <f t="shared" si="4"/>
        <v>41.531792810690824</v>
      </c>
      <c r="M94" s="15">
        <v>45016</v>
      </c>
      <c r="N94" s="47">
        <f t="shared" si="5"/>
        <v>59.43460154734646</v>
      </c>
      <c r="P94" s="15">
        <v>45381</v>
      </c>
      <c r="Q94" s="47">
        <f t="shared" si="6"/>
        <v>84.739530211490688</v>
      </c>
    </row>
    <row r="95" spans="4:17">
      <c r="D95" s="15">
        <v>44148</v>
      </c>
      <c r="E95" s="47">
        <v>24.1219</v>
      </c>
      <c r="G95" s="121">
        <v>44287</v>
      </c>
      <c r="H95" s="47">
        <v>28.546500000000002</v>
      </c>
      <c r="J95" s="238">
        <v>44652</v>
      </c>
      <c r="K95" s="47">
        <f t="shared" si="4"/>
        <v>41.572733978591032</v>
      </c>
      <c r="M95" s="15">
        <v>45017</v>
      </c>
      <c r="N95" s="47">
        <f t="shared" si="5"/>
        <v>59.492387943295206</v>
      </c>
      <c r="P95" s="15">
        <v>45382</v>
      </c>
      <c r="Q95" s="47">
        <f t="shared" si="6"/>
        <v>84.821919794626211</v>
      </c>
    </row>
    <row r="96" spans="4:17">
      <c r="D96" s="15">
        <v>44149</v>
      </c>
      <c r="E96" s="47">
        <v>24.1434</v>
      </c>
      <c r="G96" s="121">
        <v>44288</v>
      </c>
      <c r="H96" s="47">
        <v>28.5791</v>
      </c>
      <c r="J96" s="238">
        <v>44653</v>
      </c>
      <c r="K96" s="47">
        <f t="shared" si="4"/>
        <v>41.613715505433525</v>
      </c>
      <c r="M96" s="15">
        <v>45018</v>
      </c>
      <c r="N96" s="47">
        <f t="shared" si="5"/>
        <v>59.55023052314138</v>
      </c>
      <c r="P96" s="15">
        <v>45383</v>
      </c>
      <c r="Q96" s="47">
        <f t="shared" si="6"/>
        <v>84.904389482565151</v>
      </c>
    </row>
    <row r="97" spans="4:17">
      <c r="D97" s="15">
        <v>44150</v>
      </c>
      <c r="E97" s="47">
        <v>24.164899999999999</v>
      </c>
      <c r="G97" s="121">
        <v>44289</v>
      </c>
      <c r="H97" s="47">
        <v>28.611699999999999</v>
      </c>
      <c r="J97" s="238">
        <v>44654</v>
      </c>
      <c r="K97" s="47">
        <f t="shared" si="4"/>
        <v>41.654737431003298</v>
      </c>
      <c r="M97" s="15">
        <v>45019</v>
      </c>
      <c r="N97" s="47">
        <f t="shared" si="5"/>
        <v>59.608129341510811</v>
      </c>
      <c r="P97" s="15">
        <v>45384</v>
      </c>
      <c r="Q97" s="47">
        <f t="shared" si="6"/>
        <v>84.986939353190891</v>
      </c>
    </row>
    <row r="98" spans="4:17">
      <c r="D98" s="15">
        <v>44151</v>
      </c>
      <c r="E98" s="47">
        <v>24.195</v>
      </c>
      <c r="G98" s="121">
        <v>44290</v>
      </c>
      <c r="H98" s="47">
        <v>28.644300000000001</v>
      </c>
      <c r="J98" s="238">
        <v>44655</v>
      </c>
      <c r="K98" s="47">
        <f t="shared" si="4"/>
        <v>41.695799795124572</v>
      </c>
      <c r="M98" s="15">
        <v>45020</v>
      </c>
      <c r="N98" s="47">
        <f t="shared" si="5"/>
        <v>59.666084453082455</v>
      </c>
      <c r="P98" s="15">
        <v>45385</v>
      </c>
      <c r="Q98" s="47">
        <f t="shared" si="6"/>
        <v>85.069569484462548</v>
      </c>
    </row>
    <row r="99" spans="4:17">
      <c r="D99" s="15">
        <v>44152</v>
      </c>
      <c r="E99" s="47">
        <v>24.225100000000001</v>
      </c>
      <c r="G99" s="121">
        <v>44291</v>
      </c>
      <c r="H99" s="47">
        <v>28.677</v>
      </c>
      <c r="J99" s="238">
        <v>44656</v>
      </c>
      <c r="K99" s="47">
        <f t="shared" si="4"/>
        <v>41.736902637660812</v>
      </c>
      <c r="M99" s="15">
        <v>45021</v>
      </c>
      <c r="N99" s="47">
        <f t="shared" si="5"/>
        <v>59.724095912588425</v>
      </c>
      <c r="P99" s="15">
        <v>45386</v>
      </c>
      <c r="Q99" s="47">
        <f t="shared" si="6"/>
        <v>85.152279954415008</v>
      </c>
    </row>
    <row r="100" spans="4:17">
      <c r="D100" s="15">
        <v>44153</v>
      </c>
      <c r="E100" s="47">
        <v>24.255199999999999</v>
      </c>
      <c r="G100" s="121">
        <v>44292</v>
      </c>
      <c r="H100" s="47">
        <v>28.709800000000001</v>
      </c>
      <c r="J100" s="238">
        <v>44657</v>
      </c>
      <c r="K100" s="47">
        <f t="shared" si="4"/>
        <v>41.778045998514791</v>
      </c>
      <c r="M100" s="15">
        <v>45022</v>
      </c>
      <c r="N100" s="47">
        <f t="shared" si="5"/>
        <v>59.782163774814045</v>
      </c>
      <c r="P100" s="15">
        <v>45387</v>
      </c>
      <c r="Q100" s="47">
        <f t="shared" si="6"/>
        <v>85.235070841159057</v>
      </c>
    </row>
    <row r="101" spans="4:17">
      <c r="D101" s="15">
        <v>44154</v>
      </c>
      <c r="E101" s="47">
        <v>24.285399999999999</v>
      </c>
      <c r="G101" s="121">
        <v>44293</v>
      </c>
      <c r="H101" s="47">
        <v>28.742599999999999</v>
      </c>
      <c r="J101" s="238">
        <v>44658</v>
      </c>
      <c r="K101" s="47">
        <f t="shared" si="4"/>
        <v>41.819229917628618</v>
      </c>
      <c r="M101" s="15">
        <v>45023</v>
      </c>
      <c r="N101" s="47">
        <f t="shared" si="5"/>
        <v>59.840288094597902</v>
      </c>
      <c r="P101" s="15">
        <v>45388</v>
      </c>
      <c r="Q101" s="47">
        <f t="shared" si="6"/>
        <v>85.317942222881427</v>
      </c>
    </row>
    <row r="102" spans="4:17">
      <c r="D102" s="15">
        <v>44155</v>
      </c>
      <c r="E102" s="47">
        <v>24.3156</v>
      </c>
      <c r="G102" s="121">
        <v>44294</v>
      </c>
      <c r="H102" s="47">
        <v>28.775400000000001</v>
      </c>
      <c r="J102" s="238">
        <v>44659</v>
      </c>
      <c r="K102" s="47">
        <f t="shared" si="4"/>
        <v>41.860454434983772</v>
      </c>
      <c r="M102" s="15">
        <v>45024</v>
      </c>
      <c r="N102" s="47">
        <f t="shared" si="5"/>
        <v>59.898468926831917</v>
      </c>
      <c r="P102" s="15">
        <v>45389</v>
      </c>
      <c r="Q102" s="47">
        <f t="shared" si="6"/>
        <v>85.400894177844833</v>
      </c>
    </row>
    <row r="103" spans="4:17">
      <c r="D103" s="15">
        <v>44156</v>
      </c>
      <c r="E103" s="47">
        <v>24.3459</v>
      </c>
      <c r="G103" s="121">
        <v>44295</v>
      </c>
      <c r="H103" s="47">
        <v>28.808199999999999</v>
      </c>
      <c r="J103" s="238">
        <v>44660</v>
      </c>
      <c r="K103" s="47">
        <f t="shared" si="4"/>
        <v>41.901719590601147</v>
      </c>
      <c r="M103" s="15">
        <v>45025</v>
      </c>
      <c r="N103" s="47">
        <f t="shared" si="5"/>
        <v>59.956706326461365</v>
      </c>
      <c r="P103" s="15">
        <v>45390</v>
      </c>
      <c r="Q103" s="47">
        <f t="shared" si="6"/>
        <v>85.483926784388117</v>
      </c>
    </row>
    <row r="104" spans="4:17">
      <c r="D104" s="15">
        <v>44157</v>
      </c>
      <c r="E104" s="47">
        <v>24.376100000000001</v>
      </c>
      <c r="G104" s="121">
        <v>44296</v>
      </c>
      <c r="H104" s="47">
        <v>28.841100000000001</v>
      </c>
      <c r="J104" s="238">
        <v>44661</v>
      </c>
      <c r="K104" s="47">
        <f t="shared" si="4"/>
        <v>41.943025424541084</v>
      </c>
      <c r="M104" s="15">
        <v>45026</v>
      </c>
      <c r="N104" s="47">
        <f t="shared" si="5"/>
        <v>60.015000348484946</v>
      </c>
      <c r="P104" s="15">
        <v>45391</v>
      </c>
      <c r="Q104" s="47">
        <f t="shared" si="6"/>
        <v>85.567040120926279</v>
      </c>
    </row>
    <row r="105" spans="4:17">
      <c r="D105" s="15">
        <v>44158</v>
      </c>
      <c r="E105" s="47">
        <v>24.406500000000001</v>
      </c>
      <c r="G105" s="121">
        <v>44297</v>
      </c>
      <c r="H105" s="47">
        <v>28.873999999999999</v>
      </c>
      <c r="J105" s="238">
        <v>44662</v>
      </c>
      <c r="K105" s="47">
        <f t="shared" si="4"/>
        <v>41.984371976903418</v>
      </c>
      <c r="M105" s="15">
        <v>45027</v>
      </c>
      <c r="N105" s="47">
        <f t="shared" si="5"/>
        <v>60.073351047954837</v>
      </c>
      <c r="P105" s="15">
        <v>45392</v>
      </c>
      <c r="Q105" s="47">
        <f t="shared" si="6"/>
        <v>85.650234265950559</v>
      </c>
    </row>
    <row r="106" spans="4:17">
      <c r="D106" s="15">
        <v>44159</v>
      </c>
      <c r="E106" s="47">
        <v>24.436800000000002</v>
      </c>
      <c r="G106" s="121">
        <v>44298</v>
      </c>
      <c r="H106" s="47">
        <v>28.907</v>
      </c>
      <c r="J106" s="238">
        <v>44663</v>
      </c>
      <c r="K106" s="47">
        <f t="shared" si="4"/>
        <v>42.025759287827512</v>
      </c>
      <c r="M106" s="15">
        <v>45028</v>
      </c>
      <c r="N106" s="47">
        <f t="shared" si="5"/>
        <v>60.131758479976732</v>
      </c>
      <c r="P106" s="15">
        <v>45393</v>
      </c>
      <c r="Q106" s="47">
        <f t="shared" si="6"/>
        <v>85.733509298028508</v>
      </c>
    </row>
    <row r="107" spans="4:17">
      <c r="D107" s="15">
        <v>44160</v>
      </c>
      <c r="E107" s="47">
        <v>24.467199999999998</v>
      </c>
      <c r="G107" s="121">
        <v>44299</v>
      </c>
      <c r="H107" s="47">
        <v>28.94</v>
      </c>
      <c r="J107" s="238">
        <v>44664</v>
      </c>
      <c r="K107" s="47">
        <f t="shared" si="4"/>
        <v>42.067187397492305</v>
      </c>
      <c r="M107" s="15">
        <v>45029</v>
      </c>
      <c r="N107" s="47">
        <f t="shared" si="5"/>
        <v>60.190222699709913</v>
      </c>
      <c r="P107" s="15">
        <v>45394</v>
      </c>
      <c r="Q107" s="47">
        <f t="shared" si="6"/>
        <v>85.816865295804064</v>
      </c>
    </row>
    <row r="108" spans="4:17">
      <c r="D108" s="15">
        <v>44161</v>
      </c>
      <c r="E108" s="47">
        <v>24.497699999999998</v>
      </c>
      <c r="G108" s="121">
        <v>44300</v>
      </c>
      <c r="H108" s="47">
        <v>28.972999999999999</v>
      </c>
      <c r="J108" s="238">
        <v>44665</v>
      </c>
      <c r="K108" s="47">
        <f t="shared" si="4"/>
        <v>42.108656346116334</v>
      </c>
      <c r="M108" s="15">
        <v>45030</v>
      </c>
      <c r="N108" s="47">
        <f t="shared" si="5"/>
        <v>60.24874376236729</v>
      </c>
      <c r="P108" s="15">
        <v>45395</v>
      </c>
      <c r="Q108" s="47">
        <f t="shared" si="6"/>
        <v>85.90030233799763</v>
      </c>
    </row>
    <row r="109" spans="4:17">
      <c r="D109" s="15">
        <v>44162</v>
      </c>
      <c r="E109" s="47">
        <v>24.528099999999998</v>
      </c>
      <c r="G109" s="121">
        <v>44301</v>
      </c>
      <c r="H109" s="47">
        <v>29.0061</v>
      </c>
      <c r="J109" s="238">
        <v>44666</v>
      </c>
      <c r="K109" s="47">
        <f t="shared" si="4"/>
        <v>42.150166173957786</v>
      </c>
      <c r="M109" s="15">
        <v>45031</v>
      </c>
      <c r="N109" s="47">
        <f t="shared" si="5"/>
        <v>60.307321723215452</v>
      </c>
      <c r="P109" s="15">
        <v>45396</v>
      </c>
      <c r="Q109" s="47">
        <f t="shared" si="6"/>
        <v>85.98382050340615</v>
      </c>
    </row>
    <row r="110" spans="4:17">
      <c r="D110" s="15">
        <v>44163</v>
      </c>
      <c r="E110" s="47">
        <v>24.558700000000002</v>
      </c>
      <c r="F110" t="s">
        <v>190</v>
      </c>
      <c r="G110" s="121">
        <v>44302</v>
      </c>
      <c r="H110" s="47">
        <v>29.051500000000001</v>
      </c>
      <c r="J110" s="15">
        <v>44667</v>
      </c>
      <c r="K110" s="47">
        <f t="shared" si="4"/>
        <v>42.19171692131453</v>
      </c>
      <c r="L110" t="s">
        <v>231</v>
      </c>
      <c r="M110" s="15">
        <v>45032</v>
      </c>
      <c r="N110" s="47">
        <f t="shared" si="5"/>
        <v>60.365956637574726</v>
      </c>
      <c r="P110" s="15">
        <v>45397</v>
      </c>
      <c r="Q110" s="47">
        <f t="shared" si="6"/>
        <v>86.06741987090318</v>
      </c>
    </row>
    <row r="111" spans="4:17">
      <c r="D111" s="15">
        <v>44164</v>
      </c>
      <c r="E111" s="47">
        <v>24.589200000000002</v>
      </c>
      <c r="G111" s="121">
        <v>44303</v>
      </c>
      <c r="H111" s="47">
        <v>29.096900000000002</v>
      </c>
      <c r="J111" s="15">
        <v>44668</v>
      </c>
      <c r="K111" s="47">
        <f t="shared" si="4"/>
        <v>42.233308628524171</v>
      </c>
      <c r="M111" s="15">
        <v>45033</v>
      </c>
      <c r="N111" s="47">
        <f t="shared" si="5"/>
        <v>60.424648560819215</v>
      </c>
      <c r="P111" s="15">
        <v>45398</v>
      </c>
      <c r="Q111" s="47">
        <f t="shared" si="6"/>
        <v>86.151100519438955</v>
      </c>
    </row>
    <row r="112" spans="4:17">
      <c r="D112" s="15">
        <v>44165</v>
      </c>
      <c r="E112" s="47">
        <v>24.619800000000001</v>
      </c>
      <c r="G112" s="121">
        <v>44304</v>
      </c>
      <c r="H112" s="47">
        <v>29.142399999999999</v>
      </c>
      <c r="J112" s="15">
        <v>44669</v>
      </c>
      <c r="K112" s="47">
        <f t="shared" si="4"/>
        <v>42.274941335964066</v>
      </c>
      <c r="M112" s="15">
        <v>45034</v>
      </c>
      <c r="N112" s="47">
        <f t="shared" si="5"/>
        <v>60.483397548376871</v>
      </c>
      <c r="P112" s="15">
        <v>45399</v>
      </c>
      <c r="Q112" s="47">
        <f t="shared" si="6"/>
        <v>86.234862528040466</v>
      </c>
    </row>
    <row r="113" spans="4:17">
      <c r="D113" s="15">
        <v>44166</v>
      </c>
      <c r="E113" s="47">
        <v>24.650400000000001</v>
      </c>
      <c r="G113" s="121">
        <v>44305</v>
      </c>
      <c r="H113" s="47">
        <v>29.187999999999999</v>
      </c>
      <c r="J113" s="15">
        <v>44670</v>
      </c>
      <c r="K113" s="47">
        <f t="shared" si="4"/>
        <v>42.316615084051378</v>
      </c>
      <c r="M113" s="15">
        <v>45035</v>
      </c>
      <c r="N113" s="47">
        <f t="shared" si="5"/>
        <v>60.54220365572953</v>
      </c>
      <c r="P113" s="15">
        <v>45400</v>
      </c>
      <c r="Q113" s="47">
        <f t="shared" si="6"/>
        <v>86.318705975811568</v>
      </c>
    </row>
    <row r="114" spans="4:17">
      <c r="D114" s="15">
        <v>44167</v>
      </c>
      <c r="E114" s="47">
        <v>24.681100000000001</v>
      </c>
      <c r="G114" s="121">
        <v>44306</v>
      </c>
      <c r="H114" s="47">
        <v>29.233599999999999</v>
      </c>
      <c r="J114" s="15">
        <v>44671</v>
      </c>
      <c r="K114" s="47">
        <f t="shared" si="4"/>
        <v>42.358329913243118</v>
      </c>
      <c r="M114" s="15">
        <v>45036</v>
      </c>
      <c r="N114" s="47">
        <f t="shared" si="5"/>
        <v>60.601066938412977</v>
      </c>
      <c r="P114" s="15">
        <v>45401</v>
      </c>
      <c r="Q114" s="47">
        <f t="shared" si="6"/>
        <v>86.402630941932998</v>
      </c>
    </row>
    <row r="115" spans="4:17">
      <c r="D115" s="15">
        <v>44168</v>
      </c>
      <c r="E115" s="47">
        <v>24.7118</v>
      </c>
      <c r="G115" s="121">
        <v>44307</v>
      </c>
      <c r="H115" s="47">
        <v>29.279299999999999</v>
      </c>
      <c r="J115" s="15">
        <v>44672</v>
      </c>
      <c r="K115" s="47">
        <f t="shared" ref="K115:K178" si="7">K114*(1+$B$41)</f>
        <v>42.400085864036171</v>
      </c>
      <c r="M115" s="15">
        <v>45037</v>
      </c>
      <c r="N115" s="47">
        <f t="shared" si="5"/>
        <v>60.659987452016992</v>
      </c>
      <c r="P115" s="15">
        <v>45402</v>
      </c>
      <c r="Q115" s="47">
        <f t="shared" si="6"/>
        <v>86.486637505662486</v>
      </c>
    </row>
    <row r="116" spans="4:17">
      <c r="D116" s="15">
        <v>44169</v>
      </c>
      <c r="E116" s="47">
        <v>24.7425</v>
      </c>
      <c r="G116" s="121">
        <v>44308</v>
      </c>
      <c r="H116" s="47">
        <v>29.325099999999999</v>
      </c>
      <c r="J116" s="15">
        <v>44673</v>
      </c>
      <c r="K116" s="47">
        <f t="shared" si="7"/>
        <v>42.441882976967349</v>
      </c>
      <c r="M116" s="15">
        <v>45038</v>
      </c>
      <c r="N116" s="47">
        <f t="shared" si="5"/>
        <v>60.718965252185399</v>
      </c>
      <c r="P116" s="15">
        <v>45403</v>
      </c>
      <c r="Q116" s="47">
        <f t="shared" si="6"/>
        <v>86.57072574633483</v>
      </c>
    </row>
    <row r="117" spans="4:17">
      <c r="D117" s="15">
        <v>44170</v>
      </c>
      <c r="E117" s="47">
        <v>24.773299999999999</v>
      </c>
      <c r="G117" s="121">
        <v>44309</v>
      </c>
      <c r="H117" s="47">
        <v>29.370999999999999</v>
      </c>
      <c r="J117" s="15">
        <v>44674</v>
      </c>
      <c r="K117" s="47">
        <f t="shared" si="7"/>
        <v>42.483721292613424</v>
      </c>
      <c r="M117" s="15">
        <v>45039</v>
      </c>
      <c r="N117" s="47">
        <f t="shared" si="5"/>
        <v>60.778000394616122</v>
      </c>
      <c r="P117" s="15">
        <v>45404</v>
      </c>
      <c r="Q117" s="47">
        <f t="shared" si="6"/>
        <v>86.654895743361948</v>
      </c>
    </row>
    <row r="118" spans="4:17">
      <c r="D118" s="15">
        <v>44171</v>
      </c>
      <c r="E118" s="47">
        <v>24.804099999999998</v>
      </c>
      <c r="G118" s="121">
        <v>44310</v>
      </c>
      <c r="H118" s="47">
        <v>29.416899999999998</v>
      </c>
      <c r="J118" s="15">
        <v>44675</v>
      </c>
      <c r="K118" s="47">
        <f t="shared" si="7"/>
        <v>42.525600851591165</v>
      </c>
      <c r="M118" s="15">
        <v>45040</v>
      </c>
      <c r="N118" s="47">
        <f t="shared" si="5"/>
        <v>60.837092935061243</v>
      </c>
      <c r="P118" s="15">
        <v>45405</v>
      </c>
      <c r="Q118" s="47">
        <f t="shared" si="6"/>
        <v>86.73914757623298</v>
      </c>
    </row>
    <row r="119" spans="4:17">
      <c r="D119" s="15">
        <v>44172</v>
      </c>
      <c r="E119" s="47">
        <v>24.835000000000001</v>
      </c>
      <c r="G119" s="121">
        <v>44311</v>
      </c>
      <c r="H119" s="47">
        <v>29.463000000000001</v>
      </c>
      <c r="J119" s="15">
        <v>44676</v>
      </c>
      <c r="K119" s="47">
        <f t="shared" si="7"/>
        <v>42.567521694557378</v>
      </c>
      <c r="M119" s="15">
        <v>45041</v>
      </c>
      <c r="N119" s="47">
        <f t="shared" si="5"/>
        <v>60.896242929327052</v>
      </c>
      <c r="P119" s="15">
        <v>45406</v>
      </c>
      <c r="Q119" s="47">
        <f t="shared" si="6"/>
        <v>86.823481324514347</v>
      </c>
    </row>
    <row r="120" spans="4:17">
      <c r="D120" s="15">
        <v>44173</v>
      </c>
      <c r="E120" s="47">
        <v>24.8659</v>
      </c>
      <c r="G120" s="121">
        <v>44312</v>
      </c>
      <c r="H120" s="47">
        <v>29.509</v>
      </c>
      <c r="J120" s="15">
        <v>44677</v>
      </c>
      <c r="K120" s="47">
        <f t="shared" si="7"/>
        <v>42.609483862208954</v>
      </c>
      <c r="M120" s="15">
        <v>45042</v>
      </c>
      <c r="N120" s="47">
        <f t="shared" si="5"/>
        <v>60.955450433274088</v>
      </c>
      <c r="P120" s="15">
        <v>45407</v>
      </c>
      <c r="Q120" s="47">
        <f t="shared" si="6"/>
        <v>86.907897067849817</v>
      </c>
    </row>
    <row r="121" spans="4:17">
      <c r="D121" s="15">
        <v>44174</v>
      </c>
      <c r="E121" s="47">
        <v>24.896799999999999</v>
      </c>
      <c r="G121" s="121">
        <v>44313</v>
      </c>
      <c r="H121" s="47">
        <v>29.555199999999999</v>
      </c>
      <c r="J121" s="15">
        <v>44678</v>
      </c>
      <c r="K121" s="47">
        <f t="shared" si="7"/>
        <v>42.651487395282892</v>
      </c>
      <c r="M121" s="15">
        <v>45043</v>
      </c>
      <c r="N121" s="47">
        <f t="shared" si="5"/>
        <v>61.014715502817211</v>
      </c>
      <c r="P121" s="15">
        <v>45408</v>
      </c>
      <c r="Q121" s="47">
        <f t="shared" si="6"/>
        <v>86.992394885960621</v>
      </c>
    </row>
    <row r="122" spans="4:17">
      <c r="D122" s="15">
        <v>44175</v>
      </c>
      <c r="E122" s="47">
        <v>24.927800000000001</v>
      </c>
      <c r="G122" s="121">
        <v>44314</v>
      </c>
      <c r="H122" s="47">
        <v>29.601400000000002</v>
      </c>
      <c r="J122" s="15">
        <v>44679</v>
      </c>
      <c r="K122" s="47">
        <f t="shared" si="7"/>
        <v>42.693532334556366</v>
      </c>
      <c r="M122" s="15">
        <v>45044</v>
      </c>
      <c r="N122" s="47">
        <f t="shared" si="5"/>
        <v>61.074038193925645</v>
      </c>
      <c r="P122" s="15">
        <v>45409</v>
      </c>
      <c r="Q122" s="47">
        <f t="shared" si="6"/>
        <v>87.076974858645471</v>
      </c>
    </row>
    <row r="123" spans="4:17">
      <c r="D123" s="15">
        <v>44176</v>
      </c>
      <c r="E123" s="47">
        <v>24.9588</v>
      </c>
      <c r="G123" s="121">
        <v>44315</v>
      </c>
      <c r="H123" s="47">
        <v>29.6477</v>
      </c>
      <c r="J123" s="15">
        <v>44680</v>
      </c>
      <c r="K123" s="47">
        <f t="shared" si="7"/>
        <v>42.73561872084673</v>
      </c>
      <c r="M123" s="15">
        <v>45045</v>
      </c>
      <c r="N123" s="47">
        <f t="shared" si="5"/>
        <v>61.133418562623021</v>
      </c>
      <c r="P123" s="15">
        <v>45410</v>
      </c>
      <c r="Q123" s="47">
        <f t="shared" si="6"/>
        <v>87.161637065780695</v>
      </c>
    </row>
    <row r="124" spans="4:17">
      <c r="D124" s="15">
        <v>44177</v>
      </c>
      <c r="E124" s="47">
        <v>24.989799999999999</v>
      </c>
      <c r="G124" s="121">
        <v>44316</v>
      </c>
      <c r="H124" s="47">
        <v>29.694099999999999</v>
      </c>
      <c r="J124" s="15">
        <v>44681</v>
      </c>
      <c r="K124" s="47">
        <f t="shared" si="7"/>
        <v>42.777746595011578</v>
      </c>
      <c r="M124" s="15">
        <v>45046</v>
      </c>
      <c r="N124" s="47">
        <f t="shared" si="5"/>
        <v>61.192856664987453</v>
      </c>
      <c r="P124" s="15">
        <v>45411</v>
      </c>
      <c r="Q124" s="47">
        <f t="shared" si="6"/>
        <v>87.246381587320258</v>
      </c>
    </row>
    <row r="125" spans="4:17">
      <c r="D125" s="15">
        <v>44178</v>
      </c>
      <c r="E125" s="47">
        <v>25.020900000000001</v>
      </c>
      <c r="G125" s="121">
        <v>44317</v>
      </c>
      <c r="H125" s="47">
        <v>29.740500000000001</v>
      </c>
      <c r="J125" s="15">
        <v>44682</v>
      </c>
      <c r="K125" s="47">
        <f t="shared" si="7"/>
        <v>42.81991599794879</v>
      </c>
      <c r="M125" s="15">
        <v>45047</v>
      </c>
      <c r="N125" s="47">
        <f t="shared" si="5"/>
        <v>61.252352557151568</v>
      </c>
      <c r="P125" s="15">
        <v>45412</v>
      </c>
      <c r="Q125" s="47">
        <f t="shared" si="6"/>
        <v>87.331208503295869</v>
      </c>
    </row>
    <row r="126" spans="4:17">
      <c r="D126" s="15">
        <v>44179</v>
      </c>
      <c r="E126" s="47">
        <v>25.052</v>
      </c>
      <c r="G126" s="121">
        <v>44318</v>
      </c>
      <c r="H126" s="47">
        <v>29.786999999999999</v>
      </c>
      <c r="J126" s="15">
        <v>44683</v>
      </c>
      <c r="K126" s="47">
        <f t="shared" si="7"/>
        <v>42.862126970596556</v>
      </c>
      <c r="M126" s="15">
        <v>45048</v>
      </c>
      <c r="N126" s="47">
        <f t="shared" si="5"/>
        <v>61.31190629530257</v>
      </c>
      <c r="P126" s="15">
        <v>45413</v>
      </c>
      <c r="Q126" s="47">
        <f t="shared" si="6"/>
        <v>87.416117893817045</v>
      </c>
    </row>
    <row r="127" spans="4:17">
      <c r="D127" s="15">
        <v>44180</v>
      </c>
      <c r="E127" s="47">
        <v>25.083200000000001</v>
      </c>
      <c r="G127" s="121">
        <v>44319</v>
      </c>
      <c r="H127" s="47">
        <v>29.833600000000001</v>
      </c>
      <c r="J127" s="15">
        <v>44684</v>
      </c>
      <c r="K127" s="47">
        <f t="shared" si="7"/>
        <v>42.904379553933424</v>
      </c>
      <c r="M127" s="15">
        <v>45049</v>
      </c>
      <c r="N127" s="47">
        <f t="shared" si="5"/>
        <v>61.371517935682299</v>
      </c>
      <c r="P127" s="15">
        <v>45414</v>
      </c>
      <c r="Q127" s="47">
        <f t="shared" si="6"/>
        <v>87.501109839071191</v>
      </c>
    </row>
    <row r="128" spans="4:17">
      <c r="D128" s="15">
        <v>44181</v>
      </c>
      <c r="E128" s="47">
        <v>25.108699999999999</v>
      </c>
      <c r="G128" s="121">
        <v>44320</v>
      </c>
      <c r="H128" s="47">
        <v>29.880299999999998</v>
      </c>
      <c r="J128" s="15">
        <v>44685</v>
      </c>
      <c r="K128" s="47">
        <f t="shared" si="7"/>
        <v>42.94667378897833</v>
      </c>
      <c r="M128" s="15">
        <v>45050</v>
      </c>
      <c r="N128" s="47">
        <f t="shared" si="5"/>
        <v>61.431187534587266</v>
      </c>
      <c r="P128" s="15">
        <v>45415</v>
      </c>
      <c r="Q128" s="47">
        <f t="shared" si="6"/>
        <v>87.5861844193237</v>
      </c>
    </row>
    <row r="129" spans="4:17">
      <c r="D129" s="15">
        <v>44182</v>
      </c>
      <c r="E129" s="47">
        <v>25.1342</v>
      </c>
      <c r="G129" s="121">
        <v>44321</v>
      </c>
      <c r="H129" s="47">
        <v>29.927</v>
      </c>
      <c r="J129" s="15">
        <v>44686</v>
      </c>
      <c r="K129" s="47">
        <f t="shared" si="7"/>
        <v>42.989009716790662</v>
      </c>
      <c r="M129" s="15">
        <v>45051</v>
      </c>
      <c r="N129" s="47">
        <f t="shared" si="5"/>
        <v>61.490915148368735</v>
      </c>
      <c r="P129" s="15">
        <v>45416</v>
      </c>
      <c r="Q129" s="47">
        <f t="shared" si="6"/>
        <v>87.671341714917972</v>
      </c>
    </row>
    <row r="130" spans="4:17">
      <c r="D130" s="15">
        <v>44183</v>
      </c>
      <c r="E130" s="47">
        <v>25.159800000000001</v>
      </c>
      <c r="G130" s="121">
        <v>44322</v>
      </c>
      <c r="H130" s="47">
        <v>29.973800000000001</v>
      </c>
      <c r="J130" s="15">
        <v>44687</v>
      </c>
      <c r="K130" s="47">
        <f t="shared" si="7"/>
        <v>43.031387378470264</v>
      </c>
      <c r="M130" s="15">
        <v>45052</v>
      </c>
      <c r="N130" s="47">
        <f t="shared" si="5"/>
        <v>61.550700833432742</v>
      </c>
      <c r="P130" s="15">
        <v>45417</v>
      </c>
      <c r="Q130" s="47">
        <f t="shared" si="6"/>
        <v>87.756581806275534</v>
      </c>
    </row>
    <row r="131" spans="4:17">
      <c r="D131" s="15">
        <v>44184</v>
      </c>
      <c r="E131" s="47">
        <v>25.185400000000001</v>
      </c>
      <c r="G131" s="121">
        <v>44323</v>
      </c>
      <c r="H131" s="47">
        <v>30.020700000000001</v>
      </c>
      <c r="J131" s="15">
        <v>44688</v>
      </c>
      <c r="K131" s="47">
        <f t="shared" si="7"/>
        <v>43.073806815157511</v>
      </c>
      <c r="M131" s="15">
        <v>45053</v>
      </c>
      <c r="N131" s="47">
        <f t="shared" si="5"/>
        <v>61.610544646240172</v>
      </c>
      <c r="P131" s="15">
        <v>45418</v>
      </c>
      <c r="Q131" s="47">
        <f t="shared" si="6"/>
        <v>87.841904773896104</v>
      </c>
    </row>
    <row r="132" spans="4:17">
      <c r="D132" s="15">
        <v>44185</v>
      </c>
      <c r="E132" s="47">
        <v>25.210999999999999</v>
      </c>
      <c r="G132" s="121">
        <v>44324</v>
      </c>
      <c r="H132" s="47">
        <v>30.067599999999999</v>
      </c>
      <c r="J132" s="15">
        <v>44689</v>
      </c>
      <c r="K132" s="47">
        <f t="shared" si="7"/>
        <v>43.116268068033321</v>
      </c>
      <c r="M132" s="15">
        <v>45054</v>
      </c>
      <c r="N132" s="47">
        <f t="shared" si="5"/>
        <v>61.670446643306803</v>
      </c>
      <c r="P132" s="15">
        <v>45419</v>
      </c>
      <c r="Q132" s="47">
        <f t="shared" si="6"/>
        <v>87.927310698357672</v>
      </c>
    </row>
    <row r="133" spans="4:17">
      <c r="D133" s="15">
        <v>44186</v>
      </c>
      <c r="E133" s="47">
        <v>25.236599999999999</v>
      </c>
      <c r="G133" s="121">
        <v>44325</v>
      </c>
      <c r="H133" s="47">
        <v>30.114699999999999</v>
      </c>
      <c r="J133" s="15">
        <v>44690</v>
      </c>
      <c r="K133" s="47">
        <f t="shared" si="7"/>
        <v>43.158771178319213</v>
      </c>
      <c r="M133" s="15">
        <v>45055</v>
      </c>
      <c r="N133" s="47">
        <f t="shared" si="5"/>
        <v>61.730406881203365</v>
      </c>
      <c r="P133" s="15">
        <v>45420</v>
      </c>
      <c r="Q133" s="47">
        <f t="shared" si="6"/>
        <v>88.012799660316574</v>
      </c>
    </row>
    <row r="134" spans="4:17">
      <c r="D134" s="15">
        <v>44187</v>
      </c>
      <c r="E134" s="47">
        <v>25.2622</v>
      </c>
      <c r="G134" s="121">
        <v>44326</v>
      </c>
      <c r="H134" s="47">
        <v>30.161799999999999</v>
      </c>
      <c r="J134" s="15">
        <v>44691</v>
      </c>
      <c r="K134" s="47">
        <f t="shared" si="7"/>
        <v>43.201316187277349</v>
      </c>
      <c r="M134" s="15">
        <v>45056</v>
      </c>
      <c r="N134" s="47">
        <f t="shared" ref="N134:N197" si="8">N133*(1+$B$43)</f>
        <v>61.790425416555586</v>
      </c>
      <c r="P134" s="15">
        <v>45421</v>
      </c>
      <c r="Q134" s="47">
        <f t="shared" ref="Q134:Q197" si="9">Q133*(1+$B$45)</f>
        <v>88.098371740507559</v>
      </c>
    </row>
    <row r="135" spans="4:17">
      <c r="D135" s="15">
        <v>44188</v>
      </c>
      <c r="E135" s="47">
        <v>25.2879</v>
      </c>
      <c r="G135" s="121">
        <v>44327</v>
      </c>
      <c r="H135" s="47">
        <v>30.2089</v>
      </c>
      <c r="J135" s="15">
        <v>44692</v>
      </c>
      <c r="K135" s="47">
        <f t="shared" si="7"/>
        <v>43.243903136210555</v>
      </c>
      <c r="M135" s="15">
        <v>45057</v>
      </c>
      <c r="N135" s="47">
        <f t="shared" si="8"/>
        <v>61.850502306044248</v>
      </c>
      <c r="P135" s="15">
        <v>45422</v>
      </c>
      <c r="Q135" s="47">
        <f t="shared" si="9"/>
        <v>88.184027019743866</v>
      </c>
    </row>
    <row r="136" spans="4:17">
      <c r="D136" s="15">
        <v>44189</v>
      </c>
      <c r="E136" s="47">
        <v>25.313600000000001</v>
      </c>
      <c r="G136" s="121">
        <v>44328</v>
      </c>
      <c r="H136" s="47">
        <v>30.2562</v>
      </c>
      <c r="J136" s="15">
        <v>44693</v>
      </c>
      <c r="K136" s="47">
        <f t="shared" si="7"/>
        <v>43.286532066462371</v>
      </c>
      <c r="M136" s="15">
        <v>45058</v>
      </c>
      <c r="N136" s="47">
        <f t="shared" si="8"/>
        <v>61.910637606405245</v>
      </c>
      <c r="P136" s="15">
        <v>45423</v>
      </c>
      <c r="Q136" s="47">
        <f t="shared" si="9"/>
        <v>88.269765578917315</v>
      </c>
    </row>
    <row r="137" spans="4:17">
      <c r="D137" s="15">
        <v>44190</v>
      </c>
      <c r="E137" s="47">
        <v>25.339400000000001</v>
      </c>
      <c r="G137" s="121">
        <v>44329</v>
      </c>
      <c r="H137" s="47">
        <v>30.3035</v>
      </c>
      <c r="J137" s="15">
        <v>44694</v>
      </c>
      <c r="K137" s="47">
        <f t="shared" si="7"/>
        <v>43.329203019417108</v>
      </c>
      <c r="M137" s="15">
        <v>45059</v>
      </c>
      <c r="N137" s="47">
        <f t="shared" si="8"/>
        <v>61.970831374429636</v>
      </c>
      <c r="P137" s="15">
        <v>45424</v>
      </c>
      <c r="Q137" s="47">
        <f t="shared" si="9"/>
        <v>88.355587498998375</v>
      </c>
    </row>
    <row r="138" spans="4:17">
      <c r="D138" s="15">
        <v>44191</v>
      </c>
      <c r="E138" s="47">
        <v>25.365100000000002</v>
      </c>
      <c r="G138" s="121">
        <v>44330</v>
      </c>
      <c r="H138" s="47">
        <v>30.350899999999999</v>
      </c>
      <c r="J138" s="15">
        <v>44695</v>
      </c>
      <c r="K138" s="47">
        <f t="shared" si="7"/>
        <v>43.371916036499854</v>
      </c>
      <c r="M138" s="15">
        <v>45060</v>
      </c>
      <c r="N138" s="47">
        <f t="shared" si="8"/>
        <v>62.031083666963696</v>
      </c>
      <c r="P138" s="15">
        <v>45425</v>
      </c>
      <c r="Q138" s="47">
        <f t="shared" si="9"/>
        <v>88.441492861036238</v>
      </c>
    </row>
    <row r="139" spans="4:17">
      <c r="D139" s="15">
        <v>44192</v>
      </c>
      <c r="E139" s="47">
        <v>25.390899999999998</v>
      </c>
      <c r="G139" s="121">
        <v>44331</v>
      </c>
      <c r="H139" s="47">
        <v>30.398399999999999</v>
      </c>
      <c r="J139" s="15">
        <v>44696</v>
      </c>
      <c r="K139" s="47">
        <f t="shared" si="7"/>
        <v>43.41467115917655</v>
      </c>
      <c r="M139" s="15">
        <v>45061</v>
      </c>
      <c r="N139" s="47">
        <f t="shared" si="8"/>
        <v>62.091394540908958</v>
      </c>
      <c r="P139" s="15">
        <v>45426</v>
      </c>
      <c r="Q139" s="47">
        <f t="shared" si="9"/>
        <v>88.527481746158898</v>
      </c>
    </row>
    <row r="140" spans="4:17">
      <c r="D140" s="15">
        <v>44193</v>
      </c>
      <c r="E140" s="47">
        <v>25.416699999999999</v>
      </c>
      <c r="F140" t="s">
        <v>191</v>
      </c>
      <c r="G140" s="121">
        <v>44332</v>
      </c>
      <c r="H140" s="47">
        <v>30.437799999999999</v>
      </c>
      <c r="J140" s="15">
        <v>44697</v>
      </c>
      <c r="K140" s="47">
        <f t="shared" si="7"/>
        <v>43.457468428953995</v>
      </c>
      <c r="M140" s="15">
        <v>45062</v>
      </c>
      <c r="N140" s="47">
        <f t="shared" si="8"/>
        <v>62.151764053222294</v>
      </c>
      <c r="P140" s="15">
        <v>45427</v>
      </c>
      <c r="Q140" s="47">
        <f t="shared" si="9"/>
        <v>88.613554235573233</v>
      </c>
    </row>
    <row r="141" spans="4:17">
      <c r="D141" s="15">
        <v>44194</v>
      </c>
      <c r="E141" s="47">
        <v>25.442599999999999</v>
      </c>
      <c r="G141" s="121">
        <v>44333</v>
      </c>
      <c r="H141" s="47">
        <v>30.4773</v>
      </c>
      <c r="J141" s="15">
        <v>44698</v>
      </c>
      <c r="K141" s="47">
        <f t="shared" si="7"/>
        <v>43.500307887379918</v>
      </c>
      <c r="M141" s="15">
        <v>45063</v>
      </c>
      <c r="N141" s="47">
        <f t="shared" si="8"/>
        <v>62.212192260915948</v>
      </c>
      <c r="P141" s="15">
        <v>45428</v>
      </c>
      <c r="Q141" s="47">
        <f t="shared" si="9"/>
        <v>88.699710410565061</v>
      </c>
    </row>
    <row r="142" spans="4:17">
      <c r="D142" s="15">
        <v>44195</v>
      </c>
      <c r="E142" s="47">
        <v>25.468399999999999</v>
      </c>
      <c r="G142" s="121">
        <v>44334</v>
      </c>
      <c r="H142" s="47">
        <v>30.5168</v>
      </c>
      <c r="J142" s="15">
        <v>44699</v>
      </c>
      <c r="K142" s="47">
        <f t="shared" si="7"/>
        <v>43.543189576043005</v>
      </c>
      <c r="M142" s="15">
        <v>45064</v>
      </c>
      <c r="N142" s="47">
        <f t="shared" si="8"/>
        <v>62.272679221057594</v>
      </c>
      <c r="P142" s="15">
        <v>45429</v>
      </c>
      <c r="Q142" s="47">
        <f t="shared" si="9"/>
        <v>88.785950352499242</v>
      </c>
    </row>
    <row r="143" spans="4:17">
      <c r="D143" s="15">
        <v>44196</v>
      </c>
      <c r="E143" s="47">
        <v>25.494299999999999</v>
      </c>
      <c r="G143" s="121">
        <v>44335</v>
      </c>
      <c r="H143" s="47">
        <v>30.5564</v>
      </c>
      <c r="J143" s="15">
        <v>44700</v>
      </c>
      <c r="K143" s="47">
        <f t="shared" si="7"/>
        <v>43.586113536572938</v>
      </c>
      <c r="M143" s="15">
        <v>45065</v>
      </c>
      <c r="N143" s="47">
        <f t="shared" si="8"/>
        <v>62.33322499077039</v>
      </c>
      <c r="P143" s="15">
        <v>45430</v>
      </c>
      <c r="Q143" s="47">
        <f t="shared" si="9"/>
        <v>88.872274142819734</v>
      </c>
    </row>
    <row r="144" spans="4:17">
      <c r="G144" s="121">
        <v>44336</v>
      </c>
      <c r="H144" s="47">
        <v>30.596</v>
      </c>
      <c r="J144" s="15">
        <v>44701</v>
      </c>
      <c r="K144" s="47">
        <f t="shared" si="7"/>
        <v>43.629079810640427</v>
      </c>
      <c r="M144" s="15">
        <v>45066</v>
      </c>
      <c r="N144" s="47">
        <f t="shared" si="8"/>
        <v>62.393829627233032</v>
      </c>
      <c r="P144" s="15">
        <v>45431</v>
      </c>
      <c r="Q144" s="47">
        <f t="shared" si="9"/>
        <v>88.958681863049705</v>
      </c>
    </row>
    <row r="145" spans="2:17">
      <c r="G145" s="121">
        <v>44337</v>
      </c>
      <c r="H145" s="47">
        <v>30.6357</v>
      </c>
      <c r="J145" s="15">
        <v>44702</v>
      </c>
      <c r="K145" s="47">
        <f t="shared" si="7"/>
        <v>43.672088439957271</v>
      </c>
      <c r="M145" s="15">
        <v>45067</v>
      </c>
      <c r="N145" s="47">
        <f t="shared" si="8"/>
        <v>62.454493187679816</v>
      </c>
      <c r="P145" s="15">
        <v>45432</v>
      </c>
      <c r="Q145" s="47">
        <f t="shared" si="9"/>
        <v>89.045173594791549</v>
      </c>
    </row>
    <row r="146" spans="2:17">
      <c r="G146" s="121">
        <v>44338</v>
      </c>
      <c r="H146" s="47">
        <v>30.6754</v>
      </c>
      <c r="J146" s="15">
        <v>44703</v>
      </c>
      <c r="K146" s="47">
        <f t="shared" si="7"/>
        <v>43.715139466276383</v>
      </c>
      <c r="M146" s="15">
        <v>45068</v>
      </c>
      <c r="N146" s="47">
        <f t="shared" si="8"/>
        <v>62.51521572940068</v>
      </c>
      <c r="P146" s="15">
        <v>45433</v>
      </c>
      <c r="Q146" s="47">
        <f t="shared" si="9"/>
        <v>89.131749419727043</v>
      </c>
    </row>
    <row r="147" spans="2:17">
      <c r="G147" s="121">
        <v>44339</v>
      </c>
      <c r="H147" s="47">
        <v>30.715199999999999</v>
      </c>
      <c r="J147" s="15">
        <v>44704</v>
      </c>
      <c r="K147" s="47">
        <f t="shared" si="7"/>
        <v>43.758232931391838</v>
      </c>
      <c r="M147" s="15">
        <v>45069</v>
      </c>
      <c r="N147" s="47">
        <f t="shared" si="8"/>
        <v>62.575997309741261</v>
      </c>
      <c r="P147" s="15">
        <v>45434</v>
      </c>
      <c r="Q147" s="47">
        <f t="shared" si="9"/>
        <v>89.218409419617345</v>
      </c>
    </row>
    <row r="148" spans="2:17">
      <c r="G148" s="121">
        <v>44340</v>
      </c>
      <c r="H148" s="47">
        <v>30.755099999999999</v>
      </c>
      <c r="J148" s="15">
        <v>44705</v>
      </c>
      <c r="K148" s="47">
        <f t="shared" si="7"/>
        <v>43.801368877138906</v>
      </c>
      <c r="M148" s="15">
        <v>45070</v>
      </c>
      <c r="N148" s="47">
        <f t="shared" si="8"/>
        <v>62.636837986102954</v>
      </c>
      <c r="P148" s="15">
        <v>45435</v>
      </c>
      <c r="Q148" s="47">
        <f t="shared" si="9"/>
        <v>89.305153676303107</v>
      </c>
    </row>
    <row r="149" spans="2:17">
      <c r="B149" s="3"/>
      <c r="G149" s="121">
        <v>44341</v>
      </c>
      <c r="H149" s="47">
        <v>30.795000000000002</v>
      </c>
      <c r="J149" s="15">
        <v>44706</v>
      </c>
      <c r="K149" s="47">
        <f t="shared" si="7"/>
        <v>43.844547345394105</v>
      </c>
      <c r="M149" s="15">
        <v>45071</v>
      </c>
      <c r="N149" s="47">
        <f t="shared" si="8"/>
        <v>62.697737815942965</v>
      </c>
      <c r="P149" s="15">
        <v>45436</v>
      </c>
      <c r="Q149" s="47">
        <f t="shared" si="9"/>
        <v>89.391982271704578</v>
      </c>
    </row>
    <row r="150" spans="2:17">
      <c r="B150" s="3"/>
      <c r="G150" s="121">
        <v>44342</v>
      </c>
      <c r="H150" s="47">
        <v>30.834900000000001</v>
      </c>
      <c r="J150" s="15">
        <v>44707</v>
      </c>
      <c r="K150" s="47">
        <f t="shared" si="7"/>
        <v>43.887768378075222</v>
      </c>
      <c r="M150" s="15">
        <v>45072</v>
      </c>
      <c r="N150" s="47">
        <f t="shared" si="8"/>
        <v>62.758696856774364</v>
      </c>
      <c r="P150" s="15">
        <v>45437</v>
      </c>
      <c r="Q150" s="47">
        <f t="shared" si="9"/>
        <v>89.478895287821643</v>
      </c>
    </row>
    <row r="151" spans="2:17">
      <c r="B151" s="3"/>
      <c r="G151" s="121">
        <v>44343</v>
      </c>
      <c r="H151" s="47">
        <v>30.8749</v>
      </c>
      <c r="J151" s="15">
        <v>44708</v>
      </c>
      <c r="K151" s="47">
        <f t="shared" si="7"/>
        <v>43.931032017141384</v>
      </c>
      <c r="M151" s="15">
        <v>45073</v>
      </c>
      <c r="N151" s="47">
        <f t="shared" si="8"/>
        <v>62.819715166166141</v>
      </c>
      <c r="P151" s="15">
        <v>45438</v>
      </c>
      <c r="Q151" s="47">
        <f t="shared" si="9"/>
        <v>89.565892806733913</v>
      </c>
    </row>
    <row r="152" spans="2:17">
      <c r="B152" s="3"/>
      <c r="G152" s="121">
        <v>44344</v>
      </c>
      <c r="H152" s="47">
        <v>30.914899999999999</v>
      </c>
      <c r="J152" s="15">
        <v>44709</v>
      </c>
      <c r="K152" s="47">
        <f t="shared" si="7"/>
        <v>43.974338304593061</v>
      </c>
      <c r="M152" s="15">
        <v>45074</v>
      </c>
      <c r="N152" s="47">
        <f t="shared" si="8"/>
        <v>62.880792801743247</v>
      </c>
      <c r="P152" s="15">
        <v>45439</v>
      </c>
      <c r="Q152" s="47">
        <f t="shared" si="9"/>
        <v>89.652974910600804</v>
      </c>
    </row>
    <row r="153" spans="2:17">
      <c r="B153" s="3"/>
      <c r="G153" s="121">
        <v>44345</v>
      </c>
      <c r="H153" s="47">
        <v>30.954999999999998</v>
      </c>
      <c r="J153" s="15">
        <v>44710</v>
      </c>
      <c r="K153" s="47">
        <f t="shared" si="7"/>
        <v>44.017687282472131</v>
      </c>
      <c r="M153" s="15">
        <v>45075</v>
      </c>
      <c r="N153" s="47">
        <f t="shared" si="8"/>
        <v>62.941929821186676</v>
      </c>
      <c r="P153" s="15">
        <v>45440</v>
      </c>
      <c r="Q153" s="47">
        <f t="shared" si="9"/>
        <v>89.740141681661598</v>
      </c>
    </row>
    <row r="154" spans="2:17">
      <c r="B154" s="3"/>
      <c r="G154" s="121">
        <v>44346</v>
      </c>
      <c r="H154" s="47">
        <v>30.995200000000001</v>
      </c>
      <c r="J154" s="15">
        <v>44711</v>
      </c>
      <c r="K154" s="47">
        <f t="shared" si="7"/>
        <v>44.06107899286193</v>
      </c>
      <c r="M154" s="15">
        <v>45076</v>
      </c>
      <c r="N154" s="47">
        <f t="shared" si="8"/>
        <v>63.003126282233495</v>
      </c>
      <c r="P154" s="15">
        <v>45441</v>
      </c>
      <c r="Q154" s="47">
        <f t="shared" si="9"/>
        <v>89.827393202235555</v>
      </c>
    </row>
    <row r="155" spans="2:17">
      <c r="B155" s="3"/>
      <c r="G155" s="121">
        <v>44347</v>
      </c>
      <c r="H155" s="47">
        <v>31.035399999999999</v>
      </c>
      <c r="J155" s="15">
        <v>44712</v>
      </c>
      <c r="K155" s="47">
        <f t="shared" si="7"/>
        <v>44.104513477887259</v>
      </c>
      <c r="M155" s="15">
        <v>45077</v>
      </c>
      <c r="N155" s="47">
        <f t="shared" si="8"/>
        <v>63.064382242676906</v>
      </c>
      <c r="P155" s="15">
        <v>45442</v>
      </c>
      <c r="Q155" s="47">
        <f t="shared" si="9"/>
        <v>89.914729554721958</v>
      </c>
    </row>
    <row r="156" spans="2:17">
      <c r="B156" s="3"/>
      <c r="G156" s="121">
        <v>44348</v>
      </c>
      <c r="H156" s="47">
        <v>31.075600000000001</v>
      </c>
      <c r="J156" s="15">
        <v>44713</v>
      </c>
      <c r="K156" s="47">
        <f t="shared" si="7"/>
        <v>44.147990779714462</v>
      </c>
      <c r="M156" s="15">
        <v>45078</v>
      </c>
      <c r="N156" s="47">
        <f t="shared" si="8"/>
        <v>63.1256977603663</v>
      </c>
      <c r="P156" s="15">
        <v>45443</v>
      </c>
      <c r="Q156" s="47">
        <f t="shared" si="9"/>
        <v>90.002150821600225</v>
      </c>
    </row>
    <row r="157" spans="2:17">
      <c r="B157" s="3"/>
      <c r="G157" s="121">
        <v>44349</v>
      </c>
      <c r="H157" s="47">
        <v>31.116</v>
      </c>
      <c r="J157" s="15">
        <v>44714</v>
      </c>
      <c r="K157" s="47">
        <f t="shared" si="7"/>
        <v>44.191510940551431</v>
      </c>
      <c r="M157" s="15">
        <v>45079</v>
      </c>
      <c r="N157" s="47">
        <f t="shared" si="8"/>
        <v>63.187072893207322</v>
      </c>
      <c r="P157" s="15">
        <v>45444</v>
      </c>
      <c r="Q157" s="47">
        <f t="shared" si="9"/>
        <v>90.089657085429934</v>
      </c>
    </row>
    <row r="158" spans="2:17">
      <c r="B158" s="3"/>
      <c r="G158" s="121">
        <v>44350</v>
      </c>
      <c r="H158" s="47">
        <v>31.156300000000002</v>
      </c>
      <c r="J158" s="15">
        <v>44715</v>
      </c>
      <c r="K158" s="47">
        <f t="shared" si="7"/>
        <v>44.235074002647686</v>
      </c>
      <c r="M158" s="15">
        <v>45080</v>
      </c>
      <c r="N158" s="47">
        <f t="shared" si="8"/>
        <v>63.248507699161905</v>
      </c>
      <c r="P158" s="15">
        <v>45445</v>
      </c>
      <c r="Q158" s="47">
        <f t="shared" si="9"/>
        <v>90.177248428850959</v>
      </c>
    </row>
    <row r="159" spans="2:17">
      <c r="B159" s="3"/>
      <c r="G159" s="121">
        <v>44351</v>
      </c>
      <c r="H159" s="47">
        <v>31.1967</v>
      </c>
      <c r="J159" s="15">
        <v>44716</v>
      </c>
      <c r="K159" s="47">
        <f t="shared" si="7"/>
        <v>44.278680008294387</v>
      </c>
      <c r="M159" s="15">
        <v>45081</v>
      </c>
      <c r="N159" s="47">
        <f t="shared" si="8"/>
        <v>63.310002236248344</v>
      </c>
      <c r="P159" s="15">
        <v>45446</v>
      </c>
      <c r="Q159" s="47">
        <f t="shared" si="9"/>
        <v>90.264924934583519</v>
      </c>
    </row>
    <row r="160" spans="2:17">
      <c r="B160" s="3"/>
      <c r="G160" s="121">
        <v>44352</v>
      </c>
      <c r="H160" s="47">
        <v>31.237200000000001</v>
      </c>
      <c r="J160" s="15">
        <v>44717</v>
      </c>
      <c r="K160" s="47">
        <f t="shared" si="7"/>
        <v>44.322328999824379</v>
      </c>
      <c r="M160" s="15">
        <v>45082</v>
      </c>
      <c r="N160" s="47">
        <f t="shared" si="8"/>
        <v>63.371556562541343</v>
      </c>
      <c r="P160" s="15">
        <v>45447</v>
      </c>
      <c r="Q160" s="47">
        <f t="shared" si="9"/>
        <v>90.352686685428239</v>
      </c>
    </row>
    <row r="161" spans="2:17">
      <c r="B161" s="3"/>
      <c r="G161" s="121">
        <v>44353</v>
      </c>
      <c r="H161" s="47">
        <v>31.277699999999999</v>
      </c>
      <c r="J161" s="15">
        <v>44718</v>
      </c>
      <c r="K161" s="47">
        <f t="shared" si="7"/>
        <v>44.366021019612241</v>
      </c>
      <c r="M161" s="15">
        <v>45083</v>
      </c>
      <c r="N161" s="47">
        <f t="shared" si="8"/>
        <v>63.433170736172073</v>
      </c>
      <c r="P161" s="15">
        <v>45448</v>
      </c>
      <c r="Q161" s="47">
        <f t="shared" si="9"/>
        <v>90.440533764266277</v>
      </c>
    </row>
    <row r="162" spans="2:17">
      <c r="B162" s="3"/>
      <c r="G162" s="121">
        <v>44354</v>
      </c>
      <c r="H162" s="47">
        <v>31.318300000000001</v>
      </c>
      <c r="J162" s="15">
        <v>44719</v>
      </c>
      <c r="K162" s="47">
        <f t="shared" si="7"/>
        <v>44.409756110074326</v>
      </c>
      <c r="M162" s="15">
        <v>45084</v>
      </c>
      <c r="N162" s="47">
        <f t="shared" si="8"/>
        <v>63.494844815328214</v>
      </c>
      <c r="P162" s="15">
        <v>45449</v>
      </c>
      <c r="Q162" s="47">
        <f t="shared" si="9"/>
        <v>90.528466254059353</v>
      </c>
    </row>
    <row r="163" spans="2:17">
      <c r="B163" s="3"/>
      <c r="G163" s="121">
        <v>44355</v>
      </c>
      <c r="H163" s="47">
        <v>31.358899999999998</v>
      </c>
      <c r="J163" s="15">
        <v>44720</v>
      </c>
      <c r="K163" s="47">
        <f t="shared" si="7"/>
        <v>44.453534313668797</v>
      </c>
      <c r="M163" s="15">
        <v>45085</v>
      </c>
      <c r="N163" s="47">
        <f t="shared" si="8"/>
        <v>63.556578858254035</v>
      </c>
      <c r="P163" s="15">
        <v>45450</v>
      </c>
      <c r="Q163" s="47">
        <f t="shared" si="9"/>
        <v>90.616484237849861</v>
      </c>
    </row>
    <row r="164" spans="2:17">
      <c r="B164" s="3"/>
      <c r="G164" s="121">
        <v>44356</v>
      </c>
      <c r="H164" s="47">
        <v>31.3996</v>
      </c>
      <c r="J164" s="15">
        <v>44721</v>
      </c>
      <c r="K164" s="47">
        <f t="shared" si="7"/>
        <v>44.497355672895672</v>
      </c>
      <c r="M164" s="15">
        <v>45086</v>
      </c>
      <c r="N164" s="47">
        <f t="shared" si="8"/>
        <v>63.618372923250419</v>
      </c>
      <c r="P164" s="15">
        <v>45451</v>
      </c>
      <c r="Q164" s="47">
        <f t="shared" si="9"/>
        <v>90.704587798760926</v>
      </c>
    </row>
    <row r="165" spans="2:17">
      <c r="B165" s="3"/>
      <c r="G165" s="121">
        <v>44357</v>
      </c>
      <c r="H165" s="47">
        <v>31.440300000000001</v>
      </c>
      <c r="J165" s="15">
        <v>44722</v>
      </c>
      <c r="K165" s="47">
        <f t="shared" si="7"/>
        <v>44.541220230296872</v>
      </c>
      <c r="M165" s="15">
        <v>45087</v>
      </c>
      <c r="N165" s="47">
        <f t="shared" si="8"/>
        <v>63.680227068674938</v>
      </c>
      <c r="P165" s="15">
        <v>45452</v>
      </c>
      <c r="Q165" s="47">
        <f t="shared" si="9"/>
        <v>90.792777019996493</v>
      </c>
    </row>
    <row r="166" spans="2:17">
      <c r="B166" s="3"/>
      <c r="G166" s="121">
        <v>44358</v>
      </c>
      <c r="H166" s="47">
        <v>31.481100000000001</v>
      </c>
      <c r="J166" s="15">
        <v>44723</v>
      </c>
      <c r="K166" s="47">
        <f t="shared" si="7"/>
        <v>44.585128028456246</v>
      </c>
      <c r="M166" s="15">
        <v>45088</v>
      </c>
      <c r="N166" s="47">
        <f t="shared" si="8"/>
        <v>63.742141352941907</v>
      </c>
      <c r="P166" s="15">
        <v>45453</v>
      </c>
      <c r="Q166" s="47">
        <f t="shared" si="9"/>
        <v>90.881051984841406</v>
      </c>
    </row>
    <row r="167" spans="2:17">
      <c r="B167" s="3"/>
      <c r="G167" s="121">
        <v>44359</v>
      </c>
      <c r="H167" s="47">
        <v>31.521899999999999</v>
      </c>
      <c r="J167" s="15">
        <v>44724</v>
      </c>
      <c r="K167" s="47">
        <f t="shared" si="7"/>
        <v>44.629079109999623</v>
      </c>
      <c r="M167" s="15">
        <v>45089</v>
      </c>
      <c r="N167" s="47">
        <f t="shared" si="8"/>
        <v>63.804115834522435</v>
      </c>
      <c r="P167" s="15">
        <v>45454</v>
      </c>
      <c r="Q167" s="47">
        <f t="shared" si="9"/>
        <v>90.969412776661486</v>
      </c>
    </row>
    <row r="168" spans="2:17">
      <c r="B168" s="3"/>
      <c r="G168" s="121">
        <v>44360</v>
      </c>
      <c r="H168" s="47">
        <v>31.562799999999999</v>
      </c>
      <c r="J168" s="15">
        <v>44725</v>
      </c>
      <c r="K168" s="47">
        <f t="shared" si="7"/>
        <v>44.673073517594851</v>
      </c>
      <c r="M168" s="15">
        <v>45090</v>
      </c>
      <c r="N168" s="47">
        <f t="shared" si="8"/>
        <v>63.86615057194448</v>
      </c>
      <c r="P168" s="15">
        <v>45455</v>
      </c>
      <c r="Q168" s="47">
        <f t="shared" si="9"/>
        <v>91.057859478903609</v>
      </c>
    </row>
    <row r="169" spans="2:17">
      <c r="B169" s="3"/>
      <c r="G169" s="121">
        <v>44361</v>
      </c>
      <c r="H169" s="47">
        <v>31.6037</v>
      </c>
      <c r="J169" s="15">
        <v>44726</v>
      </c>
      <c r="K169" s="47">
        <f t="shared" si="7"/>
        <v>44.717111293951845</v>
      </c>
      <c r="M169" s="15">
        <v>45091</v>
      </c>
      <c r="N169" s="47">
        <f t="shared" si="8"/>
        <v>63.928245623792897</v>
      </c>
      <c r="P169" s="15">
        <v>45456</v>
      </c>
      <c r="Q169" s="47">
        <f t="shared" si="9"/>
        <v>91.14639217509577</v>
      </c>
    </row>
    <row r="170" spans="2:17">
      <c r="B170" s="3"/>
      <c r="G170" s="121">
        <v>44362</v>
      </c>
      <c r="H170" s="47">
        <v>31.6447</v>
      </c>
      <c r="J170" s="15">
        <v>44727</v>
      </c>
      <c r="K170" s="47">
        <f t="shared" si="7"/>
        <v>44.761192481822611</v>
      </c>
      <c r="M170" s="15">
        <v>45092</v>
      </c>
      <c r="N170" s="47">
        <f t="shared" si="8"/>
        <v>63.990401048709515</v>
      </c>
      <c r="P170" s="15">
        <v>45457</v>
      </c>
      <c r="Q170" s="47">
        <f t="shared" si="9"/>
        <v>91.23501094884719</v>
      </c>
    </row>
    <row r="171" spans="2:17">
      <c r="B171" s="3"/>
      <c r="F171" t="s">
        <v>192</v>
      </c>
      <c r="G171" s="121">
        <v>44363</v>
      </c>
      <c r="H171" s="47">
        <v>31.678999999999998</v>
      </c>
      <c r="J171" s="15">
        <v>44728</v>
      </c>
      <c r="K171" s="47">
        <f t="shared" si="7"/>
        <v>44.805317124001313</v>
      </c>
      <c r="M171" s="15">
        <v>45093</v>
      </c>
      <c r="N171" s="47">
        <f t="shared" si="8"/>
        <v>64.052616905393165</v>
      </c>
      <c r="P171" s="15">
        <v>45458</v>
      </c>
      <c r="Q171" s="47">
        <f t="shared" si="9"/>
        <v>91.323715883848365</v>
      </c>
    </row>
    <row r="172" spans="2:17">
      <c r="B172" s="3"/>
      <c r="G172" s="121">
        <v>44364</v>
      </c>
      <c r="H172" s="47">
        <v>31.7133</v>
      </c>
      <c r="J172" s="15">
        <v>44729</v>
      </c>
      <c r="K172" s="47">
        <f t="shared" si="7"/>
        <v>44.849485263324297</v>
      </c>
      <c r="M172" s="15">
        <v>45094</v>
      </c>
      <c r="N172" s="47">
        <f t="shared" si="8"/>
        <v>64.114893252599771</v>
      </c>
      <c r="P172" s="15">
        <v>45459</v>
      </c>
      <c r="Q172" s="47">
        <f t="shared" si="9"/>
        <v>91.412507063871189</v>
      </c>
    </row>
    <row r="173" spans="2:17">
      <c r="B173" s="3"/>
      <c r="G173" s="121">
        <v>44365</v>
      </c>
      <c r="H173" s="47">
        <v>31.747599999999998</v>
      </c>
      <c r="J173" s="15">
        <v>44730</v>
      </c>
      <c r="K173" s="47">
        <f t="shared" si="7"/>
        <v>44.893696942670125</v>
      </c>
      <c r="M173" s="15">
        <v>45095</v>
      </c>
      <c r="N173" s="47">
        <f t="shared" si="8"/>
        <v>64.177230149142346</v>
      </c>
      <c r="P173" s="15">
        <v>45460</v>
      </c>
      <c r="Q173" s="47">
        <f t="shared" si="9"/>
        <v>91.50138457276897</v>
      </c>
    </row>
    <row r="174" spans="2:17">
      <c r="B174" s="3"/>
      <c r="G174" s="121">
        <v>44366</v>
      </c>
      <c r="H174" s="47">
        <v>31.782</v>
      </c>
      <c r="J174" s="15">
        <v>44731</v>
      </c>
      <c r="K174" s="47">
        <f t="shared" si="7"/>
        <v>44.937952204959643</v>
      </c>
      <c r="M174" s="15">
        <v>45096</v>
      </c>
      <c r="N174" s="47">
        <f t="shared" si="8"/>
        <v>64.23962765389112</v>
      </c>
      <c r="P174" s="15">
        <v>45461</v>
      </c>
      <c r="Q174" s="47">
        <f t="shared" si="9"/>
        <v>91.590348494476572</v>
      </c>
    </row>
    <row r="175" spans="2:17">
      <c r="B175" s="3"/>
      <c r="G175" s="121">
        <v>44367</v>
      </c>
      <c r="H175" s="47">
        <v>31.816400000000002</v>
      </c>
      <c r="J175" s="15">
        <v>44732</v>
      </c>
      <c r="K175" s="47">
        <f t="shared" si="7"/>
        <v>44.982251093155995</v>
      </c>
      <c r="M175" s="15">
        <v>45097</v>
      </c>
      <c r="N175" s="47">
        <f t="shared" si="8"/>
        <v>64.302085825773545</v>
      </c>
      <c r="P175" s="15">
        <v>45462</v>
      </c>
      <c r="Q175" s="47">
        <f t="shared" si="9"/>
        <v>91.679398913010445</v>
      </c>
    </row>
    <row r="176" spans="2:17">
      <c r="B176" s="3"/>
      <c r="G176" s="121">
        <v>44368</v>
      </c>
      <c r="H176" s="47">
        <v>31.850899999999999</v>
      </c>
      <c r="J176" s="15">
        <v>44733</v>
      </c>
      <c r="K176" s="47">
        <f t="shared" si="7"/>
        <v>45.02659365026468</v>
      </c>
      <c r="M176" s="15">
        <v>45098</v>
      </c>
      <c r="N176" s="47">
        <f t="shared" si="8"/>
        <v>64.364604723774377</v>
      </c>
      <c r="P176" s="15">
        <v>45463</v>
      </c>
      <c r="Q176" s="47">
        <f t="shared" si="9"/>
        <v>91.768535912468749</v>
      </c>
    </row>
    <row r="177" spans="2:17">
      <c r="B177" s="3"/>
      <c r="G177" s="121">
        <v>44369</v>
      </c>
      <c r="H177" s="47">
        <v>31.885400000000001</v>
      </c>
      <c r="J177" s="15">
        <v>44734</v>
      </c>
      <c r="K177" s="47">
        <f t="shared" si="7"/>
        <v>45.070979919333595</v>
      </c>
      <c r="M177" s="15">
        <v>45099</v>
      </c>
      <c r="N177" s="47">
        <f t="shared" si="8"/>
        <v>64.427184406935709</v>
      </c>
      <c r="P177" s="15">
        <v>45464</v>
      </c>
      <c r="Q177" s="47">
        <f t="shared" si="9"/>
        <v>91.857759577031388</v>
      </c>
    </row>
    <row r="178" spans="2:17">
      <c r="B178" s="3"/>
      <c r="G178" s="121">
        <v>44370</v>
      </c>
      <c r="H178" s="47">
        <v>31.919899999999998</v>
      </c>
      <c r="J178" s="15">
        <v>44735</v>
      </c>
      <c r="K178" s="47">
        <f t="shared" si="7"/>
        <v>45.115409943453081</v>
      </c>
      <c r="M178" s="15">
        <v>45100</v>
      </c>
      <c r="N178" s="47">
        <f t="shared" si="8"/>
        <v>64.489824934357031</v>
      </c>
      <c r="P178" s="15">
        <v>45465</v>
      </c>
      <c r="Q178" s="47">
        <f t="shared" si="9"/>
        <v>91.947069990960131</v>
      </c>
    </row>
    <row r="179" spans="2:17">
      <c r="B179" s="3"/>
      <c r="G179" s="121">
        <v>44371</v>
      </c>
      <c r="H179" s="47">
        <v>31.9544</v>
      </c>
      <c r="J179" s="15">
        <v>44736</v>
      </c>
      <c r="K179" s="47">
        <f t="shared" ref="K179:K242" si="10">K178*(1+$B$41)</f>
        <v>45.159883765755936</v>
      </c>
      <c r="M179" s="15">
        <v>45101</v>
      </c>
      <c r="N179" s="47">
        <f t="shared" si="8"/>
        <v>64.55252636519532</v>
      </c>
      <c r="P179" s="15">
        <v>45466</v>
      </c>
      <c r="Q179" s="47">
        <f t="shared" si="9"/>
        <v>92.036467238598647</v>
      </c>
    </row>
    <row r="180" spans="2:17">
      <c r="B180" s="3"/>
      <c r="G180" s="121">
        <v>44372</v>
      </c>
      <c r="H180" s="47">
        <v>31.989000000000001</v>
      </c>
      <c r="J180" s="15">
        <v>44737</v>
      </c>
      <c r="K180" s="47">
        <f t="shared" si="10"/>
        <v>45.204401429417487</v>
      </c>
      <c r="M180" s="15">
        <v>45102</v>
      </c>
      <c r="N180" s="47">
        <f t="shared" si="8"/>
        <v>64.615288758665045</v>
      </c>
      <c r="P180" s="15">
        <v>45467</v>
      </c>
      <c r="Q180" s="47">
        <f t="shared" si="9"/>
        <v>92.125951404372628</v>
      </c>
    </row>
    <row r="181" spans="2:17">
      <c r="B181" s="3"/>
      <c r="G181" s="121">
        <v>44373</v>
      </c>
      <c r="H181" s="47">
        <v>32.023699999999998</v>
      </c>
      <c r="J181" s="15">
        <v>44738</v>
      </c>
      <c r="K181" s="47">
        <f t="shared" si="10"/>
        <v>45.24896297765563</v>
      </c>
      <c r="M181" s="15">
        <v>45103</v>
      </c>
      <c r="N181" s="47">
        <f t="shared" si="8"/>
        <v>64.678112174038262</v>
      </c>
      <c r="P181" s="15">
        <v>45468</v>
      </c>
      <c r="Q181" s="47">
        <f t="shared" si="9"/>
        <v>92.215522572789851</v>
      </c>
    </row>
    <row r="182" spans="2:17">
      <c r="B182" s="3"/>
      <c r="G182" s="121">
        <v>44374</v>
      </c>
      <c r="H182" s="47">
        <v>32.058399999999999</v>
      </c>
      <c r="J182" s="15">
        <v>44739</v>
      </c>
      <c r="K182" s="47">
        <f t="shared" si="10"/>
        <v>45.293568453730856</v>
      </c>
      <c r="M182" s="15">
        <v>45104</v>
      </c>
      <c r="N182" s="47">
        <f t="shared" si="8"/>
        <v>64.740996670644648</v>
      </c>
      <c r="P182" s="15">
        <v>45469</v>
      </c>
      <c r="Q182" s="47">
        <f t="shared" si="9"/>
        <v>92.305180828440257</v>
      </c>
    </row>
    <row r="183" spans="2:17">
      <c r="B183" s="3"/>
      <c r="G183" s="121">
        <v>44375</v>
      </c>
      <c r="H183" s="47">
        <v>32.0931</v>
      </c>
      <c r="J183" s="15">
        <v>44740</v>
      </c>
      <c r="K183" s="47">
        <f t="shared" si="10"/>
        <v>45.338217900946304</v>
      </c>
      <c r="M183" s="15">
        <v>45105</v>
      </c>
      <c r="N183" s="47">
        <f t="shared" si="8"/>
        <v>64.80394230787158</v>
      </c>
      <c r="P183" s="15">
        <v>45470</v>
      </c>
      <c r="Q183" s="47">
        <f t="shared" si="9"/>
        <v>92.394926255996012</v>
      </c>
    </row>
    <row r="184" spans="2:17">
      <c r="B184" s="3"/>
      <c r="G184" s="121">
        <v>44376</v>
      </c>
      <c r="H184" s="47">
        <v>32.127800000000001</v>
      </c>
      <c r="J184" s="15">
        <v>44741</v>
      </c>
      <c r="K184" s="47">
        <f t="shared" si="10"/>
        <v>45.382911362647796</v>
      </c>
      <c r="M184" s="15">
        <v>45106</v>
      </c>
      <c r="N184" s="47">
        <f t="shared" si="8"/>
        <v>64.866949145164156</v>
      </c>
      <c r="P184" s="15">
        <v>45471</v>
      </c>
      <c r="Q184" s="47">
        <f t="shared" si="9"/>
        <v>92.484758940211634</v>
      </c>
    </row>
    <row r="185" spans="2:17">
      <c r="B185" s="3"/>
      <c r="G185" s="121">
        <v>44377</v>
      </c>
      <c r="H185" s="47">
        <v>32.162599999999998</v>
      </c>
      <c r="J185" s="15">
        <v>44742</v>
      </c>
      <c r="K185" s="47">
        <f t="shared" si="10"/>
        <v>45.427648882223885</v>
      </c>
      <c r="M185" s="15">
        <v>45107</v>
      </c>
      <c r="N185" s="47">
        <f t="shared" si="8"/>
        <v>64.930017242025272</v>
      </c>
      <c r="P185" s="15">
        <v>45472</v>
      </c>
      <c r="Q185" s="47">
        <f t="shared" si="9"/>
        <v>92.574678965924036</v>
      </c>
    </row>
    <row r="186" spans="2:17">
      <c r="B186" s="3"/>
      <c r="G186" s="121">
        <v>44378</v>
      </c>
      <c r="H186" s="47">
        <v>32.197400000000002</v>
      </c>
      <c r="J186" s="15">
        <v>44743</v>
      </c>
      <c r="K186" s="47">
        <f t="shared" si="10"/>
        <v>45.472430503105898</v>
      </c>
      <c r="M186" s="15">
        <v>45108</v>
      </c>
      <c r="N186" s="47">
        <f t="shared" si="8"/>
        <v>64.993146658015675</v>
      </c>
      <c r="P186" s="15">
        <v>45473</v>
      </c>
      <c r="Q186" s="47">
        <f t="shared" si="9"/>
        <v>92.664686418052597</v>
      </c>
    </row>
    <row r="187" spans="2:17">
      <c r="B187" s="3"/>
      <c r="G187" s="121">
        <v>44379</v>
      </c>
      <c r="H187" s="47">
        <v>32.232300000000002</v>
      </c>
      <c r="J187" s="15">
        <v>44744</v>
      </c>
      <c r="K187" s="47">
        <f t="shared" si="10"/>
        <v>45.51725626876798</v>
      </c>
      <c r="M187" s="15">
        <v>45109</v>
      </c>
      <c r="N187" s="47">
        <f t="shared" si="8"/>
        <v>65.056337452754036</v>
      </c>
      <c r="P187" s="15">
        <v>45474</v>
      </c>
      <c r="Q187" s="47">
        <f t="shared" si="9"/>
        <v>92.754781381599287</v>
      </c>
    </row>
    <row r="188" spans="2:17">
      <c r="B188" s="3"/>
      <c r="G188" s="121">
        <v>44380</v>
      </c>
      <c r="H188" s="47">
        <v>32.267200000000003</v>
      </c>
      <c r="J188" s="15">
        <v>44745</v>
      </c>
      <c r="K188" s="47">
        <f t="shared" si="10"/>
        <v>45.562126222727123</v>
      </c>
      <c r="M188" s="15">
        <v>45110</v>
      </c>
      <c r="N188" s="47">
        <f t="shared" si="8"/>
        <v>65.119589685916992</v>
      </c>
      <c r="P188" s="15">
        <v>45475</v>
      </c>
      <c r="Q188" s="47">
        <f t="shared" si="9"/>
        <v>92.8449639416487</v>
      </c>
    </row>
    <row r="189" spans="2:17">
      <c r="G189" s="121">
        <v>44381</v>
      </c>
      <c r="H189" s="47">
        <v>32.302100000000003</v>
      </c>
      <c r="J189" s="15">
        <v>44746</v>
      </c>
      <c r="K189" s="47">
        <f t="shared" si="10"/>
        <v>45.60704040854322</v>
      </c>
      <c r="M189" s="15">
        <v>45111</v>
      </c>
      <c r="N189" s="47">
        <f t="shared" si="8"/>
        <v>65.182903417239189</v>
      </c>
      <c r="P189" s="15">
        <v>45476</v>
      </c>
      <c r="Q189" s="47">
        <f t="shared" si="9"/>
        <v>92.935234183368166</v>
      </c>
    </row>
    <row r="190" spans="2:17">
      <c r="G190" s="121">
        <v>44382</v>
      </c>
      <c r="H190" s="47">
        <v>32.3371</v>
      </c>
      <c r="J190" s="15">
        <v>44747</v>
      </c>
      <c r="K190" s="47">
        <f t="shared" si="10"/>
        <v>45.65199886981911</v>
      </c>
      <c r="M190" s="15">
        <v>45112</v>
      </c>
      <c r="N190" s="47">
        <f t="shared" si="8"/>
        <v>65.246278706513351</v>
      </c>
      <c r="P190" s="15">
        <v>45477</v>
      </c>
      <c r="Q190" s="47">
        <f t="shared" si="9"/>
        <v>93.025592192007821</v>
      </c>
    </row>
    <row r="191" spans="2:17">
      <c r="G191" s="121">
        <v>44383</v>
      </c>
      <c r="H191" s="47">
        <v>32.372100000000003</v>
      </c>
      <c r="J191" s="15">
        <v>44748</v>
      </c>
      <c r="K191" s="47">
        <f t="shared" si="10"/>
        <v>45.697001650200605</v>
      </c>
      <c r="M191" s="15">
        <v>45113</v>
      </c>
      <c r="N191" s="47">
        <f t="shared" si="8"/>
        <v>65.309715613590342</v>
      </c>
      <c r="P191" s="15">
        <v>45478</v>
      </c>
      <c r="Q191" s="47">
        <f t="shared" si="9"/>
        <v>93.116038052900677</v>
      </c>
    </row>
    <row r="192" spans="2:17">
      <c r="G192" s="121">
        <v>44384</v>
      </c>
      <c r="H192" s="47">
        <v>32.407200000000003</v>
      </c>
      <c r="J192" s="15">
        <v>44749</v>
      </c>
      <c r="K192" s="47">
        <f t="shared" si="10"/>
        <v>45.742048793376554</v>
      </c>
      <c r="M192" s="15">
        <v>45114</v>
      </c>
      <c r="N192" s="47">
        <f t="shared" si="8"/>
        <v>65.373214198379216</v>
      </c>
      <c r="P192" s="15">
        <v>45479</v>
      </c>
      <c r="Q192" s="47">
        <f t="shared" si="9"/>
        <v>93.206571851462726</v>
      </c>
    </row>
    <row r="193" spans="6:25">
      <c r="G193" s="121">
        <v>44385</v>
      </c>
      <c r="H193" s="47">
        <v>32.442300000000003</v>
      </c>
      <c r="J193" s="15">
        <v>44750</v>
      </c>
      <c r="K193" s="47">
        <f t="shared" si="10"/>
        <v>45.78714034307886</v>
      </c>
      <c r="M193" s="15">
        <v>45115</v>
      </c>
      <c r="N193" s="47">
        <f t="shared" si="8"/>
        <v>65.436774520847266</v>
      </c>
      <c r="P193" s="15">
        <v>45480</v>
      </c>
      <c r="Q193" s="47">
        <f t="shared" si="9"/>
        <v>93.297193673193007</v>
      </c>
    </row>
    <row r="194" spans="6:25">
      <c r="G194" s="121">
        <v>44386</v>
      </c>
      <c r="H194" s="47">
        <v>32.477400000000003</v>
      </c>
      <c r="J194" s="15">
        <v>44751</v>
      </c>
      <c r="K194" s="47">
        <f t="shared" si="10"/>
        <v>45.832276343082547</v>
      </c>
      <c r="M194" s="15">
        <v>45116</v>
      </c>
      <c r="N194" s="47">
        <f t="shared" si="8"/>
        <v>65.500396641020117</v>
      </c>
      <c r="P194" s="15">
        <v>45481</v>
      </c>
      <c r="Q194" s="47">
        <f t="shared" si="9"/>
        <v>93.387903603673678</v>
      </c>
    </row>
    <row r="195" spans="6:25">
      <c r="G195" s="121">
        <v>44387</v>
      </c>
      <c r="H195" s="47">
        <v>32.512599999999999</v>
      </c>
      <c r="J195" s="15">
        <v>44752</v>
      </c>
      <c r="K195" s="47">
        <f t="shared" si="10"/>
        <v>45.877456837205784</v>
      </c>
      <c r="M195" s="15">
        <v>45117</v>
      </c>
      <c r="N195" s="47">
        <f t="shared" si="8"/>
        <v>65.56408061898172</v>
      </c>
      <c r="P195" s="15">
        <v>45482</v>
      </c>
      <c r="Q195" s="47">
        <f t="shared" si="9"/>
        <v>93.478701728570101</v>
      </c>
    </row>
    <row r="196" spans="6:25">
      <c r="G196" s="121">
        <v>44388</v>
      </c>
      <c r="H196" s="47">
        <v>32.547800000000002</v>
      </c>
      <c r="J196" s="15">
        <v>44753</v>
      </c>
      <c r="K196" s="47">
        <f t="shared" si="10"/>
        <v>45.92268186930994</v>
      </c>
      <c r="M196" s="15">
        <v>45118</v>
      </c>
      <c r="N196" s="47">
        <f t="shared" si="8"/>
        <v>65.627826514874471</v>
      </c>
      <c r="P196" s="15">
        <v>45483</v>
      </c>
      <c r="Q196" s="47">
        <f t="shared" si="9"/>
        <v>93.569588133630944</v>
      </c>
    </row>
    <row r="197" spans="6:25">
      <c r="G197" s="121">
        <v>44389</v>
      </c>
      <c r="H197" s="47">
        <v>32.582999999999998</v>
      </c>
      <c r="J197" s="15">
        <v>44754</v>
      </c>
      <c r="K197" s="47">
        <f t="shared" si="10"/>
        <v>45.967951483299615</v>
      </c>
      <c r="M197" s="15">
        <v>45119</v>
      </c>
      <c r="N197" s="47">
        <f t="shared" si="8"/>
        <v>65.691634388899217</v>
      </c>
      <c r="P197" s="15">
        <v>45484</v>
      </c>
      <c r="Q197" s="47">
        <f t="shared" si="9"/>
        <v>93.660562904688234</v>
      </c>
    </row>
    <row r="198" spans="6:25">
      <c r="G198" s="121">
        <v>44390</v>
      </c>
      <c r="H198" s="47">
        <v>32.618299999999998</v>
      </c>
      <c r="J198" s="15">
        <v>44755</v>
      </c>
      <c r="K198" s="47">
        <f t="shared" si="10"/>
        <v>46.0132657231227</v>
      </c>
      <c r="M198" s="15">
        <v>45120</v>
      </c>
      <c r="N198" s="47">
        <f t="shared" ref="N198:N261" si="11">N197*(1+$B$43)</f>
        <v>65.755504301315355</v>
      </c>
      <c r="P198" s="15">
        <v>45485</v>
      </c>
      <c r="Q198" s="47">
        <f t="shared" ref="Q198:Q261" si="12">Q197*(1+$B$45)</f>
        <v>93.75162612765746</v>
      </c>
    </row>
    <row r="199" spans="6:25">
      <c r="G199" s="121">
        <v>44391</v>
      </c>
      <c r="H199" s="47">
        <v>32.653599999999997</v>
      </c>
      <c r="J199" s="15">
        <v>44756</v>
      </c>
      <c r="K199" s="47">
        <f t="shared" si="10"/>
        <v>46.058624632770403</v>
      </c>
      <c r="M199" s="15">
        <v>45121</v>
      </c>
      <c r="N199" s="47">
        <f t="shared" si="11"/>
        <v>65.819436312440871</v>
      </c>
      <c r="P199" s="15">
        <v>45486</v>
      </c>
      <c r="Q199" s="47">
        <f t="shared" si="12"/>
        <v>93.842777888537626</v>
      </c>
      <c r="X199">
        <v>31.6447</v>
      </c>
    </row>
    <row r="200" spans="6:25">
      <c r="G200" s="121">
        <v>44392</v>
      </c>
      <c r="H200" s="47">
        <v>32.689</v>
      </c>
      <c r="J200" s="15">
        <v>44757</v>
      </c>
      <c r="K200" s="47">
        <f t="shared" si="10"/>
        <v>46.104028256277296</v>
      </c>
      <c r="M200" s="15">
        <v>45122</v>
      </c>
      <c r="N200" s="47">
        <f t="shared" si="11"/>
        <v>65.883430482652372</v>
      </c>
      <c r="P200" s="15">
        <v>45487</v>
      </c>
      <c r="Q200" s="47">
        <f t="shared" si="12"/>
        <v>93.934018273411368</v>
      </c>
      <c r="W200" s="3">
        <v>44392</v>
      </c>
      <c r="X200">
        <v>32.689</v>
      </c>
    </row>
    <row r="201" spans="6:25">
      <c r="F201" t="s">
        <v>193</v>
      </c>
      <c r="G201" s="238">
        <v>44393</v>
      </c>
      <c r="H201" s="47">
        <f>H200*(1+$B$24)</f>
        <v>32.718132722190759</v>
      </c>
      <c r="J201" s="15">
        <v>44758</v>
      </c>
      <c r="K201" s="47">
        <f t="shared" si="10"/>
        <v>46.149476637721364</v>
      </c>
      <c r="M201" s="15">
        <v>45123</v>
      </c>
      <c r="N201" s="47">
        <f t="shared" si="11"/>
        <v>65.947486872385198</v>
      </c>
      <c r="P201" s="15">
        <v>45488</v>
      </c>
      <c r="Q201" s="47">
        <f t="shared" si="12"/>
        <v>94.025347368445011</v>
      </c>
      <c r="W201" t="s">
        <v>260</v>
      </c>
      <c r="X201" s="2">
        <v>0.03</v>
      </c>
      <c r="Y201">
        <f>X200*(1+X201)</f>
        <v>33.669670000000004</v>
      </c>
    </row>
    <row r="202" spans="6:25">
      <c r="G202" s="238">
        <v>44394</v>
      </c>
      <c r="H202" s="47">
        <f t="shared" ref="H202:H231" si="13">H201*(1+$B$24)</f>
        <v>32.747291407717881</v>
      </c>
      <c r="J202" s="15">
        <v>44759</v>
      </c>
      <c r="K202" s="47">
        <f t="shared" si="10"/>
        <v>46.194969821224035</v>
      </c>
      <c r="M202" s="15">
        <v>45124</v>
      </c>
      <c r="N202" s="47">
        <f t="shared" si="11"/>
        <v>66.011605542133438</v>
      </c>
      <c r="P202" s="15">
        <v>45489</v>
      </c>
      <c r="Q202" s="47">
        <f t="shared" si="12"/>
        <v>94.116765259888652</v>
      </c>
      <c r="W202" t="s">
        <v>261</v>
      </c>
      <c r="X202" s="5">
        <f>+X201</f>
        <v>0.03</v>
      </c>
      <c r="Y202">
        <f>Y201*(1+X202)</f>
        <v>34.679760100000003</v>
      </c>
    </row>
    <row r="203" spans="6:25">
      <c r="G203" s="238">
        <v>44395</v>
      </c>
      <c r="H203" s="47">
        <f t="shared" si="13"/>
        <v>32.776476079720112</v>
      </c>
      <c r="J203" s="15">
        <v>44760</v>
      </c>
      <c r="K203" s="47">
        <f t="shared" si="10"/>
        <v>46.240507850950237</v>
      </c>
      <c r="M203" s="15">
        <v>45125</v>
      </c>
      <c r="N203" s="47">
        <f t="shared" si="11"/>
        <v>66.075786552449983</v>
      </c>
      <c r="P203" s="15">
        <v>45490</v>
      </c>
      <c r="Q203" s="47">
        <f t="shared" si="12"/>
        <v>94.208272034076259</v>
      </c>
      <c r="W203" t="s">
        <v>262</v>
      </c>
      <c r="X203" s="5">
        <f t="shared" ref="X203:X205" si="14">+X202</f>
        <v>0.03</v>
      </c>
      <c r="Y203">
        <f t="shared" ref="Y203:Y205" si="15">Y202*(1+X203)</f>
        <v>35.720152903000006</v>
      </c>
    </row>
    <row r="204" spans="6:25">
      <c r="G204" s="238">
        <v>44396</v>
      </c>
      <c r="H204" s="47">
        <f t="shared" si="13"/>
        <v>32.805686761356831</v>
      </c>
      <c r="J204" s="15">
        <v>44761</v>
      </c>
      <c r="K204" s="47">
        <f t="shared" si="10"/>
        <v>46.286090771108434</v>
      </c>
      <c r="M204" s="15">
        <v>45126</v>
      </c>
      <c r="N204" s="47">
        <f t="shared" si="11"/>
        <v>66.140029963946617</v>
      </c>
      <c r="P204" s="15">
        <v>45491</v>
      </c>
      <c r="Q204" s="47">
        <f t="shared" si="12"/>
        <v>94.299867777425717</v>
      </c>
      <c r="W204" t="s">
        <v>263</v>
      </c>
      <c r="X204" s="5">
        <f t="shared" si="14"/>
        <v>0.03</v>
      </c>
      <c r="Y204">
        <f t="shared" si="15"/>
        <v>36.791757490090006</v>
      </c>
    </row>
    <row r="205" spans="6:25">
      <c r="G205" s="238">
        <v>44397</v>
      </c>
      <c r="H205" s="47">
        <f t="shared" si="13"/>
        <v>32.834923475808047</v>
      </c>
      <c r="J205" s="15">
        <v>44762</v>
      </c>
      <c r="K205" s="47">
        <f t="shared" si="10"/>
        <v>46.331718625950671</v>
      </c>
      <c r="M205" s="15">
        <v>45127</v>
      </c>
      <c r="N205" s="47">
        <f t="shared" si="11"/>
        <v>66.204335837294053</v>
      </c>
      <c r="P205" s="15">
        <v>45492</v>
      </c>
      <c r="Q205" s="47">
        <f t="shared" si="12"/>
        <v>94.391552576438968</v>
      </c>
      <c r="W205" t="s">
        <v>264</v>
      </c>
      <c r="X205" s="5">
        <f t="shared" si="14"/>
        <v>0.03</v>
      </c>
      <c r="Y205">
        <f t="shared" si="15"/>
        <v>37.895510214792708</v>
      </c>
    </row>
    <row r="206" spans="6:25">
      <c r="G206" s="238">
        <v>44398</v>
      </c>
      <c r="H206" s="47">
        <f t="shared" si="13"/>
        <v>32.864186246274429</v>
      </c>
      <c r="J206" s="15">
        <v>44763</v>
      </c>
      <c r="K206" s="47">
        <f t="shared" si="10"/>
        <v>46.377391459772618</v>
      </c>
      <c r="M206" s="15">
        <v>45128</v>
      </c>
      <c r="N206" s="47">
        <f t="shared" si="11"/>
        <v>66.268704233221968</v>
      </c>
      <c r="P206" s="15">
        <v>45493</v>
      </c>
      <c r="Q206" s="47">
        <f t="shared" si="12"/>
        <v>94.483326517702025</v>
      </c>
      <c r="X206">
        <f>X200*(1+X201)*(1+X202)*(1+X203)*(1+X204)*(1+X205)</f>
        <v>37.895510214792708</v>
      </c>
    </row>
    <row r="207" spans="6:25">
      <c r="G207" s="238">
        <v>44399</v>
      </c>
      <c r="H207" s="47">
        <f t="shared" si="13"/>
        <v>32.89347509597733</v>
      </c>
      <c r="J207" s="15">
        <v>44764</v>
      </c>
      <c r="K207" s="47">
        <f t="shared" si="10"/>
        <v>46.423109316913603</v>
      </c>
      <c r="M207" s="15">
        <v>45129</v>
      </c>
      <c r="N207" s="47">
        <f t="shared" si="11"/>
        <v>66.33313521251911</v>
      </c>
      <c r="P207" s="15">
        <v>45494</v>
      </c>
      <c r="Q207" s="47">
        <f t="shared" si="12"/>
        <v>94.575189687885086</v>
      </c>
      <c r="X207">
        <f>(X206/X199)</f>
        <v>1.1975310309401799</v>
      </c>
    </row>
    <row r="208" spans="6:25">
      <c r="G208" s="238">
        <v>44400</v>
      </c>
      <c r="H208" s="47">
        <f t="shared" si="13"/>
        <v>32.922790048158795</v>
      </c>
      <c r="J208" s="15">
        <v>44765</v>
      </c>
      <c r="K208" s="47">
        <f t="shared" si="10"/>
        <v>46.468872241756671</v>
      </c>
      <c r="M208" s="15">
        <v>45130</v>
      </c>
      <c r="N208" s="47">
        <f t="shared" si="11"/>
        <v>66.397628836033334</v>
      </c>
      <c r="P208" s="15">
        <v>45495</v>
      </c>
      <c r="Q208" s="47">
        <f t="shared" si="12"/>
        <v>94.667142173742647</v>
      </c>
      <c r="X208">
        <f>X207*100</f>
        <v>119.75310309401799</v>
      </c>
    </row>
    <row r="209" spans="7:17">
      <c r="G209" s="238">
        <v>44401</v>
      </c>
      <c r="H209" s="47">
        <f t="shared" si="13"/>
        <v>32.952131126081575</v>
      </c>
      <c r="J209" s="15">
        <v>44766</v>
      </c>
      <c r="K209" s="47">
        <f t="shared" si="10"/>
        <v>46.514680278728612</v>
      </c>
      <c r="M209" s="15">
        <v>45131</v>
      </c>
      <c r="N209" s="47">
        <f t="shared" si="11"/>
        <v>66.462185164671638</v>
      </c>
      <c r="P209" s="15">
        <v>45496</v>
      </c>
      <c r="Q209" s="47">
        <f t="shared" si="12"/>
        <v>94.759184062113519</v>
      </c>
    </row>
    <row r="210" spans="7:17">
      <c r="G210" s="238">
        <v>44402</v>
      </c>
      <c r="H210" s="47">
        <f t="shared" si="13"/>
        <v>32.98149835302916</v>
      </c>
      <c r="J210" s="15">
        <v>44767</v>
      </c>
      <c r="K210" s="47">
        <f t="shared" si="10"/>
        <v>46.560533472300015</v>
      </c>
      <c r="M210" s="15">
        <v>45132</v>
      </c>
      <c r="N210" s="47">
        <f t="shared" si="11"/>
        <v>66.526804259400237</v>
      </c>
      <c r="P210" s="15">
        <v>45497</v>
      </c>
      <c r="Q210" s="47">
        <f t="shared" si="12"/>
        <v>94.851315439920967</v>
      </c>
    </row>
    <row r="211" spans="7:17">
      <c r="G211" s="238">
        <v>44403</v>
      </c>
      <c r="H211" s="47">
        <f t="shared" si="13"/>
        <v>33.010891752305795</v>
      </c>
      <c r="J211" s="15">
        <v>44768</v>
      </c>
      <c r="K211" s="47">
        <f t="shared" si="10"/>
        <v>46.606431866985304</v>
      </c>
      <c r="M211" s="15">
        <v>45133</v>
      </c>
      <c r="N211" s="47">
        <f t="shared" si="11"/>
        <v>66.591486181244633</v>
      </c>
      <c r="P211" s="15">
        <v>45498</v>
      </c>
      <c r="Q211" s="47">
        <f t="shared" si="12"/>
        <v>94.943536394172753</v>
      </c>
    </row>
    <row r="212" spans="7:17">
      <c r="G212" s="238">
        <v>44404</v>
      </c>
      <c r="H212" s="47">
        <f t="shared" si="13"/>
        <v>33.040311347236482</v>
      </c>
      <c r="J212" s="15">
        <v>44769</v>
      </c>
      <c r="K212" s="47">
        <f t="shared" si="10"/>
        <v>46.652375507342782</v>
      </c>
      <c r="M212" s="15">
        <v>45134</v>
      </c>
      <c r="N212" s="47">
        <f t="shared" si="11"/>
        <v>66.656230991289661</v>
      </c>
      <c r="P212" s="15">
        <v>45499</v>
      </c>
      <c r="Q212" s="47">
        <f t="shared" si="12"/>
        <v>95.035847011961238</v>
      </c>
    </row>
    <row r="213" spans="7:17">
      <c r="G213" s="238">
        <v>44405</v>
      </c>
      <c r="H213" s="47">
        <f t="shared" si="13"/>
        <v>33.069757161167018</v>
      </c>
      <c r="J213" s="15">
        <v>44770</v>
      </c>
      <c r="K213" s="47">
        <f t="shared" si="10"/>
        <v>46.698364437974689</v>
      </c>
      <c r="M213" s="15">
        <v>45135</v>
      </c>
      <c r="N213" s="47">
        <f t="shared" si="11"/>
        <v>66.72103875067954</v>
      </c>
      <c r="P213" s="15">
        <v>45500</v>
      </c>
      <c r="Q213" s="47">
        <f t="shared" si="12"/>
        <v>95.128247380463463</v>
      </c>
    </row>
    <row r="214" spans="7:17">
      <c r="G214" s="238">
        <v>44406</v>
      </c>
      <c r="H214" s="47">
        <f t="shared" si="13"/>
        <v>33.099229217464007</v>
      </c>
      <c r="J214" s="15">
        <v>44771</v>
      </c>
      <c r="K214" s="47">
        <f t="shared" si="10"/>
        <v>46.744398703527224</v>
      </c>
      <c r="M214" s="15">
        <v>45136</v>
      </c>
      <c r="N214" s="47">
        <f t="shared" si="11"/>
        <v>66.785909520617935</v>
      </c>
      <c r="P214" s="15">
        <v>45501</v>
      </c>
      <c r="Q214" s="47">
        <f t="shared" si="12"/>
        <v>95.220737586941226</v>
      </c>
    </row>
    <row r="215" spans="7:17">
      <c r="G215" s="238">
        <v>44407</v>
      </c>
      <c r="H215" s="47">
        <f t="shared" si="13"/>
        <v>33.12872753951487</v>
      </c>
      <c r="J215" s="15">
        <v>44772</v>
      </c>
      <c r="K215" s="47">
        <f t="shared" si="10"/>
        <v>46.790478348690598</v>
      </c>
      <c r="M215" s="15">
        <v>45137</v>
      </c>
      <c r="N215" s="47">
        <f t="shared" si="11"/>
        <v>66.850843362368039</v>
      </c>
      <c r="P215" s="15">
        <v>45502</v>
      </c>
      <c r="Q215" s="47">
        <f t="shared" si="12"/>
        <v>95.313317718741175</v>
      </c>
    </row>
    <row r="216" spans="7:17">
      <c r="G216" s="238">
        <v>44408</v>
      </c>
      <c r="H216" s="47">
        <f t="shared" si="13"/>
        <v>33.158252150727883</v>
      </c>
      <c r="J216" s="15">
        <v>44773</v>
      </c>
      <c r="K216" s="47">
        <f t="shared" si="10"/>
        <v>46.836603418199076</v>
      </c>
      <c r="M216" s="15">
        <v>45138</v>
      </c>
      <c r="N216" s="47">
        <f t="shared" si="11"/>
        <v>66.915840337252575</v>
      </c>
      <c r="P216" s="15">
        <v>45503</v>
      </c>
      <c r="Q216" s="47">
        <f t="shared" si="12"/>
        <v>95.405987863294868</v>
      </c>
    </row>
    <row r="217" spans="7:17">
      <c r="G217" s="238">
        <v>44409</v>
      </c>
      <c r="H217" s="47">
        <f t="shared" si="13"/>
        <v>33.187803074532169</v>
      </c>
      <c r="J217" s="15">
        <v>44774</v>
      </c>
      <c r="K217" s="47">
        <f t="shared" si="10"/>
        <v>46.882773956831024</v>
      </c>
      <c r="M217" s="15">
        <v>45139</v>
      </c>
      <c r="N217" s="47">
        <f t="shared" si="11"/>
        <v>66.98090050665391</v>
      </c>
      <c r="P217" s="15">
        <v>45504</v>
      </c>
      <c r="Q217" s="47">
        <f t="shared" si="12"/>
        <v>95.498748108118889</v>
      </c>
    </row>
    <row r="218" spans="7:17">
      <c r="G218" s="238">
        <v>44410</v>
      </c>
      <c r="H218" s="47">
        <f t="shared" si="13"/>
        <v>33.217380334377744</v>
      </c>
      <c r="J218" s="15">
        <v>44775</v>
      </c>
      <c r="K218" s="47">
        <f t="shared" si="10"/>
        <v>46.928990009408942</v>
      </c>
      <c r="M218" s="15">
        <v>45140</v>
      </c>
      <c r="N218" s="47">
        <f t="shared" si="11"/>
        <v>67.046023932014094</v>
      </c>
      <c r="P218" s="15">
        <v>45505</v>
      </c>
      <c r="Q218" s="47">
        <f t="shared" si="12"/>
        <v>95.591598540814886</v>
      </c>
    </row>
    <row r="219" spans="7:17">
      <c r="G219" s="238">
        <v>44411</v>
      </c>
      <c r="H219" s="47">
        <f t="shared" si="13"/>
        <v>33.246983953735516</v>
      </c>
      <c r="J219" s="15">
        <v>44776</v>
      </c>
      <c r="K219" s="47">
        <f t="shared" si="10"/>
        <v>46.975251620799526</v>
      </c>
      <c r="M219" s="15">
        <v>45141</v>
      </c>
      <c r="N219" s="47">
        <f t="shared" si="11"/>
        <v>67.111210674834908</v>
      </c>
      <c r="P219" s="15">
        <v>45506</v>
      </c>
      <c r="Q219" s="47">
        <f t="shared" si="12"/>
        <v>95.684539249069701</v>
      </c>
    </row>
    <row r="220" spans="7:17">
      <c r="G220" s="238">
        <v>44412</v>
      </c>
      <c r="H220" s="47">
        <f t="shared" si="13"/>
        <v>33.276613956097314</v>
      </c>
      <c r="J220" s="15">
        <v>44777</v>
      </c>
      <c r="K220" s="47">
        <f t="shared" si="10"/>
        <v>47.021558835913694</v>
      </c>
      <c r="M220" s="15">
        <v>45142</v>
      </c>
      <c r="N220" s="47">
        <f t="shared" si="11"/>
        <v>67.176460796677929</v>
      </c>
      <c r="P220" s="15">
        <v>45507</v>
      </c>
      <c r="Q220" s="47">
        <f t="shared" si="12"/>
        <v>95.777570320655428</v>
      </c>
    </row>
    <row r="221" spans="7:17">
      <c r="G221" s="238">
        <v>44413</v>
      </c>
      <c r="H221" s="47">
        <f t="shared" si="13"/>
        <v>33.306270364975902</v>
      </c>
      <c r="J221" s="15">
        <v>44778</v>
      </c>
      <c r="K221" s="47">
        <f t="shared" si="10"/>
        <v>47.067911699706634</v>
      </c>
      <c r="M221" s="15">
        <v>45143</v>
      </c>
      <c r="N221" s="47">
        <f t="shared" si="11"/>
        <v>67.241774359164594</v>
      </c>
      <c r="P221" s="15">
        <v>45508</v>
      </c>
      <c r="Q221" s="47">
        <f t="shared" si="12"/>
        <v>95.870691843429483</v>
      </c>
    </row>
    <row r="222" spans="7:17">
      <c r="G222" s="238">
        <v>44414</v>
      </c>
      <c r="H222" s="47">
        <f t="shared" si="13"/>
        <v>33.335953203904999</v>
      </c>
      <c r="J222" s="15">
        <v>44779</v>
      </c>
      <c r="K222" s="47">
        <f t="shared" si="10"/>
        <v>47.114310257177856</v>
      </c>
      <c r="M222" s="15">
        <v>45144</v>
      </c>
      <c r="N222" s="47">
        <f t="shared" si="11"/>
        <v>67.307151423976237</v>
      </c>
      <c r="P222" s="15">
        <v>45509</v>
      </c>
      <c r="Q222" s="47">
        <f t="shared" si="12"/>
        <v>95.963903905334732</v>
      </c>
    </row>
    <row r="223" spans="7:17">
      <c r="G223" s="238">
        <v>44415</v>
      </c>
      <c r="H223" s="47">
        <f t="shared" si="13"/>
        <v>33.365662496439299</v>
      </c>
      <c r="J223" s="15">
        <v>44780</v>
      </c>
      <c r="K223" s="47">
        <f t="shared" si="10"/>
        <v>47.160754553371227</v>
      </c>
      <c r="M223" s="15">
        <v>45145</v>
      </c>
      <c r="N223" s="47">
        <f t="shared" si="11"/>
        <v>67.372592052854174</v>
      </c>
      <c r="P223" s="15">
        <v>45510</v>
      </c>
      <c r="Q223" s="47">
        <f t="shared" si="12"/>
        <v>96.057206594399517</v>
      </c>
    </row>
    <row r="224" spans="7:17">
      <c r="G224" s="238">
        <v>44416</v>
      </c>
      <c r="H224" s="47">
        <f t="shared" si="13"/>
        <v>33.39539826615448</v>
      </c>
      <c r="J224" s="15">
        <v>44781</v>
      </c>
      <c r="K224" s="47">
        <f t="shared" si="10"/>
        <v>47.207244633375019</v>
      </c>
      <c r="M224" s="15">
        <v>45146</v>
      </c>
      <c r="N224" s="47">
        <f t="shared" si="11"/>
        <v>67.43809630759975</v>
      </c>
      <c r="P224" s="15">
        <v>45511</v>
      </c>
      <c r="Q224" s="47">
        <f t="shared" si="12"/>
        <v>96.150599998737775</v>
      </c>
    </row>
    <row r="225" spans="6:17">
      <c r="G225" s="238">
        <v>44417</v>
      </c>
      <c r="H225" s="47">
        <f t="shared" si="13"/>
        <v>33.425160536647233</v>
      </c>
      <c r="J225" s="15">
        <v>44782</v>
      </c>
      <c r="K225" s="47">
        <f t="shared" si="10"/>
        <v>47.253780542321955</v>
      </c>
      <c r="M225" s="15">
        <v>45147</v>
      </c>
      <c r="N225" s="47">
        <f t="shared" si="11"/>
        <v>67.503664250074408</v>
      </c>
      <c r="P225" s="15">
        <v>45512</v>
      </c>
      <c r="Q225" s="47">
        <f t="shared" si="12"/>
        <v>96.244084206549118</v>
      </c>
    </row>
    <row r="226" spans="6:17">
      <c r="G226" s="238">
        <v>44418</v>
      </c>
      <c r="H226" s="47">
        <f t="shared" si="13"/>
        <v>33.454949331535289</v>
      </c>
      <c r="J226" s="15">
        <v>44783</v>
      </c>
      <c r="K226" s="47">
        <f t="shared" si="10"/>
        <v>47.300362325389237</v>
      </c>
      <c r="M226" s="15">
        <v>45148</v>
      </c>
      <c r="N226" s="47">
        <f t="shared" si="11"/>
        <v>67.569295942199716</v>
      </c>
      <c r="P226" s="15">
        <v>45513</v>
      </c>
      <c r="Q226" s="47">
        <f t="shared" si="12"/>
        <v>96.337659306118908</v>
      </c>
    </row>
    <row r="227" spans="6:17">
      <c r="G227" s="238">
        <v>44419</v>
      </c>
      <c r="H227" s="47">
        <f t="shared" si="13"/>
        <v>33.484764674457423</v>
      </c>
      <c r="J227" s="15">
        <v>44784</v>
      </c>
      <c r="K227" s="47">
        <f t="shared" si="10"/>
        <v>47.346990027798604</v>
      </c>
      <c r="M227" s="15">
        <v>45149</v>
      </c>
      <c r="N227" s="47">
        <f t="shared" si="11"/>
        <v>67.634991445957468</v>
      </c>
      <c r="P227" s="15">
        <v>45514</v>
      </c>
      <c r="Q227" s="47">
        <f t="shared" si="12"/>
        <v>96.431325385818354</v>
      </c>
    </row>
    <row r="228" spans="6:17">
      <c r="G228" s="238">
        <v>44420</v>
      </c>
      <c r="H228" s="47">
        <f t="shared" si="13"/>
        <v>33.514606589073473</v>
      </c>
      <c r="J228" s="15">
        <v>44785</v>
      </c>
      <c r="K228" s="47">
        <f t="shared" si="10"/>
        <v>47.393663694816382</v>
      </c>
      <c r="M228" s="15">
        <v>45150</v>
      </c>
      <c r="N228" s="47">
        <f t="shared" si="11"/>
        <v>67.700750823389697</v>
      </c>
      <c r="P228" s="15">
        <v>45515</v>
      </c>
      <c r="Q228" s="47">
        <f t="shared" si="12"/>
        <v>96.525082534104584</v>
      </c>
    </row>
    <row r="229" spans="6:17">
      <c r="G229" s="238">
        <v>44421</v>
      </c>
      <c r="H229" s="47">
        <f t="shared" si="13"/>
        <v>33.544475099064364</v>
      </c>
      <c r="J229" s="15">
        <v>44786</v>
      </c>
      <c r="K229" s="47">
        <f t="shared" si="10"/>
        <v>47.440383371753519</v>
      </c>
      <c r="M229" s="15">
        <v>45151</v>
      </c>
      <c r="N229" s="47">
        <f t="shared" si="11"/>
        <v>67.766574136598777</v>
      </c>
      <c r="P229" s="15">
        <v>45516</v>
      </c>
      <c r="Q229" s="47">
        <f t="shared" si="12"/>
        <v>96.618930839520715</v>
      </c>
    </row>
    <row r="230" spans="6:17">
      <c r="G230" s="238">
        <v>44422</v>
      </c>
      <c r="H230" s="47">
        <f t="shared" si="13"/>
        <v>33.574370228132125</v>
      </c>
      <c r="J230" s="15">
        <v>44787</v>
      </c>
      <c r="K230" s="47">
        <f t="shared" si="10"/>
        <v>47.487149103965621</v>
      </c>
      <c r="M230" s="15">
        <v>45152</v>
      </c>
      <c r="N230" s="47">
        <f t="shared" si="11"/>
        <v>67.832461447747448</v>
      </c>
      <c r="P230" s="15">
        <v>45517</v>
      </c>
      <c r="Q230" s="47">
        <f t="shared" si="12"/>
        <v>96.712870390695954</v>
      </c>
    </row>
    <row r="231" spans="6:17">
      <c r="G231" s="238">
        <v>44423</v>
      </c>
      <c r="H231" s="47">
        <f t="shared" si="13"/>
        <v>33.604291999999909</v>
      </c>
      <c r="J231" s="15">
        <v>44788</v>
      </c>
      <c r="K231" s="47">
        <f t="shared" si="10"/>
        <v>47.533960936853006</v>
      </c>
      <c r="M231" s="15">
        <v>45153</v>
      </c>
      <c r="N231" s="47">
        <f t="shared" si="11"/>
        <v>67.898412819058905</v>
      </c>
      <c r="P231" s="15">
        <v>45518</v>
      </c>
      <c r="Q231" s="47">
        <f t="shared" si="12"/>
        <v>96.806901276345698</v>
      </c>
    </row>
    <row r="232" spans="6:17">
      <c r="F232" t="s">
        <v>197</v>
      </c>
      <c r="G232" s="239">
        <v>44424</v>
      </c>
      <c r="H232" s="47">
        <f>H231*(1+$B$26)</f>
        <v>33.635239179226922</v>
      </c>
      <c r="J232" s="15">
        <v>44789</v>
      </c>
      <c r="K232" s="47">
        <f t="shared" si="10"/>
        <v>47.58081891586076</v>
      </c>
      <c r="M232" s="15">
        <v>45154</v>
      </c>
      <c r="N232" s="47">
        <f t="shared" si="11"/>
        <v>67.964428312816835</v>
      </c>
      <c r="P232" s="15">
        <v>45519</v>
      </c>
      <c r="Q232" s="47">
        <f t="shared" si="12"/>
        <v>96.901023585271588</v>
      </c>
    </row>
    <row r="233" spans="6:17">
      <c r="G233" s="239">
        <v>44425</v>
      </c>
      <c r="H233" s="47">
        <f t="shared" ref="H233:H262" si="16">H232*(1+$B$26)</f>
        <v>33.666214858619988</v>
      </c>
      <c r="J233" s="15">
        <v>44790</v>
      </c>
      <c r="K233" s="47">
        <f t="shared" si="10"/>
        <v>47.627723086478753</v>
      </c>
      <c r="M233" s="15">
        <v>45155</v>
      </c>
      <c r="N233" s="47">
        <f t="shared" si="11"/>
        <v>68.030507991365468</v>
      </c>
      <c r="P233" s="15">
        <v>45520</v>
      </c>
      <c r="Q233" s="47">
        <f t="shared" si="12"/>
        <v>96.995237406361596</v>
      </c>
    </row>
    <row r="234" spans="6:17">
      <c r="G234" s="239">
        <v>44426</v>
      </c>
      <c r="H234" s="47">
        <f t="shared" si="16"/>
        <v>33.697219064425745</v>
      </c>
      <c r="J234" s="15">
        <v>44791</v>
      </c>
      <c r="K234" s="47">
        <f t="shared" si="10"/>
        <v>47.674673494241695</v>
      </c>
      <c r="M234" s="15">
        <v>45156</v>
      </c>
      <c r="N234" s="47">
        <f t="shared" si="11"/>
        <v>68.096651917109668</v>
      </c>
      <c r="P234" s="15">
        <v>45521</v>
      </c>
      <c r="Q234" s="47">
        <f t="shared" si="12"/>
        <v>97.089542828590126</v>
      </c>
    </row>
    <row r="235" spans="6:17">
      <c r="G235" s="239">
        <v>44427</v>
      </c>
      <c r="H235" s="47">
        <f t="shared" si="16"/>
        <v>33.728251822915006</v>
      </c>
      <c r="J235" s="15">
        <v>44792</v>
      </c>
      <c r="K235" s="47">
        <f t="shared" si="10"/>
        <v>47.721670184729206</v>
      </c>
      <c r="M235" s="15">
        <v>45157</v>
      </c>
      <c r="N235" s="47">
        <f t="shared" si="11"/>
        <v>68.162860152514952</v>
      </c>
      <c r="P235" s="15">
        <v>45522</v>
      </c>
      <c r="Q235" s="47">
        <f t="shared" si="12"/>
        <v>97.183939941018082</v>
      </c>
    </row>
    <row r="236" spans="6:17">
      <c r="G236" s="239">
        <v>44428</v>
      </c>
      <c r="H236" s="47">
        <f t="shared" si="16"/>
        <v>33.759313160382774</v>
      </c>
      <c r="J236" s="15">
        <v>44793</v>
      </c>
      <c r="K236" s="47">
        <f t="shared" si="10"/>
        <v>47.76871320356581</v>
      </c>
      <c r="M236" s="15">
        <v>45158</v>
      </c>
      <c r="N236" s="47">
        <f t="shared" si="11"/>
        <v>68.229132760107589</v>
      </c>
      <c r="P236" s="15">
        <v>45523</v>
      </c>
      <c r="Q236" s="47">
        <f t="shared" si="12"/>
        <v>97.278428832792969</v>
      </c>
    </row>
    <row r="237" spans="6:17">
      <c r="G237" s="239">
        <v>44429</v>
      </c>
      <c r="H237" s="47">
        <f t="shared" si="16"/>
        <v>33.790403103148272</v>
      </c>
      <c r="J237" s="15">
        <v>44794</v>
      </c>
      <c r="K237" s="47">
        <f t="shared" si="10"/>
        <v>47.815802596421022</v>
      </c>
      <c r="M237" s="15">
        <v>45159</v>
      </c>
      <c r="N237" s="47">
        <f t="shared" si="11"/>
        <v>68.295469802474642</v>
      </c>
      <c r="P237" s="15">
        <v>45524</v>
      </c>
      <c r="Q237" s="47">
        <f t="shared" si="12"/>
        <v>97.373009593148964</v>
      </c>
    </row>
    <row r="238" spans="6:17">
      <c r="G238" s="239">
        <v>44430</v>
      </c>
      <c r="H238" s="47">
        <f t="shared" si="16"/>
        <v>33.821521677554962</v>
      </c>
      <c r="J238" s="15">
        <v>44795</v>
      </c>
      <c r="K238" s="47">
        <f t="shared" si="10"/>
        <v>47.862938409009381</v>
      </c>
      <c r="M238" s="15">
        <v>45160</v>
      </c>
      <c r="N238" s="47">
        <f t="shared" si="11"/>
        <v>68.36187134226401</v>
      </c>
      <c r="P238" s="15">
        <v>45525</v>
      </c>
      <c r="Q238" s="47">
        <f t="shared" si="12"/>
        <v>97.467682311407003</v>
      </c>
    </row>
    <row r="239" spans="6:17">
      <c r="G239" s="239">
        <v>44431</v>
      </c>
      <c r="H239" s="47">
        <f t="shared" si="16"/>
        <v>33.852668909970561</v>
      </c>
      <c r="J239" s="15">
        <v>44796</v>
      </c>
      <c r="K239" s="47">
        <f t="shared" si="10"/>
        <v>47.910120687090476</v>
      </c>
      <c r="M239" s="15">
        <v>45161</v>
      </c>
      <c r="N239" s="47">
        <f t="shared" si="11"/>
        <v>68.428337442184514</v>
      </c>
      <c r="P239" s="15">
        <v>45526</v>
      </c>
      <c r="Q239" s="47">
        <f t="shared" si="12"/>
        <v>97.562447076974863</v>
      </c>
    </row>
    <row r="240" spans="6:17">
      <c r="G240" s="239">
        <v>44432</v>
      </c>
      <c r="H240" s="47">
        <f t="shared" si="16"/>
        <v>33.883844826787062</v>
      </c>
      <c r="J240" s="15">
        <v>44797</v>
      </c>
      <c r="K240" s="47">
        <f t="shared" si="10"/>
        <v>47.95734947646902</v>
      </c>
      <c r="M240" s="15">
        <v>45162</v>
      </c>
      <c r="N240" s="47">
        <f t="shared" si="11"/>
        <v>68.49486816500594</v>
      </c>
      <c r="P240" s="15">
        <v>45527</v>
      </c>
      <c r="Q240" s="47">
        <f t="shared" si="12"/>
        <v>97.657303979347262</v>
      </c>
    </row>
    <row r="241" spans="7:17">
      <c r="G241" s="239">
        <v>44433</v>
      </c>
      <c r="H241" s="47">
        <f t="shared" si="16"/>
        <v>33.915049454420782</v>
      </c>
      <c r="J241" s="15">
        <v>44798</v>
      </c>
      <c r="K241" s="47">
        <f t="shared" si="10"/>
        <v>48.004624822994863</v>
      </c>
      <c r="M241" s="15">
        <v>45163</v>
      </c>
      <c r="N241" s="47">
        <f t="shared" si="11"/>
        <v>68.561463573559109</v>
      </c>
      <c r="P241" s="15">
        <v>45528</v>
      </c>
      <c r="Q241" s="47">
        <f t="shared" si="12"/>
        <v>97.752253108105904</v>
      </c>
    </row>
    <row r="242" spans="7:17">
      <c r="G242" s="239">
        <v>44434</v>
      </c>
      <c r="H242" s="47">
        <f t="shared" si="16"/>
        <v>33.946282819312351</v>
      </c>
      <c r="J242" s="15">
        <v>44799</v>
      </c>
      <c r="K242" s="47">
        <f t="shared" si="10"/>
        <v>48.05194677256307</v>
      </c>
      <c r="M242" s="15">
        <v>45164</v>
      </c>
      <c r="N242" s="47">
        <f t="shared" si="11"/>
        <v>68.628123730735922</v>
      </c>
      <c r="P242" s="15">
        <v>45529</v>
      </c>
      <c r="Q242" s="47">
        <f t="shared" si="12"/>
        <v>97.847294552919621</v>
      </c>
    </row>
    <row r="243" spans="7:17">
      <c r="G243" s="239">
        <v>44435</v>
      </c>
      <c r="H243" s="47">
        <f t="shared" si="16"/>
        <v>33.977544947926759</v>
      </c>
      <c r="J243" s="15">
        <v>44800</v>
      </c>
      <c r="K243" s="47">
        <f t="shared" ref="K243:K306" si="17">K242*(1+$B$41)</f>
        <v>48.099315371113939</v>
      </c>
      <c r="M243" s="15">
        <v>45165</v>
      </c>
      <c r="N243" s="47">
        <f t="shared" si="11"/>
        <v>68.694848699489427</v>
      </c>
      <c r="P243" s="15">
        <v>45530</v>
      </c>
      <c r="Q243" s="47">
        <f t="shared" si="12"/>
        <v>97.942428403544397</v>
      </c>
    </row>
    <row r="244" spans="7:17">
      <c r="G244" s="239">
        <v>44436</v>
      </c>
      <c r="H244" s="47">
        <f t="shared" si="16"/>
        <v>34.008835866753358</v>
      </c>
      <c r="J244" s="15">
        <v>44801</v>
      </c>
      <c r="K244" s="47">
        <f t="shared" si="17"/>
        <v>48.146730664633047</v>
      </c>
      <c r="M244" s="15">
        <v>45166</v>
      </c>
      <c r="N244" s="47">
        <f t="shared" si="11"/>
        <v>68.761638542833893</v>
      </c>
      <c r="P244" s="15">
        <v>45531</v>
      </c>
      <c r="Q244" s="47">
        <f t="shared" si="12"/>
        <v>98.037654749823517</v>
      </c>
    </row>
    <row r="245" spans="7:17">
      <c r="G245" s="239">
        <v>44437</v>
      </c>
      <c r="H245" s="47">
        <f t="shared" si="16"/>
        <v>34.040155602305902</v>
      </c>
      <c r="J245" s="15">
        <v>44802</v>
      </c>
      <c r="K245" s="47">
        <f t="shared" si="17"/>
        <v>48.194192699151323</v>
      </c>
      <c r="M245" s="15">
        <v>45167</v>
      </c>
      <c r="N245" s="47">
        <f t="shared" si="11"/>
        <v>68.828493323844839</v>
      </c>
      <c r="P245" s="15">
        <v>45532</v>
      </c>
      <c r="Q245" s="47">
        <f t="shared" si="12"/>
        <v>98.132973681687588</v>
      </c>
    </row>
    <row r="246" spans="7:17">
      <c r="G246" s="239">
        <v>44438</v>
      </c>
      <c r="H246" s="47">
        <f t="shared" si="16"/>
        <v>34.071504181122556</v>
      </c>
      <c r="J246" s="15">
        <v>44803</v>
      </c>
      <c r="K246" s="47">
        <f t="shared" si="17"/>
        <v>48.241701520745053</v>
      </c>
      <c r="M246" s="15">
        <v>45168</v>
      </c>
      <c r="N246" s="47">
        <f t="shared" si="11"/>
        <v>68.895413105659117</v>
      </c>
      <c r="P246" s="15">
        <v>45533</v>
      </c>
      <c r="Q246" s="47">
        <f t="shared" si="12"/>
        <v>98.228385289154673</v>
      </c>
    </row>
    <row r="247" spans="7:17">
      <c r="G247" s="239">
        <v>44439</v>
      </c>
      <c r="H247" s="47">
        <f t="shared" si="16"/>
        <v>34.102881629765932</v>
      </c>
      <c r="J247" s="15">
        <v>44804</v>
      </c>
      <c r="K247" s="47">
        <f t="shared" si="17"/>
        <v>48.289257175535958</v>
      </c>
      <c r="M247" s="15">
        <v>45169</v>
      </c>
      <c r="N247" s="47">
        <f t="shared" si="11"/>
        <v>68.962397951474983</v>
      </c>
      <c r="P247" s="15">
        <v>45534</v>
      </c>
      <c r="Q247" s="47">
        <f t="shared" si="12"/>
        <v>98.323889662330345</v>
      </c>
    </row>
    <row r="248" spans="7:17">
      <c r="G248" s="239">
        <v>44440</v>
      </c>
      <c r="H248" s="47">
        <f t="shared" si="16"/>
        <v>34.134287974823103</v>
      </c>
      <c r="J248" s="15">
        <v>44805</v>
      </c>
      <c r="K248" s="47">
        <f t="shared" si="17"/>
        <v>48.336859709691211</v>
      </c>
      <c r="M248" s="15">
        <v>45170</v>
      </c>
      <c r="N248" s="47">
        <f t="shared" si="11"/>
        <v>69.029447924552102</v>
      </c>
      <c r="P248" s="15">
        <v>45535</v>
      </c>
      <c r="Q248" s="47">
        <f t="shared" si="12"/>
        <v>98.419486891407786</v>
      </c>
    </row>
    <row r="249" spans="7:17">
      <c r="G249" s="239">
        <v>44441</v>
      </c>
      <c r="H249" s="47">
        <f t="shared" si="16"/>
        <v>34.165723242905621</v>
      </c>
      <c r="J249" s="15">
        <v>44806</v>
      </c>
      <c r="K249" s="47">
        <f t="shared" si="17"/>
        <v>48.384509169423509</v>
      </c>
      <c r="M249" s="15">
        <v>45171</v>
      </c>
      <c r="N249" s="47">
        <f t="shared" si="11"/>
        <v>69.096563088211667</v>
      </c>
      <c r="P249" s="15">
        <v>45536</v>
      </c>
      <c r="Q249" s="47">
        <f t="shared" si="12"/>
        <v>98.515177066667874</v>
      </c>
    </row>
    <row r="250" spans="7:17">
      <c r="G250" s="239">
        <v>44442</v>
      </c>
      <c r="H250" s="47">
        <f t="shared" si="16"/>
        <v>34.197187460649552</v>
      </c>
      <c r="J250" s="15">
        <v>44807</v>
      </c>
      <c r="K250" s="47">
        <f t="shared" si="17"/>
        <v>48.432205600991104</v>
      </c>
      <c r="M250" s="15">
        <v>45172</v>
      </c>
      <c r="N250" s="47">
        <f t="shared" si="11"/>
        <v>69.16374350583645</v>
      </c>
      <c r="P250" s="15">
        <v>45537</v>
      </c>
      <c r="Q250" s="47">
        <f t="shared" si="12"/>
        <v>98.610960278479268</v>
      </c>
    </row>
    <row r="251" spans="7:17">
      <c r="G251" s="239">
        <v>44443</v>
      </c>
      <c r="H251" s="47">
        <f t="shared" si="16"/>
        <v>34.22868065471549</v>
      </c>
      <c r="J251" s="15">
        <v>44808</v>
      </c>
      <c r="K251" s="47">
        <f t="shared" si="17"/>
        <v>48.479949050697833</v>
      </c>
      <c r="M251" s="15">
        <v>45173</v>
      </c>
      <c r="N251" s="47">
        <f t="shared" si="11"/>
        <v>69.230989240870812</v>
      </c>
      <c r="P251" s="15">
        <v>45538</v>
      </c>
      <c r="Q251" s="47">
        <f t="shared" si="12"/>
        <v>98.706836617298478</v>
      </c>
    </row>
    <row r="252" spans="7:17">
      <c r="G252" s="239">
        <v>44444</v>
      </c>
      <c r="H252" s="47">
        <f t="shared" si="16"/>
        <v>34.260202851788577</v>
      </c>
      <c r="J252" s="15">
        <v>44809</v>
      </c>
      <c r="K252" s="47">
        <f t="shared" si="17"/>
        <v>48.527739564893196</v>
      </c>
      <c r="M252" s="15">
        <v>45174</v>
      </c>
      <c r="N252" s="47">
        <f t="shared" si="11"/>
        <v>69.298300356820832</v>
      </c>
      <c r="P252" s="15">
        <v>45539</v>
      </c>
      <c r="Q252" s="47">
        <f t="shared" si="12"/>
        <v>98.802806173669978</v>
      </c>
    </row>
    <row r="253" spans="7:17">
      <c r="G253" s="239">
        <v>44445</v>
      </c>
      <c r="H253" s="47">
        <f t="shared" si="16"/>
        <v>34.291754078578535</v>
      </c>
      <c r="J253" s="15">
        <v>44810</v>
      </c>
      <c r="K253" s="47">
        <f t="shared" si="17"/>
        <v>48.575577189972371</v>
      </c>
      <c r="M253" s="15">
        <v>45175</v>
      </c>
      <c r="N253" s="47">
        <f t="shared" si="11"/>
        <v>69.365676917254305</v>
      </c>
      <c r="P253" s="15">
        <v>45540</v>
      </c>
      <c r="Q253" s="47">
        <f t="shared" si="12"/>
        <v>98.898869038226252</v>
      </c>
    </row>
    <row r="254" spans="7:17">
      <c r="G254" s="239">
        <v>44446</v>
      </c>
      <c r="H254" s="47">
        <f t="shared" si="16"/>
        <v>34.32333436181969</v>
      </c>
      <c r="J254" s="15">
        <v>44811</v>
      </c>
      <c r="K254" s="47">
        <f t="shared" si="17"/>
        <v>48.623461972376283</v>
      </c>
      <c r="M254" s="15">
        <v>45176</v>
      </c>
      <c r="N254" s="47">
        <f t="shared" si="11"/>
        <v>69.43311898580086</v>
      </c>
      <c r="P254" s="15">
        <v>45541</v>
      </c>
      <c r="Q254" s="47">
        <f t="shared" si="12"/>
        <v>98.995025301687932</v>
      </c>
    </row>
    <row r="255" spans="7:17">
      <c r="G255" s="239">
        <v>44447</v>
      </c>
      <c r="H255" s="47">
        <f t="shared" si="16"/>
        <v>34.354943728270975</v>
      </c>
      <c r="J255" s="15">
        <v>44812</v>
      </c>
      <c r="K255" s="47">
        <f t="shared" si="17"/>
        <v>48.671393958591622</v>
      </c>
      <c r="M255" s="15">
        <v>45177</v>
      </c>
      <c r="N255" s="47">
        <f t="shared" si="11"/>
        <v>69.50062662615197</v>
      </c>
      <c r="P255" s="15">
        <v>45542</v>
      </c>
      <c r="Q255" s="47">
        <f t="shared" si="12"/>
        <v>99.091275054863829</v>
      </c>
    </row>
    <row r="256" spans="7:17">
      <c r="G256" s="239">
        <v>44448</v>
      </c>
      <c r="H256" s="47">
        <f t="shared" si="16"/>
        <v>34.386582204715971</v>
      </c>
      <c r="J256" s="15">
        <v>44813</v>
      </c>
      <c r="K256" s="47">
        <f t="shared" si="17"/>
        <v>48.719373195150922</v>
      </c>
      <c r="M256" s="15">
        <v>45178</v>
      </c>
      <c r="N256" s="47">
        <f t="shared" si="11"/>
        <v>69.568199902061039</v>
      </c>
      <c r="P256" s="15">
        <v>45543</v>
      </c>
      <c r="Q256" s="47">
        <f t="shared" si="12"/>
        <v>99.187618388651046</v>
      </c>
    </row>
    <row r="257" spans="6:17">
      <c r="G257" s="239">
        <v>44449</v>
      </c>
      <c r="H257" s="47">
        <f t="shared" si="16"/>
        <v>34.418249817962923</v>
      </c>
      <c r="J257" s="15">
        <v>44814</v>
      </c>
      <c r="K257" s="47">
        <f t="shared" si="17"/>
        <v>48.767399728632569</v>
      </c>
      <c r="M257" s="15">
        <v>45179</v>
      </c>
      <c r="N257" s="47">
        <f t="shared" si="11"/>
        <v>69.635838877343474</v>
      </c>
      <c r="P257" s="15">
        <v>45544</v>
      </c>
      <c r="Q257" s="47">
        <f t="shared" si="12"/>
        <v>99.284055394035093</v>
      </c>
    </row>
    <row r="258" spans="6:17">
      <c r="G258" s="239">
        <v>44450</v>
      </c>
      <c r="H258" s="47">
        <f t="shared" si="16"/>
        <v>34.449946594844775</v>
      </c>
      <c r="J258" s="15">
        <v>44815</v>
      </c>
      <c r="K258" s="47">
        <f t="shared" si="17"/>
        <v>48.815473605660884</v>
      </c>
      <c r="M258" s="15">
        <v>45180</v>
      </c>
      <c r="N258" s="47">
        <f t="shared" si="11"/>
        <v>69.703543615876697</v>
      </c>
      <c r="P258" s="15">
        <v>45545</v>
      </c>
      <c r="Q258" s="47">
        <f t="shared" si="12"/>
        <v>99.380586162089898</v>
      </c>
    </row>
    <row r="259" spans="6:17">
      <c r="G259" s="239">
        <v>44451</v>
      </c>
      <c r="H259" s="47">
        <f t="shared" si="16"/>
        <v>34.481672562219167</v>
      </c>
      <c r="J259" s="15">
        <v>44816</v>
      </c>
      <c r="K259" s="47">
        <f t="shared" si="17"/>
        <v>48.863594872906134</v>
      </c>
      <c r="M259" s="15">
        <v>45181</v>
      </c>
      <c r="N259" s="47">
        <f t="shared" si="11"/>
        <v>69.771314181600246</v>
      </c>
      <c r="P259" s="15">
        <v>45546</v>
      </c>
      <c r="Q259" s="47">
        <f t="shared" si="12"/>
        <v>99.477210783977981</v>
      </c>
    </row>
    <row r="260" spans="6:17">
      <c r="G260" s="239">
        <v>44452</v>
      </c>
      <c r="H260" s="47">
        <f t="shared" si="16"/>
        <v>34.513427746968489</v>
      </c>
      <c r="J260" s="15">
        <v>44817</v>
      </c>
      <c r="K260" s="47">
        <f t="shared" si="17"/>
        <v>48.911763577084599</v>
      </c>
      <c r="M260" s="15">
        <v>45182</v>
      </c>
      <c r="N260" s="47">
        <f t="shared" si="11"/>
        <v>69.839150638515846</v>
      </c>
      <c r="P260" s="15">
        <v>45547</v>
      </c>
      <c r="Q260" s="47">
        <f t="shared" si="12"/>
        <v>99.573929350950465</v>
      </c>
    </row>
    <row r="261" spans="6:17">
      <c r="G261" s="239">
        <v>44453</v>
      </c>
      <c r="H261" s="47">
        <f t="shared" si="16"/>
        <v>34.545212175999872</v>
      </c>
      <c r="J261" s="15">
        <v>44818</v>
      </c>
      <c r="K261" s="47">
        <f t="shared" si="17"/>
        <v>48.959979764958611</v>
      </c>
      <c r="M261" s="15">
        <v>45183</v>
      </c>
      <c r="N261" s="47">
        <f t="shared" si="11"/>
        <v>69.907053050687423</v>
      </c>
      <c r="P261" s="15">
        <v>45548</v>
      </c>
      <c r="Q261" s="47">
        <f t="shared" si="12"/>
        <v>99.670741954347207</v>
      </c>
    </row>
    <row r="262" spans="6:17">
      <c r="G262" s="239">
        <v>44454</v>
      </c>
      <c r="H262" s="47">
        <f t="shared" si="16"/>
        <v>34.577025876245237</v>
      </c>
      <c r="J262" s="15">
        <v>44819</v>
      </c>
      <c r="K262" s="47">
        <f t="shared" si="17"/>
        <v>49.008243483336592</v>
      </c>
      <c r="M262" s="15">
        <v>45184</v>
      </c>
      <c r="N262" s="47">
        <f t="shared" ref="N262:N325" si="18">N261*(1+$B$43)</f>
        <v>69.975021482241203</v>
      </c>
      <c r="P262" s="15">
        <v>45549</v>
      </c>
      <c r="Q262" s="47">
        <f t="shared" ref="Q262:Q325" si="19">Q261*(1+$B$45)</f>
        <v>99.767648685596868</v>
      </c>
    </row>
    <row r="263" spans="6:17">
      <c r="F263" t="s">
        <v>198</v>
      </c>
      <c r="G263" s="238">
        <v>44455</v>
      </c>
      <c r="H263" s="47">
        <f>H262*(1+$B$28)</f>
        <v>34.608868874661304</v>
      </c>
      <c r="J263" s="15">
        <v>44820</v>
      </c>
      <c r="K263" s="47">
        <f t="shared" si="17"/>
        <v>49.056554779073124</v>
      </c>
      <c r="M263" s="15">
        <v>45185</v>
      </c>
      <c r="N263" s="47">
        <f t="shared" si="18"/>
        <v>70.043055997365755</v>
      </c>
      <c r="P263" s="15">
        <v>45550</v>
      </c>
      <c r="Q263" s="47">
        <f t="shared" si="19"/>
        <v>99.864649636216996</v>
      </c>
    </row>
    <row r="264" spans="6:17">
      <c r="G264" s="238">
        <v>44456</v>
      </c>
      <c r="H264" s="47">
        <f t="shared" ref="H264:H292" si="20">H263*(1+$B$28)</f>
        <v>34.640741198229627</v>
      </c>
      <c r="J264" s="15">
        <v>44821</v>
      </c>
      <c r="K264" s="47">
        <f t="shared" si="17"/>
        <v>49.104913699068959</v>
      </c>
      <c r="M264" s="15">
        <v>45186</v>
      </c>
      <c r="N264" s="47">
        <f t="shared" si="18"/>
        <v>70.111156660312062</v>
      </c>
      <c r="P264" s="15">
        <v>45551</v>
      </c>
      <c r="Q264" s="47">
        <f t="shared" si="19"/>
        <v>99.961744897814128</v>
      </c>
    </row>
    <row r="265" spans="6:17">
      <c r="G265" s="238">
        <v>44457</v>
      </c>
      <c r="H265" s="47">
        <f t="shared" si="20"/>
        <v>34.67264287395659</v>
      </c>
      <c r="J265" s="15">
        <v>44822</v>
      </c>
      <c r="K265" s="47">
        <f t="shared" si="17"/>
        <v>49.15332029027109</v>
      </c>
      <c r="M265" s="15">
        <v>45187</v>
      </c>
      <c r="N265" s="47">
        <f t="shared" si="18"/>
        <v>70.179323535393578</v>
      </c>
      <c r="P265" s="15">
        <v>45552</v>
      </c>
      <c r="Q265" s="47">
        <f t="shared" si="19"/>
        <v>100.05893456208388</v>
      </c>
    </row>
    <row r="266" spans="6:17">
      <c r="G266" s="238">
        <v>44458</v>
      </c>
      <c r="H266" s="47">
        <f t="shared" si="20"/>
        <v>34.704573928873458</v>
      </c>
      <c r="J266" s="15">
        <v>44823</v>
      </c>
      <c r="K266" s="47">
        <f t="shared" si="17"/>
        <v>49.201774599672795</v>
      </c>
      <c r="M266" s="15">
        <v>45188</v>
      </c>
      <c r="N266" s="47">
        <f t="shared" si="18"/>
        <v>70.247556686986272</v>
      </c>
      <c r="P266" s="15">
        <v>45553</v>
      </c>
      <c r="Q266" s="47">
        <f t="shared" si="19"/>
        <v>100.15621872081098</v>
      </c>
    </row>
    <row r="267" spans="6:17">
      <c r="G267" s="238">
        <v>44459</v>
      </c>
      <c r="H267" s="47">
        <f t="shared" si="20"/>
        <v>34.73653439003639</v>
      </c>
      <c r="J267" s="15">
        <v>44824</v>
      </c>
      <c r="K267" s="47">
        <f t="shared" si="17"/>
        <v>49.250276674313668</v>
      </c>
      <c r="M267" s="15">
        <v>45189</v>
      </c>
      <c r="N267" s="47">
        <f t="shared" si="18"/>
        <v>70.315856179528723</v>
      </c>
      <c r="P267" s="15">
        <v>45554</v>
      </c>
      <c r="Q267" s="47">
        <f t="shared" si="19"/>
        <v>100.25359746586945</v>
      </c>
    </row>
    <row r="268" spans="6:17">
      <c r="G268" s="238">
        <v>44460</v>
      </c>
      <c r="H268" s="47">
        <f t="shared" si="20"/>
        <v>34.768524284526464</v>
      </c>
      <c r="J268" s="15">
        <v>44825</v>
      </c>
      <c r="K268" s="47">
        <f t="shared" si="17"/>
        <v>49.298826561279675</v>
      </c>
      <c r="M268" s="15">
        <v>45190</v>
      </c>
      <c r="N268" s="47">
        <f t="shared" si="18"/>
        <v>70.384222077522139</v>
      </c>
      <c r="P268" s="15">
        <v>45555</v>
      </c>
      <c r="Q268" s="47">
        <f t="shared" si="19"/>
        <v>100.35107088922257</v>
      </c>
    </row>
    <row r="269" spans="6:17">
      <c r="G269" s="238">
        <v>44461</v>
      </c>
      <c r="H269" s="47">
        <f t="shared" si="20"/>
        <v>34.8005436394497</v>
      </c>
      <c r="J269" s="15">
        <v>44826</v>
      </c>
      <c r="K269" s="47">
        <f t="shared" si="17"/>
        <v>49.347424307703207</v>
      </c>
      <c r="M269" s="15">
        <v>45191</v>
      </c>
      <c r="N269" s="47">
        <f t="shared" si="18"/>
        <v>70.45265444553047</v>
      </c>
      <c r="P269" s="15">
        <v>45556</v>
      </c>
      <c r="Q269" s="47">
        <f t="shared" si="19"/>
        <v>100.44863908292309</v>
      </c>
    </row>
    <row r="270" spans="6:17">
      <c r="G270" s="238">
        <v>44462</v>
      </c>
      <c r="H270" s="47">
        <f t="shared" si="20"/>
        <v>34.83259248193707</v>
      </c>
      <c r="J270" s="15">
        <v>44827</v>
      </c>
      <c r="K270" s="47">
        <f t="shared" si="17"/>
        <v>49.396069960763107</v>
      </c>
      <c r="M270" s="15">
        <v>45192</v>
      </c>
      <c r="N270" s="47">
        <f t="shared" si="18"/>
        <v>70.521153348180405</v>
      </c>
      <c r="P270" s="15">
        <v>45557</v>
      </c>
      <c r="Q270" s="47">
        <f t="shared" si="19"/>
        <v>100.54630213911327</v>
      </c>
    </row>
    <row r="271" spans="6:17">
      <c r="G271" s="238">
        <v>44463</v>
      </c>
      <c r="H271" s="47">
        <f t="shared" si="20"/>
        <v>34.864670839144537</v>
      </c>
      <c r="J271" s="15">
        <v>44828</v>
      </c>
      <c r="K271" s="47">
        <f t="shared" si="17"/>
        <v>49.444763567684731</v>
      </c>
      <c r="M271" s="15">
        <v>45193</v>
      </c>
      <c r="N271" s="47">
        <f t="shared" si="18"/>
        <v>70.589718850161503</v>
      </c>
      <c r="P271" s="15">
        <v>45558</v>
      </c>
      <c r="Q271" s="47">
        <f t="shared" si="19"/>
        <v>100.64406015002488</v>
      </c>
    </row>
    <row r="272" spans="6:17">
      <c r="G272" s="238">
        <v>44464</v>
      </c>
      <c r="H272" s="47">
        <f t="shared" si="20"/>
        <v>34.896778738253076</v>
      </c>
      <c r="J272" s="15">
        <v>44829</v>
      </c>
      <c r="K272" s="47">
        <f t="shared" si="17"/>
        <v>49.493505175739983</v>
      </c>
      <c r="M272" s="15">
        <v>45194</v>
      </c>
      <c r="N272" s="47">
        <f t="shared" si="18"/>
        <v>70.658351016226192</v>
      </c>
      <c r="P272" s="15">
        <v>45559</v>
      </c>
      <c r="Q272" s="47">
        <f t="shared" si="19"/>
        <v>100.74191320797945</v>
      </c>
    </row>
    <row r="273" spans="7:17">
      <c r="G273" s="238">
        <v>44465</v>
      </c>
      <c r="H273" s="47">
        <f t="shared" si="20"/>
        <v>34.928916206468685</v>
      </c>
      <c r="J273" s="15">
        <v>44830</v>
      </c>
      <c r="K273" s="47">
        <f t="shared" si="17"/>
        <v>49.542294832247372</v>
      </c>
      <c r="M273" s="15">
        <v>45195</v>
      </c>
      <c r="N273" s="47">
        <f t="shared" si="18"/>
        <v>70.727049911189866</v>
      </c>
      <c r="P273" s="15">
        <v>45560</v>
      </c>
      <c r="Q273" s="47">
        <f t="shared" si="19"/>
        <v>100.83986140538821</v>
      </c>
    </row>
    <row r="274" spans="7:17">
      <c r="G274" s="238">
        <v>44466</v>
      </c>
      <c r="H274" s="47">
        <f t="shared" si="20"/>
        <v>34.961083271022432</v>
      </c>
      <c r="J274" s="15">
        <v>44831</v>
      </c>
      <c r="K274" s="47">
        <f t="shared" si="17"/>
        <v>49.591132584572058</v>
      </c>
      <c r="M274" s="15">
        <v>45196</v>
      </c>
      <c r="N274" s="47">
        <f t="shared" si="18"/>
        <v>70.795815599930947</v>
      </c>
      <c r="P274" s="15">
        <v>45561</v>
      </c>
      <c r="Q274" s="47">
        <f t="shared" si="19"/>
        <v>100.93790483475227</v>
      </c>
    </row>
    <row r="275" spans="7:17">
      <c r="G275" s="238">
        <v>44467</v>
      </c>
      <c r="H275" s="47">
        <f t="shared" si="20"/>
        <v>34.993279959170444</v>
      </c>
      <c r="J275" s="15">
        <v>44832</v>
      </c>
      <c r="K275" s="47">
        <f t="shared" si="17"/>
        <v>49.640018480125882</v>
      </c>
      <c r="M275" s="15">
        <v>45197</v>
      </c>
      <c r="N275" s="47">
        <f t="shared" si="18"/>
        <v>70.864648147390909</v>
      </c>
      <c r="P275" s="15">
        <v>45562</v>
      </c>
      <c r="Q275" s="47">
        <f t="shared" si="19"/>
        <v>101.03604358866268</v>
      </c>
    </row>
    <row r="276" spans="7:17">
      <c r="G276" s="238">
        <v>44468</v>
      </c>
      <c r="H276" s="47">
        <f t="shared" si="20"/>
        <v>35.025506298193967</v>
      </c>
      <c r="J276" s="15">
        <v>44833</v>
      </c>
      <c r="K276" s="47">
        <f t="shared" si="17"/>
        <v>49.688952566367426</v>
      </c>
      <c r="M276" s="15">
        <v>45198</v>
      </c>
      <c r="N276" s="47">
        <f t="shared" si="18"/>
        <v>70.933547618574408</v>
      </c>
      <c r="P276" s="15">
        <v>45563</v>
      </c>
      <c r="Q276" s="47">
        <f t="shared" si="19"/>
        <v>101.13427775980048</v>
      </c>
    </row>
    <row r="277" spans="7:17">
      <c r="G277" s="238">
        <v>44469</v>
      </c>
      <c r="H277" s="47">
        <f t="shared" si="20"/>
        <v>35.057762315399358</v>
      </c>
      <c r="J277" s="15">
        <v>44834</v>
      </c>
      <c r="K277" s="47">
        <f t="shared" si="17"/>
        <v>49.737934890802059</v>
      </c>
      <c r="M277" s="15">
        <v>45199</v>
      </c>
      <c r="N277" s="47">
        <f t="shared" si="18"/>
        <v>71.002514078549254</v>
      </c>
      <c r="P277" s="15">
        <v>45564</v>
      </c>
      <c r="Q277" s="47">
        <f t="shared" si="19"/>
        <v>101.23260744093686</v>
      </c>
    </row>
    <row r="278" spans="7:17">
      <c r="G278" s="238">
        <v>44470</v>
      </c>
      <c r="H278" s="47">
        <f t="shared" si="20"/>
        <v>35.090048038118127</v>
      </c>
      <c r="J278" s="15">
        <v>44835</v>
      </c>
      <c r="K278" s="47">
        <f t="shared" si="17"/>
        <v>49.786965500981971</v>
      </c>
      <c r="M278" s="15">
        <v>45200</v>
      </c>
      <c r="N278" s="47">
        <f t="shared" si="18"/>
        <v>71.071547592446564</v>
      </c>
      <c r="P278" s="15">
        <v>45565</v>
      </c>
      <c r="Q278" s="47">
        <f t="shared" si="19"/>
        <v>101.33103272493318</v>
      </c>
    </row>
    <row r="279" spans="7:17">
      <c r="G279" s="238">
        <v>44471</v>
      </c>
      <c r="H279" s="47">
        <f t="shared" si="20"/>
        <v>35.122363493706956</v>
      </c>
      <c r="J279" s="15">
        <v>44836</v>
      </c>
      <c r="K279" s="47">
        <f t="shared" si="17"/>
        <v>49.836044444506243</v>
      </c>
      <c r="M279" s="15">
        <v>45201</v>
      </c>
      <c r="N279" s="47">
        <f t="shared" si="18"/>
        <v>71.140648225460751</v>
      </c>
      <c r="P279" s="15">
        <v>45566</v>
      </c>
      <c r="Q279" s="47">
        <f t="shared" si="19"/>
        <v>101.42955370474111</v>
      </c>
    </row>
    <row r="280" spans="7:17">
      <c r="G280" s="238">
        <v>44472</v>
      </c>
      <c r="H280" s="47">
        <f t="shared" si="20"/>
        <v>35.15470870954772</v>
      </c>
      <c r="J280" s="15">
        <v>44837</v>
      </c>
      <c r="K280" s="47">
        <f t="shared" si="17"/>
        <v>49.885171769020864</v>
      </c>
      <c r="M280" s="15">
        <v>45202</v>
      </c>
      <c r="N280" s="47">
        <f t="shared" si="18"/>
        <v>71.209816042849624</v>
      </c>
      <c r="P280" s="15">
        <v>45567</v>
      </c>
      <c r="Q280" s="47">
        <f t="shared" si="19"/>
        <v>101.52817047340267</v>
      </c>
    </row>
    <row r="281" spans="7:17">
      <c r="G281" s="238">
        <v>44473</v>
      </c>
      <c r="H281" s="47">
        <f t="shared" si="20"/>
        <v>35.1870837130475</v>
      </c>
      <c r="J281" s="15">
        <v>44838</v>
      </c>
      <c r="K281" s="47">
        <f t="shared" si="17"/>
        <v>49.934347522218793</v>
      </c>
      <c r="M281" s="15">
        <v>45203</v>
      </c>
      <c r="N281" s="47">
        <f t="shared" si="18"/>
        <v>71.279051109934429</v>
      </c>
      <c r="P281" s="15">
        <v>45568</v>
      </c>
      <c r="Q281" s="47">
        <f t="shared" si="19"/>
        <v>101.62688312405035</v>
      </c>
    </row>
    <row r="282" spans="7:17">
      <c r="G282" s="238">
        <v>44474</v>
      </c>
      <c r="H282" s="47">
        <f t="shared" si="20"/>
        <v>35.219488531638632</v>
      </c>
      <c r="J282" s="15">
        <v>44839</v>
      </c>
      <c r="K282" s="47">
        <f t="shared" si="17"/>
        <v>49.983571751840017</v>
      </c>
      <c r="M282" s="15">
        <v>45204</v>
      </c>
      <c r="N282" s="47">
        <f t="shared" si="18"/>
        <v>71.348353492099946</v>
      </c>
      <c r="P282" s="15">
        <v>45569</v>
      </c>
      <c r="Q282" s="47">
        <f t="shared" si="19"/>
        <v>101.72569174990721</v>
      </c>
    </row>
    <row r="283" spans="7:17">
      <c r="G283" s="238">
        <v>44475</v>
      </c>
      <c r="H283" s="47">
        <f t="shared" si="20"/>
        <v>35.251923192778712</v>
      </c>
      <c r="J283" s="15">
        <v>44840</v>
      </c>
      <c r="K283" s="47">
        <f t="shared" si="17"/>
        <v>50.032844505671569</v>
      </c>
      <c r="M283" s="15">
        <v>45205</v>
      </c>
      <c r="N283" s="47">
        <f t="shared" si="18"/>
        <v>71.41772325479451</v>
      </c>
      <c r="P283" s="15">
        <v>45570</v>
      </c>
      <c r="Q283" s="47">
        <f t="shared" si="19"/>
        <v>101.82459644428693</v>
      </c>
    </row>
    <row r="284" spans="7:17">
      <c r="G284" s="238">
        <v>44476</v>
      </c>
      <c r="H284" s="47">
        <f t="shared" si="20"/>
        <v>35.284387723950616</v>
      </c>
      <c r="J284" s="15">
        <v>44841</v>
      </c>
      <c r="K284" s="47">
        <f t="shared" si="17"/>
        <v>50.082165831547599</v>
      </c>
      <c r="M284" s="15">
        <v>45206</v>
      </c>
      <c r="N284" s="47">
        <f t="shared" si="18"/>
        <v>71.487160463530103</v>
      </c>
      <c r="P284" s="15">
        <v>45571</v>
      </c>
      <c r="Q284" s="47">
        <f t="shared" si="19"/>
        <v>101.9235973005939</v>
      </c>
    </row>
    <row r="285" spans="7:17">
      <c r="G285" s="238">
        <v>44477</v>
      </c>
      <c r="H285" s="47">
        <f t="shared" si="20"/>
        <v>35.316882152662536</v>
      </c>
      <c r="J285" s="15">
        <v>44842</v>
      </c>
      <c r="K285" s="47">
        <f t="shared" si="17"/>
        <v>50.131535777349399</v>
      </c>
      <c r="M285" s="15">
        <v>45207</v>
      </c>
      <c r="N285" s="47">
        <f t="shared" si="18"/>
        <v>71.556665183882373</v>
      </c>
      <c r="P285" s="15">
        <v>45572</v>
      </c>
      <c r="Q285" s="47">
        <f t="shared" si="19"/>
        <v>102.02269441232335</v>
      </c>
    </row>
    <row r="286" spans="7:17">
      <c r="G286" s="238">
        <v>44478</v>
      </c>
      <c r="H286" s="47">
        <f t="shared" si="20"/>
        <v>35.349406506447991</v>
      </c>
      <c r="J286" s="15">
        <v>44843</v>
      </c>
      <c r="K286" s="47">
        <f t="shared" si="17"/>
        <v>50.180954391005471</v>
      </c>
      <c r="M286" s="15">
        <v>45208</v>
      </c>
      <c r="N286" s="47">
        <f t="shared" si="18"/>
        <v>71.626237481490762</v>
      </c>
      <c r="P286" s="15">
        <v>45573</v>
      </c>
      <c r="Q286" s="47">
        <f t="shared" si="19"/>
        <v>102.1218878730614</v>
      </c>
    </row>
    <row r="287" spans="7:17">
      <c r="G287" s="238">
        <v>44479</v>
      </c>
      <c r="H287" s="47">
        <f t="shared" si="20"/>
        <v>35.381960812865863</v>
      </c>
      <c r="J287" s="15">
        <v>44844</v>
      </c>
      <c r="K287" s="47">
        <f t="shared" si="17"/>
        <v>50.23042172049157</v>
      </c>
      <c r="M287" s="15">
        <v>45209</v>
      </c>
      <c r="N287" s="47">
        <f t="shared" si="18"/>
        <v>71.695877422058501</v>
      </c>
      <c r="P287" s="15">
        <v>45574</v>
      </c>
      <c r="Q287" s="47">
        <f t="shared" si="19"/>
        <v>102.22117777648516</v>
      </c>
    </row>
    <row r="288" spans="7:17">
      <c r="G288" s="238">
        <v>44480</v>
      </c>
      <c r="H288" s="47">
        <f t="shared" si="20"/>
        <v>35.414545099500408</v>
      </c>
      <c r="J288" s="15">
        <v>44845</v>
      </c>
      <c r="K288" s="47">
        <f t="shared" si="17"/>
        <v>50.279937813830735</v>
      </c>
      <c r="M288" s="15">
        <v>45210</v>
      </c>
      <c r="N288" s="47">
        <f t="shared" si="18"/>
        <v>71.765585071352717</v>
      </c>
      <c r="P288" s="15">
        <v>45575</v>
      </c>
      <c r="Q288" s="47">
        <f t="shared" si="19"/>
        <v>102.32056421636284</v>
      </c>
    </row>
    <row r="289" spans="6:17">
      <c r="G289" s="238">
        <v>44481</v>
      </c>
      <c r="H289" s="47">
        <f t="shared" si="20"/>
        <v>35.447159393961286</v>
      </c>
      <c r="J289" s="15">
        <v>44846</v>
      </c>
      <c r="K289" s="47">
        <f t="shared" si="17"/>
        <v>50.329502719093341</v>
      </c>
      <c r="M289" s="15">
        <v>45211</v>
      </c>
      <c r="N289" s="47">
        <f t="shared" si="18"/>
        <v>71.835360495204483</v>
      </c>
      <c r="P289" s="15">
        <v>45576</v>
      </c>
      <c r="Q289" s="47">
        <f t="shared" si="19"/>
        <v>102.4200472865538</v>
      </c>
    </row>
    <row r="290" spans="6:17">
      <c r="G290" s="238">
        <v>44482</v>
      </c>
      <c r="H290" s="47">
        <f t="shared" si="20"/>
        <v>35.479803723883585</v>
      </c>
      <c r="J290" s="15">
        <v>44847</v>
      </c>
      <c r="K290" s="47">
        <f t="shared" si="17"/>
        <v>50.379116484397159</v>
      </c>
      <c r="M290" s="15">
        <v>45212</v>
      </c>
      <c r="N290" s="47">
        <f t="shared" si="18"/>
        <v>71.905203759508865</v>
      </c>
      <c r="P290" s="15">
        <v>45577</v>
      </c>
      <c r="Q290" s="47">
        <f t="shared" si="19"/>
        <v>102.51962708100864</v>
      </c>
    </row>
    <row r="291" spans="6:17">
      <c r="G291" s="238">
        <v>44483</v>
      </c>
      <c r="H291" s="47">
        <f t="shared" si="20"/>
        <v>35.512478116927845</v>
      </c>
      <c r="J291" s="15">
        <v>44848</v>
      </c>
      <c r="K291" s="47">
        <f t="shared" si="17"/>
        <v>50.428779157907385</v>
      </c>
      <c r="M291" s="15">
        <v>45213</v>
      </c>
      <c r="N291" s="47">
        <f t="shared" si="18"/>
        <v>71.975114930225004</v>
      </c>
      <c r="P291" s="15">
        <v>45578</v>
      </c>
      <c r="Q291" s="47">
        <f t="shared" si="19"/>
        <v>102.61930369376933</v>
      </c>
    </row>
    <row r="292" spans="6:17">
      <c r="G292" s="238">
        <v>44484</v>
      </c>
      <c r="H292" s="47">
        <f t="shared" si="20"/>
        <v>35.54518260078008</v>
      </c>
      <c r="J292" s="15">
        <v>44849</v>
      </c>
      <c r="K292" s="47">
        <f t="shared" si="17"/>
        <v>50.478490787836705</v>
      </c>
      <c r="M292" s="15">
        <v>45214</v>
      </c>
      <c r="N292" s="47">
        <f t="shared" si="18"/>
        <v>72.045094073376177</v>
      </c>
      <c r="P292" s="15">
        <v>45579</v>
      </c>
      <c r="Q292" s="47">
        <f t="shared" si="19"/>
        <v>102.71907721896928</v>
      </c>
    </row>
    <row r="293" spans="6:17">
      <c r="F293" t="s">
        <v>199</v>
      </c>
      <c r="G293" s="239">
        <v>44485</v>
      </c>
      <c r="H293" s="47">
        <f>H292*(1+$B$30)</f>
        <v>35.577917203151799</v>
      </c>
      <c r="J293" s="15">
        <v>44850</v>
      </c>
      <c r="K293" s="47">
        <f t="shared" si="17"/>
        <v>50.528251422445329</v>
      </c>
      <c r="M293" s="15">
        <v>45215</v>
      </c>
      <c r="N293" s="47">
        <f t="shared" si="18"/>
        <v>72.115141255049835</v>
      </c>
      <c r="P293" s="15">
        <v>45580</v>
      </c>
      <c r="Q293" s="47">
        <f t="shared" si="19"/>
        <v>102.81894775083339</v>
      </c>
    </row>
    <row r="294" spans="6:17">
      <c r="G294" s="239">
        <v>44486</v>
      </c>
      <c r="H294" s="47">
        <f t="shared" ref="H294:H323" si="21">H293*(1+$B$30)</f>
        <v>35.61068195178003</v>
      </c>
      <c r="J294" s="15">
        <v>44851</v>
      </c>
      <c r="K294" s="47">
        <f t="shared" si="17"/>
        <v>50.578061110041041</v>
      </c>
      <c r="M294" s="15">
        <v>45216</v>
      </c>
      <c r="N294" s="47">
        <f t="shared" si="18"/>
        <v>72.185256541397706</v>
      </c>
      <c r="P294" s="15">
        <v>45581</v>
      </c>
      <c r="Q294" s="47">
        <f t="shared" si="19"/>
        <v>102.91891538367821</v>
      </c>
    </row>
    <row r="295" spans="6:17">
      <c r="G295" s="239">
        <v>44487</v>
      </c>
      <c r="H295" s="47">
        <f t="shared" si="21"/>
        <v>35.64347687442735</v>
      </c>
      <c r="J295" s="15">
        <v>44852</v>
      </c>
      <c r="K295" s="47">
        <f t="shared" si="17"/>
        <v>50.627919898979236</v>
      </c>
      <c r="M295" s="15">
        <v>45217</v>
      </c>
      <c r="N295" s="47">
        <f t="shared" si="18"/>
        <v>72.255439998635822</v>
      </c>
      <c r="P295" s="15">
        <v>45582</v>
      </c>
      <c r="Q295" s="47">
        <f t="shared" si="19"/>
        <v>103.01898021191197</v>
      </c>
    </row>
    <row r="296" spans="6:17">
      <c r="G296" s="239">
        <v>44488</v>
      </c>
      <c r="H296" s="47">
        <f t="shared" si="21"/>
        <v>35.67630199888189</v>
      </c>
      <c r="J296" s="15">
        <v>44853</v>
      </c>
      <c r="K296" s="47">
        <f t="shared" si="17"/>
        <v>50.677827837662988</v>
      </c>
      <c r="M296" s="15">
        <v>45218</v>
      </c>
      <c r="N296" s="47">
        <f t="shared" si="18"/>
        <v>72.325691693044604</v>
      </c>
      <c r="P296" s="15">
        <v>45583</v>
      </c>
      <c r="Q296" s="47">
        <f t="shared" si="19"/>
        <v>103.11914233003468</v>
      </c>
    </row>
    <row r="297" spans="6:17">
      <c r="G297" s="239">
        <v>44489</v>
      </c>
      <c r="H297" s="47">
        <f t="shared" si="21"/>
        <v>35.709157352957384</v>
      </c>
      <c r="J297" s="15">
        <v>44854</v>
      </c>
      <c r="K297" s="47">
        <f t="shared" si="17"/>
        <v>50.727784974543084</v>
      </c>
      <c r="M297" s="15">
        <v>45219</v>
      </c>
      <c r="N297" s="47">
        <f t="shared" si="18"/>
        <v>72.396011690968905</v>
      </c>
      <c r="P297" s="15">
        <v>45584</v>
      </c>
      <c r="Q297" s="47">
        <f t="shared" si="19"/>
        <v>103.21940183263825</v>
      </c>
    </row>
    <row r="298" spans="6:17">
      <c r="G298" s="239">
        <v>44490</v>
      </c>
      <c r="H298" s="47">
        <f t="shared" si="21"/>
        <v>35.74204296449318</v>
      </c>
      <c r="J298" s="15">
        <v>44855</v>
      </c>
      <c r="K298" s="47">
        <f t="shared" si="17"/>
        <v>50.777791358118073</v>
      </c>
      <c r="M298" s="15">
        <v>45220</v>
      </c>
      <c r="N298" s="47">
        <f t="shared" si="18"/>
        <v>72.466400058818095</v>
      </c>
      <c r="P298" s="15">
        <v>45585</v>
      </c>
      <c r="Q298" s="47">
        <f t="shared" si="19"/>
        <v>103.31975881440655</v>
      </c>
    </row>
    <row r="299" spans="6:17">
      <c r="G299" s="239">
        <v>44491</v>
      </c>
      <c r="H299" s="47">
        <f t="shared" si="21"/>
        <v>35.774958861354264</v>
      </c>
      <c r="J299" s="15">
        <v>44856</v>
      </c>
      <c r="K299" s="47">
        <f t="shared" si="17"/>
        <v>50.827847036934308</v>
      </c>
      <c r="M299" s="15">
        <v>45221</v>
      </c>
      <c r="N299" s="47">
        <f t="shared" si="18"/>
        <v>72.536856863066092</v>
      </c>
      <c r="P299" s="15">
        <v>45586</v>
      </c>
      <c r="Q299" s="47">
        <f t="shared" si="19"/>
        <v>103.42021337011552</v>
      </c>
    </row>
    <row r="300" spans="6:17">
      <c r="G300" s="239">
        <v>44492</v>
      </c>
      <c r="H300" s="47">
        <f t="shared" si="21"/>
        <v>35.807905071431279</v>
      </c>
      <c r="J300" s="15">
        <v>44857</v>
      </c>
      <c r="K300" s="47">
        <f t="shared" si="17"/>
        <v>50.877952059586001</v>
      </c>
      <c r="M300" s="15">
        <v>45222</v>
      </c>
      <c r="N300" s="47">
        <f t="shared" si="18"/>
        <v>72.607382170251469</v>
      </c>
      <c r="P300" s="15">
        <v>45587</v>
      </c>
      <c r="Q300" s="47">
        <f t="shared" si="19"/>
        <v>103.52076559463323</v>
      </c>
    </row>
    <row r="301" spans="6:17">
      <c r="G301" s="239">
        <v>44493</v>
      </c>
      <c r="H301" s="47">
        <f t="shared" si="21"/>
        <v>35.840881622640552</v>
      </c>
      <c r="J301" s="15">
        <v>44858</v>
      </c>
      <c r="K301" s="47">
        <f t="shared" si="17"/>
        <v>50.928106474715271</v>
      </c>
      <c r="M301" s="15">
        <v>45223</v>
      </c>
      <c r="N301" s="47">
        <f t="shared" si="18"/>
        <v>72.677976046977463</v>
      </c>
      <c r="P301" s="15">
        <v>45588</v>
      </c>
      <c r="Q301" s="47">
        <f t="shared" si="19"/>
        <v>103.62141558291999</v>
      </c>
    </row>
    <row r="302" spans="6:17">
      <c r="G302" s="239">
        <v>44494</v>
      </c>
      <c r="H302" s="47">
        <f t="shared" si="21"/>
        <v>35.873888542924128</v>
      </c>
      <c r="J302" s="15">
        <v>44859</v>
      </c>
      <c r="K302" s="47">
        <f t="shared" si="17"/>
        <v>50.978310331012182</v>
      </c>
      <c r="M302" s="15">
        <v>45224</v>
      </c>
      <c r="N302" s="47">
        <f t="shared" si="18"/>
        <v>72.748638559912095</v>
      </c>
      <c r="P302" s="15">
        <v>45589</v>
      </c>
      <c r="Q302" s="47">
        <f t="shared" si="19"/>
        <v>103.72216343002846</v>
      </c>
    </row>
    <row r="303" spans="6:17">
      <c r="G303" s="239">
        <v>44495</v>
      </c>
      <c r="H303" s="47">
        <f t="shared" si="21"/>
        <v>35.906925860249778</v>
      </c>
      <c r="J303" s="15">
        <v>44860</v>
      </c>
      <c r="K303" s="47">
        <f t="shared" si="17"/>
        <v>51.028563677214798</v>
      </c>
      <c r="M303" s="15">
        <v>45225</v>
      </c>
      <c r="N303" s="47">
        <f t="shared" si="18"/>
        <v>72.819369775788189</v>
      </c>
      <c r="P303" s="15">
        <v>45590</v>
      </c>
      <c r="Q303" s="47">
        <f t="shared" si="19"/>
        <v>103.82300923110367</v>
      </c>
    </row>
    <row r="304" spans="6:17">
      <c r="G304" s="239">
        <v>44496</v>
      </c>
      <c r="H304" s="47">
        <f t="shared" si="21"/>
        <v>35.939993602611025</v>
      </c>
      <c r="J304" s="15">
        <v>44861</v>
      </c>
      <c r="K304" s="47">
        <f t="shared" si="17"/>
        <v>51.078866562109226</v>
      </c>
      <c r="M304" s="15">
        <v>45226</v>
      </c>
      <c r="N304" s="47">
        <f t="shared" si="18"/>
        <v>72.89016976140347</v>
      </c>
      <c r="P304" s="15">
        <v>45591</v>
      </c>
      <c r="Q304" s="47">
        <f t="shared" si="19"/>
        <v>103.9239530813832</v>
      </c>
    </row>
    <row r="305" spans="5:17">
      <c r="G305" s="239">
        <v>44497</v>
      </c>
      <c r="H305" s="47">
        <f t="shared" si="21"/>
        <v>35.973091798027184</v>
      </c>
      <c r="J305" s="15">
        <v>44862</v>
      </c>
      <c r="K305" s="47">
        <f t="shared" si="17"/>
        <v>51.129219034529662</v>
      </c>
      <c r="M305" s="15">
        <v>45227</v>
      </c>
      <c r="N305" s="47">
        <f t="shared" si="18"/>
        <v>72.961038583620578</v>
      </c>
      <c r="P305" s="15">
        <v>45592</v>
      </c>
      <c r="Q305" s="47">
        <f t="shared" si="19"/>
        <v>104.02499507619721</v>
      </c>
    </row>
    <row r="306" spans="5:17">
      <c r="G306" s="239">
        <v>44498</v>
      </c>
      <c r="H306" s="47">
        <f t="shared" si="21"/>
        <v>36.006220474543362</v>
      </c>
      <c r="J306" s="15">
        <v>44863</v>
      </c>
      <c r="K306" s="47">
        <f t="shared" si="17"/>
        <v>51.179621143358453</v>
      </c>
      <c r="M306" s="15">
        <v>45228</v>
      </c>
      <c r="N306" s="47">
        <f t="shared" si="18"/>
        <v>73.031976309367195</v>
      </c>
      <c r="P306" s="15">
        <v>45593</v>
      </c>
      <c r="Q306" s="47">
        <f t="shared" si="19"/>
        <v>104.12613531096855</v>
      </c>
    </row>
    <row r="307" spans="5:17">
      <c r="G307" s="239">
        <v>44499</v>
      </c>
      <c r="H307" s="47">
        <f t="shared" si="21"/>
        <v>36.039379660230502</v>
      </c>
      <c r="J307" s="15">
        <v>44864</v>
      </c>
      <c r="K307" s="47">
        <f t="shared" ref="K307:K369" si="22">K306*(1+$B$41)</f>
        <v>51.230072937526124</v>
      </c>
      <c r="M307" s="15">
        <v>45229</v>
      </c>
      <c r="N307" s="47">
        <f t="shared" si="18"/>
        <v>73.102983005636048</v>
      </c>
      <c r="P307" s="15">
        <v>45594</v>
      </c>
      <c r="Q307" s="47">
        <f t="shared" si="19"/>
        <v>104.22737388121284</v>
      </c>
    </row>
    <row r="308" spans="5:17">
      <c r="G308" s="239">
        <v>44500</v>
      </c>
      <c r="H308" s="47">
        <f t="shared" si="21"/>
        <v>36.072569383185396</v>
      </c>
      <c r="J308" s="15">
        <v>44865</v>
      </c>
      <c r="K308" s="47">
        <f t="shared" si="22"/>
        <v>51.280574466011437</v>
      </c>
      <c r="M308" s="15">
        <v>45230</v>
      </c>
      <c r="N308" s="47">
        <f t="shared" si="18"/>
        <v>73.174058739485005</v>
      </c>
      <c r="P308" s="15">
        <v>45595</v>
      </c>
      <c r="Q308" s="47">
        <f t="shared" si="19"/>
        <v>104.32871088253857</v>
      </c>
    </row>
    <row r="309" spans="5:17">
      <c r="G309" s="239">
        <v>44501</v>
      </c>
      <c r="H309" s="47">
        <f t="shared" si="21"/>
        <v>36.105789671530715</v>
      </c>
      <c r="J309" s="15">
        <v>44866</v>
      </c>
      <c r="K309" s="47">
        <f t="shared" si="22"/>
        <v>51.331125777841436</v>
      </c>
      <c r="M309" s="15">
        <v>45231</v>
      </c>
      <c r="N309" s="47">
        <f t="shared" si="18"/>
        <v>73.245203578037149</v>
      </c>
      <c r="P309" s="15">
        <v>45596</v>
      </c>
      <c r="Q309" s="47">
        <f t="shared" si="19"/>
        <v>104.4301464106472</v>
      </c>
    </row>
    <row r="310" spans="5:17">
      <c r="G310" s="239">
        <v>44502</v>
      </c>
      <c r="H310" s="47">
        <f t="shared" si="21"/>
        <v>36.139040553415022</v>
      </c>
      <c r="J310" s="15">
        <v>44867</v>
      </c>
      <c r="K310" s="47">
        <f t="shared" si="22"/>
        <v>51.381726922091495</v>
      </c>
      <c r="M310" s="15">
        <v>45232</v>
      </c>
      <c r="N310" s="47">
        <f t="shared" si="18"/>
        <v>73.316417588480803</v>
      </c>
      <c r="P310" s="15">
        <v>45597</v>
      </c>
      <c r="Q310" s="47">
        <f t="shared" si="19"/>
        <v>104.5316805613332</v>
      </c>
    </row>
    <row r="311" spans="5:17">
      <c r="G311" s="239">
        <v>44503</v>
      </c>
      <c r="H311" s="47">
        <f t="shared" si="21"/>
        <v>36.172322057012799</v>
      </c>
      <c r="J311" s="15">
        <v>44868</v>
      </c>
      <c r="K311" s="47">
        <f t="shared" si="22"/>
        <v>51.432377947885364</v>
      </c>
      <c r="M311" s="15">
        <v>45233</v>
      </c>
      <c r="N311" s="47">
        <f t="shared" si="18"/>
        <v>73.38770083806962</v>
      </c>
      <c r="P311" s="15">
        <v>45598</v>
      </c>
      <c r="Q311" s="47">
        <f t="shared" si="19"/>
        <v>104.63331343048424</v>
      </c>
    </row>
    <row r="312" spans="5:17">
      <c r="G312" s="239">
        <v>44504</v>
      </c>
      <c r="H312" s="47">
        <f t="shared" si="21"/>
        <v>36.205634210524487</v>
      </c>
      <c r="J312" s="15">
        <v>44869</v>
      </c>
      <c r="K312" s="47">
        <f t="shared" si="22"/>
        <v>51.483078904395221</v>
      </c>
      <c r="M312" s="15">
        <v>45234</v>
      </c>
      <c r="N312" s="47">
        <f t="shared" si="18"/>
        <v>73.459053394122648</v>
      </c>
      <c r="P312" s="15">
        <v>45599</v>
      </c>
      <c r="Q312" s="47">
        <f t="shared" si="19"/>
        <v>104.73504511408115</v>
      </c>
    </row>
    <row r="313" spans="5:17">
      <c r="G313" s="239">
        <v>44505</v>
      </c>
      <c r="H313" s="47">
        <f t="shared" si="21"/>
        <v>36.238977042176487</v>
      </c>
      <c r="J313" s="15">
        <v>44870</v>
      </c>
      <c r="K313" s="47">
        <f t="shared" si="22"/>
        <v>51.533829840841719</v>
      </c>
      <c r="M313" s="15">
        <v>45235</v>
      </c>
      <c r="N313" s="47">
        <f t="shared" si="18"/>
        <v>73.530475324024394</v>
      </c>
      <c r="P313" s="15">
        <v>45600</v>
      </c>
      <c r="Q313" s="47">
        <f t="shared" si="19"/>
        <v>104.83687570819812</v>
      </c>
    </row>
    <row r="314" spans="5:17">
      <c r="G314" s="239">
        <v>44506</v>
      </c>
      <c r="H314" s="47">
        <f t="shared" si="21"/>
        <v>36.2723505802212</v>
      </c>
      <c r="J314" s="15">
        <v>44871</v>
      </c>
      <c r="K314" s="47">
        <f t="shared" si="22"/>
        <v>51.584630806494026</v>
      </c>
      <c r="M314" s="15">
        <v>45236</v>
      </c>
      <c r="N314" s="47">
        <f t="shared" si="18"/>
        <v>73.601966695224874</v>
      </c>
      <c r="P314" s="15">
        <v>45601</v>
      </c>
      <c r="Q314" s="47">
        <f t="shared" si="19"/>
        <v>104.93880530900276</v>
      </c>
    </row>
    <row r="315" spans="5:17">
      <c r="G315" s="239">
        <v>44507</v>
      </c>
      <c r="H315" s="47">
        <f t="shared" si="21"/>
        <v>36.305754852937049</v>
      </c>
      <c r="J315" s="15">
        <v>44872</v>
      </c>
      <c r="K315" s="47">
        <f t="shared" si="22"/>
        <v>51.635481850669883</v>
      </c>
      <c r="M315" s="15">
        <v>45237</v>
      </c>
      <c r="N315" s="47">
        <f t="shared" si="18"/>
        <v>73.673527575239675</v>
      </c>
      <c r="P315" s="15">
        <v>45602</v>
      </c>
      <c r="Q315" s="47">
        <f t="shared" si="19"/>
        <v>105.04083401275614</v>
      </c>
    </row>
    <row r="316" spans="5:17">
      <c r="G316" s="239">
        <v>44508</v>
      </c>
      <c r="H316" s="47">
        <f t="shared" si="21"/>
        <v>36.339189888628496</v>
      </c>
      <c r="J316" s="15">
        <v>44873</v>
      </c>
      <c r="K316" s="47">
        <f t="shared" si="22"/>
        <v>51.68638302273564</v>
      </c>
      <c r="M316" s="15">
        <v>45238</v>
      </c>
      <c r="N316" s="47">
        <f t="shared" si="18"/>
        <v>73.745158031650021</v>
      </c>
      <c r="P316" s="15">
        <v>45603</v>
      </c>
      <c r="Q316" s="47">
        <f t="shared" si="19"/>
        <v>105.14296191581295</v>
      </c>
    </row>
    <row r="317" spans="5:17">
      <c r="G317" s="239">
        <v>44509</v>
      </c>
      <c r="H317" s="47">
        <f t="shared" si="21"/>
        <v>36.372655715626067</v>
      </c>
      <c r="J317" s="15">
        <v>44874</v>
      </c>
      <c r="K317" s="47">
        <f t="shared" si="22"/>
        <v>51.737334372106318</v>
      </c>
      <c r="M317" s="15">
        <v>45239</v>
      </c>
      <c r="N317" s="47">
        <f t="shared" si="18"/>
        <v>73.816858132102865</v>
      </c>
      <c r="P317" s="15">
        <v>45604</v>
      </c>
      <c r="Q317" s="47">
        <f t="shared" si="19"/>
        <v>105.24518911462155</v>
      </c>
    </row>
    <row r="318" spans="5:17">
      <c r="G318" s="239">
        <v>44510</v>
      </c>
      <c r="H318" s="47">
        <f t="shared" si="21"/>
        <v>36.406152362286377</v>
      </c>
      <c r="J318" s="15">
        <v>44875</v>
      </c>
      <c r="K318" s="47">
        <f t="shared" si="22"/>
        <v>51.788335948245653</v>
      </c>
      <c r="M318" s="15">
        <v>45240</v>
      </c>
      <c r="N318" s="47">
        <f t="shared" si="18"/>
        <v>73.888627944310926</v>
      </c>
      <c r="P318" s="15">
        <v>45605</v>
      </c>
      <c r="Q318" s="47">
        <f t="shared" si="19"/>
        <v>105.34751570572411</v>
      </c>
    </row>
    <row r="319" spans="5:17">
      <c r="E319" s="4"/>
      <c r="G319" s="239">
        <v>44511</v>
      </c>
      <c r="H319" s="47">
        <f t="shared" si="21"/>
        <v>36.439679856992157</v>
      </c>
      <c r="J319" s="15">
        <v>44876</v>
      </c>
      <c r="K319" s="47">
        <f t="shared" si="22"/>
        <v>51.839387800666138</v>
      </c>
      <c r="M319" s="15">
        <v>45241</v>
      </c>
      <c r="N319" s="47">
        <f t="shared" si="18"/>
        <v>73.960467536052761</v>
      </c>
      <c r="P319" s="15">
        <v>45606</v>
      </c>
      <c r="Q319" s="47">
        <f t="shared" si="19"/>
        <v>105.44994178575659</v>
      </c>
    </row>
    <row r="320" spans="5:17">
      <c r="E320" s="2"/>
      <c r="G320" s="239">
        <v>44512</v>
      </c>
      <c r="H320" s="47">
        <f t="shared" si="21"/>
        <v>36.473238228152283</v>
      </c>
      <c r="J320" s="15">
        <v>44877</v>
      </c>
      <c r="K320" s="47">
        <f t="shared" si="22"/>
        <v>51.890489978929068</v>
      </c>
      <c r="M320" s="15">
        <v>45242</v>
      </c>
      <c r="N320" s="47">
        <f t="shared" si="18"/>
        <v>74.032376975172795</v>
      </c>
      <c r="P320" s="15">
        <v>45607</v>
      </c>
      <c r="Q320" s="47">
        <f t="shared" si="19"/>
        <v>105.55246745144899</v>
      </c>
    </row>
    <row r="321" spans="6:17">
      <c r="G321" s="239">
        <v>44513</v>
      </c>
      <c r="H321" s="47">
        <f t="shared" si="21"/>
        <v>36.506827504201787</v>
      </c>
      <c r="J321" s="15">
        <v>44878</v>
      </c>
      <c r="K321" s="47">
        <f t="shared" si="22"/>
        <v>51.941642532644607</v>
      </c>
      <c r="M321" s="15">
        <v>45243</v>
      </c>
      <c r="N321" s="47">
        <f t="shared" si="18"/>
        <v>74.104356329581464</v>
      </c>
      <c r="P321" s="15">
        <v>45608</v>
      </c>
      <c r="Q321" s="47">
        <f t="shared" si="19"/>
        <v>105.65509279962529</v>
      </c>
    </row>
    <row r="322" spans="6:17">
      <c r="G322" s="239">
        <v>44514</v>
      </c>
      <c r="H322" s="47">
        <f t="shared" si="21"/>
        <v>36.540447713601885</v>
      </c>
      <c r="J322" s="15">
        <v>44879</v>
      </c>
      <c r="K322" s="47">
        <f t="shared" si="22"/>
        <v>51.992845511471813</v>
      </c>
      <c r="M322" s="15">
        <v>45244</v>
      </c>
      <c r="N322" s="47">
        <f t="shared" si="18"/>
        <v>74.176405667255196</v>
      </c>
      <c r="P322" s="15">
        <v>45609</v>
      </c>
      <c r="Q322" s="47">
        <f t="shared" si="19"/>
        <v>105.75781792720366</v>
      </c>
    </row>
    <row r="323" spans="6:17">
      <c r="G323" s="239">
        <v>44515</v>
      </c>
      <c r="H323" s="47">
        <f t="shared" si="21"/>
        <v>36.574098884840012</v>
      </c>
      <c r="J323" s="15">
        <v>44880</v>
      </c>
      <c r="K323" s="47">
        <f t="shared" si="22"/>
        <v>52.0440989651187</v>
      </c>
      <c r="M323" s="15">
        <v>45245</v>
      </c>
      <c r="N323" s="47">
        <f t="shared" si="18"/>
        <v>74.248525056236517</v>
      </c>
      <c r="P323" s="15">
        <v>45610</v>
      </c>
      <c r="Q323" s="47">
        <f t="shared" si="19"/>
        <v>105.86064293119647</v>
      </c>
    </row>
    <row r="324" spans="6:17">
      <c r="F324" t="s">
        <v>200</v>
      </c>
      <c r="G324" s="238">
        <v>44516</v>
      </c>
      <c r="H324" s="47">
        <f>H323*(1+$B$32)</f>
        <v>36.607781046429835</v>
      </c>
      <c r="J324" s="15">
        <v>44881</v>
      </c>
      <c r="K324" s="47">
        <f t="shared" si="22"/>
        <v>52.095402943342279</v>
      </c>
      <c r="M324" s="15">
        <v>45246</v>
      </c>
      <c r="N324" s="47">
        <f t="shared" si="18"/>
        <v>74.320714564634116</v>
      </c>
      <c r="P324" s="15">
        <v>45611</v>
      </c>
      <c r="Q324" s="47">
        <f t="shared" si="19"/>
        <v>105.96356790871042</v>
      </c>
    </row>
    <row r="325" spans="6:17">
      <c r="G325" s="238">
        <v>44517</v>
      </c>
      <c r="H325" s="47">
        <f t="shared" ref="H325:H353" si="23">H324*(1+$B$32)</f>
        <v>36.641494226911277</v>
      </c>
      <c r="J325" s="15">
        <v>44882</v>
      </c>
      <c r="K325" s="47">
        <f t="shared" si="22"/>
        <v>52.14675749594862</v>
      </c>
      <c r="M325" s="15">
        <v>45247</v>
      </c>
      <c r="N325" s="47">
        <f t="shared" si="18"/>
        <v>74.392974260622893</v>
      </c>
      <c r="P325" s="15">
        <v>45612</v>
      </c>
      <c r="Q325" s="47">
        <f t="shared" si="19"/>
        <v>106.06659295694662</v>
      </c>
    </row>
    <row r="326" spans="6:17">
      <c r="G326" s="238">
        <v>44518</v>
      </c>
      <c r="H326" s="47">
        <f t="shared" si="23"/>
        <v>36.675238454850543</v>
      </c>
      <c r="J326" s="15">
        <v>44883</v>
      </c>
      <c r="K326" s="47">
        <f t="shared" si="22"/>
        <v>52.19816267279289</v>
      </c>
      <c r="M326" s="15">
        <v>45248</v>
      </c>
      <c r="N326" s="47">
        <f t="shared" ref="N326:N369" si="24">N325*(1+$B$43)</f>
        <v>74.465304212444053</v>
      </c>
      <c r="P326" s="15">
        <v>45613</v>
      </c>
      <c r="Q326" s="47">
        <f t="shared" ref="Q326:Q370" si="25">Q325*(1+$B$45)</f>
        <v>106.16971817320069</v>
      </c>
    </row>
    <row r="327" spans="6:17">
      <c r="G327" s="238">
        <v>44519</v>
      </c>
      <c r="H327" s="47">
        <f t="shared" si="23"/>
        <v>36.70901375884015</v>
      </c>
      <c r="J327" s="15">
        <v>44884</v>
      </c>
      <c r="K327" s="47">
        <f t="shared" si="22"/>
        <v>52.24961852377939</v>
      </c>
      <c r="M327" s="15">
        <v>45249</v>
      </c>
      <c r="N327" s="47">
        <f t="shared" si="24"/>
        <v>74.537704488405126</v>
      </c>
      <c r="P327" s="15">
        <v>45614</v>
      </c>
      <c r="Q327" s="47">
        <f t="shared" si="25"/>
        <v>106.27294365486286</v>
      </c>
    </row>
    <row r="328" spans="6:17">
      <c r="G328" s="238">
        <v>44520</v>
      </c>
      <c r="H328" s="47">
        <f t="shared" si="23"/>
        <v>36.742820167498948</v>
      </c>
      <c r="J328" s="15">
        <v>44885</v>
      </c>
      <c r="K328" s="47">
        <f t="shared" si="22"/>
        <v>52.301125098861625</v>
      </c>
      <c r="M328" s="15">
        <v>45250</v>
      </c>
      <c r="N328" s="47">
        <f t="shared" si="24"/>
        <v>74.610175156880061</v>
      </c>
      <c r="P328" s="15">
        <v>45615</v>
      </c>
      <c r="Q328" s="47">
        <f t="shared" si="25"/>
        <v>106.37626949941802</v>
      </c>
    </row>
    <row r="329" spans="6:17">
      <c r="G329" s="238">
        <v>44521</v>
      </c>
      <c r="H329" s="47">
        <f t="shared" si="23"/>
        <v>36.77665770947214</v>
      </c>
      <c r="J329" s="15">
        <v>44886</v>
      </c>
      <c r="K329" s="47">
        <f t="shared" si="22"/>
        <v>52.352682448042351</v>
      </c>
      <c r="M329" s="15">
        <v>45251</v>
      </c>
      <c r="N329" s="47">
        <f t="shared" si="24"/>
        <v>74.682716286309287</v>
      </c>
      <c r="P329" s="15">
        <v>45616</v>
      </c>
      <c r="Q329" s="47">
        <f t="shared" si="25"/>
        <v>106.47969580444585</v>
      </c>
    </row>
    <row r="330" spans="6:17">
      <c r="G330" s="238">
        <v>44522</v>
      </c>
      <c r="H330" s="47">
        <f t="shared" si="23"/>
        <v>36.810526413431312</v>
      </c>
      <c r="J330" s="15">
        <v>44887</v>
      </c>
      <c r="K330" s="47">
        <f t="shared" si="22"/>
        <v>52.404290621373598</v>
      </c>
      <c r="M330" s="15">
        <v>45252</v>
      </c>
      <c r="N330" s="47">
        <f t="shared" si="24"/>
        <v>74.755327945199781</v>
      </c>
      <c r="P330" s="15">
        <v>45617</v>
      </c>
      <c r="Q330" s="47">
        <f t="shared" si="25"/>
        <v>106.58322266762094</v>
      </c>
    </row>
    <row r="331" spans="6:17">
      <c r="G331" s="238">
        <v>44523</v>
      </c>
      <c r="H331" s="47">
        <f t="shared" si="23"/>
        <v>36.844426308074446</v>
      </c>
      <c r="J331" s="15">
        <v>44888</v>
      </c>
      <c r="K331" s="47">
        <f t="shared" si="22"/>
        <v>52.455949668956748</v>
      </c>
      <c r="M331" s="15">
        <v>45253</v>
      </c>
      <c r="N331" s="47">
        <f t="shared" si="24"/>
        <v>74.828010202125128</v>
      </c>
      <c r="P331" s="15">
        <v>45618</v>
      </c>
      <c r="Q331" s="47">
        <f t="shared" si="25"/>
        <v>106.6868501867128</v>
      </c>
    </row>
    <row r="332" spans="6:17">
      <c r="G332" s="238">
        <v>44524</v>
      </c>
      <c r="H332" s="47">
        <f t="shared" si="23"/>
        <v>36.878357422125958</v>
      </c>
      <c r="J332" s="15">
        <v>44889</v>
      </c>
      <c r="K332" s="47">
        <f t="shared" si="22"/>
        <v>52.507659640942563</v>
      </c>
      <c r="M332" s="15">
        <v>45254</v>
      </c>
      <c r="N332" s="47">
        <f t="shared" si="24"/>
        <v>74.900763125725575</v>
      </c>
      <c r="P332" s="15">
        <v>45619</v>
      </c>
      <c r="Q332" s="47">
        <f t="shared" si="25"/>
        <v>106.79057845958602</v>
      </c>
    </row>
    <row r="333" spans="6:17">
      <c r="G333" s="238">
        <v>44525</v>
      </c>
      <c r="H333" s="47">
        <f t="shared" si="23"/>
        <v>36.912319784336724</v>
      </c>
      <c r="J333" s="15">
        <v>44890</v>
      </c>
      <c r="K333" s="47">
        <f t="shared" si="22"/>
        <v>52.559420587531257</v>
      </c>
      <c r="M333" s="15">
        <v>45255</v>
      </c>
      <c r="N333" s="47">
        <f t="shared" si="24"/>
        <v>74.973586784708104</v>
      </c>
      <c r="P333" s="15">
        <v>45620</v>
      </c>
      <c r="Q333" s="47">
        <f t="shared" si="25"/>
        <v>106.89440758420032</v>
      </c>
    </row>
    <row r="334" spans="6:17">
      <c r="G334" s="238">
        <v>44526</v>
      </c>
      <c r="H334" s="47">
        <f t="shared" si="23"/>
        <v>36.946313423484085</v>
      </c>
      <c r="J334" s="15">
        <v>44891</v>
      </c>
      <c r="K334" s="47">
        <f t="shared" si="22"/>
        <v>52.611232558972517</v>
      </c>
      <c r="M334" s="15">
        <v>45256</v>
      </c>
      <c r="N334" s="47">
        <f t="shared" si="24"/>
        <v>75.046481247846515</v>
      </c>
      <c r="P334" s="15">
        <v>45621</v>
      </c>
      <c r="Q334" s="47">
        <f t="shared" si="25"/>
        <v>106.99833765861071</v>
      </c>
    </row>
    <row r="335" spans="6:17">
      <c r="G335" s="238">
        <v>44527</v>
      </c>
      <c r="H335" s="47">
        <f t="shared" si="23"/>
        <v>36.980338368371896</v>
      </c>
      <c r="J335" s="15">
        <v>44892</v>
      </c>
      <c r="K335" s="47">
        <f t="shared" si="22"/>
        <v>52.663095605565566</v>
      </c>
      <c r="M335" s="15">
        <v>45257</v>
      </c>
      <c r="N335" s="47">
        <f t="shared" si="24"/>
        <v>75.119446583981457</v>
      </c>
      <c r="P335" s="15">
        <v>45622</v>
      </c>
      <c r="Q335" s="47">
        <f t="shared" si="25"/>
        <v>107.10236878096748</v>
      </c>
    </row>
    <row r="336" spans="6:17">
      <c r="G336" s="238">
        <v>44528</v>
      </c>
      <c r="H336" s="47">
        <f t="shared" si="23"/>
        <v>37.014394647830528</v>
      </c>
      <c r="J336" s="15">
        <v>44893</v>
      </c>
      <c r="K336" s="47">
        <f t="shared" si="22"/>
        <v>52.715009777659219</v>
      </c>
      <c r="M336" s="15">
        <v>45258</v>
      </c>
      <c r="N336" s="47">
        <f t="shared" si="24"/>
        <v>75.192482862020512</v>
      </c>
      <c r="P336" s="15">
        <v>45623</v>
      </c>
      <c r="Q336" s="47">
        <f t="shared" si="25"/>
        <v>107.20650104951639</v>
      </c>
    </row>
    <row r="337" spans="2:17">
      <c r="G337" s="238">
        <v>44529</v>
      </c>
      <c r="H337" s="47">
        <f t="shared" si="23"/>
        <v>37.048482290716912</v>
      </c>
      <c r="J337" s="15">
        <v>44894</v>
      </c>
      <c r="K337" s="47">
        <f t="shared" si="22"/>
        <v>52.766975125651918</v>
      </c>
      <c r="M337" s="15">
        <v>45259</v>
      </c>
      <c r="N337" s="47">
        <f t="shared" si="24"/>
        <v>75.26559015093828</v>
      </c>
      <c r="P337" s="15">
        <v>45624</v>
      </c>
      <c r="Q337" s="47">
        <f t="shared" si="25"/>
        <v>107.3107345625987</v>
      </c>
    </row>
    <row r="338" spans="2:17">
      <c r="G338" s="238">
        <v>44530</v>
      </c>
      <c r="H338" s="47">
        <f t="shared" si="23"/>
        <v>37.082601325914545</v>
      </c>
      <c r="J338" s="15">
        <v>44895</v>
      </c>
      <c r="K338" s="47">
        <f t="shared" si="22"/>
        <v>52.818991699991791</v>
      </c>
      <c r="M338" s="15">
        <v>45260</v>
      </c>
      <c r="N338" s="47">
        <f t="shared" si="24"/>
        <v>75.338768519776394</v>
      </c>
      <c r="P338" s="15">
        <v>45625</v>
      </c>
      <c r="Q338" s="47">
        <f t="shared" si="25"/>
        <v>107.41506941865129</v>
      </c>
    </row>
    <row r="339" spans="2:17">
      <c r="G339" s="238">
        <v>44531</v>
      </c>
      <c r="H339" s="47">
        <f t="shared" si="23"/>
        <v>37.11675178233353</v>
      </c>
      <c r="J339" s="15">
        <v>44896</v>
      </c>
      <c r="K339" s="47">
        <f t="shared" si="22"/>
        <v>52.871059551176685</v>
      </c>
      <c r="M339" s="15">
        <v>45261</v>
      </c>
      <c r="N339" s="47">
        <f t="shared" si="24"/>
        <v>75.412018037643634</v>
      </c>
      <c r="P339" s="15">
        <v>45626</v>
      </c>
      <c r="Q339" s="47">
        <f t="shared" si="25"/>
        <v>107.51950571620674</v>
      </c>
    </row>
    <row r="340" spans="2:17">
      <c r="G340" s="238">
        <v>44532</v>
      </c>
      <c r="H340" s="47">
        <f t="shared" si="23"/>
        <v>37.150933688910591</v>
      </c>
      <c r="J340" s="15">
        <v>44897</v>
      </c>
      <c r="K340" s="47">
        <f t="shared" si="22"/>
        <v>52.923178729754248</v>
      </c>
      <c r="M340" s="15">
        <v>45262</v>
      </c>
      <c r="N340" s="47">
        <f t="shared" si="24"/>
        <v>75.485338773715966</v>
      </c>
      <c r="P340" s="15">
        <v>45627</v>
      </c>
      <c r="Q340" s="47">
        <f t="shared" si="25"/>
        <v>107.62404355389344</v>
      </c>
    </row>
    <row r="341" spans="2:17">
      <c r="G341" s="238">
        <v>44533</v>
      </c>
      <c r="H341" s="47">
        <f t="shared" si="23"/>
        <v>37.185147074609105</v>
      </c>
      <c r="J341" s="15">
        <v>44898</v>
      </c>
      <c r="K341" s="47">
        <f t="shared" si="22"/>
        <v>52.975349286321936</v>
      </c>
      <c r="M341" s="15">
        <v>45263</v>
      </c>
      <c r="N341" s="47">
        <f t="shared" si="24"/>
        <v>75.55873079723662</v>
      </c>
      <c r="P341" s="15">
        <v>45628</v>
      </c>
      <c r="Q341" s="47">
        <f t="shared" si="25"/>
        <v>107.72868303043568</v>
      </c>
    </row>
    <row r="342" spans="2:17">
      <c r="B342" s="3"/>
      <c r="G342" s="238">
        <v>44534</v>
      </c>
      <c r="H342" s="47">
        <f t="shared" si="23"/>
        <v>37.219391968419117</v>
      </c>
      <c r="J342" s="15">
        <v>44899</v>
      </c>
      <c r="K342" s="47">
        <f t="shared" si="22"/>
        <v>53.027571271527094</v>
      </c>
      <c r="M342" s="15">
        <v>45264</v>
      </c>
      <c r="N342" s="47">
        <f t="shared" si="24"/>
        <v>75.632194177516126</v>
      </c>
      <c r="P342" s="15">
        <v>45629</v>
      </c>
      <c r="Q342" s="47">
        <f t="shared" si="25"/>
        <v>107.8334242446537</v>
      </c>
    </row>
    <row r="343" spans="2:17">
      <c r="B343" s="3"/>
      <c r="G343" s="238">
        <v>44535</v>
      </c>
      <c r="H343" s="47">
        <f t="shared" si="23"/>
        <v>37.253668399357373</v>
      </c>
      <c r="J343" s="15">
        <v>44900</v>
      </c>
      <c r="K343" s="47">
        <f t="shared" si="22"/>
        <v>53.079844736066988</v>
      </c>
      <c r="M343" s="15">
        <v>45265</v>
      </c>
      <c r="N343" s="47">
        <f t="shared" si="24"/>
        <v>75.705728983932431</v>
      </c>
      <c r="P343" s="15">
        <v>45630</v>
      </c>
      <c r="Q343" s="47">
        <f t="shared" si="25"/>
        <v>107.93826729546387</v>
      </c>
    </row>
    <row r="344" spans="2:17">
      <c r="B344" s="3"/>
      <c r="G344" s="238">
        <v>44536</v>
      </c>
      <c r="H344" s="47">
        <f t="shared" si="23"/>
        <v>37.287976396467343</v>
      </c>
      <c r="J344" s="15">
        <v>44901</v>
      </c>
      <c r="K344" s="47">
        <f t="shared" si="22"/>
        <v>53.132169730688865</v>
      </c>
      <c r="M344" s="15">
        <v>45266</v>
      </c>
      <c r="N344" s="47">
        <f t="shared" si="24"/>
        <v>75.779335285930927</v>
      </c>
      <c r="P344" s="15">
        <v>45631</v>
      </c>
      <c r="Q344" s="47">
        <f t="shared" si="25"/>
        <v>108.04321228187871</v>
      </c>
    </row>
    <row r="345" spans="2:17">
      <c r="G345" s="238">
        <v>44537</v>
      </c>
      <c r="H345" s="47">
        <f t="shared" si="23"/>
        <v>37.322315988819241</v>
      </c>
      <c r="J345" s="15">
        <v>44902</v>
      </c>
      <c r="K345" s="47">
        <f t="shared" si="22"/>
        <v>53.184546306189993</v>
      </c>
      <c r="M345" s="15">
        <v>45267</v>
      </c>
      <c r="N345" s="47">
        <f t="shared" si="24"/>
        <v>75.853013153024506</v>
      </c>
      <c r="P345" s="15">
        <v>45632</v>
      </c>
      <c r="Q345" s="47">
        <f t="shared" si="25"/>
        <v>108.14825930300699</v>
      </c>
    </row>
    <row r="346" spans="2:17">
      <c r="B346" s="2"/>
      <c r="G346" s="238">
        <v>44538</v>
      </c>
      <c r="H346" s="47">
        <f t="shared" si="23"/>
        <v>37.356687205510049</v>
      </c>
      <c r="J346" s="15">
        <v>44903</v>
      </c>
      <c r="K346" s="47">
        <f t="shared" si="22"/>
        <v>53.236974513417721</v>
      </c>
      <c r="M346" s="15">
        <v>45268</v>
      </c>
      <c r="N346" s="47">
        <f t="shared" si="24"/>
        <v>75.926762654793677</v>
      </c>
      <c r="P346" s="15">
        <v>45633</v>
      </c>
      <c r="Q346" s="47">
        <f t="shared" si="25"/>
        <v>108.25340845805387</v>
      </c>
    </row>
    <row r="347" spans="2:17">
      <c r="G347" s="238">
        <v>44539</v>
      </c>
      <c r="H347" s="47">
        <f t="shared" si="23"/>
        <v>37.391090075663548</v>
      </c>
      <c r="J347" s="15">
        <v>44904</v>
      </c>
      <c r="K347" s="47">
        <f t="shared" si="22"/>
        <v>53.289454403269524</v>
      </c>
      <c r="M347" s="15">
        <v>45269</v>
      </c>
      <c r="N347" s="47">
        <f t="shared" si="24"/>
        <v>76.000583860886579</v>
      </c>
      <c r="P347" s="15">
        <v>45634</v>
      </c>
      <c r="Q347" s="47">
        <f t="shared" si="25"/>
        <v>108.35865984632095</v>
      </c>
    </row>
    <row r="348" spans="2:17">
      <c r="G348" s="238">
        <v>44540</v>
      </c>
      <c r="H348" s="47">
        <f t="shared" si="23"/>
        <v>37.425524628430345</v>
      </c>
      <c r="J348" s="15">
        <v>44905</v>
      </c>
      <c r="K348" s="47">
        <f t="shared" si="22"/>
        <v>53.341986026693043</v>
      </c>
      <c r="M348" s="15">
        <v>45270</v>
      </c>
      <c r="N348" s="47">
        <f t="shared" si="24"/>
        <v>76.074476841019077</v>
      </c>
      <c r="P348" s="15">
        <v>45635</v>
      </c>
      <c r="Q348" s="47">
        <f t="shared" si="25"/>
        <v>108.46401356720636</v>
      </c>
    </row>
    <row r="349" spans="2:17">
      <c r="G349" s="238">
        <v>44541</v>
      </c>
      <c r="H349" s="47">
        <f t="shared" si="23"/>
        <v>37.459990892987889</v>
      </c>
      <c r="J349" s="15">
        <v>44906</v>
      </c>
      <c r="K349" s="47">
        <f t="shared" si="22"/>
        <v>53.39456943468614</v>
      </c>
      <c r="M349" s="15">
        <v>45271</v>
      </c>
      <c r="N349" s="47">
        <f t="shared" si="24"/>
        <v>76.148441664974811</v>
      </c>
      <c r="P349" s="15">
        <v>45636</v>
      </c>
      <c r="Q349" s="47">
        <f t="shared" si="25"/>
        <v>108.56946972020492</v>
      </c>
    </row>
    <row r="350" spans="2:17">
      <c r="G350" s="238">
        <v>44542</v>
      </c>
      <c r="H350" s="47">
        <f t="shared" si="23"/>
        <v>37.494488898540496</v>
      </c>
      <c r="J350" s="15">
        <v>44907</v>
      </c>
      <c r="K350" s="47">
        <f t="shared" si="22"/>
        <v>53.447204678296956</v>
      </c>
      <c r="M350" s="15">
        <v>45272</v>
      </c>
      <c r="N350" s="47">
        <f t="shared" si="24"/>
        <v>76.222478402605276</v>
      </c>
      <c r="P350" s="15">
        <v>45637</v>
      </c>
      <c r="Q350" s="47">
        <f t="shared" si="25"/>
        <v>108.67502840490813</v>
      </c>
    </row>
    <row r="351" spans="2:17">
      <c r="G351" s="238">
        <v>44543</v>
      </c>
      <c r="H351" s="47">
        <f t="shared" si="23"/>
        <v>37.529018674319381</v>
      </c>
      <c r="J351" s="15">
        <v>44908</v>
      </c>
      <c r="K351" s="47">
        <f t="shared" si="22"/>
        <v>53.499891808623957</v>
      </c>
      <c r="M351" s="15">
        <v>45273</v>
      </c>
      <c r="N351" s="47">
        <f t="shared" si="24"/>
        <v>76.29658712382988</v>
      </c>
      <c r="P351" s="15">
        <v>45638</v>
      </c>
      <c r="Q351" s="47">
        <f t="shared" si="25"/>
        <v>108.78068972100436</v>
      </c>
    </row>
    <row r="352" spans="2:17">
      <c r="G352" s="238">
        <v>44544</v>
      </c>
      <c r="H352" s="47">
        <f t="shared" si="23"/>
        <v>37.563580249582685</v>
      </c>
      <c r="J352" s="15">
        <v>44909</v>
      </c>
      <c r="K352" s="47">
        <f t="shared" si="22"/>
        <v>53.552630876815975</v>
      </c>
      <c r="M352" s="15">
        <v>45274</v>
      </c>
      <c r="N352" s="47">
        <f t="shared" si="24"/>
        <v>76.370767898636004</v>
      </c>
      <c r="P352" s="15">
        <v>45639</v>
      </c>
      <c r="Q352" s="47">
        <f t="shared" si="25"/>
        <v>108.88645376827888</v>
      </c>
    </row>
    <row r="353" spans="6:17">
      <c r="G353" s="238">
        <v>44545</v>
      </c>
      <c r="H353" s="47">
        <f t="shared" si="23"/>
        <v>37.598173653615483</v>
      </c>
      <c r="J353" s="15">
        <v>44910</v>
      </c>
      <c r="K353" s="47">
        <f t="shared" si="22"/>
        <v>53.605421934072268</v>
      </c>
      <c r="M353" s="15">
        <v>45275</v>
      </c>
      <c r="N353" s="47">
        <f t="shared" si="24"/>
        <v>76.445020797079096</v>
      </c>
      <c r="P353" s="15">
        <v>45640</v>
      </c>
      <c r="Q353" s="47">
        <f t="shared" si="25"/>
        <v>108.99232064661399</v>
      </c>
    </row>
    <row r="354" spans="6:17">
      <c r="F354" t="s">
        <v>201</v>
      </c>
      <c r="G354" s="239">
        <v>44546</v>
      </c>
      <c r="H354" s="47">
        <f>H353*(1+$B$34)</f>
        <v>37.632798915729822</v>
      </c>
      <c r="J354" s="15">
        <v>44911</v>
      </c>
      <c r="K354" s="47">
        <f t="shared" si="22"/>
        <v>53.658265031642557</v>
      </c>
      <c r="M354" s="15">
        <v>45276</v>
      </c>
      <c r="N354" s="47">
        <f t="shared" si="24"/>
        <v>76.51934588928269</v>
      </c>
      <c r="P354" s="15">
        <v>45641</v>
      </c>
      <c r="Q354" s="47">
        <f t="shared" si="25"/>
        <v>109.0982904559891</v>
      </c>
    </row>
    <row r="355" spans="6:17">
      <c r="G355" s="239">
        <v>44547</v>
      </c>
      <c r="H355" s="47">
        <f t="shared" ref="H355:H369" si="26">H354*(1+$B$34)</f>
        <v>37.667456065264744</v>
      </c>
      <c r="J355" s="15">
        <v>44912</v>
      </c>
      <c r="K355" s="47">
        <f t="shared" si="22"/>
        <v>53.71116022082709</v>
      </c>
      <c r="M355" s="15">
        <v>45277</v>
      </c>
      <c r="N355" s="47">
        <f t="shared" si="24"/>
        <v>76.593743245438503</v>
      </c>
      <c r="P355" s="15">
        <v>45642</v>
      </c>
      <c r="Q355" s="47">
        <f t="shared" si="25"/>
        <v>109.20436329648084</v>
      </c>
    </row>
    <row r="356" spans="6:17">
      <c r="G356" s="239">
        <v>44548</v>
      </c>
      <c r="H356" s="47">
        <f t="shared" si="26"/>
        <v>37.702145131586313</v>
      </c>
      <c r="J356" s="15">
        <v>44913</v>
      </c>
      <c r="K356" s="47">
        <f t="shared" si="22"/>
        <v>53.764107552976682</v>
      </c>
      <c r="M356" s="15">
        <v>45278</v>
      </c>
      <c r="N356" s="47">
        <f t="shared" si="24"/>
        <v>76.668212935806523</v>
      </c>
      <c r="P356" s="15">
        <v>45643</v>
      </c>
      <c r="Q356" s="47">
        <f t="shared" si="25"/>
        <v>109.3105392682631</v>
      </c>
    </row>
    <row r="357" spans="6:17">
      <c r="G357" s="239">
        <v>44549</v>
      </c>
      <c r="H357" s="47">
        <f t="shared" si="26"/>
        <v>37.736866144087635</v>
      </c>
      <c r="J357" s="15">
        <v>44914</v>
      </c>
      <c r="K357" s="47">
        <f t="shared" si="22"/>
        <v>53.817107079492779</v>
      </c>
      <c r="M357" s="15">
        <v>45279</v>
      </c>
      <c r="N357" s="47">
        <f t="shared" si="24"/>
        <v>76.742755030715031</v>
      </c>
      <c r="P357" s="15">
        <v>45644</v>
      </c>
      <c r="Q357" s="47">
        <f t="shared" si="25"/>
        <v>109.41681847160721</v>
      </c>
    </row>
    <row r="358" spans="6:17">
      <c r="G358" s="239">
        <v>44550</v>
      </c>
      <c r="H358" s="47">
        <f t="shared" si="26"/>
        <v>37.771619132188881</v>
      </c>
      <c r="J358" s="15">
        <v>44915</v>
      </c>
      <c r="K358" s="47">
        <f t="shared" si="22"/>
        <v>53.870158851827483</v>
      </c>
      <c r="M358" s="15">
        <v>45280</v>
      </c>
      <c r="N358" s="47">
        <f t="shared" si="24"/>
        <v>76.817369600560681</v>
      </c>
      <c r="P358" s="15">
        <v>45645</v>
      </c>
      <c r="Q358" s="47">
        <f t="shared" si="25"/>
        <v>109.52320100688199</v>
      </c>
    </row>
    <row r="359" spans="6:17">
      <c r="G359" s="239">
        <v>44551</v>
      </c>
      <c r="H359" s="47">
        <f t="shared" si="26"/>
        <v>37.806404125337323</v>
      </c>
      <c r="J359" s="15">
        <v>44916</v>
      </c>
      <c r="K359" s="47">
        <f t="shared" si="22"/>
        <v>53.923262921483627</v>
      </c>
      <c r="M359" s="15">
        <v>45281</v>
      </c>
      <c r="N359" s="47">
        <f t="shared" si="24"/>
        <v>76.892056715808579</v>
      </c>
      <c r="P359" s="15">
        <v>45646</v>
      </c>
      <c r="Q359" s="47">
        <f t="shared" si="25"/>
        <v>109.62968697455381</v>
      </c>
    </row>
    <row r="360" spans="6:17">
      <c r="G360" s="239">
        <v>44552</v>
      </c>
      <c r="H360" s="47">
        <f t="shared" si="26"/>
        <v>37.841221153007346</v>
      </c>
      <c r="J360" s="15">
        <v>44917</v>
      </c>
      <c r="K360" s="47">
        <f t="shared" si="22"/>
        <v>53.976419340014807</v>
      </c>
      <c r="M360" s="15">
        <v>45282</v>
      </c>
      <c r="N360" s="47">
        <f t="shared" si="24"/>
        <v>76.96681644699234</v>
      </c>
      <c r="P360" s="15">
        <v>45647</v>
      </c>
      <c r="Q360" s="47">
        <f t="shared" si="25"/>
        <v>109.73627647518673</v>
      </c>
    </row>
    <row r="361" spans="6:17">
      <c r="G361" s="239">
        <v>44553</v>
      </c>
      <c r="H361" s="47">
        <f t="shared" si="26"/>
        <v>37.876070244700486</v>
      </c>
      <c r="J361" s="15">
        <v>44918</v>
      </c>
      <c r="K361" s="47">
        <f t="shared" si="22"/>
        <v>54.029628159025449</v>
      </c>
      <c r="M361" s="15">
        <v>45283</v>
      </c>
      <c r="N361" s="47">
        <f t="shared" si="24"/>
        <v>77.041648864714148</v>
      </c>
      <c r="P361" s="15">
        <v>45648</v>
      </c>
      <c r="Q361" s="47">
        <f t="shared" si="25"/>
        <v>109.84296960944262</v>
      </c>
    </row>
    <row r="362" spans="6:17">
      <c r="G362" s="239">
        <v>44554</v>
      </c>
      <c r="H362" s="47">
        <f t="shared" si="26"/>
        <v>37.910951429945442</v>
      </c>
      <c r="J362" s="15">
        <v>44919</v>
      </c>
      <c r="K362" s="47">
        <f t="shared" si="22"/>
        <v>54.082889430170844</v>
      </c>
      <c r="M362" s="15">
        <v>45284</v>
      </c>
      <c r="N362" s="47">
        <f t="shared" si="24"/>
        <v>77.116554039644853</v>
      </c>
      <c r="P362" s="15">
        <v>45649</v>
      </c>
      <c r="Q362" s="47">
        <f t="shared" si="25"/>
        <v>109.94976647808119</v>
      </c>
    </row>
    <row r="363" spans="6:17">
      <c r="G363" s="239">
        <v>44555</v>
      </c>
      <c r="H363" s="47">
        <f t="shared" si="26"/>
        <v>37.945864738298106</v>
      </c>
      <c r="J363" s="15">
        <v>44920</v>
      </c>
      <c r="K363" s="47">
        <f t="shared" si="22"/>
        <v>54.136203205157194</v>
      </c>
      <c r="M363" s="15">
        <v>45285</v>
      </c>
      <c r="N363" s="47">
        <f t="shared" si="24"/>
        <v>77.191532042524003</v>
      </c>
      <c r="P363" s="15">
        <v>45650</v>
      </c>
      <c r="Q363" s="47">
        <f t="shared" si="25"/>
        <v>110.05666718196011</v>
      </c>
    </row>
    <row r="364" spans="6:17">
      <c r="G364" s="239">
        <v>44556</v>
      </c>
      <c r="H364" s="47">
        <f t="shared" si="26"/>
        <v>37.980810199341597</v>
      </c>
      <c r="J364" s="15">
        <v>44921</v>
      </c>
      <c r="K364" s="47">
        <f t="shared" si="22"/>
        <v>54.18956953574169</v>
      </c>
      <c r="M364" s="15">
        <v>45286</v>
      </c>
      <c r="N364" s="47">
        <f t="shared" si="24"/>
        <v>77.266582944159921</v>
      </c>
      <c r="P364" s="15">
        <v>45651</v>
      </c>
      <c r="Q364" s="47">
        <f t="shared" si="25"/>
        <v>110.16367182203513</v>
      </c>
    </row>
    <row r="365" spans="6:17">
      <c r="G365" s="239">
        <v>44557</v>
      </c>
      <c r="H365" s="47">
        <f t="shared" si="26"/>
        <v>38.015787842686265</v>
      </c>
      <c r="J365" s="15">
        <v>44922</v>
      </c>
      <c r="K365" s="47">
        <f t="shared" si="22"/>
        <v>54.242988473732531</v>
      </c>
      <c r="M365" s="15">
        <v>45287</v>
      </c>
      <c r="N365" s="47">
        <f t="shared" si="24"/>
        <v>77.341706815429774</v>
      </c>
      <c r="P365" s="15">
        <v>45652</v>
      </c>
      <c r="Q365" s="47">
        <f t="shared" si="25"/>
        <v>110.27078049936014</v>
      </c>
    </row>
    <row r="366" spans="6:17">
      <c r="G366" s="239">
        <v>44558</v>
      </c>
      <c r="H366" s="47">
        <f t="shared" si="26"/>
        <v>38.050797697969742</v>
      </c>
      <c r="J366" s="15">
        <v>44923</v>
      </c>
      <c r="K366" s="47">
        <f t="shared" si="22"/>
        <v>54.296460070988992</v>
      </c>
      <c r="M366" s="15">
        <v>45288</v>
      </c>
      <c r="N366" s="47">
        <f t="shared" si="24"/>
        <v>77.416903727279646</v>
      </c>
      <c r="P366" s="15">
        <v>45653</v>
      </c>
      <c r="Q366" s="47">
        <f t="shared" si="25"/>
        <v>110.37799331508731</v>
      </c>
    </row>
    <row r="367" spans="6:17">
      <c r="G367" s="239">
        <v>44559</v>
      </c>
      <c r="H367" s="47">
        <f t="shared" si="26"/>
        <v>38.085839794856945</v>
      </c>
      <c r="J367" s="15">
        <v>44924</v>
      </c>
      <c r="K367" s="47">
        <f t="shared" si="22"/>
        <v>54.349984379421471</v>
      </c>
      <c r="M367" s="15">
        <v>45289</v>
      </c>
      <c r="N367" s="47">
        <f t="shared" si="24"/>
        <v>77.492173750724604</v>
      </c>
      <c r="P367" s="15">
        <v>45654</v>
      </c>
      <c r="Q367" s="47">
        <f t="shared" si="25"/>
        <v>110.48531037046712</v>
      </c>
    </row>
    <row r="368" spans="6:17">
      <c r="G368" s="239">
        <v>44560</v>
      </c>
      <c r="H368" s="47">
        <f t="shared" si="26"/>
        <v>38.120914163040112</v>
      </c>
      <c r="J368" s="15">
        <v>44925</v>
      </c>
      <c r="K368" s="47">
        <f t="shared" si="22"/>
        <v>54.403561450991539</v>
      </c>
      <c r="M368" s="15">
        <v>45290</v>
      </c>
      <c r="N368" s="47">
        <f t="shared" si="24"/>
        <v>77.567516956848749</v>
      </c>
      <c r="P368" s="15">
        <v>45655</v>
      </c>
      <c r="Q368" s="47">
        <f t="shared" si="25"/>
        <v>110.59273176684852</v>
      </c>
    </row>
    <row r="369" spans="7:17">
      <c r="G369" s="239">
        <v>44561</v>
      </c>
      <c r="H369" s="47">
        <f t="shared" si="26"/>
        <v>38.156020832238831</v>
      </c>
      <c r="J369" s="15">
        <v>44926</v>
      </c>
      <c r="K369" s="47">
        <f t="shared" si="22"/>
        <v>54.457191337711983</v>
      </c>
      <c r="M369" s="15">
        <v>45291</v>
      </c>
      <c r="N369" s="47">
        <f t="shared" si="24"/>
        <v>77.642933416805306</v>
      </c>
      <c r="P369" s="15">
        <v>45656</v>
      </c>
      <c r="Q369" s="47">
        <f t="shared" si="25"/>
        <v>110.70025760567897</v>
      </c>
    </row>
    <row r="370" spans="7:17">
      <c r="P370" s="15">
        <v>45657</v>
      </c>
      <c r="Q370" s="47">
        <f t="shared" si="25"/>
        <v>110.8078879885046</v>
      </c>
    </row>
    <row r="372" spans="7:17">
      <c r="H372" s="22">
        <f>(H369/E143)-1</f>
        <v>0.49664908753089243</v>
      </c>
      <c r="I372" s="22"/>
      <c r="J372" s="22"/>
      <c r="K372" s="22">
        <f>K369/H369-1</f>
        <v>0.42722406975152794</v>
      </c>
      <c r="L372" s="22"/>
      <c r="M372" s="22"/>
      <c r="N372" s="22">
        <f>N369/K369-1</f>
        <v>0.42576088684612423</v>
      </c>
      <c r="Q372" s="22">
        <f>Q370/N369-1</f>
        <v>0.42714710936618161</v>
      </c>
    </row>
  </sheetData>
  <mergeCells count="5">
    <mergeCell ref="P3:Q3"/>
    <mergeCell ref="D3:E3"/>
    <mergeCell ref="G3:H3"/>
    <mergeCell ref="J3:K3"/>
    <mergeCell ref="M3:N3"/>
  </mergeCells>
  <pageMargins left="0.7" right="0.7" top="0.75" bottom="0.75" header="0.3" footer="0.3"/>
  <pageSetup orientation="portrait" r:id="rId1"/>
  <ignoredErrors>
    <ignoredError sqref="B42:B4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55"/>
  <sheetViews>
    <sheetView topLeftCell="A342" workbookViewId="0">
      <selection activeCell="B356" sqref="B356"/>
    </sheetView>
  </sheetViews>
  <sheetFormatPr baseColWidth="10" defaultRowHeight="15"/>
  <sheetData>
    <row r="3" spans="2:3">
      <c r="B3" s="11">
        <v>43832</v>
      </c>
      <c r="C3" s="165">
        <v>38.875</v>
      </c>
    </row>
    <row r="4" spans="2:3">
      <c r="B4" s="11">
        <v>43833</v>
      </c>
      <c r="C4" s="165">
        <v>38.75</v>
      </c>
    </row>
    <row r="5" spans="2:3">
      <c r="B5" s="11">
        <v>43836</v>
      </c>
      <c r="C5" s="165">
        <v>38.75</v>
      </c>
    </row>
    <row r="6" spans="2:3">
      <c r="B6" s="11">
        <v>43837</v>
      </c>
      <c r="C6" s="165">
        <v>38.25</v>
      </c>
    </row>
    <row r="7" spans="2:3">
      <c r="B7" s="11">
        <v>43838</v>
      </c>
      <c r="C7" s="165">
        <v>37.5625</v>
      </c>
    </row>
    <row r="8" spans="2:3">
      <c r="B8" s="11">
        <v>43839</v>
      </c>
      <c r="C8" s="165">
        <v>38</v>
      </c>
    </row>
    <row r="9" spans="2:3">
      <c r="B9" s="11">
        <v>43840</v>
      </c>
      <c r="C9" s="165">
        <v>37.5625</v>
      </c>
    </row>
    <row r="10" spans="2:3">
      <c r="B10" s="11">
        <v>43843</v>
      </c>
      <c r="C10" s="165">
        <v>37.125</v>
      </c>
    </row>
    <row r="11" spans="2:3">
      <c r="B11" s="11">
        <v>43844</v>
      </c>
      <c r="C11" s="165">
        <v>36.5</v>
      </c>
    </row>
    <row r="12" spans="2:3">
      <c r="B12" s="11">
        <v>43845</v>
      </c>
      <c r="C12" s="165">
        <v>36.3125</v>
      </c>
    </row>
    <row r="13" spans="2:3">
      <c r="B13" s="11">
        <v>43846</v>
      </c>
      <c r="C13" s="165">
        <v>36.125</v>
      </c>
    </row>
    <row r="14" spans="2:3">
      <c r="B14" s="11">
        <v>43847</v>
      </c>
      <c r="C14" s="165">
        <v>35.375</v>
      </c>
    </row>
    <row r="15" spans="2:3">
      <c r="B15" s="11">
        <v>43850</v>
      </c>
      <c r="C15" s="165">
        <v>35.375</v>
      </c>
    </row>
    <row r="16" spans="2:3">
      <c r="B16" s="11">
        <v>43851</v>
      </c>
      <c r="C16" s="165">
        <v>34.9375</v>
      </c>
    </row>
    <row r="17" spans="2:3">
      <c r="B17" s="11">
        <v>43852</v>
      </c>
      <c r="C17" s="165">
        <v>34.9375</v>
      </c>
    </row>
    <row r="18" spans="2:3">
      <c r="B18" s="11">
        <v>43853</v>
      </c>
      <c r="C18" s="165">
        <v>34.5625</v>
      </c>
    </row>
    <row r="19" spans="2:3">
      <c r="B19" s="11">
        <v>43854</v>
      </c>
      <c r="C19" s="165">
        <v>34.875</v>
      </c>
    </row>
    <row r="20" spans="2:3">
      <c r="B20" s="11">
        <v>43857</v>
      </c>
      <c r="C20" s="165">
        <v>34.3125</v>
      </c>
    </row>
    <row r="21" spans="2:3">
      <c r="B21" s="11">
        <v>43858</v>
      </c>
      <c r="C21" s="165">
        <v>34.5</v>
      </c>
    </row>
    <row r="22" spans="2:3">
      <c r="B22" s="11">
        <v>43859</v>
      </c>
      <c r="C22" s="165">
        <v>34.3125</v>
      </c>
    </row>
    <row r="23" spans="2:3">
      <c r="B23" s="11">
        <v>43860</v>
      </c>
      <c r="C23" s="165">
        <v>34.3125</v>
      </c>
    </row>
    <row r="24" spans="2:3">
      <c r="B24" s="11">
        <v>43861</v>
      </c>
      <c r="C24" s="165">
        <v>34</v>
      </c>
    </row>
    <row r="25" spans="2:3">
      <c r="B25" s="11">
        <v>43864</v>
      </c>
      <c r="C25" s="165">
        <v>34.3125</v>
      </c>
    </row>
    <row r="26" spans="2:3">
      <c r="B26" s="11">
        <v>43865</v>
      </c>
      <c r="C26" s="165">
        <v>34.6875</v>
      </c>
    </row>
    <row r="27" spans="2:3">
      <c r="B27" s="11">
        <v>43866</v>
      </c>
      <c r="C27" s="165">
        <v>34.25</v>
      </c>
    </row>
    <row r="28" spans="2:3">
      <c r="B28" s="11">
        <v>43867</v>
      </c>
      <c r="C28" s="165">
        <v>34.6875</v>
      </c>
    </row>
    <row r="29" spans="2:3">
      <c r="B29" s="11">
        <v>43868</v>
      </c>
      <c r="C29" s="165">
        <v>34.125</v>
      </c>
    </row>
    <row r="30" spans="2:3">
      <c r="B30" s="11">
        <v>43871</v>
      </c>
      <c r="C30" s="165">
        <v>34.5</v>
      </c>
    </row>
    <row r="31" spans="2:3">
      <c r="B31" s="11">
        <v>43872</v>
      </c>
      <c r="C31" s="165">
        <v>35.1875</v>
      </c>
    </row>
    <row r="32" spans="2:3">
      <c r="B32" s="11">
        <v>43873</v>
      </c>
      <c r="C32" s="165">
        <v>34.375</v>
      </c>
    </row>
    <row r="33" spans="2:3">
      <c r="B33" s="11">
        <v>43874</v>
      </c>
      <c r="C33" s="165">
        <v>35.25</v>
      </c>
    </row>
    <row r="34" spans="2:3">
      <c r="B34" s="11">
        <v>43875</v>
      </c>
      <c r="C34" s="165">
        <v>34.0625</v>
      </c>
    </row>
    <row r="35" spans="2:3">
      <c r="B35" s="11">
        <v>43878</v>
      </c>
      <c r="C35" s="165">
        <v>33.9375</v>
      </c>
    </row>
    <row r="36" spans="2:3">
      <c r="B36" s="11">
        <v>43879</v>
      </c>
      <c r="C36" s="165">
        <v>32.875</v>
      </c>
    </row>
    <row r="37" spans="2:3">
      <c r="B37" s="11">
        <v>43880</v>
      </c>
      <c r="C37" s="165">
        <v>33.4375</v>
      </c>
    </row>
    <row r="38" spans="2:3">
      <c r="B38" s="11">
        <v>43881</v>
      </c>
      <c r="C38" s="165">
        <v>33</v>
      </c>
    </row>
    <row r="39" spans="2:3">
      <c r="B39" s="11">
        <v>43882</v>
      </c>
      <c r="C39" s="165">
        <v>31.875</v>
      </c>
    </row>
    <row r="40" spans="2:3">
      <c r="B40" s="11">
        <v>43887</v>
      </c>
      <c r="C40" s="165">
        <v>31.125</v>
      </c>
    </row>
    <row r="41" spans="2:3">
      <c r="B41" s="11">
        <v>43888</v>
      </c>
      <c r="C41" s="165">
        <v>31.0625</v>
      </c>
    </row>
    <row r="42" spans="2:3">
      <c r="B42" s="11">
        <v>43889</v>
      </c>
      <c r="C42" s="165">
        <v>31.8125</v>
      </c>
    </row>
    <row r="43" spans="2:3">
      <c r="B43" s="11">
        <v>43892</v>
      </c>
      <c r="C43" s="165">
        <v>31</v>
      </c>
    </row>
    <row r="44" spans="2:3">
      <c r="B44" s="11">
        <v>43893</v>
      </c>
      <c r="C44" s="165">
        <v>31.1875</v>
      </c>
    </row>
    <row r="45" spans="2:3">
      <c r="B45" s="11">
        <v>43894</v>
      </c>
      <c r="C45" s="165">
        <v>30.5</v>
      </c>
    </row>
    <row r="46" spans="2:3">
      <c r="B46" s="11">
        <v>43895</v>
      </c>
      <c r="C46" s="165">
        <v>30.4375</v>
      </c>
    </row>
    <row r="47" spans="2:3">
      <c r="B47" s="11">
        <v>43896</v>
      </c>
      <c r="C47" s="165">
        <v>29.875</v>
      </c>
    </row>
    <row r="48" spans="2:3">
      <c r="B48" s="11">
        <v>43899</v>
      </c>
      <c r="C48" s="165">
        <v>29.5625</v>
      </c>
    </row>
    <row r="49" spans="2:3">
      <c r="B49" s="11">
        <v>43900</v>
      </c>
      <c r="C49" s="165">
        <v>29.75</v>
      </c>
    </row>
    <row r="50" spans="2:3">
      <c r="B50" s="11">
        <v>43901</v>
      </c>
      <c r="C50" s="165">
        <v>29.8125</v>
      </c>
    </row>
    <row r="51" spans="2:3">
      <c r="B51" s="11">
        <v>43902</v>
      </c>
      <c r="C51" s="165">
        <v>29.5</v>
      </c>
    </row>
    <row r="52" spans="2:3">
      <c r="B52" s="11">
        <v>43903</v>
      </c>
      <c r="C52" s="165">
        <v>29.3125</v>
      </c>
    </row>
    <row r="53" spans="2:3">
      <c r="B53" s="11">
        <v>43906</v>
      </c>
      <c r="C53" s="165">
        <v>29.5</v>
      </c>
    </row>
    <row r="54" spans="2:3">
      <c r="B54" s="11">
        <v>43907</v>
      </c>
      <c r="C54" s="165">
        <v>29.5</v>
      </c>
    </row>
    <row r="55" spans="2:3">
      <c r="B55" s="11">
        <v>43908</v>
      </c>
      <c r="C55" s="165">
        <v>29.5</v>
      </c>
    </row>
    <row r="56" spans="2:3">
      <c r="B56" s="11">
        <v>43909</v>
      </c>
      <c r="C56" s="165">
        <v>29.3125</v>
      </c>
    </row>
    <row r="57" spans="2:3">
      <c r="B57" s="11">
        <v>43910</v>
      </c>
      <c r="C57" s="165">
        <v>29</v>
      </c>
    </row>
    <row r="58" spans="2:3">
      <c r="B58" s="11">
        <v>43915</v>
      </c>
      <c r="C58" s="165">
        <v>29.3125</v>
      </c>
    </row>
    <row r="59" spans="2:3">
      <c r="B59" s="11">
        <v>43916</v>
      </c>
      <c r="C59" s="165">
        <v>29.375</v>
      </c>
    </row>
    <row r="60" spans="2:3">
      <c r="B60" s="11">
        <v>43917</v>
      </c>
      <c r="C60" s="165">
        <v>27.75</v>
      </c>
    </row>
    <row r="61" spans="2:3">
      <c r="B61" s="11">
        <v>43920</v>
      </c>
      <c r="C61" s="165">
        <v>27.5625</v>
      </c>
    </row>
    <row r="62" spans="2:3">
      <c r="B62" s="11">
        <v>43922</v>
      </c>
      <c r="C62" s="165">
        <v>27</v>
      </c>
    </row>
    <row r="63" spans="2:3">
      <c r="B63" s="11">
        <v>43923</v>
      </c>
      <c r="C63" s="165">
        <v>26.125</v>
      </c>
    </row>
    <row r="64" spans="2:3">
      <c r="B64" s="11">
        <v>43924</v>
      </c>
      <c r="C64" s="165">
        <v>25.75</v>
      </c>
    </row>
    <row r="65" spans="2:3">
      <c r="B65" s="11">
        <v>43927</v>
      </c>
      <c r="C65" s="165">
        <v>25.125</v>
      </c>
    </row>
    <row r="66" spans="2:3">
      <c r="B66" s="11">
        <v>43928</v>
      </c>
      <c r="C66" s="165">
        <v>23.0625</v>
      </c>
    </row>
    <row r="67" spans="2:3">
      <c r="B67" s="11">
        <v>43929</v>
      </c>
      <c r="C67" s="165">
        <v>21.9375</v>
      </c>
    </row>
    <row r="68" spans="2:3">
      <c r="B68" s="11">
        <v>43934</v>
      </c>
      <c r="C68" s="165">
        <v>21</v>
      </c>
    </row>
    <row r="69" spans="2:3">
      <c r="B69" s="11">
        <v>43935</v>
      </c>
      <c r="C69" s="165">
        <v>18.125</v>
      </c>
    </row>
    <row r="70" spans="2:3">
      <c r="B70" s="11">
        <v>43936</v>
      </c>
      <c r="C70" s="165">
        <v>18.25</v>
      </c>
    </row>
    <row r="71" spans="2:3">
      <c r="B71" s="11">
        <v>43937</v>
      </c>
      <c r="C71" s="165">
        <v>16.875</v>
      </c>
    </row>
    <row r="72" spans="2:3">
      <c r="B72" s="11">
        <v>43938</v>
      </c>
      <c r="C72" s="165">
        <v>16.875</v>
      </c>
    </row>
    <row r="73" spans="2:3">
      <c r="B73" s="11">
        <v>43941</v>
      </c>
      <c r="C73" s="165">
        <v>18.25</v>
      </c>
    </row>
    <row r="74" spans="2:3">
      <c r="B74" s="11">
        <v>43942</v>
      </c>
      <c r="C74" s="165">
        <v>17.4375</v>
      </c>
    </row>
    <row r="75" spans="2:3">
      <c r="B75" s="11">
        <v>43943</v>
      </c>
      <c r="C75" s="165">
        <v>16.1875</v>
      </c>
    </row>
    <row r="76" spans="2:3">
      <c r="B76" s="11">
        <v>43944</v>
      </c>
      <c r="C76" s="165">
        <v>15.9375</v>
      </c>
    </row>
    <row r="77" spans="2:3">
      <c r="B77" s="11">
        <v>43945</v>
      </c>
      <c r="C77" s="165">
        <v>18.3125</v>
      </c>
    </row>
    <row r="78" spans="2:3">
      <c r="B78" s="11">
        <v>43948</v>
      </c>
      <c r="C78" s="165">
        <v>18.3125</v>
      </c>
    </row>
    <row r="79" spans="2:3">
      <c r="B79" s="11">
        <v>43949</v>
      </c>
      <c r="C79" s="165">
        <v>18.375</v>
      </c>
    </row>
    <row r="80" spans="2:3">
      <c r="B80" s="11">
        <v>43950</v>
      </c>
      <c r="C80" s="165">
        <v>18.3125</v>
      </c>
    </row>
    <row r="81" spans="2:3">
      <c r="B81" s="11">
        <v>43951</v>
      </c>
      <c r="C81" s="165">
        <v>18.4375</v>
      </c>
    </row>
    <row r="82" spans="2:3">
      <c r="B82" s="11">
        <v>43955</v>
      </c>
      <c r="C82" s="165">
        <v>21.0625</v>
      </c>
    </row>
    <row r="83" spans="2:3">
      <c r="B83" s="11">
        <v>43956</v>
      </c>
      <c r="C83" s="165">
        <v>19.875</v>
      </c>
    </row>
    <row r="84" spans="2:3">
      <c r="B84" s="11">
        <v>43957</v>
      </c>
      <c r="C84" s="165">
        <v>20.0625</v>
      </c>
    </row>
    <row r="85" spans="2:3">
      <c r="B85" s="11">
        <v>43958</v>
      </c>
      <c r="C85" s="165">
        <v>19.8125</v>
      </c>
    </row>
    <row r="86" spans="2:3">
      <c r="B86" s="11">
        <v>43959</v>
      </c>
      <c r="C86" s="165">
        <v>20.625</v>
      </c>
    </row>
    <row r="87" spans="2:3">
      <c r="B87" s="11">
        <v>43962</v>
      </c>
      <c r="C87" s="165">
        <v>21.0625</v>
      </c>
    </row>
    <row r="88" spans="2:3">
      <c r="B88" s="11">
        <v>43963</v>
      </c>
      <c r="C88" s="165">
        <v>20.5625</v>
      </c>
    </row>
    <row r="89" spans="2:3">
      <c r="B89" s="11">
        <v>43964</v>
      </c>
      <c r="C89" s="165">
        <v>21.8125</v>
      </c>
    </row>
    <row r="90" spans="2:3">
      <c r="B90" s="11">
        <v>43965</v>
      </c>
      <c r="C90" s="165">
        <v>20.75</v>
      </c>
    </row>
    <row r="91" spans="2:3">
      <c r="B91" s="11">
        <v>43966</v>
      </c>
      <c r="C91" s="165">
        <v>22.625</v>
      </c>
    </row>
    <row r="92" spans="2:3">
      <c r="B92" s="11">
        <v>43969</v>
      </c>
      <c r="C92" s="165">
        <v>26.4375</v>
      </c>
    </row>
    <row r="93" spans="2:3">
      <c r="B93" s="11">
        <v>43970</v>
      </c>
      <c r="C93" s="165">
        <v>26.25</v>
      </c>
    </row>
    <row r="94" spans="2:3">
      <c r="B94" s="11">
        <v>43971</v>
      </c>
      <c r="C94" s="165">
        <v>26.5</v>
      </c>
    </row>
    <row r="95" spans="2:3">
      <c r="B95" s="11">
        <v>43972</v>
      </c>
      <c r="C95" s="165">
        <v>26.5</v>
      </c>
    </row>
    <row r="96" spans="2:3">
      <c r="B96" s="11">
        <v>43973</v>
      </c>
      <c r="C96" s="165">
        <v>26.1875</v>
      </c>
    </row>
    <row r="97" spans="2:3">
      <c r="B97" s="11">
        <v>43977</v>
      </c>
      <c r="C97" s="165">
        <v>25.6875</v>
      </c>
    </row>
    <row r="98" spans="2:3">
      <c r="B98" s="11">
        <v>43978</v>
      </c>
      <c r="C98" s="165">
        <v>26.4375</v>
      </c>
    </row>
    <row r="99" spans="2:3">
      <c r="B99" s="11">
        <v>43979</v>
      </c>
      <c r="C99" s="165">
        <v>26.5</v>
      </c>
    </row>
    <row r="100" spans="2:3">
      <c r="B100" s="11">
        <v>43980</v>
      </c>
      <c r="C100" s="165">
        <v>26.5625</v>
      </c>
    </row>
    <row r="101" spans="2:3">
      <c r="B101" s="11">
        <v>43983</v>
      </c>
      <c r="C101" s="165">
        <v>28.5</v>
      </c>
    </row>
    <row r="102" spans="2:3">
      <c r="B102" s="11">
        <v>43984</v>
      </c>
      <c r="C102" s="165">
        <v>29</v>
      </c>
    </row>
    <row r="103" spans="2:3">
      <c r="B103" s="11">
        <v>43985</v>
      </c>
      <c r="C103" s="165">
        <v>29.5625</v>
      </c>
    </row>
    <row r="104" spans="2:3">
      <c r="B104" s="11">
        <v>43986</v>
      </c>
      <c r="C104" s="165">
        <v>29.75</v>
      </c>
    </row>
    <row r="105" spans="2:3">
      <c r="B105" s="11">
        <v>43987</v>
      </c>
      <c r="C105" s="165">
        <v>29.5625</v>
      </c>
    </row>
    <row r="106" spans="2:3">
      <c r="B106" s="11">
        <v>43990</v>
      </c>
      <c r="C106" s="165">
        <v>29.5625</v>
      </c>
    </row>
    <row r="107" spans="2:3">
      <c r="B107" s="11">
        <v>43991</v>
      </c>
      <c r="C107" s="165">
        <v>29.875</v>
      </c>
    </row>
    <row r="108" spans="2:3">
      <c r="B108" s="11">
        <v>43992</v>
      </c>
      <c r="C108" s="165">
        <v>29.5</v>
      </c>
    </row>
    <row r="109" spans="2:3">
      <c r="B109" s="11">
        <v>43993</v>
      </c>
      <c r="C109" s="165">
        <v>29.6875</v>
      </c>
    </row>
    <row r="110" spans="2:3">
      <c r="B110" s="11">
        <v>43994</v>
      </c>
      <c r="C110" s="165">
        <v>29.1875</v>
      </c>
    </row>
    <row r="111" spans="2:3">
      <c r="B111" s="11">
        <v>43998</v>
      </c>
      <c r="C111" s="165">
        <v>29.75</v>
      </c>
    </row>
    <row r="112" spans="2:3">
      <c r="B112" s="11">
        <v>43999</v>
      </c>
      <c r="C112" s="165">
        <v>29.8125</v>
      </c>
    </row>
    <row r="113" spans="2:3">
      <c r="B113" s="11">
        <v>44000</v>
      </c>
      <c r="C113" s="165">
        <v>29.4375</v>
      </c>
    </row>
    <row r="114" spans="2:3">
      <c r="B114" s="11">
        <v>44001</v>
      </c>
      <c r="C114" s="165">
        <v>29.8125</v>
      </c>
    </row>
    <row r="115" spans="2:3">
      <c r="B115" s="11">
        <v>44004</v>
      </c>
      <c r="C115" s="165">
        <v>29.625</v>
      </c>
    </row>
    <row r="116" spans="2:3">
      <c r="B116" s="11">
        <v>44005</v>
      </c>
      <c r="C116" s="165">
        <v>29.75</v>
      </c>
    </row>
    <row r="117" spans="2:3">
      <c r="B117" s="11">
        <v>44006</v>
      </c>
      <c r="C117" s="165">
        <v>29.75</v>
      </c>
    </row>
    <row r="118" spans="2:3">
      <c r="B118" s="11">
        <v>44007</v>
      </c>
      <c r="C118" s="165">
        <v>29.8125</v>
      </c>
    </row>
    <row r="119" spans="2:3">
      <c r="B119" s="11">
        <v>44008</v>
      </c>
      <c r="C119" s="165">
        <v>29.625</v>
      </c>
    </row>
    <row r="120" spans="2:3">
      <c r="B120" s="11">
        <v>44011</v>
      </c>
      <c r="C120" s="165">
        <v>29</v>
      </c>
    </row>
    <row r="121" spans="2:3">
      <c r="B121" s="11">
        <v>44012</v>
      </c>
      <c r="C121" s="165">
        <v>29.6875</v>
      </c>
    </row>
    <row r="122" spans="2:3">
      <c r="B122" s="11">
        <v>44013</v>
      </c>
      <c r="C122" s="165">
        <v>29.75</v>
      </c>
    </row>
    <row r="123" spans="2:3">
      <c r="B123" s="11">
        <v>44014</v>
      </c>
      <c r="C123" s="165">
        <v>29.5625</v>
      </c>
    </row>
    <row r="124" spans="2:3">
      <c r="B124" s="11">
        <v>44015</v>
      </c>
      <c r="C124" s="165">
        <v>29.5625</v>
      </c>
    </row>
    <row r="125" spans="2:3">
      <c r="B125" s="11">
        <v>44018</v>
      </c>
      <c r="C125" s="165">
        <v>29.6875</v>
      </c>
    </row>
    <row r="126" spans="2:3">
      <c r="B126" s="11">
        <v>44019</v>
      </c>
      <c r="C126" s="165">
        <v>29.75</v>
      </c>
    </row>
    <row r="127" spans="2:3">
      <c r="B127" s="11">
        <v>44020</v>
      </c>
      <c r="C127" s="165">
        <v>29.5</v>
      </c>
    </row>
    <row r="128" spans="2:3">
      <c r="B128" s="11">
        <v>44025</v>
      </c>
      <c r="C128" s="165">
        <v>29.6875</v>
      </c>
    </row>
    <row r="129" spans="2:3">
      <c r="B129" s="11">
        <v>44026</v>
      </c>
      <c r="C129" s="165">
        <v>29.5625</v>
      </c>
    </row>
    <row r="130" spans="2:3">
      <c r="B130" s="11">
        <v>44027</v>
      </c>
      <c r="C130" s="165">
        <v>29.625</v>
      </c>
    </row>
    <row r="131" spans="2:3">
      <c r="B131" s="11">
        <v>44028</v>
      </c>
      <c r="C131" s="165">
        <v>29.5</v>
      </c>
    </row>
    <row r="132" spans="2:3">
      <c r="B132" s="11">
        <v>44029</v>
      </c>
      <c r="C132" s="165">
        <v>29.5625</v>
      </c>
    </row>
    <row r="133" spans="2:3">
      <c r="B133" s="11">
        <v>44032</v>
      </c>
      <c r="C133" s="165">
        <v>29.4375</v>
      </c>
    </row>
    <row r="134" spans="2:3">
      <c r="B134" s="11">
        <v>44033</v>
      </c>
      <c r="C134" s="165">
        <v>29.5</v>
      </c>
    </row>
    <row r="135" spans="2:3">
      <c r="B135" s="11">
        <v>44034</v>
      </c>
      <c r="C135" s="165">
        <v>29.6875</v>
      </c>
    </row>
    <row r="136" spans="2:3">
      <c r="B136" s="11">
        <v>44035</v>
      </c>
      <c r="C136" s="165">
        <v>29.125</v>
      </c>
    </row>
    <row r="137" spans="2:3">
      <c r="B137" s="11">
        <v>44036</v>
      </c>
      <c r="C137" s="165">
        <v>29.5625</v>
      </c>
    </row>
    <row r="138" spans="2:3">
      <c r="B138" s="11">
        <v>44039</v>
      </c>
      <c r="C138" s="165">
        <v>29.375</v>
      </c>
    </row>
    <row r="139" spans="2:3">
      <c r="B139" s="11">
        <v>44040</v>
      </c>
      <c r="C139" s="165">
        <v>29.1875</v>
      </c>
    </row>
    <row r="140" spans="2:3">
      <c r="B140" s="11">
        <v>44041</v>
      </c>
      <c r="C140" s="165">
        <v>29.75</v>
      </c>
    </row>
    <row r="141" spans="2:3">
      <c r="B141" s="11">
        <v>44042</v>
      </c>
      <c r="C141" s="165">
        <v>29.625</v>
      </c>
    </row>
    <row r="142" spans="2:3">
      <c r="B142" s="11">
        <v>44043</v>
      </c>
      <c r="C142" s="165">
        <v>29.1875</v>
      </c>
    </row>
    <row r="143" spans="2:3">
      <c r="B143" s="11">
        <v>44046</v>
      </c>
      <c r="C143" s="165">
        <v>29.875</v>
      </c>
    </row>
    <row r="144" spans="2:3">
      <c r="B144" s="11">
        <v>44047</v>
      </c>
      <c r="C144" s="165">
        <v>29.25</v>
      </c>
    </row>
    <row r="145" spans="2:3">
      <c r="B145" s="11">
        <v>44048</v>
      </c>
      <c r="C145" s="165">
        <v>29.4375</v>
      </c>
    </row>
    <row r="146" spans="2:3">
      <c r="B146" s="11">
        <v>44049</v>
      </c>
      <c r="C146" s="165">
        <v>29.8125</v>
      </c>
    </row>
    <row r="147" spans="2:3">
      <c r="B147" s="11">
        <v>44050</v>
      </c>
      <c r="C147" s="165">
        <v>29.625</v>
      </c>
    </row>
    <row r="148" spans="2:3">
      <c r="B148" s="11">
        <v>44053</v>
      </c>
      <c r="C148" s="165">
        <v>30</v>
      </c>
    </row>
    <row r="149" spans="2:3">
      <c r="B149" s="11">
        <v>44054</v>
      </c>
      <c r="C149" s="165">
        <v>29.6875</v>
      </c>
    </row>
    <row r="150" spans="2:3">
      <c r="B150" s="11">
        <v>44055</v>
      </c>
      <c r="C150" s="165">
        <v>29.75</v>
      </c>
    </row>
    <row r="151" spans="2:3">
      <c r="B151" s="11">
        <v>44056</v>
      </c>
      <c r="C151" s="165">
        <v>29.3125</v>
      </c>
    </row>
    <row r="152" spans="2:3">
      <c r="B152" s="11">
        <v>44057</v>
      </c>
      <c r="C152" s="165">
        <v>29.875</v>
      </c>
    </row>
    <row r="153" spans="2:3">
      <c r="B153" s="11">
        <v>44061</v>
      </c>
      <c r="C153" s="165">
        <v>29.9375</v>
      </c>
    </row>
    <row r="154" spans="2:3">
      <c r="B154" s="11">
        <v>44062</v>
      </c>
      <c r="C154" s="165">
        <v>29.8125</v>
      </c>
    </row>
    <row r="155" spans="2:3">
      <c r="B155" s="11">
        <v>44063</v>
      </c>
      <c r="C155" s="165">
        <v>30</v>
      </c>
    </row>
    <row r="156" spans="2:3">
      <c r="B156" s="11">
        <v>44064</v>
      </c>
      <c r="C156" s="165">
        <v>29.5625</v>
      </c>
    </row>
    <row r="157" spans="2:3">
      <c r="B157" s="11">
        <v>44067</v>
      </c>
      <c r="C157" s="165">
        <v>28.9375</v>
      </c>
    </row>
    <row r="158" spans="2:3">
      <c r="B158" s="11">
        <v>44068</v>
      </c>
      <c r="C158" s="165">
        <v>29.5625</v>
      </c>
    </row>
    <row r="159" spans="2:3">
      <c r="B159" s="11">
        <v>44069</v>
      </c>
      <c r="C159" s="198">
        <v>29.875</v>
      </c>
    </row>
    <row r="160" spans="2:3">
      <c r="B160" s="11">
        <v>44070</v>
      </c>
      <c r="C160" s="165">
        <v>29.1875</v>
      </c>
    </row>
    <row r="161" spans="2:3">
      <c r="B161" s="11">
        <v>44071</v>
      </c>
      <c r="C161" s="165">
        <v>29.9375</v>
      </c>
    </row>
    <row r="162" spans="2:3">
      <c r="B162" s="11">
        <v>44074</v>
      </c>
      <c r="C162" s="165">
        <v>29.625</v>
      </c>
    </row>
    <row r="163" spans="2:3">
      <c r="B163" s="11">
        <v>44075</v>
      </c>
      <c r="C163" s="165">
        <v>29.6875</v>
      </c>
    </row>
    <row r="164" spans="2:3">
      <c r="B164" s="11">
        <v>44076</v>
      </c>
      <c r="C164" s="165">
        <v>29.75</v>
      </c>
    </row>
    <row r="165" spans="2:3">
      <c r="B165" s="11">
        <v>44077</v>
      </c>
      <c r="C165" s="165">
        <v>30</v>
      </c>
    </row>
    <row r="166" spans="2:3">
      <c r="B166" s="11">
        <v>44078</v>
      </c>
      <c r="C166" s="165">
        <v>29.8125</v>
      </c>
    </row>
    <row r="167" spans="2:3">
      <c r="B167" s="11">
        <v>44081</v>
      </c>
      <c r="C167" s="165">
        <v>29.625</v>
      </c>
    </row>
    <row r="168" spans="2:3">
      <c r="B168" s="11">
        <v>44082</v>
      </c>
      <c r="C168" s="165">
        <v>29.875</v>
      </c>
    </row>
    <row r="169" spans="2:3">
      <c r="B169" s="11">
        <v>44083</v>
      </c>
      <c r="C169" s="165">
        <v>29.9375</v>
      </c>
    </row>
    <row r="170" spans="2:3">
      <c r="B170" s="11">
        <v>44084</v>
      </c>
      <c r="C170" s="165">
        <v>29.6875</v>
      </c>
    </row>
    <row r="171" spans="2:3">
      <c r="B171" s="11">
        <v>44085</v>
      </c>
      <c r="C171" s="165">
        <v>29.5</v>
      </c>
    </row>
    <row r="172" spans="2:3">
      <c r="B172" s="11">
        <v>44088</v>
      </c>
      <c r="C172" s="165">
        <v>29.6875</v>
      </c>
    </row>
    <row r="173" spans="2:3">
      <c r="B173" s="11">
        <v>44089</v>
      </c>
      <c r="C173" s="199">
        <v>29.5</v>
      </c>
    </row>
    <row r="174" spans="2:3">
      <c r="B174" s="11">
        <v>44090</v>
      </c>
      <c r="C174" s="165">
        <v>29.875</v>
      </c>
    </row>
    <row r="175" spans="2:3">
      <c r="B175" s="11">
        <v>44091</v>
      </c>
      <c r="C175" s="198">
        <v>29.875</v>
      </c>
    </row>
    <row r="176" spans="2:3">
      <c r="B176" s="11">
        <v>44092</v>
      </c>
      <c r="C176" s="199">
        <v>29.875</v>
      </c>
    </row>
    <row r="177" spans="2:3">
      <c r="B177" s="11">
        <v>44095</v>
      </c>
      <c r="C177" s="199">
        <v>30</v>
      </c>
    </row>
    <row r="178" spans="2:3">
      <c r="B178" s="11">
        <v>44096</v>
      </c>
      <c r="C178" s="199">
        <v>29.75</v>
      </c>
    </row>
    <row r="179" spans="2:3">
      <c r="B179" s="11">
        <v>44097</v>
      </c>
      <c r="C179" s="199">
        <v>29.25</v>
      </c>
    </row>
    <row r="180" spans="2:3">
      <c r="B180" s="11">
        <v>44098</v>
      </c>
      <c r="C180" s="165">
        <v>29.5625</v>
      </c>
    </row>
    <row r="181" spans="2:3">
      <c r="B181" s="11">
        <v>44099</v>
      </c>
      <c r="C181" s="165">
        <v>29.5625</v>
      </c>
    </row>
    <row r="182" spans="2:3">
      <c r="B182" s="11">
        <v>44102</v>
      </c>
      <c r="C182" s="199">
        <v>29.8125</v>
      </c>
    </row>
    <row r="183" spans="2:3">
      <c r="B183" s="11">
        <v>44103</v>
      </c>
      <c r="C183" s="165">
        <v>30.0625</v>
      </c>
    </row>
    <row r="184" spans="2:3">
      <c r="B184" s="11">
        <v>44104</v>
      </c>
      <c r="C184" s="165">
        <v>29.6875</v>
      </c>
    </row>
    <row r="185" spans="2:3">
      <c r="B185" s="11">
        <v>44105</v>
      </c>
      <c r="C185" s="165">
        <v>28.875</v>
      </c>
    </row>
    <row r="186" spans="2:3">
      <c r="B186" s="11">
        <v>44106</v>
      </c>
      <c r="C186" s="165">
        <v>29.6875</v>
      </c>
    </row>
    <row r="187" spans="2:3">
      <c r="B187" s="11">
        <v>44109</v>
      </c>
      <c r="C187" s="165">
        <v>29.875</v>
      </c>
    </row>
    <row r="188" spans="2:3">
      <c r="B188" s="11">
        <v>44110</v>
      </c>
      <c r="C188" s="165">
        <v>29.9375</v>
      </c>
    </row>
    <row r="189" spans="2:3">
      <c r="B189" s="11">
        <v>44111</v>
      </c>
      <c r="C189" s="199">
        <v>29.6875</v>
      </c>
    </row>
    <row r="190" spans="2:3">
      <c r="B190" s="11">
        <v>44112</v>
      </c>
      <c r="C190" s="199">
        <v>29.5625</v>
      </c>
    </row>
    <row r="191" spans="2:3">
      <c r="B191" s="11">
        <v>44113</v>
      </c>
      <c r="C191" s="199">
        <v>29.75</v>
      </c>
    </row>
    <row r="192" spans="2:3">
      <c r="B192" s="11">
        <v>44117</v>
      </c>
      <c r="C192" s="199">
        <v>29.8125</v>
      </c>
    </row>
    <row r="193" spans="2:3">
      <c r="B193" s="11">
        <v>44118</v>
      </c>
      <c r="C193" s="199">
        <v>29.625</v>
      </c>
    </row>
    <row r="194" spans="2:3">
      <c r="B194" s="11">
        <v>44119</v>
      </c>
      <c r="C194" s="199">
        <v>30</v>
      </c>
    </row>
    <row r="195" spans="2:3">
      <c r="B195" s="11">
        <v>44120</v>
      </c>
      <c r="C195" s="199">
        <v>31.6875</v>
      </c>
    </row>
    <row r="196" spans="2:3">
      <c r="B196" s="11">
        <v>44123</v>
      </c>
      <c r="C196" s="199">
        <v>31.5625</v>
      </c>
    </row>
    <row r="197" spans="2:3">
      <c r="B197" s="11">
        <v>44124</v>
      </c>
      <c r="C197" s="165">
        <v>31.875</v>
      </c>
    </row>
    <row r="198" spans="2:3">
      <c r="B198" s="11">
        <v>44125</v>
      </c>
      <c r="C198" s="165">
        <v>31.75</v>
      </c>
    </row>
    <row r="199" spans="2:3">
      <c r="B199" s="11">
        <v>44126</v>
      </c>
      <c r="C199" s="165">
        <v>31.125</v>
      </c>
    </row>
    <row r="200" spans="2:3">
      <c r="B200" s="11">
        <v>44127</v>
      </c>
      <c r="C200" s="165">
        <v>31.5625</v>
      </c>
    </row>
    <row r="201" spans="2:3">
      <c r="B201" s="11">
        <v>44130</v>
      </c>
      <c r="C201" s="165">
        <v>31.5625</v>
      </c>
    </row>
    <row r="202" spans="2:3">
      <c r="B202" s="11">
        <v>44131</v>
      </c>
      <c r="C202" s="165">
        <v>31.5625</v>
      </c>
    </row>
    <row r="203" spans="2:3">
      <c r="B203" s="11">
        <v>44132</v>
      </c>
      <c r="C203" s="165">
        <v>31.6875</v>
      </c>
    </row>
    <row r="204" spans="2:3">
      <c r="B204" s="11">
        <v>44133</v>
      </c>
      <c r="C204" s="165">
        <v>31.6875</v>
      </c>
    </row>
    <row r="205" spans="2:3">
      <c r="B205" s="11">
        <v>44134</v>
      </c>
      <c r="C205" s="165">
        <v>31.75</v>
      </c>
    </row>
    <row r="206" spans="2:3">
      <c r="B206" s="11">
        <v>44137</v>
      </c>
      <c r="C206" s="165">
        <v>31.75</v>
      </c>
    </row>
    <row r="207" spans="2:3">
      <c r="B207" s="11">
        <v>44138</v>
      </c>
      <c r="C207" s="165">
        <v>31.75</v>
      </c>
    </row>
    <row r="208" spans="2:3">
      <c r="B208" s="11">
        <v>44139</v>
      </c>
      <c r="C208" s="165">
        <v>31.4375</v>
      </c>
    </row>
    <row r="209" spans="2:3">
      <c r="B209" s="11">
        <v>44140</v>
      </c>
      <c r="C209" s="199">
        <v>31.8125</v>
      </c>
    </row>
    <row r="210" spans="2:3">
      <c r="B210" s="11">
        <v>44144</v>
      </c>
      <c r="C210" s="199">
        <v>31.75</v>
      </c>
    </row>
    <row r="211" spans="2:3">
      <c r="B211" s="11">
        <v>44145</v>
      </c>
      <c r="C211" s="199">
        <v>31.8125</v>
      </c>
    </row>
    <row r="212" spans="2:3">
      <c r="B212" s="11">
        <v>44146</v>
      </c>
      <c r="C212" s="199">
        <v>31.5625</v>
      </c>
    </row>
    <row r="213" spans="2:3">
      <c r="B213" s="11">
        <v>44147</v>
      </c>
      <c r="C213" s="199">
        <v>31.6875</v>
      </c>
    </row>
    <row r="214" spans="2:3">
      <c r="B214" s="11">
        <v>44148</v>
      </c>
      <c r="C214" s="199">
        <v>33.625</v>
      </c>
    </row>
    <row r="215" spans="2:3">
      <c r="B215" s="11">
        <v>44151</v>
      </c>
      <c r="C215" s="199">
        <v>33.875</v>
      </c>
    </row>
    <row r="216" spans="2:3">
      <c r="B216" s="11">
        <v>44152</v>
      </c>
      <c r="C216" s="199">
        <v>33.9375</v>
      </c>
    </row>
    <row r="217" spans="2:3">
      <c r="B217" s="11">
        <v>44153</v>
      </c>
      <c r="C217" s="165">
        <v>33.875</v>
      </c>
    </row>
    <row r="218" spans="2:3">
      <c r="B218" s="11">
        <v>44154</v>
      </c>
      <c r="C218" s="165">
        <v>33.875</v>
      </c>
    </row>
    <row r="219" spans="2:3">
      <c r="B219" s="11">
        <v>44155</v>
      </c>
      <c r="C219" s="217">
        <v>34.0625</v>
      </c>
    </row>
    <row r="220" spans="2:3">
      <c r="B220" s="11">
        <v>44159</v>
      </c>
      <c r="C220" s="217">
        <v>33.875</v>
      </c>
    </row>
    <row r="221" spans="2:3">
      <c r="B221" s="3">
        <v>44160</v>
      </c>
      <c r="C221" s="217">
        <v>33.625</v>
      </c>
    </row>
    <row r="222" spans="2:3">
      <c r="B222" s="235">
        <v>44161</v>
      </c>
      <c r="C222" s="217">
        <v>34.0625</v>
      </c>
    </row>
    <row r="223" spans="2:3">
      <c r="B223" s="11">
        <v>44162</v>
      </c>
      <c r="C223" s="217">
        <v>33.75</v>
      </c>
    </row>
    <row r="224" spans="2:3">
      <c r="B224" s="11">
        <v>44165</v>
      </c>
      <c r="C224" s="217">
        <v>33.75</v>
      </c>
    </row>
    <row r="225" spans="2:4">
      <c r="B225" s="246">
        <v>44166</v>
      </c>
      <c r="C225" s="199">
        <v>34.375</v>
      </c>
    </row>
    <row r="226" spans="2:4">
      <c r="B226" s="11">
        <v>44167</v>
      </c>
      <c r="C226" s="199">
        <v>34.3125</v>
      </c>
    </row>
    <row r="227" spans="2:4">
      <c r="B227" s="246">
        <v>44168</v>
      </c>
      <c r="C227" s="199">
        <v>34.1875</v>
      </c>
    </row>
    <row r="228" spans="2:4">
      <c r="B228" s="246">
        <v>44169</v>
      </c>
      <c r="C228" s="199">
        <v>34.06</v>
      </c>
    </row>
    <row r="229" spans="2:4">
      <c r="B229" s="11">
        <v>44174</v>
      </c>
      <c r="C229" s="199">
        <v>34.25</v>
      </c>
    </row>
    <row r="230" spans="2:4">
      <c r="B230" s="11">
        <v>44175</v>
      </c>
      <c r="C230" s="199">
        <v>34.375</v>
      </c>
    </row>
    <row r="231" spans="2:4">
      <c r="B231" s="11">
        <v>44176</v>
      </c>
      <c r="C231" s="199">
        <v>34.125</v>
      </c>
    </row>
    <row r="232" spans="2:4">
      <c r="B232" s="11">
        <v>44179</v>
      </c>
      <c r="C232" s="199">
        <v>34.0625</v>
      </c>
    </row>
    <row r="233" spans="2:4">
      <c r="B233" s="246">
        <v>44180</v>
      </c>
      <c r="C233" s="199">
        <v>34.5</v>
      </c>
    </row>
    <row r="234" spans="2:4">
      <c r="B234" s="11">
        <v>44181</v>
      </c>
      <c r="C234" s="199">
        <v>34.1875</v>
      </c>
    </row>
    <row r="235" spans="2:4">
      <c r="B235" s="246">
        <v>44182</v>
      </c>
      <c r="C235" s="199">
        <v>34.1875</v>
      </c>
      <c r="D235" s="51"/>
    </row>
    <row r="236" spans="2:4">
      <c r="B236" s="11">
        <v>44183</v>
      </c>
      <c r="C236" s="199">
        <v>34.3125</v>
      </c>
    </row>
    <row r="237" spans="2:4">
      <c r="B237" s="11">
        <v>44186</v>
      </c>
      <c r="C237" s="199">
        <v>34.25</v>
      </c>
    </row>
    <row r="238" spans="2:4">
      <c r="B238" s="246">
        <v>44187</v>
      </c>
      <c r="C238" s="199">
        <v>34.0625</v>
      </c>
    </row>
    <row r="239" spans="2:4">
      <c r="B239" s="11">
        <v>44188</v>
      </c>
      <c r="C239" s="199">
        <v>34.0625</v>
      </c>
    </row>
    <row r="240" spans="2:4">
      <c r="B240" s="11">
        <v>44193</v>
      </c>
      <c r="C240" s="199">
        <v>34.125</v>
      </c>
    </row>
    <row r="241" spans="2:9">
      <c r="B241" s="11">
        <v>44194</v>
      </c>
      <c r="C241" s="165">
        <v>34.1875</v>
      </c>
    </row>
    <row r="242" spans="2:9">
      <c r="B242" s="11">
        <v>44195</v>
      </c>
      <c r="C242" s="165">
        <v>34.25</v>
      </c>
    </row>
    <row r="243" spans="2:9">
      <c r="B243" s="11">
        <v>44200</v>
      </c>
      <c r="C243" s="165">
        <v>34.0625</v>
      </c>
    </row>
    <row r="244" spans="2:9">
      <c r="B244" s="11">
        <v>44201</v>
      </c>
      <c r="C244" s="165">
        <v>34.3125</v>
      </c>
    </row>
    <row r="245" spans="2:9">
      <c r="B245" s="11">
        <v>44202</v>
      </c>
      <c r="C245" s="165">
        <v>33.9375</v>
      </c>
    </row>
    <row r="246" spans="2:9">
      <c r="B246" s="246">
        <v>44203</v>
      </c>
      <c r="C246" s="199">
        <v>33.8125</v>
      </c>
    </row>
    <row r="247" spans="2:9">
      <c r="B247" s="11">
        <v>44204</v>
      </c>
      <c r="C247" s="199">
        <v>34.125</v>
      </c>
    </row>
    <row r="248" spans="2:9">
      <c r="B248" s="11">
        <v>44207</v>
      </c>
      <c r="C248" s="199">
        <v>34.3125</v>
      </c>
    </row>
    <row r="249" spans="2:9">
      <c r="B249" s="11">
        <v>44208</v>
      </c>
      <c r="C249" s="199">
        <v>34.125</v>
      </c>
    </row>
    <row r="250" spans="2:9">
      <c r="B250" s="11">
        <v>44209</v>
      </c>
      <c r="C250" s="199">
        <v>34</v>
      </c>
    </row>
    <row r="251" spans="2:9">
      <c r="B251" s="11">
        <v>44210</v>
      </c>
      <c r="C251" s="199">
        <v>34.375</v>
      </c>
    </row>
    <row r="252" spans="2:9">
      <c r="B252" s="246">
        <v>44211</v>
      </c>
      <c r="C252" s="199">
        <v>34.5625</v>
      </c>
    </row>
    <row r="253" spans="2:9">
      <c r="B253" s="11">
        <v>44214</v>
      </c>
      <c r="C253" s="199">
        <v>34.1875</v>
      </c>
    </row>
    <row r="254" spans="2:9">
      <c r="B254" s="11">
        <v>44215</v>
      </c>
      <c r="C254" s="199">
        <v>34.1875</v>
      </c>
      <c r="F254" s="3"/>
    </row>
    <row r="255" spans="2:9">
      <c r="B255" s="11">
        <v>44216</v>
      </c>
      <c r="C255" s="199">
        <v>34.3125</v>
      </c>
      <c r="F255" s="3"/>
      <c r="I255" s="3"/>
    </row>
    <row r="256" spans="2:9">
      <c r="B256" s="11">
        <v>44217</v>
      </c>
      <c r="C256" s="199">
        <v>34</v>
      </c>
      <c r="F256" s="3"/>
      <c r="I256" s="3"/>
    </row>
    <row r="257" spans="2:13">
      <c r="B257" s="11">
        <v>44218</v>
      </c>
      <c r="C257" s="199">
        <v>34</v>
      </c>
      <c r="F257" s="3"/>
      <c r="I257" s="3"/>
    </row>
    <row r="258" spans="2:13">
      <c r="B258" s="11">
        <v>44221</v>
      </c>
      <c r="C258" s="199">
        <v>33.8125</v>
      </c>
      <c r="F258" s="3"/>
      <c r="I258" s="3"/>
      <c r="M258" s="2"/>
    </row>
    <row r="259" spans="2:13">
      <c r="B259" s="11">
        <v>44222</v>
      </c>
      <c r="C259" s="199">
        <v>33.875</v>
      </c>
      <c r="F259" s="3"/>
      <c r="I259" s="3"/>
    </row>
    <row r="260" spans="2:13">
      <c r="B260" s="11">
        <v>44223</v>
      </c>
      <c r="C260" s="199">
        <v>34.0625</v>
      </c>
      <c r="F260" s="3"/>
      <c r="I260" s="3"/>
    </row>
    <row r="261" spans="2:13">
      <c r="B261" s="11">
        <v>44224</v>
      </c>
      <c r="C261" s="165">
        <v>34.1875</v>
      </c>
      <c r="I261" s="3"/>
    </row>
    <row r="262" spans="2:13">
      <c r="B262" s="11">
        <v>44225</v>
      </c>
      <c r="C262" s="165">
        <v>34.1875</v>
      </c>
      <c r="I262" s="3"/>
    </row>
    <row r="263" spans="2:13">
      <c r="B263" s="11">
        <v>44228</v>
      </c>
      <c r="C263" s="165">
        <v>34.1875</v>
      </c>
      <c r="I263" s="3"/>
      <c r="J263" s="3"/>
      <c r="M263" s="2"/>
    </row>
    <row r="264" spans="2:13">
      <c r="B264" s="11">
        <v>44229</v>
      </c>
      <c r="C264" s="165">
        <v>34.1875</v>
      </c>
      <c r="I264" s="3"/>
      <c r="J264" s="3"/>
    </row>
    <row r="265" spans="2:13">
      <c r="B265" s="11">
        <v>44230</v>
      </c>
      <c r="C265" s="165">
        <v>34</v>
      </c>
      <c r="I265" s="3"/>
      <c r="J265" s="3"/>
    </row>
    <row r="266" spans="2:13">
      <c r="B266" s="246">
        <v>44231</v>
      </c>
      <c r="C266" s="199">
        <v>34.1875</v>
      </c>
      <c r="I266" s="3"/>
      <c r="J266" s="3"/>
    </row>
    <row r="267" spans="2:13">
      <c r="B267" s="11">
        <v>44232</v>
      </c>
      <c r="C267" s="199">
        <v>34.0625</v>
      </c>
      <c r="I267" s="3"/>
      <c r="J267" s="3"/>
    </row>
    <row r="268" spans="2:13">
      <c r="B268" s="11">
        <v>44235</v>
      </c>
      <c r="C268" s="199">
        <v>34.125</v>
      </c>
      <c r="I268" s="3"/>
      <c r="J268" s="3"/>
    </row>
    <row r="269" spans="2:13">
      <c r="B269" s="11">
        <v>44236</v>
      </c>
      <c r="C269" s="199">
        <v>34.25</v>
      </c>
      <c r="I269" s="3"/>
    </row>
    <row r="270" spans="2:13">
      <c r="B270" s="246">
        <v>44237</v>
      </c>
      <c r="C270" s="199">
        <v>34.1875</v>
      </c>
    </row>
    <row r="271" spans="2:13">
      <c r="B271" s="246">
        <v>44238</v>
      </c>
      <c r="C271" s="199">
        <v>34.125</v>
      </c>
    </row>
    <row r="272" spans="2:13">
      <c r="B272" s="11">
        <v>44239</v>
      </c>
      <c r="C272" s="199">
        <v>34</v>
      </c>
    </row>
    <row r="273" spans="2:4">
      <c r="B273" s="246">
        <v>44244</v>
      </c>
      <c r="C273" s="199">
        <v>34.25</v>
      </c>
    </row>
    <row r="274" spans="2:4">
      <c r="B274" s="246">
        <v>44245</v>
      </c>
      <c r="C274" s="199">
        <v>34.25</v>
      </c>
    </row>
    <row r="275" spans="2:4">
      <c r="B275" s="246">
        <v>44246</v>
      </c>
      <c r="C275" s="199">
        <v>33.75</v>
      </c>
    </row>
    <row r="276" spans="2:4">
      <c r="B276" s="246">
        <v>44249</v>
      </c>
      <c r="C276" s="199">
        <v>34.125</v>
      </c>
      <c r="D276" s="51"/>
    </row>
    <row r="277" spans="2:4">
      <c r="B277" s="246">
        <v>44250</v>
      </c>
      <c r="C277" s="199">
        <v>34.125</v>
      </c>
      <c r="D277" s="51"/>
    </row>
    <row r="278" spans="2:4">
      <c r="B278" s="246">
        <v>44251</v>
      </c>
      <c r="C278" s="199">
        <v>34.1875</v>
      </c>
      <c r="D278" s="51"/>
    </row>
    <row r="279" spans="2:4">
      <c r="B279" s="246">
        <v>44252</v>
      </c>
      <c r="C279" s="199">
        <v>34.1875</v>
      </c>
      <c r="D279" s="51"/>
    </row>
    <row r="280" spans="2:4">
      <c r="B280" s="246">
        <v>44253</v>
      </c>
      <c r="C280" s="199">
        <f>+C279</f>
        <v>34.1875</v>
      </c>
      <c r="D280" s="51"/>
    </row>
    <row r="281" spans="2:4">
      <c r="B281" s="246">
        <v>44256</v>
      </c>
      <c r="C281" s="199">
        <f>+C280</f>
        <v>34.1875</v>
      </c>
      <c r="D281" s="51"/>
    </row>
    <row r="282" spans="2:4">
      <c r="B282" s="246">
        <v>44257</v>
      </c>
      <c r="C282" s="199">
        <f>+C281</f>
        <v>34.1875</v>
      </c>
      <c r="D282" s="51"/>
    </row>
    <row r="283" spans="2:4">
      <c r="B283" s="246">
        <v>44258</v>
      </c>
      <c r="C283" s="199">
        <f t="shared" ref="C283:C337" si="0">+C282</f>
        <v>34.1875</v>
      </c>
      <c r="D283" s="51"/>
    </row>
    <row r="284" spans="2:4">
      <c r="B284" s="11">
        <v>44259</v>
      </c>
      <c r="C284" s="165">
        <f t="shared" si="0"/>
        <v>34.1875</v>
      </c>
    </row>
    <row r="285" spans="2:4">
      <c r="B285" s="11">
        <v>44260</v>
      </c>
      <c r="C285" s="165">
        <f t="shared" si="0"/>
        <v>34.1875</v>
      </c>
    </row>
    <row r="286" spans="2:4">
      <c r="B286" s="11">
        <v>44263</v>
      </c>
      <c r="C286" s="165">
        <f t="shared" si="0"/>
        <v>34.1875</v>
      </c>
    </row>
    <row r="287" spans="2:4">
      <c r="B287" s="11">
        <v>44264</v>
      </c>
      <c r="C287" s="165">
        <f t="shared" si="0"/>
        <v>34.1875</v>
      </c>
    </row>
    <row r="288" spans="2:4">
      <c r="B288" s="11">
        <v>44265</v>
      </c>
      <c r="C288" s="165">
        <f t="shared" si="0"/>
        <v>34.1875</v>
      </c>
    </row>
    <row r="289" spans="2:3">
      <c r="B289" s="11">
        <v>44266</v>
      </c>
      <c r="C289" s="199">
        <f t="shared" si="0"/>
        <v>34.1875</v>
      </c>
    </row>
    <row r="290" spans="2:3">
      <c r="B290" s="11">
        <v>44267</v>
      </c>
      <c r="C290" s="199">
        <f t="shared" si="0"/>
        <v>34.1875</v>
      </c>
    </row>
    <row r="291" spans="2:3">
      <c r="B291" s="11">
        <v>44270</v>
      </c>
      <c r="C291" s="199">
        <f t="shared" si="0"/>
        <v>34.1875</v>
      </c>
    </row>
    <row r="292" spans="2:3">
      <c r="B292" s="11">
        <v>44271</v>
      </c>
      <c r="C292" s="199">
        <f t="shared" si="0"/>
        <v>34.1875</v>
      </c>
    </row>
    <row r="293" spans="2:3">
      <c r="B293" s="11">
        <v>44272</v>
      </c>
      <c r="C293" s="199">
        <f t="shared" si="0"/>
        <v>34.1875</v>
      </c>
    </row>
    <row r="294" spans="2:3">
      <c r="B294" s="187">
        <v>44273</v>
      </c>
      <c r="C294" s="234">
        <f t="shared" si="0"/>
        <v>34.1875</v>
      </c>
    </row>
    <row r="295" spans="2:3">
      <c r="B295" s="11">
        <v>44274</v>
      </c>
      <c r="C295" s="199">
        <f t="shared" si="0"/>
        <v>34.1875</v>
      </c>
    </row>
    <row r="296" spans="2:3">
      <c r="B296" s="11">
        <v>44277</v>
      </c>
      <c r="C296" s="199">
        <f t="shared" si="0"/>
        <v>34.1875</v>
      </c>
    </row>
    <row r="297" spans="2:3">
      <c r="B297" s="11">
        <v>44278</v>
      </c>
      <c r="C297" s="199">
        <f t="shared" si="0"/>
        <v>34.1875</v>
      </c>
    </row>
    <row r="298" spans="2:3">
      <c r="B298" s="11">
        <v>44280</v>
      </c>
      <c r="C298" s="199">
        <f t="shared" si="0"/>
        <v>34.1875</v>
      </c>
    </row>
    <row r="299" spans="2:3">
      <c r="B299" s="11">
        <v>44281</v>
      </c>
      <c r="C299" s="199">
        <f t="shared" si="0"/>
        <v>34.1875</v>
      </c>
    </row>
    <row r="300" spans="2:3">
      <c r="B300" s="11">
        <v>44284</v>
      </c>
      <c r="C300" s="199">
        <f t="shared" si="0"/>
        <v>34.1875</v>
      </c>
    </row>
    <row r="301" spans="2:3">
      <c r="B301" s="11">
        <v>44285</v>
      </c>
      <c r="C301" s="199">
        <f t="shared" si="0"/>
        <v>34.1875</v>
      </c>
    </row>
    <row r="302" spans="2:3">
      <c r="B302" s="11">
        <v>44286</v>
      </c>
      <c r="C302" s="165">
        <f t="shared" si="0"/>
        <v>34.1875</v>
      </c>
    </row>
    <row r="303" spans="2:3">
      <c r="B303" s="11">
        <v>44287</v>
      </c>
      <c r="C303" s="165">
        <f t="shared" si="0"/>
        <v>34.1875</v>
      </c>
    </row>
    <row r="304" spans="2:3">
      <c r="B304" s="11">
        <v>44291</v>
      </c>
      <c r="C304" s="165">
        <f t="shared" si="0"/>
        <v>34.1875</v>
      </c>
    </row>
    <row r="305" spans="2:3">
      <c r="B305" s="11">
        <v>44292</v>
      </c>
      <c r="C305" s="199">
        <f t="shared" si="0"/>
        <v>34.1875</v>
      </c>
    </row>
    <row r="306" spans="2:3">
      <c r="B306" s="11">
        <v>44293</v>
      </c>
      <c r="C306" s="199">
        <f t="shared" si="0"/>
        <v>34.1875</v>
      </c>
    </row>
    <row r="307" spans="2:3">
      <c r="B307" s="11">
        <v>44294</v>
      </c>
      <c r="C307" s="199">
        <f t="shared" si="0"/>
        <v>34.1875</v>
      </c>
    </row>
    <row r="308" spans="2:3">
      <c r="B308" s="11">
        <v>44295</v>
      </c>
      <c r="C308" s="199">
        <f t="shared" si="0"/>
        <v>34.1875</v>
      </c>
    </row>
    <row r="309" spans="2:3">
      <c r="B309" s="11">
        <v>44298</v>
      </c>
      <c r="C309" s="199">
        <f t="shared" si="0"/>
        <v>34.1875</v>
      </c>
    </row>
    <row r="310" spans="2:3">
      <c r="B310" s="11">
        <v>44299</v>
      </c>
      <c r="C310" s="199">
        <f t="shared" si="0"/>
        <v>34.1875</v>
      </c>
    </row>
    <row r="311" spans="2:3">
      <c r="B311" s="11">
        <v>44300</v>
      </c>
      <c r="C311" s="199">
        <f t="shared" si="0"/>
        <v>34.1875</v>
      </c>
    </row>
    <row r="312" spans="2:3">
      <c r="B312" s="11">
        <v>44301</v>
      </c>
      <c r="C312" s="199">
        <f t="shared" si="0"/>
        <v>34.1875</v>
      </c>
    </row>
    <row r="313" spans="2:3">
      <c r="B313" s="11">
        <v>44302</v>
      </c>
      <c r="C313" s="199">
        <f t="shared" si="0"/>
        <v>34.1875</v>
      </c>
    </row>
    <row r="314" spans="2:3">
      <c r="B314" s="11">
        <v>44305</v>
      </c>
      <c r="C314" s="199">
        <f t="shared" si="0"/>
        <v>34.1875</v>
      </c>
    </row>
    <row r="315" spans="2:3">
      <c r="B315" s="11">
        <v>44306</v>
      </c>
      <c r="C315" s="199">
        <f t="shared" si="0"/>
        <v>34.1875</v>
      </c>
    </row>
    <row r="316" spans="2:3">
      <c r="B316" s="11">
        <v>44307</v>
      </c>
      <c r="C316" s="199">
        <f t="shared" si="0"/>
        <v>34.1875</v>
      </c>
    </row>
    <row r="317" spans="2:3">
      <c r="B317" s="11">
        <v>44308</v>
      </c>
      <c r="C317" s="199">
        <f t="shared" si="0"/>
        <v>34.1875</v>
      </c>
    </row>
    <row r="318" spans="2:3">
      <c r="B318" s="11">
        <v>44309</v>
      </c>
      <c r="C318" s="199">
        <f t="shared" si="0"/>
        <v>34.1875</v>
      </c>
    </row>
    <row r="319" spans="2:3">
      <c r="B319" s="11">
        <v>44312</v>
      </c>
      <c r="C319" s="165">
        <f t="shared" si="0"/>
        <v>34.1875</v>
      </c>
    </row>
    <row r="320" spans="2:3">
      <c r="B320" s="11">
        <v>44313</v>
      </c>
      <c r="C320" s="165">
        <f t="shared" si="0"/>
        <v>34.1875</v>
      </c>
    </row>
    <row r="321" spans="2:3">
      <c r="B321" s="11">
        <v>44314</v>
      </c>
      <c r="C321" s="165">
        <f t="shared" si="0"/>
        <v>34.1875</v>
      </c>
    </row>
    <row r="322" spans="2:3">
      <c r="B322" s="11">
        <v>44315</v>
      </c>
      <c r="C322" s="165">
        <f t="shared" si="0"/>
        <v>34.1875</v>
      </c>
    </row>
    <row r="323" spans="2:3">
      <c r="B323" s="11">
        <v>44319</v>
      </c>
      <c r="C323" s="165">
        <f t="shared" si="0"/>
        <v>34.1875</v>
      </c>
    </row>
    <row r="324" spans="2:3">
      <c r="B324" s="11">
        <v>44320</v>
      </c>
      <c r="C324" s="165">
        <f t="shared" si="0"/>
        <v>34.1875</v>
      </c>
    </row>
    <row r="325" spans="2:3">
      <c r="B325" s="11">
        <v>44321</v>
      </c>
      <c r="C325" s="165">
        <f t="shared" si="0"/>
        <v>34.1875</v>
      </c>
    </row>
    <row r="326" spans="2:3">
      <c r="B326" s="11">
        <v>44322</v>
      </c>
      <c r="C326" s="199">
        <f t="shared" si="0"/>
        <v>34.1875</v>
      </c>
    </row>
    <row r="327" spans="2:3">
      <c r="B327" s="11">
        <v>44323</v>
      </c>
      <c r="C327" s="199">
        <f t="shared" si="0"/>
        <v>34.1875</v>
      </c>
    </row>
    <row r="328" spans="2:3">
      <c r="B328" s="11">
        <v>44326</v>
      </c>
      <c r="C328" s="199">
        <f t="shared" si="0"/>
        <v>34.1875</v>
      </c>
    </row>
    <row r="329" spans="2:3">
      <c r="B329" s="11">
        <v>44327</v>
      </c>
      <c r="C329" s="199">
        <f t="shared" si="0"/>
        <v>34.1875</v>
      </c>
    </row>
    <row r="330" spans="2:3">
      <c r="B330" s="11">
        <v>44328</v>
      </c>
      <c r="C330" s="199">
        <f t="shared" si="0"/>
        <v>34.1875</v>
      </c>
    </row>
    <row r="331" spans="2:3">
      <c r="B331" s="11">
        <v>44329</v>
      </c>
      <c r="C331" s="199">
        <f t="shared" si="0"/>
        <v>34.1875</v>
      </c>
    </row>
    <row r="332" spans="2:3">
      <c r="B332" s="11">
        <v>44330</v>
      </c>
      <c r="C332" s="199">
        <f t="shared" si="0"/>
        <v>34.1875</v>
      </c>
    </row>
    <row r="333" spans="2:3">
      <c r="B333" s="11">
        <v>44333</v>
      </c>
      <c r="C333" s="199">
        <f t="shared" si="0"/>
        <v>34.1875</v>
      </c>
    </row>
    <row r="334" spans="2:3">
      <c r="B334" s="11">
        <v>44334</v>
      </c>
      <c r="C334" s="199">
        <f t="shared" si="0"/>
        <v>34.1875</v>
      </c>
    </row>
    <row r="335" spans="2:3">
      <c r="B335" s="11">
        <v>44335</v>
      </c>
      <c r="C335" s="165">
        <f t="shared" si="0"/>
        <v>34.1875</v>
      </c>
    </row>
    <row r="336" spans="2:3">
      <c r="B336" s="11">
        <v>44336</v>
      </c>
      <c r="C336" s="165">
        <f t="shared" si="0"/>
        <v>34.1875</v>
      </c>
    </row>
    <row r="337" spans="2:7">
      <c r="B337" s="11">
        <v>44337</v>
      </c>
      <c r="C337" s="165">
        <f t="shared" si="0"/>
        <v>34.1875</v>
      </c>
    </row>
    <row r="338" spans="2:7">
      <c r="B338" s="11">
        <v>44340</v>
      </c>
      <c r="C338" s="165">
        <f>+C337</f>
        <v>34.1875</v>
      </c>
    </row>
    <row r="339" spans="2:7">
      <c r="B339" s="11">
        <v>44341</v>
      </c>
      <c r="C339" s="165">
        <f>+C338</f>
        <v>34.1875</v>
      </c>
    </row>
    <row r="340" spans="2:7">
      <c r="B340" s="11">
        <v>44342</v>
      </c>
      <c r="C340" s="165">
        <f>+C339</f>
        <v>34.1875</v>
      </c>
    </row>
    <row r="341" spans="2:7">
      <c r="B341" s="11">
        <v>44343</v>
      </c>
      <c r="C341" s="165">
        <f>+C340</f>
        <v>34.1875</v>
      </c>
    </row>
    <row r="342" spans="2:7">
      <c r="B342" s="11">
        <v>44344</v>
      </c>
      <c r="C342" s="165">
        <v>34.0625</v>
      </c>
      <c r="G342" s="3"/>
    </row>
    <row r="343" spans="2:7">
      <c r="B343" s="11">
        <v>44347</v>
      </c>
      <c r="C343" s="199">
        <v>34.125</v>
      </c>
      <c r="G343" s="3"/>
    </row>
    <row r="344" spans="2:7">
      <c r="B344" s="11">
        <v>44348</v>
      </c>
      <c r="C344" s="199">
        <v>34.0625</v>
      </c>
      <c r="G344" s="3"/>
    </row>
    <row r="345" spans="2:7">
      <c r="B345" s="11">
        <v>44349</v>
      </c>
      <c r="C345" s="199">
        <v>34.1875</v>
      </c>
      <c r="G345" s="3"/>
    </row>
    <row r="346" spans="2:7">
      <c r="B346" s="11">
        <v>44350</v>
      </c>
      <c r="C346" s="165">
        <v>34.125</v>
      </c>
      <c r="G346" s="3"/>
    </row>
    <row r="347" spans="2:7">
      <c r="B347" s="11">
        <v>44351</v>
      </c>
      <c r="C347" s="199">
        <v>33.875</v>
      </c>
      <c r="G347" s="3"/>
    </row>
    <row r="348" spans="2:7">
      <c r="B348" s="11">
        <v>44354</v>
      </c>
      <c r="C348" s="199">
        <v>34.25</v>
      </c>
      <c r="G348" s="3"/>
    </row>
    <row r="349" spans="2:7">
      <c r="B349" s="11">
        <v>44355</v>
      </c>
      <c r="C349" s="199">
        <v>34.1875</v>
      </c>
      <c r="G349" s="3"/>
    </row>
    <row r="350" spans="2:7">
      <c r="B350" s="11">
        <v>44356</v>
      </c>
      <c r="C350" s="165">
        <v>34</v>
      </c>
      <c r="G350" s="3"/>
    </row>
    <row r="351" spans="2:7">
      <c r="B351" s="11">
        <v>44357</v>
      </c>
      <c r="C351" s="199">
        <v>34.25</v>
      </c>
      <c r="G351" s="3"/>
    </row>
    <row r="352" spans="2:7">
      <c r="B352" s="11">
        <v>44358</v>
      </c>
      <c r="C352" s="199">
        <v>34.125</v>
      </c>
      <c r="G352" s="3"/>
    </row>
    <row r="353" spans="2:7">
      <c r="B353" s="11">
        <v>44361</v>
      </c>
      <c r="C353" s="199">
        <v>34.125</v>
      </c>
      <c r="G353" s="3"/>
    </row>
    <row r="354" spans="2:7">
      <c r="B354" s="11">
        <v>44362</v>
      </c>
      <c r="C354" s="165">
        <v>34.1875</v>
      </c>
      <c r="G354" s="3"/>
    </row>
    <row r="355" spans="2:7">
      <c r="B355" s="11">
        <v>44363</v>
      </c>
      <c r="C355" s="199">
        <v>34.125</v>
      </c>
      <c r="G355" s="3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showGridLines="0" zoomScale="90" zoomScaleNormal="90" workbookViewId="0">
      <selection activeCell="H22" sqref="H22"/>
    </sheetView>
  </sheetViews>
  <sheetFormatPr baseColWidth="10" defaultRowHeight="15"/>
  <cols>
    <col min="2" max="2" width="17.42578125" customWidth="1"/>
    <col min="3" max="3" width="13.42578125" customWidth="1"/>
    <col min="4" max="4" width="4" customWidth="1"/>
    <col min="5" max="5" width="12.140625" bestFit="1" customWidth="1"/>
    <col min="7" max="7" width="9.140625" customWidth="1"/>
    <col min="8" max="8" width="10" customWidth="1"/>
    <col min="9" max="9" width="14.42578125" bestFit="1" customWidth="1"/>
    <col min="11" max="11" width="6.140625" customWidth="1"/>
    <col min="12" max="12" width="12.140625" bestFit="1" customWidth="1"/>
    <col min="14" max="14" width="9.140625" customWidth="1"/>
    <col min="15" max="15" width="10" customWidth="1"/>
    <col min="16" max="16" width="13.42578125" customWidth="1"/>
    <col min="17" max="17" width="16.28515625" bestFit="1" customWidth="1"/>
    <col min="19" max="19" width="13.28515625" bestFit="1" customWidth="1"/>
  </cols>
  <sheetData>
    <row r="1" spans="1:18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>
      <c r="A4" s="12"/>
      <c r="B4" s="369" t="s">
        <v>31</v>
      </c>
      <c r="C4" s="370"/>
      <c r="D4" s="12"/>
      <c r="E4" s="394" t="s">
        <v>32</v>
      </c>
      <c r="F4" s="394"/>
      <c r="G4" s="394"/>
      <c r="H4" s="394"/>
      <c r="I4" s="394"/>
      <c r="J4" s="394"/>
      <c r="K4" s="12"/>
      <c r="L4" s="394" t="s">
        <v>32</v>
      </c>
      <c r="M4" s="394"/>
      <c r="N4" s="394"/>
      <c r="O4" s="394"/>
      <c r="P4" s="394"/>
      <c r="Q4" s="394"/>
      <c r="R4" s="12"/>
    </row>
    <row r="5" spans="1:18">
      <c r="A5" s="12"/>
      <c r="B5" s="122" t="s">
        <v>0</v>
      </c>
      <c r="C5" s="123">
        <v>42886</v>
      </c>
      <c r="D5" s="12"/>
      <c r="E5" s="68" t="s">
        <v>14</v>
      </c>
      <c r="F5" s="68" t="s">
        <v>7</v>
      </c>
      <c r="G5" s="68" t="s">
        <v>21</v>
      </c>
      <c r="H5" s="68" t="s">
        <v>8</v>
      </c>
      <c r="I5" s="68" t="s">
        <v>15</v>
      </c>
      <c r="J5" s="68" t="s">
        <v>9</v>
      </c>
      <c r="K5" s="12"/>
      <c r="L5" s="68" t="s">
        <v>14</v>
      </c>
      <c r="M5" s="68" t="s">
        <v>7</v>
      </c>
      <c r="N5" s="68" t="s">
        <v>21</v>
      </c>
      <c r="O5" s="68" t="s">
        <v>8</v>
      </c>
      <c r="P5" s="68" t="s">
        <v>15</v>
      </c>
      <c r="Q5" s="68" t="s">
        <v>9</v>
      </c>
      <c r="R5" s="12"/>
    </row>
    <row r="6" spans="1:18">
      <c r="A6" s="12"/>
      <c r="B6" s="122" t="s">
        <v>1</v>
      </c>
      <c r="C6" s="123">
        <v>44712</v>
      </c>
      <c r="D6" s="12"/>
      <c r="E6" s="97">
        <f>'Planilla de datos'!D3</f>
        <v>44383</v>
      </c>
      <c r="F6" s="94">
        <v>100</v>
      </c>
      <c r="G6" s="94"/>
      <c r="H6" s="95"/>
      <c r="I6" s="95"/>
      <c r="J6" s="98">
        <f>-'Planilla de datos'!C27</f>
        <v>-98.85</v>
      </c>
      <c r="K6" s="12"/>
      <c r="L6" s="97">
        <f>+E6</f>
        <v>44383</v>
      </c>
      <c r="M6" s="94">
        <v>100</v>
      </c>
      <c r="N6" s="94"/>
      <c r="O6" s="96"/>
      <c r="P6" s="95"/>
      <c r="Q6" s="127">
        <v>0</v>
      </c>
      <c r="R6" s="12"/>
    </row>
    <row r="7" spans="1:18">
      <c r="A7" s="12"/>
      <c r="B7" s="122" t="s">
        <v>157</v>
      </c>
      <c r="C7" s="124">
        <v>3.8300000000000001E-2</v>
      </c>
      <c r="D7" s="12"/>
      <c r="E7" s="97">
        <v>44439</v>
      </c>
      <c r="F7" s="94">
        <v>100</v>
      </c>
      <c r="G7" s="94">
        <f>E7-C10</f>
        <v>92</v>
      </c>
      <c r="H7" s="96">
        <f>F6*($C$12)/365*G7</f>
        <v>9.5605878801950315</v>
      </c>
      <c r="I7" s="96">
        <v>0</v>
      </c>
      <c r="J7" s="127">
        <f>SUM(H7:I7)</f>
        <v>9.5605878801950315</v>
      </c>
      <c r="K7" s="12"/>
      <c r="L7" s="97">
        <v>44439</v>
      </c>
      <c r="M7" s="94">
        <v>100</v>
      </c>
      <c r="N7" s="94">
        <f>+G7</f>
        <v>92</v>
      </c>
      <c r="O7" s="96">
        <f>H7</f>
        <v>9.5605878801950315</v>
      </c>
      <c r="P7" s="95">
        <v>0</v>
      </c>
      <c r="Q7" s="127">
        <f>SUM(O7:P7)</f>
        <v>9.5605878801950315</v>
      </c>
      <c r="R7" s="12"/>
    </row>
    <row r="8" spans="1:18">
      <c r="A8" s="12"/>
      <c r="B8" s="122" t="s">
        <v>162</v>
      </c>
      <c r="C8" s="124">
        <f>AVERAGE('Serie BADLAR'!C214:C272)/100</f>
        <v>0.34100593220338982</v>
      </c>
      <c r="D8" s="12"/>
      <c r="E8" s="97">
        <v>44530</v>
      </c>
      <c r="F8" s="94">
        <v>100</v>
      </c>
      <c r="G8" s="94">
        <f>E8-E7</f>
        <v>91</v>
      </c>
      <c r="H8" s="96">
        <f>F7*($C$12)/365*G8</f>
        <v>9.4566684467146516</v>
      </c>
      <c r="I8" s="96">
        <v>0</v>
      </c>
      <c r="J8" s="127">
        <f>SUM(H8:I8)</f>
        <v>9.4566684467146516</v>
      </c>
      <c r="K8" s="12"/>
      <c r="L8" s="97">
        <v>44530</v>
      </c>
      <c r="M8" s="94">
        <v>100</v>
      </c>
      <c r="N8" s="94">
        <f>+G8</f>
        <v>91</v>
      </c>
      <c r="O8" s="96">
        <f>H8</f>
        <v>9.4566684467146516</v>
      </c>
      <c r="P8" s="95">
        <v>0</v>
      </c>
      <c r="Q8" s="127">
        <f>SUM(O8:P8)</f>
        <v>9.4566684467146516</v>
      </c>
      <c r="R8" s="12"/>
    </row>
    <row r="9" spans="1:18">
      <c r="A9" s="12"/>
      <c r="B9" s="122" t="s">
        <v>163</v>
      </c>
      <c r="C9" s="124">
        <f>+C8+C7</f>
        <v>0.37930593220338982</v>
      </c>
      <c r="D9" s="12"/>
      <c r="E9" s="97">
        <v>44620</v>
      </c>
      <c r="F9" s="94">
        <v>100</v>
      </c>
      <c r="G9" s="94">
        <f>E9-E8</f>
        <v>90</v>
      </c>
      <c r="H9" s="96">
        <f>F8*($C$12)/365*G9</f>
        <v>9.3527490132342699</v>
      </c>
      <c r="I9" s="96">
        <v>0</v>
      </c>
      <c r="J9" s="127">
        <f>SUM(H9:I9)</f>
        <v>9.3527490132342699</v>
      </c>
      <c r="K9" s="12"/>
      <c r="L9" s="97">
        <v>44620</v>
      </c>
      <c r="M9" s="94">
        <v>100</v>
      </c>
      <c r="N9" s="94">
        <f>+G9</f>
        <v>90</v>
      </c>
      <c r="O9" s="96">
        <f>H9</f>
        <v>9.3527490132342699</v>
      </c>
      <c r="P9" s="95">
        <v>0</v>
      </c>
      <c r="Q9" s="127">
        <f>SUM(O9:P9)</f>
        <v>9.3527490132342699</v>
      </c>
      <c r="R9" s="12"/>
    </row>
    <row r="10" spans="1:18">
      <c r="A10" s="12"/>
      <c r="B10" s="122" t="s">
        <v>27</v>
      </c>
      <c r="C10" s="262">
        <v>44347</v>
      </c>
      <c r="D10" s="12"/>
      <c r="E10" s="97">
        <v>44712</v>
      </c>
      <c r="F10" s="94">
        <v>100</v>
      </c>
      <c r="G10" s="94">
        <f>E10-E9</f>
        <v>92</v>
      </c>
      <c r="H10" s="96">
        <f>F9*($C$12)/365*G10</f>
        <v>9.5605878801950315</v>
      </c>
      <c r="I10" s="96">
        <f>F10</f>
        <v>100</v>
      </c>
      <c r="J10" s="127">
        <f>SUM(H10:I10)</f>
        <v>109.56058788019503</v>
      </c>
      <c r="K10" s="12"/>
      <c r="L10" s="97">
        <v>44712</v>
      </c>
      <c r="M10" s="94">
        <v>100</v>
      </c>
      <c r="N10" s="94">
        <f>+G10</f>
        <v>92</v>
      </c>
      <c r="O10" s="96">
        <f>H10</f>
        <v>9.5605878801950315</v>
      </c>
      <c r="P10" s="95">
        <f>M10</f>
        <v>100</v>
      </c>
      <c r="Q10" s="127">
        <f>SUM(O10:P10)</f>
        <v>109.56058788019503</v>
      </c>
      <c r="R10" s="12"/>
    </row>
    <row r="11" spans="1:18">
      <c r="A11" s="12"/>
      <c r="B11" s="122" t="s">
        <v>161</v>
      </c>
      <c r="C11" s="124">
        <f>+C8</f>
        <v>0.34100593220338982</v>
      </c>
      <c r="D11" s="12"/>
      <c r="E11" s="12"/>
      <c r="F11" s="12"/>
      <c r="G11" s="12"/>
      <c r="H11" s="12"/>
      <c r="I11" s="12"/>
      <c r="J11" s="12"/>
      <c r="K11" s="12"/>
      <c r="R11" s="12"/>
    </row>
    <row r="12" spans="1:18">
      <c r="A12" s="12"/>
      <c r="B12" s="167" t="s">
        <v>164</v>
      </c>
      <c r="C12" s="263">
        <f>+C11+C7</f>
        <v>0.37930593220338982</v>
      </c>
      <c r="D12" s="12"/>
      <c r="E12" s="12"/>
      <c r="F12" s="12"/>
      <c r="G12" s="12"/>
      <c r="H12" s="12"/>
      <c r="I12" s="92" t="s">
        <v>10</v>
      </c>
      <c r="J12" s="86">
        <f>XIRR(J6:J10,E6:E10,0)</f>
        <v>0.52693625976562508</v>
      </c>
      <c r="K12" s="12"/>
      <c r="R12" s="12"/>
    </row>
    <row r="13" spans="1:18">
      <c r="A13" s="12"/>
      <c r="B13" s="12"/>
      <c r="C13" s="12"/>
      <c r="D13" s="12"/>
      <c r="E13" s="12"/>
      <c r="F13" s="12"/>
      <c r="G13" s="12"/>
      <c r="H13" s="12"/>
      <c r="I13" s="92" t="s">
        <v>29</v>
      </c>
      <c r="J13" s="71">
        <f>MDURATION(E6,E10,C9,J12,4)</f>
        <v>0.67994127522254422</v>
      </c>
      <c r="K13" s="12"/>
      <c r="R13" s="12"/>
    </row>
    <row r="14" spans="1:18">
      <c r="A14" s="12"/>
      <c r="B14" s="12"/>
      <c r="C14" s="12"/>
      <c r="D14" s="12"/>
      <c r="K14" s="12"/>
      <c r="R14" s="12"/>
    </row>
    <row r="15" spans="1:18">
      <c r="A15" s="12"/>
      <c r="B15" s="12"/>
      <c r="C15" s="12"/>
      <c r="D15" s="12"/>
      <c r="J15" s="18"/>
      <c r="K15" s="12"/>
      <c r="R15" s="12"/>
    </row>
    <row r="16" spans="1:18" ht="30">
      <c r="A16" s="12"/>
      <c r="B16" s="12"/>
      <c r="C16" s="12"/>
      <c r="D16" s="12"/>
      <c r="E16" s="333" t="s">
        <v>92</v>
      </c>
      <c r="F16" s="333"/>
      <c r="G16" s="129"/>
      <c r="H16" s="61">
        <v>0.35</v>
      </c>
      <c r="I16" s="62">
        <f>XNPV(H16,Q6:Q10,L6:L10)</f>
        <v>108.80132020276508</v>
      </c>
      <c r="J16" s="61">
        <f>(I16/-$J$6)-1</f>
        <v>0.10067091757981883</v>
      </c>
      <c r="K16" s="12"/>
      <c r="L16" s="12"/>
      <c r="M16" s="12"/>
      <c r="N16" s="12"/>
      <c r="O16" s="12"/>
      <c r="P16" s="12"/>
      <c r="Q16" s="22"/>
      <c r="R16" s="12"/>
    </row>
    <row r="17" spans="1:22" ht="14.45" customHeight="1">
      <c r="A17" s="12"/>
      <c r="B17" s="12"/>
      <c r="C17" s="12"/>
      <c r="D17" s="12"/>
      <c r="E17" s="335"/>
      <c r="F17" s="335"/>
      <c r="G17" s="27"/>
      <c r="H17" s="18">
        <v>0.4</v>
      </c>
      <c r="I17" s="49">
        <f>XNPV(H17,Q6:Q10,L6:L10)</f>
        <v>105.75320304362783</v>
      </c>
      <c r="J17" s="18">
        <f>(I17/-$J$6)-1</f>
        <v>6.9835134482830963E-2</v>
      </c>
      <c r="K17" s="12"/>
      <c r="L17" s="12"/>
      <c r="M17" s="12"/>
      <c r="N17" s="12"/>
      <c r="O17" s="12"/>
      <c r="P17" s="12"/>
      <c r="Q17" s="12"/>
      <c r="R17" s="12"/>
    </row>
    <row r="18" spans="1:22">
      <c r="A18" s="12"/>
      <c r="B18" s="12"/>
      <c r="C18" s="12"/>
      <c r="D18" s="12"/>
      <c r="E18" s="334"/>
      <c r="F18" s="334"/>
      <c r="G18" s="130"/>
      <c r="H18" s="63">
        <v>0.45</v>
      </c>
      <c r="I18" s="64">
        <f>XNPV(H18,Q6:Q10,L6:L10)</f>
        <v>102.90042953511069</v>
      </c>
      <c r="J18" s="63">
        <f>(I18/-J6)-1</f>
        <v>4.0975513759339277E-2</v>
      </c>
      <c r="K18" s="12"/>
      <c r="L18" s="12"/>
      <c r="M18" s="12"/>
      <c r="N18" s="12"/>
      <c r="O18" s="12"/>
      <c r="P18" s="12"/>
      <c r="Q18" s="12"/>
      <c r="R18" s="12"/>
    </row>
    <row r="19" spans="1:22" ht="15" customHeight="1">
      <c r="A19" s="12"/>
      <c r="B19" s="12"/>
      <c r="C19" s="12"/>
      <c r="D19" s="12"/>
      <c r="K19" s="12"/>
      <c r="L19" s="12"/>
      <c r="M19" s="12"/>
      <c r="N19" s="12"/>
      <c r="O19" s="12"/>
      <c r="P19" s="12"/>
      <c r="Q19" s="12"/>
      <c r="R19" s="12"/>
    </row>
    <row r="20" spans="1:22" ht="15" customHeight="1">
      <c r="A20" s="12"/>
      <c r="B20" s="12"/>
      <c r="C20" s="16"/>
      <c r="D20" s="12"/>
      <c r="K20" s="12"/>
      <c r="L20" s="12"/>
      <c r="M20" s="12"/>
      <c r="N20" s="12"/>
      <c r="O20" s="12"/>
      <c r="P20" s="12"/>
      <c r="Q20" s="12"/>
      <c r="R20" s="12"/>
    </row>
    <row r="21" spans="1:22">
      <c r="A21" s="12"/>
      <c r="B21" s="12"/>
      <c r="C21" s="12"/>
      <c r="D21" s="12"/>
      <c r="K21" s="12"/>
      <c r="L21" s="12"/>
      <c r="M21" s="12"/>
      <c r="N21" s="12"/>
      <c r="O21" s="12"/>
      <c r="P21" s="12"/>
      <c r="Q21" s="12"/>
      <c r="R21" s="12"/>
    </row>
    <row r="22" spans="1: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T23" s="11"/>
      <c r="V23" s="11"/>
    </row>
    <row r="24" spans="1:2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T24" s="11"/>
      <c r="V24" s="11"/>
    </row>
    <row r="25" spans="1:2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2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2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1"/>
      <c r="T27" s="4"/>
    </row>
    <row r="28" spans="1:2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1"/>
      <c r="T28" s="4"/>
    </row>
    <row r="29" spans="1:2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1"/>
      <c r="T29" s="4"/>
    </row>
    <row r="30" spans="1:2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1"/>
      <c r="T30" s="4"/>
    </row>
    <row r="31" spans="1:2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1"/>
      <c r="T31" s="4"/>
    </row>
    <row r="32" spans="1:2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1"/>
      <c r="T32" s="4"/>
    </row>
    <row r="33" spans="1:20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1"/>
      <c r="T33" s="4"/>
    </row>
    <row r="34" spans="1:2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1"/>
      <c r="T34" s="4"/>
    </row>
    <row r="35" spans="1:20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1"/>
      <c r="T35" s="4"/>
    </row>
    <row r="36" spans="1:20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1"/>
      <c r="T36" s="4"/>
    </row>
    <row r="37" spans="1:20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1"/>
      <c r="T37" s="4"/>
    </row>
    <row r="38" spans="1:20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1"/>
      <c r="T38" s="4"/>
    </row>
    <row r="39" spans="1:20">
      <c r="S39" s="11"/>
      <c r="T39" s="4"/>
    </row>
    <row r="40" spans="1:20">
      <c r="S40" s="11"/>
      <c r="T40" s="4"/>
    </row>
    <row r="41" spans="1:20">
      <c r="S41" s="11"/>
      <c r="T41" s="4"/>
    </row>
    <row r="42" spans="1:20">
      <c r="S42" s="11"/>
      <c r="T42" s="4"/>
    </row>
    <row r="43" spans="1:20">
      <c r="S43" s="11"/>
      <c r="T43" s="4"/>
    </row>
    <row r="44" spans="1:20">
      <c r="S44" s="11"/>
      <c r="T44" s="4"/>
    </row>
    <row r="45" spans="1:20">
      <c r="S45" s="11"/>
      <c r="T45" s="4"/>
    </row>
    <row r="46" spans="1:20">
      <c r="S46" s="11"/>
      <c r="T46" s="4"/>
    </row>
    <row r="47" spans="1:20">
      <c r="S47" s="11"/>
      <c r="T47" s="4"/>
    </row>
    <row r="48" spans="1:20">
      <c r="S48" s="11"/>
      <c r="T48" s="4"/>
    </row>
    <row r="49" spans="19:20">
      <c r="S49" s="11"/>
      <c r="T49" s="4"/>
    </row>
    <row r="50" spans="19:20">
      <c r="S50" s="11"/>
      <c r="T50" s="4"/>
    </row>
    <row r="51" spans="19:20">
      <c r="S51" s="11"/>
      <c r="T51" s="4"/>
    </row>
    <row r="52" spans="19:20">
      <c r="S52" s="11"/>
      <c r="T52" s="4"/>
    </row>
    <row r="53" spans="19:20">
      <c r="S53" s="11"/>
      <c r="T53" s="4"/>
    </row>
    <row r="54" spans="19:20">
      <c r="S54" s="11"/>
      <c r="T54" s="4"/>
    </row>
    <row r="55" spans="19:20">
      <c r="S55" s="11"/>
      <c r="T55" s="4"/>
    </row>
    <row r="56" spans="19:20">
      <c r="S56" s="11"/>
      <c r="T56" s="4"/>
    </row>
    <row r="57" spans="19:20">
      <c r="S57" s="11"/>
      <c r="T57" s="4"/>
    </row>
    <row r="58" spans="19:20">
      <c r="S58" s="11"/>
      <c r="T58" s="4"/>
    </row>
    <row r="59" spans="19:20">
      <c r="S59" s="11"/>
      <c r="T59" s="4"/>
    </row>
    <row r="60" spans="19:20">
      <c r="S60" s="11"/>
      <c r="T60" s="4"/>
    </row>
    <row r="61" spans="19:20">
      <c r="S61" s="11"/>
      <c r="T61" s="4"/>
    </row>
    <row r="62" spans="19:20">
      <c r="S62" s="11"/>
      <c r="T62" s="4"/>
    </row>
    <row r="63" spans="19:20">
      <c r="S63" s="11"/>
      <c r="T63" s="4"/>
    </row>
    <row r="64" spans="19:20">
      <c r="S64" s="11"/>
      <c r="T64" s="4"/>
    </row>
    <row r="65" spans="19:20">
      <c r="S65" s="11"/>
      <c r="T65" s="4"/>
    </row>
    <row r="66" spans="19:20">
      <c r="S66" s="3"/>
      <c r="T66" s="4"/>
    </row>
    <row r="67" spans="19:20">
      <c r="S67" s="3"/>
      <c r="T67" s="4"/>
    </row>
    <row r="68" spans="19:20">
      <c r="S68" s="3"/>
      <c r="T68" s="4"/>
    </row>
    <row r="69" spans="19:20">
      <c r="S69" s="3"/>
      <c r="T69" s="4"/>
    </row>
    <row r="70" spans="19:20">
      <c r="S70" s="3"/>
      <c r="T70" s="4"/>
    </row>
    <row r="71" spans="19:20">
      <c r="S71" s="3"/>
      <c r="T71" s="4"/>
    </row>
    <row r="72" spans="19:20">
      <c r="S72" s="3"/>
      <c r="T72" s="4"/>
    </row>
    <row r="73" spans="19:20">
      <c r="S73" s="3"/>
      <c r="T73" s="4"/>
    </row>
    <row r="74" spans="19:20">
      <c r="S74" s="3"/>
      <c r="T74" s="4"/>
    </row>
    <row r="75" spans="19:20">
      <c r="S75" s="3"/>
      <c r="T75" s="4"/>
    </row>
    <row r="76" spans="19:20">
      <c r="S76" s="3"/>
      <c r="T76" s="4"/>
    </row>
    <row r="77" spans="19:20">
      <c r="S77" s="3"/>
      <c r="T77" s="4"/>
    </row>
    <row r="78" spans="19:20">
      <c r="S78" s="3"/>
      <c r="T78" s="4"/>
    </row>
    <row r="79" spans="19:20">
      <c r="S79" s="11"/>
      <c r="T79" s="4"/>
    </row>
    <row r="80" spans="19:20">
      <c r="S80" s="11"/>
      <c r="T80" s="4"/>
    </row>
    <row r="81" spans="19:20">
      <c r="S81" s="11"/>
      <c r="T81" s="4"/>
    </row>
    <row r="82" spans="19:20">
      <c r="S82" s="11"/>
      <c r="T82" s="4"/>
    </row>
    <row r="83" spans="19:20">
      <c r="S83" s="11"/>
      <c r="T83" s="4"/>
    </row>
    <row r="85" spans="19:20">
      <c r="T85" s="2"/>
    </row>
  </sheetData>
  <mergeCells count="3">
    <mergeCell ref="B4:C4"/>
    <mergeCell ref="E4:J4"/>
    <mergeCell ref="L4:Q4"/>
  </mergeCells>
  <pageMargins left="0.7" right="0.7" top="0.75" bottom="0.75" header="0.3" footer="0.3"/>
  <pageSetup orientation="portrait" r:id="rId1"/>
  <ignoredErrors>
    <ignoredError sqref="C8" formulaRange="1"/>
  </ignoredError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3"/>
  <sheetViews>
    <sheetView showGridLines="0" zoomScale="90" zoomScaleNormal="90" workbookViewId="0">
      <selection activeCell="E7" sqref="E7:J7"/>
    </sheetView>
  </sheetViews>
  <sheetFormatPr baseColWidth="10" defaultRowHeight="15"/>
  <cols>
    <col min="2" max="2" width="18.140625" customWidth="1"/>
    <col min="3" max="3" width="13.42578125" customWidth="1"/>
    <col min="4" max="4" width="4" customWidth="1"/>
    <col min="5" max="5" width="12.140625" bestFit="1" customWidth="1"/>
    <col min="7" max="7" width="9.7109375" customWidth="1"/>
    <col min="8" max="8" width="9" customWidth="1"/>
    <col min="9" max="9" width="8.7109375" customWidth="1"/>
    <col min="10" max="10" width="11" customWidth="1"/>
    <col min="14" max="14" width="10.28515625" customWidth="1"/>
    <col min="15" max="15" width="10.140625" customWidth="1"/>
    <col min="16" max="16" width="14.42578125" bestFit="1" customWidth="1"/>
    <col min="21" max="21" width="10" customWidth="1"/>
  </cols>
  <sheetData>
    <row r="2" spans="1:24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>
      <c r="A4" s="12"/>
      <c r="B4" s="369" t="s">
        <v>25</v>
      </c>
      <c r="C4" s="370"/>
      <c r="D4" s="12"/>
      <c r="E4" s="394" t="s">
        <v>26</v>
      </c>
      <c r="F4" s="394"/>
      <c r="G4" s="394"/>
      <c r="H4" s="394"/>
      <c r="I4" s="394"/>
      <c r="J4" s="394"/>
      <c r="K4" s="12"/>
      <c r="L4" s="394" t="s">
        <v>26</v>
      </c>
      <c r="M4" s="394"/>
      <c r="N4" s="394"/>
      <c r="O4" s="394"/>
      <c r="P4" s="394"/>
      <c r="Q4" s="394"/>
      <c r="R4" s="12"/>
      <c r="S4" s="394" t="s">
        <v>26</v>
      </c>
      <c r="T4" s="394"/>
      <c r="U4" s="394"/>
      <c r="V4" s="394"/>
      <c r="W4" s="394"/>
      <c r="X4" s="394"/>
    </row>
    <row r="5" spans="1:24">
      <c r="A5" s="12"/>
      <c r="B5" s="122" t="s">
        <v>0</v>
      </c>
      <c r="C5" s="123">
        <v>43202</v>
      </c>
      <c r="D5" s="12"/>
      <c r="E5" s="68" t="s">
        <v>14</v>
      </c>
      <c r="F5" s="68" t="s">
        <v>7</v>
      </c>
      <c r="G5" s="68" t="s">
        <v>21</v>
      </c>
      <c r="H5" s="68" t="s">
        <v>8</v>
      </c>
      <c r="I5" s="68" t="s">
        <v>33</v>
      </c>
      <c r="J5" s="68" t="s">
        <v>9</v>
      </c>
      <c r="K5" s="12"/>
      <c r="L5" s="68" t="s">
        <v>14</v>
      </c>
      <c r="M5" s="68" t="s">
        <v>7</v>
      </c>
      <c r="N5" s="68" t="s">
        <v>21</v>
      </c>
      <c r="O5" s="68" t="s">
        <v>8</v>
      </c>
      <c r="P5" s="68" t="s">
        <v>15</v>
      </c>
      <c r="Q5" s="68" t="s">
        <v>9</v>
      </c>
      <c r="R5" s="12"/>
      <c r="S5" s="68" t="s">
        <v>14</v>
      </c>
      <c r="T5" s="68" t="s">
        <v>7</v>
      </c>
      <c r="U5" s="68" t="s">
        <v>21</v>
      </c>
      <c r="V5" s="68" t="s">
        <v>8</v>
      </c>
      <c r="W5" s="68" t="s">
        <v>33</v>
      </c>
      <c r="X5" s="68" t="s">
        <v>9</v>
      </c>
    </row>
    <row r="6" spans="1:24">
      <c r="A6" s="12"/>
      <c r="B6" s="122" t="s">
        <v>1</v>
      </c>
      <c r="C6" s="123">
        <v>45759</v>
      </c>
      <c r="D6" s="12"/>
      <c r="E6" s="69">
        <f>'Planilla de datos'!D3</f>
        <v>44383</v>
      </c>
      <c r="F6" s="70">
        <v>100</v>
      </c>
      <c r="G6" s="70"/>
      <c r="H6" s="26"/>
      <c r="I6" s="26"/>
      <c r="J6" s="71">
        <f>-'Planilla de datos'!C28</f>
        <v>-94.25</v>
      </c>
      <c r="K6" s="12"/>
      <c r="L6" s="97">
        <f>+E6</f>
        <v>44383</v>
      </c>
      <c r="M6" s="94"/>
      <c r="N6" s="94"/>
      <c r="O6" s="96"/>
      <c r="P6" s="95"/>
      <c r="Q6" s="98">
        <v>0</v>
      </c>
      <c r="R6" s="12"/>
      <c r="S6" s="97">
        <f>E6</f>
        <v>44383</v>
      </c>
      <c r="T6" s="94">
        <v>100</v>
      </c>
      <c r="U6" s="94"/>
      <c r="V6" s="96"/>
      <c r="W6" s="95"/>
      <c r="X6" s="98">
        <v>0</v>
      </c>
    </row>
    <row r="7" spans="1:24">
      <c r="A7" s="12"/>
      <c r="B7" s="122" t="s">
        <v>157</v>
      </c>
      <c r="C7" s="124">
        <v>3.7499999999999999E-2</v>
      </c>
      <c r="D7" s="12"/>
      <c r="E7" s="69">
        <v>44389</v>
      </c>
      <c r="F7" s="70">
        <v>100</v>
      </c>
      <c r="G7" s="70">
        <f>E7-C12</f>
        <v>91</v>
      </c>
      <c r="H7" s="74">
        <f>F6*($C$11)/365*G7</f>
        <v>9.4484280260498554</v>
      </c>
      <c r="I7" s="26"/>
      <c r="J7" s="73">
        <f t="shared" ref="J7:J22" si="0">SUM(H7:I7)</f>
        <v>9.4484280260498554</v>
      </c>
      <c r="K7" s="12"/>
      <c r="L7" s="97">
        <v>44389</v>
      </c>
      <c r="M7" s="94">
        <v>100</v>
      </c>
      <c r="N7" s="94">
        <v>91</v>
      </c>
      <c r="O7" s="96">
        <f t="shared" ref="O7:O22" si="1">H7</f>
        <v>9.4484280260498554</v>
      </c>
      <c r="P7" s="95">
        <v>0</v>
      </c>
      <c r="Q7" s="127">
        <f t="shared" ref="Q7:Q22" si="2">O7+P7</f>
        <v>9.4484280260498554</v>
      </c>
      <c r="R7" s="12"/>
      <c r="S7" s="97">
        <v>44298</v>
      </c>
      <c r="T7" s="94">
        <v>100</v>
      </c>
      <c r="U7" s="94">
        <f t="shared" ref="U7:U23" si="3">+N7</f>
        <v>91</v>
      </c>
      <c r="V7" s="96">
        <f t="shared" ref="V7:V23" si="4">+O7</f>
        <v>9.4484280260498554</v>
      </c>
      <c r="W7" s="95">
        <v>0</v>
      </c>
      <c r="X7" s="127">
        <f t="shared" ref="X7:X23" si="5">SUM(V7:W7)</f>
        <v>9.4484280260498554</v>
      </c>
    </row>
    <row r="8" spans="1:24">
      <c r="A8" s="12"/>
      <c r="B8" s="122" t="s">
        <v>162</v>
      </c>
      <c r="C8" s="124">
        <f>AVERAGE('Serie BADLAR'!C239:C299)/100</f>
        <v>0.34147540983606561</v>
      </c>
      <c r="D8" s="12"/>
      <c r="E8" s="69">
        <v>44481</v>
      </c>
      <c r="F8" s="70">
        <v>100</v>
      </c>
      <c r="G8" s="70">
        <f t="shared" ref="G8:G22" si="6">E8-E7</f>
        <v>92</v>
      </c>
      <c r="H8" s="74">
        <f t="shared" ref="H8:H22" si="7">F7*($C$11)/365*G8</f>
        <v>9.5522569054569963</v>
      </c>
      <c r="I8" s="26"/>
      <c r="J8" s="73">
        <f t="shared" si="0"/>
        <v>9.5522569054569963</v>
      </c>
      <c r="K8" s="12"/>
      <c r="L8" s="97">
        <v>44481</v>
      </c>
      <c r="M8" s="94">
        <v>100</v>
      </c>
      <c r="N8" s="94">
        <v>92</v>
      </c>
      <c r="O8" s="96">
        <f t="shared" si="1"/>
        <v>9.5522569054569963</v>
      </c>
      <c r="P8" s="95">
        <v>0</v>
      </c>
      <c r="Q8" s="127">
        <f t="shared" si="2"/>
        <v>9.5522569054569963</v>
      </c>
      <c r="R8" s="12"/>
      <c r="S8" s="97">
        <v>44389</v>
      </c>
      <c r="T8" s="94">
        <v>100</v>
      </c>
      <c r="U8" s="94">
        <f t="shared" si="3"/>
        <v>92</v>
      </c>
      <c r="V8" s="96">
        <f t="shared" si="4"/>
        <v>9.5522569054569963</v>
      </c>
      <c r="W8" s="95">
        <v>0</v>
      </c>
      <c r="X8" s="127">
        <f t="shared" si="5"/>
        <v>9.5522569054569963</v>
      </c>
    </row>
    <row r="9" spans="1:24">
      <c r="A9" s="12"/>
      <c r="B9" s="122" t="s">
        <v>163</v>
      </c>
      <c r="C9" s="124">
        <f>C8+C7</f>
        <v>0.37897540983606559</v>
      </c>
      <c r="D9" s="12"/>
      <c r="E9" s="69">
        <v>44573</v>
      </c>
      <c r="F9" s="70">
        <v>100</v>
      </c>
      <c r="G9" s="70">
        <f t="shared" si="6"/>
        <v>92</v>
      </c>
      <c r="H9" s="74">
        <f t="shared" si="7"/>
        <v>9.5522569054569963</v>
      </c>
      <c r="I9" s="26"/>
      <c r="J9" s="73">
        <f t="shared" si="0"/>
        <v>9.5522569054569963</v>
      </c>
      <c r="K9" s="12"/>
      <c r="L9" s="97">
        <v>44573</v>
      </c>
      <c r="M9" s="94">
        <v>100</v>
      </c>
      <c r="N9" s="94">
        <v>92</v>
      </c>
      <c r="O9" s="96">
        <f t="shared" si="1"/>
        <v>9.5522569054569963</v>
      </c>
      <c r="P9" s="95">
        <v>0</v>
      </c>
      <c r="Q9" s="127">
        <f t="shared" si="2"/>
        <v>9.5522569054569963</v>
      </c>
      <c r="R9" s="12"/>
      <c r="S9" s="97">
        <v>44481</v>
      </c>
      <c r="T9" s="94">
        <v>100</v>
      </c>
      <c r="U9" s="94">
        <f t="shared" si="3"/>
        <v>92</v>
      </c>
      <c r="V9" s="96">
        <f t="shared" si="4"/>
        <v>9.5522569054569963</v>
      </c>
      <c r="W9" s="95">
        <v>0</v>
      </c>
      <c r="X9" s="127">
        <f t="shared" si="5"/>
        <v>9.5522569054569963</v>
      </c>
    </row>
    <row r="10" spans="1:24">
      <c r="A10" s="12"/>
      <c r="B10" s="122" t="s">
        <v>161</v>
      </c>
      <c r="C10" s="124">
        <f>+C8</f>
        <v>0.34147540983606561</v>
      </c>
      <c r="D10" s="12"/>
      <c r="E10" s="69">
        <v>44663</v>
      </c>
      <c r="F10" s="70">
        <v>100</v>
      </c>
      <c r="G10" s="70">
        <f t="shared" si="6"/>
        <v>90</v>
      </c>
      <c r="H10" s="74">
        <f t="shared" si="7"/>
        <v>9.3445991466427145</v>
      </c>
      <c r="I10" s="26"/>
      <c r="J10" s="73">
        <f t="shared" si="0"/>
        <v>9.3445991466427145</v>
      </c>
      <c r="K10" s="12"/>
      <c r="L10" s="97">
        <v>44663</v>
      </c>
      <c r="M10" s="94">
        <v>100</v>
      </c>
      <c r="N10" s="94">
        <v>90</v>
      </c>
      <c r="O10" s="96">
        <f t="shared" si="1"/>
        <v>9.3445991466427145</v>
      </c>
      <c r="P10" s="95">
        <v>0</v>
      </c>
      <c r="Q10" s="127">
        <f t="shared" si="2"/>
        <v>9.3445991466427145</v>
      </c>
      <c r="R10" s="12"/>
      <c r="S10" s="97">
        <v>44573</v>
      </c>
      <c r="T10" s="94">
        <v>100</v>
      </c>
      <c r="U10" s="94">
        <f t="shared" si="3"/>
        <v>90</v>
      </c>
      <c r="V10" s="96">
        <f t="shared" si="4"/>
        <v>9.3445991466427145</v>
      </c>
      <c r="W10" s="95">
        <v>0</v>
      </c>
      <c r="X10" s="127">
        <f t="shared" si="5"/>
        <v>9.3445991466427145</v>
      </c>
    </row>
    <row r="11" spans="1:24">
      <c r="A11" s="12"/>
      <c r="B11" s="122" t="s">
        <v>164</v>
      </c>
      <c r="C11" s="124">
        <f>+C10+C7</f>
        <v>0.37897540983606559</v>
      </c>
      <c r="D11" s="12"/>
      <c r="E11" s="69">
        <v>44754</v>
      </c>
      <c r="F11" s="70">
        <v>100</v>
      </c>
      <c r="G11" s="70">
        <f t="shared" si="6"/>
        <v>91</v>
      </c>
      <c r="H11" s="74">
        <f t="shared" si="7"/>
        <v>9.4484280260498554</v>
      </c>
      <c r="I11" s="26"/>
      <c r="J11" s="73">
        <f t="shared" si="0"/>
        <v>9.4484280260498554</v>
      </c>
      <c r="K11" s="12"/>
      <c r="L11" s="97">
        <v>44754</v>
      </c>
      <c r="M11" s="94">
        <v>100</v>
      </c>
      <c r="N11" s="94">
        <v>91</v>
      </c>
      <c r="O11" s="96">
        <f t="shared" si="1"/>
        <v>9.4484280260498554</v>
      </c>
      <c r="P11" s="95">
        <v>0</v>
      </c>
      <c r="Q11" s="127">
        <f t="shared" si="2"/>
        <v>9.4484280260498554</v>
      </c>
      <c r="R11" s="12"/>
      <c r="S11" s="97">
        <v>44663</v>
      </c>
      <c r="T11" s="94">
        <v>100</v>
      </c>
      <c r="U11" s="94">
        <f t="shared" si="3"/>
        <v>91</v>
      </c>
      <c r="V11" s="96">
        <f t="shared" si="4"/>
        <v>9.4484280260498554</v>
      </c>
      <c r="W11" s="95">
        <v>0</v>
      </c>
      <c r="X11" s="127">
        <f t="shared" si="5"/>
        <v>9.4484280260498554</v>
      </c>
    </row>
    <row r="12" spans="1:24">
      <c r="A12" s="12"/>
      <c r="B12" s="125" t="s">
        <v>27</v>
      </c>
      <c r="C12" s="200">
        <v>44298</v>
      </c>
      <c r="D12" s="12"/>
      <c r="E12" s="69">
        <v>44846</v>
      </c>
      <c r="F12" s="70">
        <v>100</v>
      </c>
      <c r="G12" s="70">
        <f t="shared" si="6"/>
        <v>92</v>
      </c>
      <c r="H12" s="74">
        <f t="shared" si="7"/>
        <v>9.5522569054569963</v>
      </c>
      <c r="I12" s="26"/>
      <c r="J12" s="73">
        <f t="shared" si="0"/>
        <v>9.5522569054569963</v>
      </c>
      <c r="K12" s="12"/>
      <c r="L12" s="97">
        <v>44846</v>
      </c>
      <c r="M12" s="94">
        <v>100</v>
      </c>
      <c r="N12" s="94">
        <v>92</v>
      </c>
      <c r="O12" s="96">
        <f t="shared" si="1"/>
        <v>9.5522569054569963</v>
      </c>
      <c r="P12" s="95">
        <v>0</v>
      </c>
      <c r="Q12" s="127">
        <f t="shared" si="2"/>
        <v>9.5522569054569963</v>
      </c>
      <c r="R12" s="12"/>
      <c r="S12" s="97">
        <v>44754</v>
      </c>
      <c r="T12" s="94">
        <v>100</v>
      </c>
      <c r="U12" s="94">
        <f t="shared" si="3"/>
        <v>92</v>
      </c>
      <c r="V12" s="96">
        <f t="shared" si="4"/>
        <v>9.5522569054569963</v>
      </c>
      <c r="W12" s="95">
        <v>0</v>
      </c>
      <c r="X12" s="127">
        <f t="shared" si="5"/>
        <v>9.5522569054569963</v>
      </c>
    </row>
    <row r="13" spans="1:24">
      <c r="A13" s="12"/>
      <c r="B13" s="95"/>
      <c r="C13" s="97"/>
      <c r="D13" s="12"/>
      <c r="E13" s="69">
        <v>44938</v>
      </c>
      <c r="F13" s="70">
        <v>100</v>
      </c>
      <c r="G13" s="70">
        <f t="shared" si="6"/>
        <v>92</v>
      </c>
      <c r="H13" s="74">
        <f t="shared" si="7"/>
        <v>9.5522569054569963</v>
      </c>
      <c r="I13" s="26"/>
      <c r="J13" s="73">
        <f t="shared" si="0"/>
        <v>9.5522569054569963</v>
      </c>
      <c r="K13" s="12"/>
      <c r="L13" s="97">
        <v>44938</v>
      </c>
      <c r="M13" s="94">
        <v>100</v>
      </c>
      <c r="N13" s="94">
        <v>92</v>
      </c>
      <c r="O13" s="96">
        <f t="shared" si="1"/>
        <v>9.5522569054569963</v>
      </c>
      <c r="P13" s="95">
        <v>0</v>
      </c>
      <c r="Q13" s="127">
        <f t="shared" si="2"/>
        <v>9.5522569054569963</v>
      </c>
      <c r="R13" s="12"/>
      <c r="S13" s="97">
        <v>44846</v>
      </c>
      <c r="T13" s="94">
        <v>100</v>
      </c>
      <c r="U13" s="94">
        <f t="shared" si="3"/>
        <v>92</v>
      </c>
      <c r="V13" s="96">
        <f t="shared" si="4"/>
        <v>9.5522569054569963</v>
      </c>
      <c r="W13" s="95">
        <v>0</v>
      </c>
      <c r="X13" s="127">
        <f t="shared" si="5"/>
        <v>9.5522569054569963</v>
      </c>
    </row>
    <row r="14" spans="1:24">
      <c r="A14" s="12"/>
      <c r="B14" s="95"/>
      <c r="C14" s="97"/>
      <c r="D14" s="12"/>
      <c r="E14" s="69">
        <v>45028</v>
      </c>
      <c r="F14" s="70">
        <v>100</v>
      </c>
      <c r="G14" s="70">
        <f t="shared" si="6"/>
        <v>90</v>
      </c>
      <c r="H14" s="74">
        <f t="shared" si="7"/>
        <v>9.3445991466427145</v>
      </c>
      <c r="I14" s="26"/>
      <c r="J14" s="73">
        <f t="shared" si="0"/>
        <v>9.3445991466427145</v>
      </c>
      <c r="K14" s="12"/>
      <c r="L14" s="97">
        <v>45028</v>
      </c>
      <c r="M14" s="94">
        <v>100</v>
      </c>
      <c r="N14" s="94">
        <v>90</v>
      </c>
      <c r="O14" s="96">
        <f t="shared" si="1"/>
        <v>9.3445991466427145</v>
      </c>
      <c r="P14" s="95">
        <v>0</v>
      </c>
      <c r="Q14" s="127">
        <f t="shared" si="2"/>
        <v>9.3445991466427145</v>
      </c>
      <c r="R14" s="12"/>
      <c r="S14" s="97">
        <v>44938</v>
      </c>
      <c r="T14" s="94">
        <v>100</v>
      </c>
      <c r="U14" s="94">
        <f t="shared" si="3"/>
        <v>90</v>
      </c>
      <c r="V14" s="96">
        <f t="shared" si="4"/>
        <v>9.3445991466427145</v>
      </c>
      <c r="W14" s="95">
        <v>0</v>
      </c>
      <c r="X14" s="127">
        <f t="shared" si="5"/>
        <v>9.3445991466427145</v>
      </c>
    </row>
    <row r="15" spans="1:24">
      <c r="A15" s="12"/>
      <c r="D15" s="12"/>
      <c r="E15" s="69">
        <v>45119</v>
      </c>
      <c r="F15" s="70">
        <v>100</v>
      </c>
      <c r="G15" s="70">
        <f t="shared" si="6"/>
        <v>91</v>
      </c>
      <c r="H15" s="74">
        <f t="shared" si="7"/>
        <v>9.4484280260498554</v>
      </c>
      <c r="I15" s="26"/>
      <c r="J15" s="73">
        <f t="shared" si="0"/>
        <v>9.4484280260498554</v>
      </c>
      <c r="K15" s="12"/>
      <c r="L15" s="97">
        <v>45119</v>
      </c>
      <c r="M15" s="94">
        <v>100</v>
      </c>
      <c r="N15" s="94">
        <v>91</v>
      </c>
      <c r="O15" s="96">
        <f t="shared" si="1"/>
        <v>9.4484280260498554</v>
      </c>
      <c r="P15" s="95">
        <v>0</v>
      </c>
      <c r="Q15" s="127">
        <f t="shared" si="2"/>
        <v>9.4484280260498554</v>
      </c>
      <c r="R15" s="12"/>
      <c r="S15" s="97">
        <v>45028</v>
      </c>
      <c r="T15" s="94">
        <v>100</v>
      </c>
      <c r="U15" s="94">
        <f t="shared" si="3"/>
        <v>91</v>
      </c>
      <c r="V15" s="96">
        <f t="shared" si="4"/>
        <v>9.4484280260498554</v>
      </c>
      <c r="W15" s="95">
        <v>0</v>
      </c>
      <c r="X15" s="127">
        <f t="shared" si="5"/>
        <v>9.4484280260498554</v>
      </c>
    </row>
    <row r="16" spans="1:24">
      <c r="A16" s="12"/>
      <c r="B16" s="15"/>
      <c r="C16" s="14"/>
      <c r="D16" s="12"/>
      <c r="E16" s="69">
        <v>45211</v>
      </c>
      <c r="F16" s="70">
        <v>100</v>
      </c>
      <c r="G16" s="70">
        <f t="shared" si="6"/>
        <v>92</v>
      </c>
      <c r="H16" s="74">
        <f t="shared" si="7"/>
        <v>9.5522569054569963</v>
      </c>
      <c r="I16" s="26"/>
      <c r="J16" s="73">
        <f t="shared" si="0"/>
        <v>9.5522569054569963</v>
      </c>
      <c r="K16" s="12"/>
      <c r="L16" s="97">
        <v>45211</v>
      </c>
      <c r="M16" s="94">
        <v>100</v>
      </c>
      <c r="N16" s="94">
        <v>92</v>
      </c>
      <c r="O16" s="96">
        <f t="shared" si="1"/>
        <v>9.5522569054569963</v>
      </c>
      <c r="P16" s="95">
        <v>0</v>
      </c>
      <c r="Q16" s="127">
        <f t="shared" si="2"/>
        <v>9.5522569054569963</v>
      </c>
      <c r="R16" s="12"/>
      <c r="S16" s="97">
        <v>45119</v>
      </c>
      <c r="T16" s="94">
        <v>100</v>
      </c>
      <c r="U16" s="94">
        <f t="shared" si="3"/>
        <v>92</v>
      </c>
      <c r="V16" s="96">
        <f t="shared" si="4"/>
        <v>9.5522569054569963</v>
      </c>
      <c r="W16" s="95">
        <v>0</v>
      </c>
      <c r="X16" s="127">
        <f t="shared" si="5"/>
        <v>9.5522569054569963</v>
      </c>
    </row>
    <row r="17" spans="1:24">
      <c r="A17" s="12"/>
      <c r="B17" s="15"/>
      <c r="C17" s="14"/>
      <c r="D17" s="12"/>
      <c r="E17" s="69">
        <v>45303</v>
      </c>
      <c r="F17" s="70">
        <v>100</v>
      </c>
      <c r="G17" s="70">
        <f t="shared" si="6"/>
        <v>92</v>
      </c>
      <c r="H17" s="74">
        <f t="shared" si="7"/>
        <v>9.5522569054569963</v>
      </c>
      <c r="I17" s="26"/>
      <c r="J17" s="73">
        <f t="shared" si="0"/>
        <v>9.5522569054569963</v>
      </c>
      <c r="K17" s="12"/>
      <c r="L17" s="97">
        <v>45303</v>
      </c>
      <c r="M17" s="94">
        <v>100</v>
      </c>
      <c r="N17" s="94">
        <v>92</v>
      </c>
      <c r="O17" s="96">
        <f t="shared" si="1"/>
        <v>9.5522569054569963</v>
      </c>
      <c r="P17" s="95">
        <v>0</v>
      </c>
      <c r="Q17" s="127">
        <f t="shared" si="2"/>
        <v>9.5522569054569963</v>
      </c>
      <c r="R17" s="12"/>
      <c r="S17" s="97">
        <v>45211</v>
      </c>
      <c r="T17" s="94">
        <v>100</v>
      </c>
      <c r="U17" s="94">
        <f t="shared" si="3"/>
        <v>92</v>
      </c>
      <c r="V17" s="96">
        <f t="shared" si="4"/>
        <v>9.5522569054569963</v>
      </c>
      <c r="W17" s="95">
        <v>0</v>
      </c>
      <c r="X17" s="127">
        <f t="shared" si="5"/>
        <v>9.5522569054569963</v>
      </c>
    </row>
    <row r="18" spans="1:24">
      <c r="A18" s="12"/>
      <c r="B18" s="15"/>
      <c r="C18" s="14"/>
      <c r="D18" s="12"/>
      <c r="E18" s="69">
        <v>45394</v>
      </c>
      <c r="F18" s="70">
        <v>100</v>
      </c>
      <c r="G18" s="70">
        <f t="shared" si="6"/>
        <v>91</v>
      </c>
      <c r="H18" s="74">
        <f t="shared" si="7"/>
        <v>9.4484280260498554</v>
      </c>
      <c r="I18" s="26"/>
      <c r="J18" s="73">
        <f t="shared" si="0"/>
        <v>9.4484280260498554</v>
      </c>
      <c r="K18" s="12"/>
      <c r="L18" s="97">
        <v>45394</v>
      </c>
      <c r="M18" s="94">
        <v>100</v>
      </c>
      <c r="N18" s="94">
        <v>91</v>
      </c>
      <c r="O18" s="96">
        <f t="shared" si="1"/>
        <v>9.4484280260498554</v>
      </c>
      <c r="P18" s="95">
        <v>0</v>
      </c>
      <c r="Q18" s="127">
        <f t="shared" si="2"/>
        <v>9.4484280260498554</v>
      </c>
      <c r="R18" s="12"/>
      <c r="S18" s="97">
        <v>45303</v>
      </c>
      <c r="T18" s="94">
        <v>100</v>
      </c>
      <c r="U18" s="94">
        <f t="shared" si="3"/>
        <v>91</v>
      </c>
      <c r="V18" s="96">
        <f t="shared" si="4"/>
        <v>9.4484280260498554</v>
      </c>
      <c r="W18" s="95">
        <v>0</v>
      </c>
      <c r="X18" s="127">
        <f t="shared" si="5"/>
        <v>9.4484280260498554</v>
      </c>
    </row>
    <row r="19" spans="1:24">
      <c r="A19" s="12"/>
      <c r="B19" s="15"/>
      <c r="C19" s="14"/>
      <c r="D19" s="12"/>
      <c r="E19" s="69">
        <v>45485</v>
      </c>
      <c r="F19" s="70">
        <v>100</v>
      </c>
      <c r="G19" s="70">
        <f t="shared" si="6"/>
        <v>91</v>
      </c>
      <c r="H19" s="74">
        <f t="shared" si="7"/>
        <v>9.4484280260498554</v>
      </c>
      <c r="I19" s="26"/>
      <c r="J19" s="73">
        <f t="shared" si="0"/>
        <v>9.4484280260498554</v>
      </c>
      <c r="K19" s="12"/>
      <c r="L19" s="97">
        <v>45485</v>
      </c>
      <c r="M19" s="94">
        <v>100</v>
      </c>
      <c r="N19" s="94">
        <v>91</v>
      </c>
      <c r="O19" s="96">
        <f t="shared" si="1"/>
        <v>9.4484280260498554</v>
      </c>
      <c r="P19" s="95">
        <v>0</v>
      </c>
      <c r="Q19" s="127">
        <f t="shared" si="2"/>
        <v>9.4484280260498554</v>
      </c>
      <c r="R19" s="12"/>
      <c r="S19" s="97">
        <v>45394</v>
      </c>
      <c r="T19" s="94">
        <v>100</v>
      </c>
      <c r="U19" s="94">
        <f t="shared" si="3"/>
        <v>91</v>
      </c>
      <c r="V19" s="96">
        <f t="shared" si="4"/>
        <v>9.4484280260498554</v>
      </c>
      <c r="W19" s="95">
        <v>0</v>
      </c>
      <c r="X19" s="127">
        <f t="shared" si="5"/>
        <v>9.4484280260498554</v>
      </c>
    </row>
    <row r="20" spans="1:24">
      <c r="A20" s="12"/>
      <c r="B20" s="15"/>
      <c r="C20" s="14"/>
      <c r="D20" s="12"/>
      <c r="E20" s="69">
        <v>45577</v>
      </c>
      <c r="F20" s="70">
        <v>100</v>
      </c>
      <c r="G20" s="70">
        <f t="shared" si="6"/>
        <v>92</v>
      </c>
      <c r="H20" s="74">
        <f t="shared" si="7"/>
        <v>9.5522569054569963</v>
      </c>
      <c r="I20" s="26"/>
      <c r="J20" s="73">
        <f t="shared" si="0"/>
        <v>9.5522569054569963</v>
      </c>
      <c r="K20" s="12"/>
      <c r="L20" s="97">
        <v>45577</v>
      </c>
      <c r="M20" s="94">
        <v>100</v>
      </c>
      <c r="N20" s="94">
        <v>92</v>
      </c>
      <c r="O20" s="96">
        <f t="shared" si="1"/>
        <v>9.5522569054569963</v>
      </c>
      <c r="P20" s="95">
        <v>0</v>
      </c>
      <c r="Q20" s="127">
        <f t="shared" si="2"/>
        <v>9.5522569054569963</v>
      </c>
      <c r="R20" s="12"/>
      <c r="S20" s="97">
        <v>45485</v>
      </c>
      <c r="T20" s="94">
        <v>100</v>
      </c>
      <c r="U20" s="94">
        <f t="shared" si="3"/>
        <v>92</v>
      </c>
      <c r="V20" s="96">
        <f t="shared" si="4"/>
        <v>9.5522569054569963</v>
      </c>
      <c r="W20" s="95">
        <v>0</v>
      </c>
      <c r="X20" s="127">
        <f t="shared" si="5"/>
        <v>9.5522569054569963</v>
      </c>
    </row>
    <row r="21" spans="1:24">
      <c r="A21" s="12"/>
      <c r="B21" s="15"/>
      <c r="C21" s="14"/>
      <c r="D21" s="12"/>
      <c r="E21" s="69">
        <v>45669</v>
      </c>
      <c r="F21" s="70">
        <v>100</v>
      </c>
      <c r="G21" s="70">
        <f t="shared" si="6"/>
        <v>92</v>
      </c>
      <c r="H21" s="74">
        <f t="shared" si="7"/>
        <v>9.5522569054569963</v>
      </c>
      <c r="I21" s="26"/>
      <c r="J21" s="73">
        <f t="shared" si="0"/>
        <v>9.5522569054569963</v>
      </c>
      <c r="K21" s="12"/>
      <c r="L21" s="97">
        <v>45669</v>
      </c>
      <c r="M21" s="94">
        <v>100</v>
      </c>
      <c r="N21" s="94">
        <v>92</v>
      </c>
      <c r="O21" s="96">
        <f t="shared" si="1"/>
        <v>9.5522569054569963</v>
      </c>
      <c r="P21" s="95">
        <v>0</v>
      </c>
      <c r="Q21" s="127">
        <f t="shared" si="2"/>
        <v>9.5522569054569963</v>
      </c>
      <c r="R21" s="12"/>
      <c r="S21" s="97">
        <v>45577</v>
      </c>
      <c r="T21" s="94">
        <v>100</v>
      </c>
      <c r="U21" s="94">
        <f t="shared" si="3"/>
        <v>92</v>
      </c>
      <c r="V21" s="96">
        <f t="shared" si="4"/>
        <v>9.5522569054569963</v>
      </c>
      <c r="W21" s="95">
        <v>0</v>
      </c>
      <c r="X21" s="127">
        <f t="shared" si="5"/>
        <v>9.5522569054569963</v>
      </c>
    </row>
    <row r="22" spans="1:24">
      <c r="A22" s="12"/>
      <c r="B22" s="15"/>
      <c r="C22" s="14"/>
      <c r="D22" s="12"/>
      <c r="E22" s="69">
        <v>45759</v>
      </c>
      <c r="F22" s="70">
        <v>100</v>
      </c>
      <c r="G22" s="70">
        <f t="shared" si="6"/>
        <v>90</v>
      </c>
      <c r="H22" s="74">
        <f t="shared" si="7"/>
        <v>9.3445991466427145</v>
      </c>
      <c r="I22" s="74">
        <v>100</v>
      </c>
      <c r="J22" s="73">
        <f t="shared" si="0"/>
        <v>109.34459914664271</v>
      </c>
      <c r="K22" s="12"/>
      <c r="L22" s="97">
        <v>45759</v>
      </c>
      <c r="M22" s="94">
        <v>100</v>
      </c>
      <c r="N22" s="94">
        <v>90</v>
      </c>
      <c r="O22" s="96">
        <f t="shared" si="1"/>
        <v>9.3445991466427145</v>
      </c>
      <c r="P22" s="96">
        <v>100</v>
      </c>
      <c r="Q22" s="127">
        <f t="shared" si="2"/>
        <v>109.34459914664271</v>
      </c>
      <c r="R22" s="12"/>
      <c r="S22" s="97">
        <v>45669</v>
      </c>
      <c r="T22" s="94">
        <v>100</v>
      </c>
      <c r="U22" s="94">
        <f t="shared" si="3"/>
        <v>90</v>
      </c>
      <c r="V22" s="96">
        <f t="shared" si="4"/>
        <v>9.3445991466427145</v>
      </c>
      <c r="W22" s="95">
        <v>0</v>
      </c>
      <c r="X22" s="127">
        <f t="shared" si="5"/>
        <v>9.3445991466427145</v>
      </c>
    </row>
    <row r="23" spans="1:24">
      <c r="A23" s="12"/>
      <c r="B23" s="15"/>
      <c r="C23" s="14"/>
      <c r="D23" s="12"/>
      <c r="E23" s="12"/>
      <c r="F23" s="12"/>
      <c r="G23" s="12"/>
      <c r="H23" s="12"/>
      <c r="I23" s="12"/>
      <c r="J23" s="12"/>
      <c r="K23" s="12"/>
      <c r="R23" s="12"/>
      <c r="S23" s="97">
        <v>45759</v>
      </c>
      <c r="T23" s="94">
        <v>100</v>
      </c>
      <c r="U23" s="94">
        <f t="shared" si="3"/>
        <v>0</v>
      </c>
      <c r="V23" s="96">
        <f t="shared" si="4"/>
        <v>0</v>
      </c>
      <c r="W23" s="96">
        <v>100</v>
      </c>
      <c r="X23" s="127">
        <f t="shared" si="5"/>
        <v>100</v>
      </c>
    </row>
    <row r="24" spans="1:24">
      <c r="A24" s="12"/>
      <c r="B24" s="15"/>
      <c r="C24" s="14"/>
      <c r="D24" s="12"/>
      <c r="E24" s="12"/>
      <c r="F24" s="12"/>
      <c r="G24" s="12"/>
      <c r="H24" s="12"/>
      <c r="I24" s="92" t="s">
        <v>10</v>
      </c>
      <c r="J24" s="86">
        <f>XIRR(J6:J22,E6:E22,0)</f>
        <v>0.54860588867187499</v>
      </c>
      <c r="K24" s="12"/>
    </row>
    <row r="25" spans="1:24">
      <c r="A25" s="12"/>
      <c r="B25" s="15"/>
      <c r="C25" s="14"/>
      <c r="D25" s="12"/>
      <c r="E25" s="12"/>
      <c r="F25" s="12"/>
      <c r="G25" s="12"/>
      <c r="H25" s="12"/>
      <c r="I25" s="92" t="s">
        <v>29</v>
      </c>
      <c r="J25" s="71">
        <f>MDURATION(E6,E22,C9,J24,4)</f>
        <v>1.4888571268484097</v>
      </c>
      <c r="K25" s="12"/>
    </row>
    <row r="26" spans="1:24">
      <c r="A26" s="12"/>
      <c r="B26" s="15"/>
      <c r="C26" s="14"/>
      <c r="D26" s="12"/>
      <c r="K26" s="12"/>
      <c r="R26" s="12"/>
    </row>
    <row r="27" spans="1:24">
      <c r="A27" s="12"/>
      <c r="B27" s="15"/>
      <c r="C27" s="14"/>
      <c r="D27" s="12"/>
      <c r="K27" s="12"/>
      <c r="R27" s="12"/>
      <c r="S27" s="12"/>
      <c r="T27" s="12"/>
      <c r="U27" s="12"/>
      <c r="V27" s="12"/>
      <c r="W27" s="12"/>
      <c r="X27" s="12"/>
    </row>
    <row r="28" spans="1:24">
      <c r="A28" s="12"/>
      <c r="B28" s="15"/>
      <c r="C28" s="14"/>
      <c r="D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48"/>
      <c r="X28" s="22"/>
    </row>
    <row r="29" spans="1:24">
      <c r="A29" s="12"/>
      <c r="B29" s="15"/>
      <c r="C29" s="14"/>
      <c r="D29" s="12"/>
      <c r="K29" s="12"/>
      <c r="L29" s="12"/>
      <c r="M29" s="12"/>
      <c r="N29" s="12"/>
      <c r="O29" s="12"/>
      <c r="P29" s="12"/>
      <c r="Q29" s="22"/>
      <c r="R29" s="12"/>
      <c r="S29" s="12"/>
      <c r="T29" s="12"/>
      <c r="U29" s="12"/>
      <c r="V29" s="12"/>
      <c r="W29" s="48"/>
      <c r="X29" s="30"/>
    </row>
    <row r="30" spans="1:24">
      <c r="A30" s="12"/>
      <c r="B30" s="15"/>
      <c r="C30" s="1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>
      <c r="A31" s="12"/>
      <c r="B31" s="15"/>
      <c r="C31" s="14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>
      <c r="A32" s="12"/>
      <c r="B32" s="15"/>
      <c r="C32" s="14"/>
      <c r="D32" s="12"/>
      <c r="E32" s="12"/>
      <c r="F32" s="12"/>
      <c r="G32" s="12"/>
      <c r="H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>
      <c r="A33" s="12"/>
      <c r="B33" s="15"/>
      <c r="C33" s="14"/>
      <c r="D33" s="12"/>
      <c r="E33" s="12"/>
      <c r="F33" s="12"/>
      <c r="G33" s="12"/>
      <c r="H33" s="12"/>
      <c r="I33" s="26"/>
      <c r="J33" s="86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>
      <c r="A34" s="12"/>
      <c r="B34" s="15"/>
      <c r="C34" s="14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>
      <c r="A35" s="12"/>
      <c r="B35" s="15"/>
      <c r="C35" s="14"/>
      <c r="D35" s="12"/>
      <c r="E35" s="372" t="s">
        <v>92</v>
      </c>
      <c r="F35" s="372"/>
      <c r="G35" s="76">
        <v>0.35</v>
      </c>
      <c r="H35" s="62">
        <f>XNPV(G35,Q6:Q22,L6:L22)</f>
        <v>123.43364324664277</v>
      </c>
      <c r="I35" s="76">
        <f>(H35+$J$6)/(-$J$6)</f>
        <v>0.30964077715270849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ht="15" customHeight="1">
      <c r="A36" s="12"/>
      <c r="B36" s="15"/>
      <c r="C36" s="14"/>
      <c r="D36" s="12"/>
      <c r="E36" s="392"/>
      <c r="F36" s="392"/>
      <c r="G36" s="42">
        <v>0.45</v>
      </c>
      <c r="H36" s="109">
        <f>XNPV(G36,Q6:Q22,L6:L22)</f>
        <v>106.78226576630514</v>
      </c>
      <c r="I36" s="42">
        <f>(H36+$J$6)/(-$J$6)</f>
        <v>0.13296833704302541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>
      <c r="A37" s="12"/>
      <c r="B37" s="15"/>
      <c r="C37" s="14"/>
      <c r="D37" s="12"/>
      <c r="E37" s="373"/>
      <c r="F37" s="373"/>
      <c r="G37" s="78">
        <v>0.4</v>
      </c>
      <c r="H37" s="79">
        <f>XNPV(G37,Q6:Q22,L6:L22)</f>
        <v>114.51855955782376</v>
      </c>
      <c r="I37" s="78">
        <f>(H37+J6)/(-J6)</f>
        <v>0.21505102979123356</v>
      </c>
      <c r="J37" s="12"/>
      <c r="K37" s="12"/>
      <c r="L37" s="12"/>
      <c r="M37" s="12"/>
      <c r="N37" s="12"/>
      <c r="O37" s="12"/>
      <c r="P37" s="12"/>
      <c r="Q37" s="12"/>
      <c r="R37" s="110"/>
      <c r="S37" s="110"/>
      <c r="T37" s="110"/>
      <c r="U37" s="110"/>
      <c r="V37" s="110"/>
      <c r="W37" s="12"/>
      <c r="X37" s="12"/>
    </row>
    <row r="38" spans="1:24">
      <c r="A38" s="12"/>
      <c r="B38" s="15"/>
      <c r="C38" s="14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10"/>
      <c r="S38" s="110"/>
      <c r="T38" s="110"/>
      <c r="U38" s="110"/>
      <c r="V38" s="110"/>
      <c r="W38" s="12"/>
      <c r="X38" s="12"/>
    </row>
    <row r="39" spans="1:24">
      <c r="A39" s="12"/>
      <c r="B39" s="15"/>
      <c r="C39" s="14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10"/>
      <c r="S39" s="406"/>
      <c r="T39" s="406"/>
      <c r="U39" s="406"/>
      <c r="V39" s="110"/>
      <c r="W39" s="12"/>
      <c r="X39" s="12"/>
    </row>
    <row r="40" spans="1:24">
      <c r="A40" s="12"/>
      <c r="B40" s="15"/>
      <c r="C40" s="14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10"/>
      <c r="S40" s="170"/>
      <c r="T40" s="170"/>
      <c r="U40" s="170"/>
      <c r="V40" s="110"/>
      <c r="W40" s="12"/>
      <c r="X40" s="12"/>
    </row>
    <row r="41" spans="1:24">
      <c r="A41" s="12"/>
      <c r="B41" s="15"/>
      <c r="C41" s="14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10"/>
      <c r="S41" s="115"/>
      <c r="T41" s="171"/>
      <c r="U41" s="115"/>
      <c r="V41" s="110"/>
      <c r="W41" s="12"/>
      <c r="X41" s="12"/>
    </row>
    <row r="42" spans="1:24">
      <c r="A42" s="12"/>
      <c r="B42" s="15"/>
      <c r="C42" s="14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10"/>
      <c r="S42" s="115"/>
      <c r="T42" s="171"/>
      <c r="U42" s="115"/>
      <c r="V42" s="110"/>
      <c r="W42" s="12"/>
      <c r="X42" s="12"/>
    </row>
    <row r="43" spans="1:24">
      <c r="A43" s="12"/>
      <c r="B43" s="15"/>
      <c r="C43" s="14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10"/>
      <c r="S43" s="115"/>
      <c r="T43" s="171"/>
      <c r="U43" s="115"/>
      <c r="V43" s="110"/>
      <c r="W43" s="12"/>
      <c r="X43" s="12"/>
    </row>
    <row r="44" spans="1:24">
      <c r="A44" s="12"/>
      <c r="B44" s="15"/>
      <c r="C44" s="14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10"/>
      <c r="S44" s="115"/>
      <c r="T44" s="171"/>
      <c r="U44" s="115"/>
      <c r="V44" s="110"/>
      <c r="W44" s="12"/>
      <c r="X44" s="12"/>
    </row>
    <row r="45" spans="1:24">
      <c r="A45" s="12"/>
      <c r="B45" s="15"/>
      <c r="C45" s="14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10"/>
      <c r="S45" s="115"/>
      <c r="T45" s="171"/>
      <c r="U45" s="115"/>
      <c r="V45" s="110"/>
      <c r="W45" s="12"/>
      <c r="X45" s="12"/>
    </row>
    <row r="46" spans="1:24">
      <c r="A46" s="12"/>
      <c r="B46" s="15"/>
      <c r="C46" s="14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22"/>
      <c r="T46" s="128"/>
      <c r="U46" s="22"/>
      <c r="V46" s="12"/>
      <c r="W46" s="12"/>
      <c r="X46" s="12"/>
    </row>
    <row r="47" spans="1:24">
      <c r="A47" s="12"/>
      <c r="B47" s="15"/>
      <c r="C47" s="14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22"/>
      <c r="T47" s="128"/>
      <c r="U47" s="22"/>
      <c r="V47" s="12"/>
      <c r="W47" s="12"/>
      <c r="X47" s="12"/>
    </row>
    <row r="48" spans="1:24">
      <c r="A48" s="12"/>
      <c r="B48" s="15"/>
      <c r="C48" s="14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22"/>
      <c r="T48" s="128"/>
      <c r="U48" s="22"/>
      <c r="V48" s="12"/>
      <c r="W48" s="12"/>
      <c r="X48" s="12"/>
    </row>
    <row r="49" spans="1:24">
      <c r="A49" s="12"/>
      <c r="B49" s="15"/>
      <c r="C49" s="14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22"/>
      <c r="T49" s="128"/>
      <c r="U49" s="22"/>
      <c r="V49" s="12"/>
      <c r="W49" s="12"/>
      <c r="X49" s="12"/>
    </row>
    <row r="50" spans="1:24">
      <c r="A50" s="12"/>
      <c r="B50" s="15"/>
      <c r="C50" s="14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22"/>
      <c r="T50" s="128"/>
      <c r="U50" s="22"/>
      <c r="V50" s="12"/>
      <c r="W50" s="12"/>
      <c r="X50" s="12"/>
    </row>
    <row r="51" spans="1:24">
      <c r="A51" s="12"/>
      <c r="B51" s="15"/>
      <c r="C51" s="14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22"/>
      <c r="T51" s="128"/>
      <c r="U51" s="22"/>
      <c r="V51" s="12"/>
      <c r="W51" s="12"/>
      <c r="X51" s="12"/>
    </row>
    <row r="52" spans="1:24">
      <c r="A52" s="12"/>
      <c r="B52" s="15"/>
      <c r="C52" s="14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22"/>
      <c r="T52" s="128"/>
      <c r="U52" s="22"/>
      <c r="V52" s="12"/>
      <c r="W52" s="12"/>
      <c r="X52" s="12"/>
    </row>
    <row r="53" spans="1:24">
      <c r="A53" s="12"/>
      <c r="B53" s="15"/>
      <c r="C53" s="14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22"/>
      <c r="T53" s="128"/>
      <c r="U53" s="22"/>
      <c r="V53" s="12"/>
      <c r="W53" s="12"/>
      <c r="X53" s="12"/>
    </row>
    <row r="54" spans="1:24">
      <c r="A54" s="12"/>
      <c r="B54" s="15"/>
      <c r="C54" s="14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22"/>
      <c r="T54" s="128"/>
      <c r="U54" s="22"/>
      <c r="V54" s="12"/>
      <c r="W54" s="12"/>
      <c r="X54" s="12"/>
    </row>
    <row r="55" spans="1:24">
      <c r="A55" s="12"/>
      <c r="B55" s="15"/>
      <c r="C55" s="14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22"/>
      <c r="T55" s="128"/>
      <c r="U55" s="22"/>
      <c r="V55" s="12"/>
      <c r="W55" s="12"/>
      <c r="X55" s="12"/>
    </row>
    <row r="56" spans="1:24">
      <c r="A56" s="12"/>
      <c r="B56" s="15"/>
      <c r="C56" s="14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>
      <c r="A57" s="12"/>
      <c r="B57" s="15"/>
      <c r="C57" s="14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>
      <c r="A58" s="12"/>
      <c r="B58" s="15"/>
      <c r="C58" s="14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>
      <c r="A59" s="12"/>
      <c r="B59" s="15"/>
      <c r="C59" s="14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>
      <c r="A60" s="12"/>
      <c r="B60" s="15"/>
      <c r="C60" s="14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24">
      <c r="A61" s="12"/>
      <c r="B61" s="15"/>
      <c r="C61" s="14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spans="1:24">
      <c r="A62" s="12"/>
      <c r="B62" s="15"/>
      <c r="C62" s="14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spans="1:24">
      <c r="A63" s="12"/>
      <c r="B63" s="15"/>
      <c r="C63" s="14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spans="1:24">
      <c r="A64" s="12"/>
      <c r="B64" s="15"/>
      <c r="C64" s="14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spans="1:24">
      <c r="A65" s="12"/>
      <c r="B65" s="15"/>
      <c r="C65" s="14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spans="1:24">
      <c r="A66" s="12"/>
      <c r="B66" s="15"/>
      <c r="C66" s="14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spans="1:24">
      <c r="A67" s="12"/>
      <c r="B67" s="15"/>
      <c r="C67" s="14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spans="1:24">
      <c r="A68" s="12"/>
      <c r="B68" s="15"/>
      <c r="C68" s="14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spans="1:24">
      <c r="A69" s="12"/>
      <c r="B69" s="15"/>
      <c r="C69" s="14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1:24">
      <c r="A70" s="12"/>
      <c r="B70" s="15"/>
      <c r="C70" s="14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1:24">
      <c r="A71" s="12"/>
      <c r="B71" s="15"/>
      <c r="C71" s="14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1:24">
      <c r="A72" s="12"/>
      <c r="B72" s="15"/>
      <c r="C72" s="14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1:24">
      <c r="A73" s="12"/>
      <c r="B73" s="15"/>
      <c r="C73" s="14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1:24">
      <c r="A74" s="12"/>
      <c r="B74" s="15"/>
      <c r="C74" s="14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spans="1:24">
      <c r="A75" s="12"/>
      <c r="B75" s="15"/>
      <c r="C75" s="14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1:24">
      <c r="A76" s="12"/>
      <c r="B76" s="15"/>
      <c r="C76" s="14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1:24">
      <c r="A77" s="12"/>
      <c r="B77" s="15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>
      <c r="A78" s="12"/>
      <c r="B78" s="15"/>
      <c r="C78" s="14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spans="1:24">
      <c r="A79" s="12"/>
      <c r="B79" s="15"/>
      <c r="C79" s="2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spans="1:24">
      <c r="A80" s="12"/>
      <c r="B80" s="15"/>
      <c r="C80" s="1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spans="1:24">
      <c r="A81" s="12"/>
      <c r="B81" s="15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spans="1:24">
      <c r="A82" s="12"/>
      <c r="B82" s="15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spans="1:24">
      <c r="A83" s="12"/>
      <c r="B83" s="15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spans="1:24">
      <c r="A84" s="12"/>
      <c r="B84" s="15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spans="1:24">
      <c r="A85" s="12"/>
      <c r="B85" s="15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spans="1:24">
      <c r="A86" s="12"/>
      <c r="B86" s="15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spans="1:24">
      <c r="A87" s="12"/>
      <c r="B87" s="15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spans="1:24">
      <c r="A88" s="12"/>
      <c r="B88" s="15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spans="1:24">
      <c r="A89" s="12"/>
      <c r="B89" s="15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spans="1:24">
      <c r="A90" s="12"/>
      <c r="B90" s="15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spans="1:24">
      <c r="A91" s="12"/>
      <c r="B91" s="15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spans="1:24">
      <c r="A92" s="12"/>
      <c r="B92" s="1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spans="1:24">
      <c r="A93" s="12"/>
      <c r="B93" s="15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spans="1:24">
      <c r="A94" s="12"/>
      <c r="B94" s="15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spans="1:24">
      <c r="A95" s="12"/>
      <c r="B95" s="15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spans="1:24">
      <c r="A96" s="12"/>
      <c r="B96" s="15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spans="1:24">
      <c r="A97" s="12"/>
      <c r="B97" s="15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>
      <c r="A98" s="12"/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1:24">
      <c r="A99" s="12"/>
      <c r="B99" s="15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>
      <c r="A100" s="12"/>
      <c r="B100" s="15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>
      <c r="A101" s="12"/>
      <c r="B101" s="15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>
      <c r="A102" s="12"/>
      <c r="B102" s="15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>
      <c r="B103" s="11"/>
    </row>
  </sheetData>
  <mergeCells count="6">
    <mergeCell ref="S39:U39"/>
    <mergeCell ref="L4:Q4"/>
    <mergeCell ref="B4:C4"/>
    <mergeCell ref="E4:J4"/>
    <mergeCell ref="S4:X4"/>
    <mergeCell ref="E35:F37"/>
  </mergeCell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showGridLines="0" zoomScale="90" zoomScaleNormal="90" workbookViewId="0">
      <selection activeCell="Q22" sqref="Q22"/>
    </sheetView>
  </sheetViews>
  <sheetFormatPr baseColWidth="10" defaultRowHeight="15"/>
  <cols>
    <col min="2" max="2" width="17.7109375" customWidth="1"/>
    <col min="3" max="3" width="13.42578125" customWidth="1"/>
    <col min="4" max="4" width="4" customWidth="1"/>
    <col min="5" max="5" width="12.140625" bestFit="1" customWidth="1"/>
    <col min="6" max="6" width="9.140625" customWidth="1"/>
    <col min="7" max="7" width="7.5703125" customWidth="1"/>
    <col min="8" max="8" width="8.28515625" customWidth="1"/>
    <col min="9" max="9" width="11.5703125" customWidth="1"/>
    <col min="10" max="10" width="10.85546875" customWidth="1"/>
    <col min="11" max="11" width="6.140625" customWidth="1"/>
    <col min="12" max="12" width="12.140625" bestFit="1" customWidth="1"/>
    <col min="13" max="13" width="8.5703125" customWidth="1"/>
    <col min="14" max="14" width="7.7109375" customWidth="1"/>
    <col min="15" max="15" width="9.140625" customWidth="1"/>
    <col min="16" max="16" width="10.7109375" customWidth="1"/>
    <col min="17" max="17" width="9.28515625" customWidth="1"/>
  </cols>
  <sheetData>
    <row r="1" spans="1:18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>
      <c r="A4" s="12"/>
      <c r="B4" s="369" t="s">
        <v>116</v>
      </c>
      <c r="C4" s="370"/>
      <c r="D4" s="12"/>
      <c r="E4" s="394" t="s">
        <v>118</v>
      </c>
      <c r="F4" s="394"/>
      <c r="G4" s="394"/>
      <c r="H4" s="394"/>
      <c r="I4" s="394"/>
      <c r="J4" s="394"/>
      <c r="K4" s="12"/>
      <c r="L4" s="394" t="s">
        <v>117</v>
      </c>
      <c r="M4" s="394"/>
      <c r="N4" s="394"/>
      <c r="O4" s="394"/>
      <c r="P4" s="394"/>
      <c r="Q4" s="394"/>
      <c r="R4" s="12"/>
    </row>
    <row r="5" spans="1:18">
      <c r="A5" s="12"/>
      <c r="B5" s="122" t="s">
        <v>0</v>
      </c>
      <c r="C5" s="123">
        <v>42895</v>
      </c>
      <c r="D5" s="12"/>
      <c r="E5" s="68" t="s">
        <v>14</v>
      </c>
      <c r="F5" s="68" t="s">
        <v>7</v>
      </c>
      <c r="G5" s="68" t="s">
        <v>21</v>
      </c>
      <c r="H5" s="68" t="s">
        <v>8</v>
      </c>
      <c r="I5" s="68" t="s">
        <v>33</v>
      </c>
      <c r="J5" s="68" t="s">
        <v>9</v>
      </c>
      <c r="K5" s="12"/>
      <c r="L5" s="68" t="s">
        <v>14</v>
      </c>
      <c r="M5" s="68" t="s">
        <v>7</v>
      </c>
      <c r="N5" s="68" t="s">
        <v>21</v>
      </c>
      <c r="O5" s="68" t="s">
        <v>8</v>
      </c>
      <c r="P5" s="68" t="s">
        <v>33</v>
      </c>
      <c r="Q5" s="68" t="s">
        <v>9</v>
      </c>
      <c r="R5" s="12"/>
    </row>
    <row r="6" spans="1:18">
      <c r="A6" s="12"/>
      <c r="B6" s="122" t="s">
        <v>1</v>
      </c>
      <c r="C6" s="123">
        <v>44356</v>
      </c>
      <c r="D6" s="12"/>
      <c r="E6" s="97">
        <f>'Planilla de datos'!D3</f>
        <v>44383</v>
      </c>
      <c r="F6" s="94">
        <v>100</v>
      </c>
      <c r="G6" s="208"/>
      <c r="H6" s="208"/>
      <c r="I6" s="208"/>
      <c r="J6" s="204" t="e">
        <f>-'Planilla de datos'!#REF!</f>
        <v>#REF!</v>
      </c>
      <c r="K6" s="12"/>
      <c r="L6" s="97">
        <f>+E6</f>
        <v>44383</v>
      </c>
      <c r="M6" s="94">
        <v>100</v>
      </c>
      <c r="N6" s="94"/>
      <c r="O6" s="202"/>
      <c r="P6" s="94"/>
      <c r="Q6" s="203">
        <v>0</v>
      </c>
      <c r="R6" s="12"/>
    </row>
    <row r="7" spans="1:18">
      <c r="A7" s="12"/>
      <c r="B7" s="122" t="s">
        <v>157</v>
      </c>
      <c r="C7" s="124">
        <v>4.3749999999999997E-2</v>
      </c>
      <c r="D7" s="12"/>
      <c r="E7" s="97">
        <v>44356</v>
      </c>
      <c r="F7" s="94">
        <v>100</v>
      </c>
      <c r="G7" s="208">
        <f>DAYS360(C12,E7)</f>
        <v>90</v>
      </c>
      <c r="H7" s="209">
        <f>F7*(($C$11)/360*G7)</f>
        <v>9.6290582191780807</v>
      </c>
      <c r="I7" s="209">
        <v>100</v>
      </c>
      <c r="J7" s="204">
        <f>SUM(H7:I7)</f>
        <v>109.62905821917808</v>
      </c>
      <c r="K7" s="12"/>
      <c r="L7" s="97">
        <f>+E7</f>
        <v>44356</v>
      </c>
      <c r="M7" s="94">
        <v>100</v>
      </c>
      <c r="N7" s="94">
        <f>+G7</f>
        <v>90</v>
      </c>
      <c r="O7" s="202">
        <f>H7</f>
        <v>9.6290582191780807</v>
      </c>
      <c r="P7" s="202">
        <f>+I7</f>
        <v>100</v>
      </c>
      <c r="Q7" s="203">
        <f>+J7</f>
        <v>109.62905821917808</v>
      </c>
      <c r="R7" s="12"/>
    </row>
    <row r="8" spans="1:18">
      <c r="A8" s="12"/>
      <c r="B8" s="122" t="s">
        <v>168</v>
      </c>
      <c r="C8" s="124">
        <f>AVERAGE('Serie BADLAR'!C159:C221)/100</f>
        <v>0.30824404761904761</v>
      </c>
      <c r="D8" s="12"/>
      <c r="E8" s="97"/>
      <c r="F8" s="94"/>
      <c r="G8" s="208"/>
      <c r="H8" s="209"/>
      <c r="I8" s="208"/>
      <c r="J8" s="205"/>
      <c r="K8" s="12"/>
      <c r="R8" s="12"/>
    </row>
    <row r="9" spans="1:18">
      <c r="A9" s="12"/>
      <c r="B9" s="122" t="s">
        <v>163</v>
      </c>
      <c r="C9" s="124">
        <f>+C8+C7</f>
        <v>0.35199404761904762</v>
      </c>
      <c r="D9" s="12"/>
      <c r="E9" s="97"/>
      <c r="F9" s="94"/>
      <c r="G9" s="94"/>
      <c r="H9" s="96"/>
      <c r="I9" s="92" t="s">
        <v>10</v>
      </c>
      <c r="J9" s="206" t="e">
        <f>XIRR(J6:J7,E6:E7,0)</f>
        <v>#REF!</v>
      </c>
      <c r="K9" s="12"/>
      <c r="R9" s="12"/>
    </row>
    <row r="10" spans="1:18">
      <c r="A10" s="12"/>
      <c r="B10" s="122" t="s">
        <v>161</v>
      </c>
      <c r="C10" s="124">
        <f>AVERAGE('Serie BADLAR'!C221:C293)/100</f>
        <v>0.3414123287671233</v>
      </c>
      <c r="D10" s="12"/>
      <c r="E10" s="97"/>
      <c r="F10" s="94"/>
      <c r="G10" s="94"/>
      <c r="H10" s="96"/>
      <c r="I10" s="92" t="s">
        <v>29</v>
      </c>
      <c r="J10" s="207" t="e">
        <f>MDURATION(E6,E7,C9,J9,4)</f>
        <v>#REF!</v>
      </c>
      <c r="K10" s="12"/>
      <c r="R10" s="12"/>
    </row>
    <row r="11" spans="1:18">
      <c r="A11" s="12"/>
      <c r="B11" s="122" t="s">
        <v>167</v>
      </c>
      <c r="C11" s="124">
        <f>+C10+C7</f>
        <v>0.38516232876712331</v>
      </c>
      <c r="D11" s="12"/>
      <c r="K11" s="12"/>
      <c r="L11" s="97"/>
      <c r="M11" s="94"/>
      <c r="N11" s="94"/>
      <c r="O11" s="96"/>
      <c r="P11" s="95"/>
      <c r="Q11" s="127"/>
      <c r="R11" s="12"/>
    </row>
    <row r="12" spans="1:18">
      <c r="A12" s="12"/>
      <c r="B12" s="125" t="s">
        <v>27</v>
      </c>
      <c r="C12" s="126">
        <v>44264</v>
      </c>
      <c r="D12" s="12"/>
      <c r="E12" s="12"/>
      <c r="F12" s="12"/>
      <c r="G12" s="12"/>
      <c r="H12" s="12"/>
      <c r="I12" s="12"/>
      <c r="J12" s="12"/>
      <c r="K12" s="12"/>
      <c r="L12" s="97"/>
      <c r="M12" s="94"/>
      <c r="N12" s="94"/>
      <c r="O12" s="96"/>
      <c r="P12" s="95"/>
      <c r="Q12" s="127"/>
      <c r="R12" s="12"/>
    </row>
    <row r="13" spans="1:18" ht="30" customHeight="1">
      <c r="A13" s="12"/>
      <c r="B13" s="12"/>
      <c r="C13" s="12"/>
      <c r="D13" s="12"/>
      <c r="E13" s="372" t="s">
        <v>92</v>
      </c>
      <c r="F13" s="232"/>
      <c r="G13" s="129"/>
      <c r="H13" s="61">
        <v>0.4</v>
      </c>
      <c r="I13" s="62" t="e">
        <f>XNPV(H13,Q6:Q7,L6:L7)</f>
        <v>#NUM!</v>
      </c>
      <c r="J13" s="61" t="e">
        <f>(I13/-J6)-1</f>
        <v>#NUM!</v>
      </c>
      <c r="K13" s="12"/>
      <c r="L13" s="97"/>
      <c r="M13" s="94"/>
      <c r="N13" s="94"/>
      <c r="O13" s="96"/>
      <c r="P13" s="95"/>
      <c r="Q13" s="127"/>
      <c r="R13" s="12"/>
    </row>
    <row r="14" spans="1:18">
      <c r="A14" s="12"/>
      <c r="B14" s="12"/>
      <c r="C14" s="12"/>
      <c r="D14" s="12"/>
      <c r="E14" s="373"/>
      <c r="F14" s="233"/>
      <c r="G14" s="130"/>
      <c r="H14" s="63">
        <v>0.45</v>
      </c>
      <c r="I14" s="64" t="e">
        <f>XNPV(H14,Q6:Q7,L6:L7)</f>
        <v>#NUM!</v>
      </c>
      <c r="J14" s="63" t="e">
        <f>(I14/-J6)-1</f>
        <v>#NUM!</v>
      </c>
      <c r="K14" s="12"/>
      <c r="L14" s="12"/>
      <c r="M14" s="12"/>
      <c r="N14" s="12"/>
      <c r="O14" s="12"/>
      <c r="P14" s="12"/>
      <c r="Q14" s="12"/>
      <c r="R14" s="12"/>
    </row>
    <row r="15" spans="1:18" ht="15" customHeight="1">
      <c r="A15" s="12"/>
      <c r="B15" s="12"/>
      <c r="C15" s="12"/>
      <c r="D15" s="12"/>
      <c r="K15" s="12"/>
      <c r="L15" s="12"/>
      <c r="M15" s="12"/>
      <c r="N15" s="12"/>
      <c r="O15" s="12"/>
      <c r="P15" s="12"/>
      <c r="Q15" s="12"/>
      <c r="R15" s="12"/>
    </row>
    <row r="16" spans="1:18" ht="15" customHeight="1">
      <c r="A16" s="12"/>
      <c r="B16" s="12"/>
      <c r="C16" s="16"/>
      <c r="D16" s="12"/>
      <c r="K16" s="12"/>
      <c r="L16" s="12"/>
      <c r="M16" s="12"/>
      <c r="N16" s="12"/>
      <c r="O16" s="12"/>
      <c r="P16" s="12"/>
      <c r="Q16" s="12"/>
      <c r="R16" s="12"/>
    </row>
    <row r="17" spans="1:18">
      <c r="A17" s="12"/>
      <c r="B17" s="12"/>
      <c r="C17" s="12"/>
      <c r="D17" s="12"/>
      <c r="K17" s="12"/>
      <c r="L17" s="12"/>
      <c r="M17" s="12"/>
      <c r="N17" s="12"/>
      <c r="O17" s="12"/>
      <c r="P17" s="12"/>
      <c r="Q17" s="12"/>
      <c r="R17" s="12"/>
    </row>
    <row r="18" spans="1: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</sheetData>
  <mergeCells count="4">
    <mergeCell ref="B4:C4"/>
    <mergeCell ref="E4:J4"/>
    <mergeCell ref="L4:Q4"/>
    <mergeCell ref="E13:E14"/>
  </mergeCells>
  <pageMargins left="0.7" right="0.7" top="0.75" bottom="0.75" header="0.3" footer="0.3"/>
  <pageSetup orientation="portrait" r:id="rId1"/>
  <ignoredErrors>
    <ignoredError sqref="C8" formulaRange="1"/>
  </ignoredError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showGridLines="0" zoomScale="90" zoomScaleNormal="90" workbookViewId="0">
      <selection activeCell="H7" sqref="H7"/>
    </sheetView>
  </sheetViews>
  <sheetFormatPr baseColWidth="10" defaultRowHeight="15"/>
  <cols>
    <col min="2" max="2" width="17.5703125" customWidth="1"/>
    <col min="3" max="3" width="12.42578125" bestFit="1" customWidth="1"/>
    <col min="4" max="4" width="3.42578125" customWidth="1"/>
    <col min="5" max="5" width="12.28515625" bestFit="1" customWidth="1"/>
    <col min="6" max="6" width="8.5703125" customWidth="1"/>
    <col min="7" max="7" width="6.85546875" customWidth="1"/>
    <col min="8" max="8" width="9.85546875" customWidth="1"/>
    <col min="9" max="9" width="8.28515625" customWidth="1"/>
    <col min="10" max="10" width="9.85546875" customWidth="1"/>
    <col min="16" max="16" width="13.42578125" customWidth="1"/>
  </cols>
  <sheetData>
    <row r="1" spans="1:18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75">
      <c r="A2" s="12"/>
      <c r="B2" s="368" t="s">
        <v>111</v>
      </c>
      <c r="C2" s="368"/>
      <c r="D2" s="368"/>
      <c r="E2" s="368"/>
      <c r="F2" s="368"/>
      <c r="G2" s="368"/>
      <c r="H2" s="368"/>
      <c r="I2" s="368"/>
      <c r="J2" s="368"/>
      <c r="K2" s="12"/>
      <c r="L2" s="12"/>
      <c r="M2" s="12"/>
      <c r="N2" s="12"/>
      <c r="O2" s="12"/>
      <c r="P2" s="12"/>
      <c r="Q2" s="12"/>
      <c r="R2" s="12"/>
    </row>
    <row r="3" spans="1:18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>
      <c r="A4" s="12"/>
      <c r="B4" s="369" t="s">
        <v>34</v>
      </c>
      <c r="C4" s="370"/>
      <c r="D4" s="12"/>
      <c r="E4" s="391" t="s">
        <v>112</v>
      </c>
      <c r="F4" s="391"/>
      <c r="G4" s="391"/>
      <c r="H4" s="391"/>
      <c r="I4" s="391"/>
      <c r="J4" s="391"/>
      <c r="K4" s="12"/>
      <c r="L4" s="391" t="s">
        <v>112</v>
      </c>
      <c r="M4" s="391"/>
      <c r="N4" s="391"/>
      <c r="O4" s="391"/>
      <c r="P4" s="391"/>
      <c r="Q4" s="391"/>
      <c r="R4" s="12"/>
    </row>
    <row r="5" spans="1:18">
      <c r="A5" s="12"/>
      <c r="B5" s="24" t="s">
        <v>0</v>
      </c>
      <c r="C5" s="32">
        <v>43061</v>
      </c>
      <c r="D5" s="12"/>
      <c r="E5" s="29" t="s">
        <v>14</v>
      </c>
      <c r="F5" s="29" t="s">
        <v>7</v>
      </c>
      <c r="G5" s="29" t="s">
        <v>21</v>
      </c>
      <c r="H5" s="29" t="s">
        <v>8</v>
      </c>
      <c r="I5" s="29" t="s">
        <v>33</v>
      </c>
      <c r="J5" s="29" t="s">
        <v>9</v>
      </c>
      <c r="K5" s="12"/>
      <c r="L5" s="29" t="s">
        <v>14</v>
      </c>
      <c r="M5" s="29" t="s">
        <v>7</v>
      </c>
      <c r="N5" s="29" t="s">
        <v>21</v>
      </c>
      <c r="O5" s="29" t="s">
        <v>8</v>
      </c>
      <c r="P5" s="29" t="s">
        <v>33</v>
      </c>
      <c r="Q5" s="29" t="s">
        <v>9</v>
      </c>
      <c r="R5" s="12"/>
    </row>
    <row r="6" spans="1:18">
      <c r="A6" s="12"/>
      <c r="B6" s="24" t="s">
        <v>1</v>
      </c>
      <c r="C6" s="33">
        <v>46805</v>
      </c>
      <c r="D6" s="12"/>
      <c r="E6" s="15">
        <f>'Planilla de datos'!D3</f>
        <v>44383</v>
      </c>
      <c r="F6" s="14">
        <v>100</v>
      </c>
      <c r="G6" s="12"/>
      <c r="H6" s="14"/>
      <c r="I6" s="12"/>
      <c r="J6" s="14">
        <f>-'Planilla de datos'!C30</f>
        <v>-90.6</v>
      </c>
      <c r="K6" s="12"/>
      <c r="L6" s="15">
        <f>+E6</f>
        <v>44383</v>
      </c>
      <c r="M6" s="14">
        <f>+F6</f>
        <v>100</v>
      </c>
      <c r="N6" s="12">
        <f>+G6</f>
        <v>0</v>
      </c>
      <c r="O6" s="14">
        <f>+H6</f>
        <v>0</v>
      </c>
      <c r="P6" s="12">
        <f>+I6</f>
        <v>0</v>
      </c>
      <c r="Q6" s="14">
        <v>0</v>
      </c>
      <c r="R6" s="12"/>
    </row>
    <row r="7" spans="1:18">
      <c r="A7" s="12"/>
      <c r="B7" s="24" t="s">
        <v>157</v>
      </c>
      <c r="C7" s="35">
        <v>3.7499999999999999E-2</v>
      </c>
      <c r="D7" s="12"/>
      <c r="E7" s="15">
        <v>44430</v>
      </c>
      <c r="F7" s="14">
        <v>100</v>
      </c>
      <c r="G7" s="12">
        <f>E7-C12</f>
        <v>90</v>
      </c>
      <c r="H7" s="14">
        <f t="shared" ref="H7:H33" si="0">($C$11)/365*G7*$F$6</f>
        <v>9.3519256680889278</v>
      </c>
      <c r="I7" s="14"/>
      <c r="J7" s="14">
        <f t="shared" ref="J7:J33" si="1">SUM(H7:I7)</f>
        <v>9.3519256680889278</v>
      </c>
      <c r="K7" s="12"/>
      <c r="L7" s="15">
        <f t="shared" ref="L7:L33" si="2">+E7</f>
        <v>44430</v>
      </c>
      <c r="M7" s="14">
        <f t="shared" ref="M7:M33" si="3">+F7</f>
        <v>100</v>
      </c>
      <c r="N7" s="12">
        <f t="shared" ref="N7:N33" si="4">+G7</f>
        <v>90</v>
      </c>
      <c r="O7" s="14">
        <f t="shared" ref="O7:O33" si="5">+H7</f>
        <v>9.3519256680889278</v>
      </c>
      <c r="P7" s="12">
        <f t="shared" ref="P7:P33" si="6">+I7</f>
        <v>0</v>
      </c>
      <c r="Q7" s="14">
        <f t="shared" ref="Q7:Q33" si="7">+J7</f>
        <v>9.3519256680889278</v>
      </c>
      <c r="R7" s="12"/>
    </row>
    <row r="8" spans="1:18">
      <c r="A8" s="12"/>
      <c r="B8" s="24" t="s">
        <v>28</v>
      </c>
      <c r="C8" s="35">
        <f>AVERAGE('Serie BADLAR'!C269:C329)/100</f>
        <v>0.34177254098360654</v>
      </c>
      <c r="D8" s="12"/>
      <c r="E8" s="15">
        <v>44522</v>
      </c>
      <c r="F8" s="14">
        <v>100</v>
      </c>
      <c r="G8" s="12">
        <f t="shared" ref="G8:G33" si="8">E8-E7</f>
        <v>92</v>
      </c>
      <c r="H8" s="14">
        <f t="shared" si="0"/>
        <v>9.559746238490904</v>
      </c>
      <c r="I8" s="12"/>
      <c r="J8" s="14">
        <f t="shared" si="1"/>
        <v>9.559746238490904</v>
      </c>
      <c r="K8" s="12"/>
      <c r="L8" s="15">
        <f t="shared" si="2"/>
        <v>44522</v>
      </c>
      <c r="M8" s="14">
        <f t="shared" si="3"/>
        <v>100</v>
      </c>
      <c r="N8" s="12">
        <f t="shared" si="4"/>
        <v>92</v>
      </c>
      <c r="O8" s="14">
        <f t="shared" si="5"/>
        <v>9.559746238490904</v>
      </c>
      <c r="P8" s="12">
        <f t="shared" si="6"/>
        <v>0</v>
      </c>
      <c r="Q8" s="14">
        <f t="shared" si="7"/>
        <v>9.559746238490904</v>
      </c>
      <c r="R8" s="12"/>
    </row>
    <row r="9" spans="1:18">
      <c r="A9" s="12"/>
      <c r="B9" s="24" t="s">
        <v>163</v>
      </c>
      <c r="C9" s="35">
        <f>C7+C8</f>
        <v>0.37927254098360652</v>
      </c>
      <c r="D9" s="12"/>
      <c r="E9" s="15">
        <v>44614</v>
      </c>
      <c r="F9" s="14">
        <v>100</v>
      </c>
      <c r="G9" s="12">
        <f t="shared" si="8"/>
        <v>92</v>
      </c>
      <c r="H9" s="14">
        <f t="shared" si="0"/>
        <v>9.559746238490904</v>
      </c>
      <c r="I9" s="12"/>
      <c r="J9" s="14">
        <f t="shared" si="1"/>
        <v>9.559746238490904</v>
      </c>
      <c r="K9" s="12"/>
      <c r="L9" s="15">
        <f t="shared" si="2"/>
        <v>44614</v>
      </c>
      <c r="M9" s="14">
        <f t="shared" si="3"/>
        <v>100</v>
      </c>
      <c r="N9" s="12">
        <f t="shared" si="4"/>
        <v>92</v>
      </c>
      <c r="O9" s="14">
        <f t="shared" si="5"/>
        <v>9.559746238490904</v>
      </c>
      <c r="P9" s="12">
        <f t="shared" si="6"/>
        <v>0</v>
      </c>
      <c r="Q9" s="14">
        <f t="shared" si="7"/>
        <v>9.559746238490904</v>
      </c>
      <c r="R9" s="12"/>
    </row>
    <row r="10" spans="1:18">
      <c r="A10" s="12"/>
      <c r="B10" s="122" t="s">
        <v>161</v>
      </c>
      <c r="C10" s="35">
        <f>+C8</f>
        <v>0.34177254098360654</v>
      </c>
      <c r="D10" s="12"/>
      <c r="E10" s="15">
        <v>44703</v>
      </c>
      <c r="F10" s="14">
        <v>100</v>
      </c>
      <c r="G10" s="12">
        <f t="shared" si="8"/>
        <v>89</v>
      </c>
      <c r="H10" s="14">
        <f t="shared" si="0"/>
        <v>9.2480153828879406</v>
      </c>
      <c r="J10" s="14">
        <f t="shared" si="1"/>
        <v>9.2480153828879406</v>
      </c>
      <c r="K10" s="12"/>
      <c r="L10" s="15">
        <f t="shared" si="2"/>
        <v>44703</v>
      </c>
      <c r="M10" s="14">
        <f t="shared" si="3"/>
        <v>100</v>
      </c>
      <c r="N10" s="12">
        <f t="shared" si="4"/>
        <v>89</v>
      </c>
      <c r="O10" s="14">
        <f t="shared" si="5"/>
        <v>9.2480153828879406</v>
      </c>
      <c r="P10" s="12">
        <f t="shared" si="6"/>
        <v>0</v>
      </c>
      <c r="Q10" s="14">
        <f t="shared" si="7"/>
        <v>9.2480153828879406</v>
      </c>
      <c r="R10" s="12"/>
    </row>
    <row r="11" spans="1:18">
      <c r="A11" s="12"/>
      <c r="B11" s="122" t="s">
        <v>167</v>
      </c>
      <c r="C11" s="35">
        <f>+C10+C7</f>
        <v>0.37927254098360652</v>
      </c>
      <c r="D11" s="12"/>
      <c r="E11" s="15">
        <v>44795</v>
      </c>
      <c r="F11" s="14">
        <v>100</v>
      </c>
      <c r="G11" s="12">
        <f t="shared" si="8"/>
        <v>92</v>
      </c>
      <c r="H11" s="14">
        <f t="shared" si="0"/>
        <v>9.559746238490904</v>
      </c>
      <c r="J11" s="14">
        <f t="shared" si="1"/>
        <v>9.559746238490904</v>
      </c>
      <c r="K11" s="12"/>
      <c r="L11" s="15">
        <f t="shared" si="2"/>
        <v>44795</v>
      </c>
      <c r="M11" s="14">
        <f t="shared" si="3"/>
        <v>100</v>
      </c>
      <c r="N11" s="12">
        <f t="shared" si="4"/>
        <v>92</v>
      </c>
      <c r="O11" s="14">
        <f t="shared" si="5"/>
        <v>9.559746238490904</v>
      </c>
      <c r="P11" s="12">
        <f t="shared" si="6"/>
        <v>0</v>
      </c>
      <c r="Q11" s="14">
        <f t="shared" si="7"/>
        <v>9.559746238490904</v>
      </c>
      <c r="R11" s="12"/>
    </row>
    <row r="12" spans="1:18">
      <c r="A12" s="12"/>
      <c r="B12" s="24" t="s">
        <v>27</v>
      </c>
      <c r="C12" s="33">
        <v>44340</v>
      </c>
      <c r="D12" s="12"/>
      <c r="E12" s="15">
        <v>44887</v>
      </c>
      <c r="F12" s="14">
        <v>100</v>
      </c>
      <c r="G12" s="12">
        <f t="shared" si="8"/>
        <v>92</v>
      </c>
      <c r="H12" s="14">
        <f t="shared" si="0"/>
        <v>9.559746238490904</v>
      </c>
      <c r="I12" s="12"/>
      <c r="J12" s="14">
        <f t="shared" si="1"/>
        <v>9.559746238490904</v>
      </c>
      <c r="K12" s="12"/>
      <c r="L12" s="15">
        <f t="shared" si="2"/>
        <v>44887</v>
      </c>
      <c r="M12" s="14">
        <f t="shared" si="3"/>
        <v>100</v>
      </c>
      <c r="N12" s="12">
        <f t="shared" si="4"/>
        <v>92</v>
      </c>
      <c r="O12" s="14">
        <f t="shared" si="5"/>
        <v>9.559746238490904</v>
      </c>
      <c r="P12" s="12">
        <f t="shared" si="6"/>
        <v>0</v>
      </c>
      <c r="Q12" s="14">
        <f t="shared" si="7"/>
        <v>9.559746238490904</v>
      </c>
      <c r="R12" s="110"/>
    </row>
    <row r="13" spans="1:18">
      <c r="A13" s="12"/>
      <c r="B13" s="218"/>
      <c r="C13" s="219"/>
      <c r="D13" s="12"/>
      <c r="E13" s="15">
        <v>44979</v>
      </c>
      <c r="F13" s="14">
        <v>100</v>
      </c>
      <c r="G13" s="12">
        <f t="shared" si="8"/>
        <v>92</v>
      </c>
      <c r="H13" s="14">
        <f t="shared" si="0"/>
        <v>9.559746238490904</v>
      </c>
      <c r="I13" s="44"/>
      <c r="J13" s="14">
        <f t="shared" si="1"/>
        <v>9.559746238490904</v>
      </c>
      <c r="K13" s="12"/>
      <c r="L13" s="15">
        <f t="shared" si="2"/>
        <v>44979</v>
      </c>
      <c r="M13" s="14">
        <f t="shared" si="3"/>
        <v>100</v>
      </c>
      <c r="N13" s="12">
        <f t="shared" si="4"/>
        <v>92</v>
      </c>
      <c r="O13" s="14">
        <f t="shared" si="5"/>
        <v>9.559746238490904</v>
      </c>
      <c r="P13" s="12">
        <f t="shared" si="6"/>
        <v>0</v>
      </c>
      <c r="Q13" s="14">
        <f t="shared" si="7"/>
        <v>9.559746238490904</v>
      </c>
      <c r="R13" s="110"/>
    </row>
    <row r="14" spans="1:18">
      <c r="A14" s="12"/>
      <c r="D14" s="12"/>
      <c r="E14" s="15">
        <v>45068</v>
      </c>
      <c r="F14" s="14">
        <v>100</v>
      </c>
      <c r="G14" s="12">
        <f t="shared" si="8"/>
        <v>89</v>
      </c>
      <c r="H14" s="14">
        <f t="shared" si="0"/>
        <v>9.2480153828879406</v>
      </c>
      <c r="I14" s="12"/>
      <c r="J14" s="14">
        <f t="shared" si="1"/>
        <v>9.2480153828879406</v>
      </c>
      <c r="K14" s="12"/>
      <c r="L14" s="15">
        <f t="shared" si="2"/>
        <v>45068</v>
      </c>
      <c r="M14" s="14">
        <f t="shared" si="3"/>
        <v>100</v>
      </c>
      <c r="N14" s="12">
        <f t="shared" si="4"/>
        <v>89</v>
      </c>
      <c r="O14" s="14">
        <f t="shared" si="5"/>
        <v>9.2480153828879406</v>
      </c>
      <c r="P14" s="12">
        <f t="shared" si="6"/>
        <v>0</v>
      </c>
      <c r="Q14" s="14">
        <f t="shared" si="7"/>
        <v>9.2480153828879406</v>
      </c>
      <c r="R14" s="110"/>
    </row>
    <row r="15" spans="1:18">
      <c r="A15" s="12"/>
      <c r="B15" s="12"/>
      <c r="C15" s="12"/>
      <c r="D15" s="12"/>
      <c r="E15" s="15">
        <v>45160</v>
      </c>
      <c r="F15" s="14">
        <v>100</v>
      </c>
      <c r="G15" s="12">
        <f t="shared" si="8"/>
        <v>92</v>
      </c>
      <c r="H15" s="14">
        <f t="shared" si="0"/>
        <v>9.559746238490904</v>
      </c>
      <c r="I15" s="12"/>
      <c r="J15" s="14">
        <f t="shared" si="1"/>
        <v>9.559746238490904</v>
      </c>
      <c r="K15" s="12"/>
      <c r="L15" s="15">
        <f t="shared" si="2"/>
        <v>45160</v>
      </c>
      <c r="M15" s="14">
        <f t="shared" si="3"/>
        <v>100</v>
      </c>
      <c r="N15" s="12">
        <f t="shared" si="4"/>
        <v>92</v>
      </c>
      <c r="O15" s="14">
        <f t="shared" si="5"/>
        <v>9.559746238490904</v>
      </c>
      <c r="P15" s="12">
        <f t="shared" si="6"/>
        <v>0</v>
      </c>
      <c r="Q15" s="14">
        <f t="shared" si="7"/>
        <v>9.559746238490904</v>
      </c>
      <c r="R15" s="110"/>
    </row>
    <row r="16" spans="1:18">
      <c r="A16" s="12"/>
      <c r="B16" s="12"/>
      <c r="C16" s="12"/>
      <c r="D16" s="12"/>
      <c r="E16" s="15">
        <v>45252</v>
      </c>
      <c r="F16" s="14">
        <v>100</v>
      </c>
      <c r="G16" s="12">
        <f t="shared" si="8"/>
        <v>92</v>
      </c>
      <c r="H16" s="14">
        <f t="shared" si="0"/>
        <v>9.559746238490904</v>
      </c>
      <c r="I16" s="12"/>
      <c r="J16" s="14">
        <f t="shared" si="1"/>
        <v>9.559746238490904</v>
      </c>
      <c r="K16" s="12"/>
      <c r="L16" s="15">
        <f t="shared" si="2"/>
        <v>45252</v>
      </c>
      <c r="M16" s="14">
        <f t="shared" si="3"/>
        <v>100</v>
      </c>
      <c r="N16" s="12">
        <f t="shared" si="4"/>
        <v>92</v>
      </c>
      <c r="O16" s="14">
        <f t="shared" si="5"/>
        <v>9.559746238490904</v>
      </c>
      <c r="P16" s="12">
        <f t="shared" si="6"/>
        <v>0</v>
      </c>
      <c r="Q16" s="14">
        <f t="shared" si="7"/>
        <v>9.559746238490904</v>
      </c>
      <c r="R16" s="12"/>
    </row>
    <row r="17" spans="1:20">
      <c r="A17" s="12"/>
      <c r="B17" s="12"/>
      <c r="C17" s="12"/>
      <c r="D17" s="12"/>
      <c r="E17" s="15">
        <v>45344</v>
      </c>
      <c r="F17" s="14">
        <v>100</v>
      </c>
      <c r="G17" s="12">
        <f t="shared" si="8"/>
        <v>92</v>
      </c>
      <c r="H17" s="14">
        <f t="shared" si="0"/>
        <v>9.559746238490904</v>
      </c>
      <c r="I17" s="12"/>
      <c r="J17" s="14">
        <f t="shared" si="1"/>
        <v>9.559746238490904</v>
      </c>
      <c r="K17" s="12"/>
      <c r="L17" s="15">
        <f t="shared" si="2"/>
        <v>45344</v>
      </c>
      <c r="M17" s="14">
        <f t="shared" si="3"/>
        <v>100</v>
      </c>
      <c r="N17" s="12">
        <f t="shared" si="4"/>
        <v>92</v>
      </c>
      <c r="O17" s="14">
        <f t="shared" si="5"/>
        <v>9.559746238490904</v>
      </c>
      <c r="P17" s="12">
        <f t="shared" si="6"/>
        <v>0</v>
      </c>
      <c r="Q17" s="14">
        <f t="shared" si="7"/>
        <v>9.559746238490904</v>
      </c>
      <c r="R17" s="12"/>
    </row>
    <row r="18" spans="1:20">
      <c r="A18" s="12"/>
      <c r="B18" s="12"/>
      <c r="C18" s="12"/>
      <c r="D18" s="12"/>
      <c r="E18" s="15">
        <v>45434</v>
      </c>
      <c r="F18" s="14">
        <v>100</v>
      </c>
      <c r="G18" s="12">
        <f t="shared" si="8"/>
        <v>90</v>
      </c>
      <c r="H18" s="14">
        <f t="shared" si="0"/>
        <v>9.3519256680889278</v>
      </c>
      <c r="I18" s="12"/>
      <c r="J18" s="14">
        <f t="shared" si="1"/>
        <v>9.3519256680889278</v>
      </c>
      <c r="K18" s="12"/>
      <c r="L18" s="15">
        <f t="shared" si="2"/>
        <v>45434</v>
      </c>
      <c r="M18" s="14">
        <f t="shared" si="3"/>
        <v>100</v>
      </c>
      <c r="N18" s="12">
        <f t="shared" si="4"/>
        <v>90</v>
      </c>
      <c r="O18" s="14">
        <f t="shared" si="5"/>
        <v>9.3519256680889278</v>
      </c>
      <c r="P18" s="12">
        <f t="shared" si="6"/>
        <v>0</v>
      </c>
      <c r="Q18" s="14">
        <f t="shared" si="7"/>
        <v>9.3519256680889278</v>
      </c>
      <c r="R18" s="12"/>
    </row>
    <row r="19" spans="1:20">
      <c r="A19" s="12"/>
      <c r="B19" s="12"/>
      <c r="C19" s="12"/>
      <c r="D19" s="12"/>
      <c r="E19" s="15">
        <v>45526</v>
      </c>
      <c r="F19" s="14">
        <v>100</v>
      </c>
      <c r="G19" s="12">
        <f t="shared" si="8"/>
        <v>92</v>
      </c>
      <c r="H19" s="14">
        <f t="shared" si="0"/>
        <v>9.559746238490904</v>
      </c>
      <c r="I19" s="12"/>
      <c r="J19" s="14">
        <f t="shared" si="1"/>
        <v>9.559746238490904</v>
      </c>
      <c r="K19" s="12"/>
      <c r="L19" s="15">
        <f t="shared" si="2"/>
        <v>45526</v>
      </c>
      <c r="M19" s="14">
        <f t="shared" si="3"/>
        <v>100</v>
      </c>
      <c r="N19" s="12">
        <f t="shared" si="4"/>
        <v>92</v>
      </c>
      <c r="O19" s="14">
        <f t="shared" si="5"/>
        <v>9.559746238490904</v>
      </c>
      <c r="P19" s="12">
        <f t="shared" si="6"/>
        <v>0</v>
      </c>
      <c r="Q19" s="14">
        <f t="shared" si="7"/>
        <v>9.559746238490904</v>
      </c>
      <c r="R19" s="12"/>
    </row>
    <row r="20" spans="1:20">
      <c r="A20" s="12"/>
      <c r="B20" s="12"/>
      <c r="C20" s="12"/>
      <c r="D20" s="12"/>
      <c r="E20" s="15">
        <v>45618</v>
      </c>
      <c r="F20" s="14">
        <v>100</v>
      </c>
      <c r="G20" s="12">
        <f t="shared" si="8"/>
        <v>92</v>
      </c>
      <c r="H20" s="14">
        <f t="shared" si="0"/>
        <v>9.559746238490904</v>
      </c>
      <c r="I20" s="12"/>
      <c r="J20" s="14">
        <f t="shared" si="1"/>
        <v>9.559746238490904</v>
      </c>
      <c r="K20" s="12"/>
      <c r="L20" s="15">
        <f t="shared" si="2"/>
        <v>45618</v>
      </c>
      <c r="M20" s="14">
        <f t="shared" si="3"/>
        <v>100</v>
      </c>
      <c r="N20" s="12">
        <f t="shared" si="4"/>
        <v>92</v>
      </c>
      <c r="O20" s="14">
        <f t="shared" si="5"/>
        <v>9.559746238490904</v>
      </c>
      <c r="P20" s="12">
        <f t="shared" si="6"/>
        <v>0</v>
      </c>
      <c r="Q20" s="14">
        <f t="shared" si="7"/>
        <v>9.559746238490904</v>
      </c>
      <c r="R20" s="12"/>
    </row>
    <row r="21" spans="1:20">
      <c r="A21" s="12"/>
      <c r="B21" s="12"/>
      <c r="C21" s="12"/>
      <c r="D21" s="12"/>
      <c r="E21" s="15">
        <v>45710</v>
      </c>
      <c r="F21" s="14">
        <v>100</v>
      </c>
      <c r="G21" s="12">
        <f t="shared" si="8"/>
        <v>92</v>
      </c>
      <c r="H21" s="14">
        <f t="shared" si="0"/>
        <v>9.559746238490904</v>
      </c>
      <c r="I21" s="12"/>
      <c r="J21" s="14">
        <f t="shared" si="1"/>
        <v>9.559746238490904</v>
      </c>
      <c r="K21" s="12"/>
      <c r="L21" s="15">
        <f t="shared" si="2"/>
        <v>45710</v>
      </c>
      <c r="M21" s="14">
        <f t="shared" si="3"/>
        <v>100</v>
      </c>
      <c r="N21" s="12">
        <f t="shared" si="4"/>
        <v>92</v>
      </c>
      <c r="O21" s="14">
        <f t="shared" si="5"/>
        <v>9.559746238490904</v>
      </c>
      <c r="P21" s="12">
        <f t="shared" si="6"/>
        <v>0</v>
      </c>
      <c r="Q21" s="14">
        <f t="shared" si="7"/>
        <v>9.559746238490904</v>
      </c>
      <c r="R21" s="12"/>
    </row>
    <row r="22" spans="1:20">
      <c r="A22" s="12"/>
      <c r="B22" s="12"/>
      <c r="C22" s="12"/>
      <c r="D22" s="12"/>
      <c r="E22" s="15">
        <v>45799</v>
      </c>
      <c r="F22" s="14">
        <v>100</v>
      </c>
      <c r="G22" s="12">
        <f t="shared" si="8"/>
        <v>89</v>
      </c>
      <c r="H22" s="14">
        <f t="shared" si="0"/>
        <v>9.2480153828879406</v>
      </c>
      <c r="I22" s="12"/>
      <c r="J22" s="14">
        <f t="shared" si="1"/>
        <v>9.2480153828879406</v>
      </c>
      <c r="K22" s="12"/>
      <c r="L22" s="15">
        <f t="shared" si="2"/>
        <v>45799</v>
      </c>
      <c r="M22" s="14">
        <f t="shared" si="3"/>
        <v>100</v>
      </c>
      <c r="N22" s="12">
        <f t="shared" si="4"/>
        <v>89</v>
      </c>
      <c r="O22" s="14">
        <f t="shared" si="5"/>
        <v>9.2480153828879406</v>
      </c>
      <c r="P22" s="12">
        <f t="shared" si="6"/>
        <v>0</v>
      </c>
      <c r="Q22" s="14">
        <f t="shared" si="7"/>
        <v>9.2480153828879406</v>
      </c>
      <c r="R22" s="12"/>
    </row>
    <row r="23" spans="1:20">
      <c r="A23" s="12"/>
      <c r="B23" s="12"/>
      <c r="C23" s="12"/>
      <c r="D23" s="12"/>
      <c r="E23" s="15">
        <v>45891</v>
      </c>
      <c r="F23" s="14">
        <v>100</v>
      </c>
      <c r="G23" s="12">
        <f t="shared" si="8"/>
        <v>92</v>
      </c>
      <c r="H23" s="14">
        <f t="shared" si="0"/>
        <v>9.559746238490904</v>
      </c>
      <c r="I23" s="12"/>
      <c r="J23" s="14">
        <f t="shared" si="1"/>
        <v>9.559746238490904</v>
      </c>
      <c r="K23" s="12"/>
      <c r="L23" s="15">
        <f t="shared" si="2"/>
        <v>45891</v>
      </c>
      <c r="M23" s="14">
        <f t="shared" si="3"/>
        <v>100</v>
      </c>
      <c r="N23" s="12">
        <f t="shared" si="4"/>
        <v>92</v>
      </c>
      <c r="O23" s="14">
        <f t="shared" si="5"/>
        <v>9.559746238490904</v>
      </c>
      <c r="P23" s="12">
        <f t="shared" si="6"/>
        <v>0</v>
      </c>
      <c r="Q23" s="14">
        <f t="shared" si="7"/>
        <v>9.559746238490904</v>
      </c>
      <c r="R23" s="12"/>
    </row>
    <row r="24" spans="1:20">
      <c r="A24" s="12"/>
      <c r="B24" s="12"/>
      <c r="C24" s="12"/>
      <c r="D24" s="12"/>
      <c r="E24" s="15">
        <v>45983</v>
      </c>
      <c r="F24" s="14">
        <v>100</v>
      </c>
      <c r="G24" s="12">
        <f t="shared" si="8"/>
        <v>92</v>
      </c>
      <c r="H24" s="14">
        <f t="shared" si="0"/>
        <v>9.559746238490904</v>
      </c>
      <c r="I24" s="12"/>
      <c r="J24" s="14">
        <f t="shared" si="1"/>
        <v>9.559746238490904</v>
      </c>
      <c r="K24" s="12"/>
      <c r="L24" s="15">
        <f t="shared" si="2"/>
        <v>45983</v>
      </c>
      <c r="M24" s="14">
        <f t="shared" si="3"/>
        <v>100</v>
      </c>
      <c r="N24" s="12">
        <f t="shared" si="4"/>
        <v>92</v>
      </c>
      <c r="O24" s="14">
        <f t="shared" si="5"/>
        <v>9.559746238490904</v>
      </c>
      <c r="P24" s="12">
        <f t="shared" si="6"/>
        <v>0</v>
      </c>
      <c r="Q24" s="14">
        <f t="shared" si="7"/>
        <v>9.559746238490904</v>
      </c>
      <c r="R24" s="12"/>
    </row>
    <row r="25" spans="1:20">
      <c r="A25" s="12"/>
      <c r="B25" s="12"/>
      <c r="C25" s="12"/>
      <c r="D25" s="12"/>
      <c r="E25" s="15">
        <v>46075</v>
      </c>
      <c r="F25" s="14">
        <v>100</v>
      </c>
      <c r="G25" s="12">
        <f t="shared" si="8"/>
        <v>92</v>
      </c>
      <c r="H25" s="14">
        <f t="shared" si="0"/>
        <v>9.559746238490904</v>
      </c>
      <c r="I25" s="12"/>
      <c r="J25" s="14">
        <f t="shared" si="1"/>
        <v>9.559746238490904</v>
      </c>
      <c r="K25" s="12"/>
      <c r="L25" s="15">
        <f t="shared" si="2"/>
        <v>46075</v>
      </c>
      <c r="M25" s="14">
        <f t="shared" si="3"/>
        <v>100</v>
      </c>
      <c r="N25" s="12">
        <f t="shared" si="4"/>
        <v>92</v>
      </c>
      <c r="O25" s="14">
        <f t="shared" si="5"/>
        <v>9.559746238490904</v>
      </c>
      <c r="P25" s="12">
        <f t="shared" si="6"/>
        <v>0</v>
      </c>
      <c r="Q25" s="14">
        <f t="shared" si="7"/>
        <v>9.559746238490904</v>
      </c>
      <c r="R25" s="12"/>
    </row>
    <row r="26" spans="1:20">
      <c r="A26" s="12"/>
      <c r="B26" s="12"/>
      <c r="C26" s="12"/>
      <c r="D26" s="12"/>
      <c r="E26" s="15">
        <v>46164</v>
      </c>
      <c r="F26" s="14">
        <v>100</v>
      </c>
      <c r="G26" s="12">
        <f t="shared" si="8"/>
        <v>89</v>
      </c>
      <c r="H26" s="14">
        <f t="shared" si="0"/>
        <v>9.2480153828879406</v>
      </c>
      <c r="I26" s="12"/>
      <c r="J26" s="14">
        <f t="shared" si="1"/>
        <v>9.2480153828879406</v>
      </c>
      <c r="K26" s="12"/>
      <c r="L26" s="15">
        <f t="shared" si="2"/>
        <v>46164</v>
      </c>
      <c r="M26" s="14">
        <f t="shared" si="3"/>
        <v>100</v>
      </c>
      <c r="N26" s="12">
        <f t="shared" si="4"/>
        <v>89</v>
      </c>
      <c r="O26" s="14">
        <f t="shared" si="5"/>
        <v>9.2480153828879406</v>
      </c>
      <c r="P26" s="12">
        <f t="shared" si="6"/>
        <v>0</v>
      </c>
      <c r="Q26" s="14">
        <f t="shared" si="7"/>
        <v>9.2480153828879406</v>
      </c>
      <c r="R26" s="12"/>
    </row>
    <row r="27" spans="1:20">
      <c r="A27" s="12"/>
      <c r="B27" s="12"/>
      <c r="C27" s="12"/>
      <c r="D27" s="12"/>
      <c r="E27" s="15">
        <v>46256</v>
      </c>
      <c r="F27" s="14">
        <v>100</v>
      </c>
      <c r="G27" s="12">
        <f t="shared" si="8"/>
        <v>92</v>
      </c>
      <c r="H27" s="14">
        <f t="shared" si="0"/>
        <v>9.559746238490904</v>
      </c>
      <c r="I27" s="12"/>
      <c r="J27" s="14">
        <f t="shared" si="1"/>
        <v>9.559746238490904</v>
      </c>
      <c r="K27" s="12"/>
      <c r="L27" s="15">
        <f t="shared" si="2"/>
        <v>46256</v>
      </c>
      <c r="M27" s="14">
        <f t="shared" si="3"/>
        <v>100</v>
      </c>
      <c r="N27" s="12">
        <f t="shared" si="4"/>
        <v>92</v>
      </c>
      <c r="O27" s="14">
        <f t="shared" si="5"/>
        <v>9.559746238490904</v>
      </c>
      <c r="P27" s="12">
        <f t="shared" si="6"/>
        <v>0</v>
      </c>
      <c r="Q27" s="14">
        <f t="shared" si="7"/>
        <v>9.559746238490904</v>
      </c>
      <c r="R27" s="12"/>
    </row>
    <row r="28" spans="1:20">
      <c r="A28" s="12"/>
      <c r="B28" s="12"/>
      <c r="C28" s="12"/>
      <c r="D28" s="12"/>
      <c r="E28" s="15">
        <v>46348</v>
      </c>
      <c r="F28" s="14">
        <v>100</v>
      </c>
      <c r="G28" s="12">
        <f t="shared" si="8"/>
        <v>92</v>
      </c>
      <c r="H28" s="14">
        <f t="shared" si="0"/>
        <v>9.559746238490904</v>
      </c>
      <c r="I28" s="12"/>
      <c r="J28" s="14">
        <f t="shared" si="1"/>
        <v>9.559746238490904</v>
      </c>
      <c r="K28" s="12"/>
      <c r="L28" s="15">
        <f t="shared" si="2"/>
        <v>46348</v>
      </c>
      <c r="M28" s="14">
        <f t="shared" si="3"/>
        <v>100</v>
      </c>
      <c r="N28" s="12">
        <f t="shared" si="4"/>
        <v>92</v>
      </c>
      <c r="O28" s="14">
        <f t="shared" si="5"/>
        <v>9.559746238490904</v>
      </c>
      <c r="P28" s="12">
        <f t="shared" si="6"/>
        <v>0</v>
      </c>
      <c r="Q28" s="14">
        <f t="shared" si="7"/>
        <v>9.559746238490904</v>
      </c>
      <c r="R28" s="12"/>
    </row>
    <row r="29" spans="1:20">
      <c r="A29" s="12"/>
      <c r="B29" s="12"/>
      <c r="C29" s="12"/>
      <c r="D29" s="12"/>
      <c r="E29" s="15">
        <v>46440</v>
      </c>
      <c r="F29" s="14">
        <v>100</v>
      </c>
      <c r="G29" s="12">
        <f t="shared" si="8"/>
        <v>92</v>
      </c>
      <c r="H29" s="14">
        <f t="shared" si="0"/>
        <v>9.559746238490904</v>
      </c>
      <c r="I29" s="12"/>
      <c r="J29" s="14">
        <f t="shared" si="1"/>
        <v>9.559746238490904</v>
      </c>
      <c r="K29" s="12"/>
      <c r="L29" s="15">
        <f t="shared" si="2"/>
        <v>46440</v>
      </c>
      <c r="M29" s="14">
        <f t="shared" si="3"/>
        <v>100</v>
      </c>
      <c r="N29" s="12">
        <f t="shared" si="4"/>
        <v>92</v>
      </c>
      <c r="O29" s="14">
        <f t="shared" si="5"/>
        <v>9.559746238490904</v>
      </c>
      <c r="P29" s="12">
        <f t="shared" si="6"/>
        <v>0</v>
      </c>
      <c r="Q29" s="14">
        <f t="shared" si="7"/>
        <v>9.559746238490904</v>
      </c>
      <c r="R29" s="12"/>
      <c r="S29" s="51"/>
      <c r="T29" s="51"/>
    </row>
    <row r="30" spans="1:20">
      <c r="A30" s="12"/>
      <c r="B30" s="12"/>
      <c r="C30" s="12"/>
      <c r="D30" s="12"/>
      <c r="E30" s="15">
        <v>46529</v>
      </c>
      <c r="F30" s="14">
        <v>100</v>
      </c>
      <c r="G30" s="12">
        <f t="shared" si="8"/>
        <v>89</v>
      </c>
      <c r="H30" s="14">
        <f t="shared" si="0"/>
        <v>9.2480153828879406</v>
      </c>
      <c r="I30" s="12"/>
      <c r="J30" s="14">
        <f t="shared" si="1"/>
        <v>9.2480153828879406</v>
      </c>
      <c r="K30" s="12"/>
      <c r="L30" s="15">
        <f t="shared" si="2"/>
        <v>46529</v>
      </c>
      <c r="M30" s="14">
        <f t="shared" si="3"/>
        <v>100</v>
      </c>
      <c r="N30" s="12">
        <f t="shared" si="4"/>
        <v>89</v>
      </c>
      <c r="O30" s="14">
        <f t="shared" si="5"/>
        <v>9.2480153828879406</v>
      </c>
      <c r="P30" s="12">
        <f t="shared" si="6"/>
        <v>0</v>
      </c>
      <c r="Q30" s="14">
        <f t="shared" si="7"/>
        <v>9.2480153828879406</v>
      </c>
      <c r="R30" s="12"/>
      <c r="S30" s="51"/>
      <c r="T30" s="51"/>
    </row>
    <row r="31" spans="1:20">
      <c r="A31" s="12"/>
      <c r="B31" s="12"/>
      <c r="C31" s="12"/>
      <c r="D31" s="12"/>
      <c r="E31" s="15">
        <v>46621</v>
      </c>
      <c r="F31" s="14">
        <v>100</v>
      </c>
      <c r="G31" s="12">
        <f t="shared" si="8"/>
        <v>92</v>
      </c>
      <c r="H31" s="14">
        <f t="shared" si="0"/>
        <v>9.559746238490904</v>
      </c>
      <c r="I31" s="12"/>
      <c r="J31" s="14">
        <f t="shared" si="1"/>
        <v>9.559746238490904</v>
      </c>
      <c r="K31" s="12"/>
      <c r="L31" s="15">
        <f t="shared" si="2"/>
        <v>46621</v>
      </c>
      <c r="M31" s="14">
        <f t="shared" si="3"/>
        <v>100</v>
      </c>
      <c r="N31" s="12">
        <f t="shared" si="4"/>
        <v>92</v>
      </c>
      <c r="O31" s="14">
        <f t="shared" si="5"/>
        <v>9.559746238490904</v>
      </c>
      <c r="P31" s="12">
        <f t="shared" si="6"/>
        <v>0</v>
      </c>
      <c r="Q31" s="14">
        <f t="shared" si="7"/>
        <v>9.559746238490904</v>
      </c>
      <c r="R31" s="12"/>
      <c r="S31" s="51"/>
      <c r="T31" s="51"/>
    </row>
    <row r="32" spans="1:20">
      <c r="A32" s="12"/>
      <c r="B32" s="12"/>
      <c r="C32" s="12"/>
      <c r="D32" s="12"/>
      <c r="E32" s="15">
        <v>46713</v>
      </c>
      <c r="F32" s="14">
        <v>100</v>
      </c>
      <c r="G32" s="12">
        <f t="shared" si="8"/>
        <v>92</v>
      </c>
      <c r="H32" s="14">
        <f t="shared" si="0"/>
        <v>9.559746238490904</v>
      </c>
      <c r="I32" s="12"/>
      <c r="J32" s="14">
        <f t="shared" si="1"/>
        <v>9.559746238490904</v>
      </c>
      <c r="K32" s="12"/>
      <c r="L32" s="15">
        <f t="shared" si="2"/>
        <v>46713</v>
      </c>
      <c r="M32" s="14">
        <f t="shared" si="3"/>
        <v>100</v>
      </c>
      <c r="N32" s="12">
        <f t="shared" si="4"/>
        <v>92</v>
      </c>
      <c r="O32" s="14">
        <f t="shared" si="5"/>
        <v>9.559746238490904</v>
      </c>
      <c r="P32" s="12">
        <f t="shared" si="6"/>
        <v>0</v>
      </c>
      <c r="Q32" s="14">
        <f t="shared" si="7"/>
        <v>9.559746238490904</v>
      </c>
      <c r="R32" s="12"/>
      <c r="S32" s="51"/>
      <c r="T32" s="51"/>
    </row>
    <row r="33" spans="1:20">
      <c r="A33" s="12"/>
      <c r="B33" s="12"/>
      <c r="C33" s="12"/>
      <c r="D33" s="12"/>
      <c r="E33" s="15">
        <v>46805</v>
      </c>
      <c r="F33" s="14">
        <v>100</v>
      </c>
      <c r="G33" s="12">
        <f t="shared" si="8"/>
        <v>92</v>
      </c>
      <c r="H33" s="14">
        <f t="shared" si="0"/>
        <v>9.559746238490904</v>
      </c>
      <c r="I33" s="12">
        <v>100</v>
      </c>
      <c r="J33" s="14">
        <f t="shared" si="1"/>
        <v>109.5597462384909</v>
      </c>
      <c r="K33" s="12"/>
      <c r="L33" s="15">
        <f t="shared" si="2"/>
        <v>46805</v>
      </c>
      <c r="M33" s="14">
        <f t="shared" si="3"/>
        <v>100</v>
      </c>
      <c r="N33" s="12">
        <f t="shared" si="4"/>
        <v>92</v>
      </c>
      <c r="O33" s="14">
        <f t="shared" si="5"/>
        <v>9.559746238490904</v>
      </c>
      <c r="P33" s="12">
        <f t="shared" si="6"/>
        <v>100</v>
      </c>
      <c r="Q33" s="14">
        <f t="shared" si="7"/>
        <v>109.5597462384909</v>
      </c>
      <c r="R33" s="12"/>
      <c r="S33" s="51"/>
      <c r="T33" s="51"/>
    </row>
    <row r="34" spans="1:2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51"/>
      <c r="T34" s="51"/>
    </row>
    <row r="35" spans="1:20">
      <c r="A35" s="12"/>
      <c r="B35" s="12"/>
      <c r="C35" s="12"/>
      <c r="D35" s="12"/>
      <c r="E35" s="12"/>
      <c r="F35" s="12"/>
      <c r="G35" s="12"/>
      <c r="H35" s="12"/>
      <c r="I35" s="92" t="s">
        <v>10</v>
      </c>
      <c r="J35" s="86">
        <f>XIRR(J6:J33,E6:E33,0)</f>
        <v>0.52398575195312502</v>
      </c>
      <c r="K35" s="12"/>
      <c r="L35" s="12"/>
      <c r="M35" s="12"/>
      <c r="N35" s="12"/>
      <c r="O35" s="12"/>
      <c r="P35" s="12"/>
      <c r="Q35" s="12"/>
      <c r="R35" s="12"/>
      <c r="S35" s="51"/>
      <c r="T35" s="51"/>
    </row>
    <row r="36" spans="1:20">
      <c r="A36" s="12"/>
      <c r="B36" s="12"/>
      <c r="C36" s="12"/>
      <c r="D36" s="12"/>
      <c r="E36" s="12"/>
      <c r="F36" s="12"/>
      <c r="G36" s="12"/>
      <c r="H36" s="12"/>
      <c r="I36" s="92" t="s">
        <v>64</v>
      </c>
      <c r="J36" s="71">
        <f>MDURATION(E6,E33,C9,J35,4)</f>
        <v>1.7876114232506264</v>
      </c>
      <c r="K36" s="12"/>
      <c r="L36" s="12"/>
      <c r="M36" s="12"/>
      <c r="N36" s="12"/>
      <c r="O36" s="12"/>
      <c r="P36" s="12"/>
      <c r="Q36" s="12"/>
      <c r="R36" s="12"/>
      <c r="S36" s="51"/>
      <c r="T36" s="51"/>
    </row>
    <row r="37" spans="1:20">
      <c r="A37" s="12"/>
      <c r="B37" s="12"/>
      <c r="C37" s="12"/>
      <c r="D37" s="12"/>
      <c r="K37" s="12"/>
      <c r="L37" s="12"/>
      <c r="M37" s="12"/>
      <c r="N37" s="12"/>
      <c r="O37" s="12"/>
      <c r="P37" s="12"/>
      <c r="Q37" s="12"/>
      <c r="R37" s="12"/>
      <c r="S37" s="51"/>
      <c r="T37" s="51"/>
    </row>
    <row r="38" spans="1:20">
      <c r="A38" s="12"/>
      <c r="B38" s="12"/>
      <c r="C38" s="12"/>
      <c r="D38" s="12"/>
      <c r="K38" s="12"/>
      <c r="L38" s="12"/>
      <c r="M38" s="12"/>
      <c r="N38" s="12"/>
      <c r="O38" s="12"/>
      <c r="P38" s="12"/>
      <c r="Q38" s="12"/>
      <c r="R38" s="12"/>
      <c r="S38" s="51"/>
      <c r="T38" s="51"/>
    </row>
    <row r="39" spans="1:20" ht="30">
      <c r="A39" s="12"/>
      <c r="B39" s="12"/>
      <c r="C39" s="12"/>
      <c r="D39" s="12"/>
      <c r="E39" s="272" t="s">
        <v>92</v>
      </c>
      <c r="F39" s="272"/>
      <c r="G39" s="129"/>
      <c r="H39" s="61">
        <v>0.4</v>
      </c>
      <c r="I39" s="62">
        <f>XNPV(H39,$Q$6:$Q$33,$L$6:$L$33)</f>
        <v>111.55259544396944</v>
      </c>
      <c r="J39" s="61">
        <f>(I39/-J6)-1</f>
        <v>0.2312648503749386</v>
      </c>
      <c r="N39" s="51"/>
      <c r="O39" s="51"/>
      <c r="P39" s="51"/>
      <c r="Q39" s="51"/>
      <c r="R39" s="12"/>
      <c r="S39" s="51"/>
      <c r="T39" s="51"/>
    </row>
    <row r="40" spans="1:20">
      <c r="A40" s="12"/>
      <c r="B40" s="12"/>
      <c r="C40" s="12"/>
      <c r="D40" s="12"/>
      <c r="E40" s="273"/>
      <c r="F40" s="273"/>
      <c r="G40" s="130"/>
      <c r="H40" s="63">
        <v>0.45</v>
      </c>
      <c r="I40" s="64">
        <f>XNPV(H40,$Q$6:$Q$33,$L$6:$L$33)</f>
        <v>101.98714216651949</v>
      </c>
      <c r="J40" s="63">
        <f>(I40/-J6)-1</f>
        <v>0.12568589587769874</v>
      </c>
      <c r="N40" s="51"/>
      <c r="O40" s="51"/>
      <c r="P40" s="52"/>
      <c r="Q40" s="51"/>
      <c r="R40" s="12"/>
      <c r="S40" s="58"/>
      <c r="T40" s="51"/>
    </row>
    <row r="41" spans="1:20" ht="15" customHeight="1">
      <c r="N41" s="51"/>
      <c r="O41" s="51"/>
      <c r="P41" s="51"/>
      <c r="Q41" s="51"/>
      <c r="R41" s="51"/>
      <c r="S41" s="51"/>
      <c r="T41" s="51"/>
    </row>
    <row r="42" spans="1:20">
      <c r="R42" s="51"/>
      <c r="S42" s="51"/>
      <c r="T42" s="51"/>
    </row>
    <row r="43" spans="1:20" ht="5.25" customHeight="1">
      <c r="R43" s="51"/>
      <c r="S43" s="51"/>
      <c r="T43" s="51"/>
    </row>
    <row r="44" spans="1:20">
      <c r="N44" s="51"/>
      <c r="O44" s="51"/>
      <c r="P44" s="388"/>
      <c r="Q44" s="388"/>
      <c r="R44" s="388"/>
      <c r="S44" s="51"/>
      <c r="T44" s="51"/>
    </row>
    <row r="45" spans="1:20" ht="7.5" customHeight="1">
      <c r="N45" s="51"/>
      <c r="O45" s="51"/>
      <c r="P45" s="51"/>
      <c r="Q45" s="51"/>
      <c r="R45" s="51"/>
    </row>
    <row r="46" spans="1:20">
      <c r="N46" s="51"/>
      <c r="O46" s="51"/>
      <c r="P46" s="53"/>
      <c r="Q46" s="54"/>
      <c r="R46" s="54"/>
    </row>
    <row r="47" spans="1:20">
      <c r="N47" s="51"/>
      <c r="O47" s="51"/>
      <c r="P47" s="53"/>
      <c r="Q47" s="55"/>
      <c r="R47" s="55"/>
    </row>
    <row r="48" spans="1:20">
      <c r="N48" s="51"/>
      <c r="O48" s="51"/>
      <c r="P48" s="53"/>
      <c r="Q48" s="55"/>
      <c r="R48" s="55"/>
    </row>
    <row r="49" spans="14:18">
      <c r="N49" s="51"/>
      <c r="O49" s="51"/>
      <c r="P49" s="53"/>
      <c r="Q49" s="54"/>
      <c r="R49" s="54"/>
    </row>
    <row r="50" spans="14:18">
      <c r="N50" s="51"/>
      <c r="O50" s="51"/>
      <c r="P50" s="53"/>
      <c r="Q50" s="56"/>
      <c r="R50" s="56"/>
    </row>
    <row r="51" spans="14:18">
      <c r="N51" s="51"/>
      <c r="O51" s="51"/>
      <c r="P51" s="51"/>
      <c r="Q51" s="51"/>
      <c r="R51" s="51"/>
    </row>
    <row r="52" spans="14:18">
      <c r="N52" s="51"/>
      <c r="O52" s="51"/>
      <c r="P52" s="57"/>
      <c r="Q52" s="57"/>
      <c r="R52" s="57"/>
    </row>
    <row r="53" spans="14:18">
      <c r="N53" s="51"/>
      <c r="O53" s="51"/>
      <c r="P53" s="51"/>
      <c r="Q53" s="51"/>
      <c r="R53" s="51"/>
    </row>
    <row r="54" spans="14:18">
      <c r="N54" s="51"/>
      <c r="O54" s="51"/>
      <c r="P54" s="51"/>
      <c r="Q54" s="51"/>
      <c r="R54" s="51"/>
    </row>
    <row r="55" spans="14:18">
      <c r="N55" s="51"/>
      <c r="O55" s="51"/>
      <c r="P55" s="51"/>
      <c r="Q55" s="51"/>
      <c r="R55" s="51"/>
    </row>
    <row r="56" spans="14:18">
      <c r="N56" s="51"/>
      <c r="O56" s="51"/>
      <c r="P56" s="51"/>
      <c r="Q56" s="51"/>
      <c r="R56" s="51"/>
    </row>
    <row r="57" spans="14:18">
      <c r="N57" s="51"/>
      <c r="O57" s="51"/>
      <c r="P57" s="51"/>
      <c r="Q57" s="51"/>
      <c r="R57" s="51"/>
    </row>
    <row r="58" spans="14:18">
      <c r="N58" s="51"/>
      <c r="O58" s="51"/>
      <c r="P58" s="51"/>
      <c r="Q58" s="51"/>
      <c r="R58" s="51"/>
    </row>
  </sheetData>
  <mergeCells count="5">
    <mergeCell ref="P44:R44"/>
    <mergeCell ref="B2:J2"/>
    <mergeCell ref="B4:C4"/>
    <mergeCell ref="E4:J4"/>
    <mergeCell ref="L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159"/>
  <sheetViews>
    <sheetView showGridLines="0" topLeftCell="A31" zoomScale="90" zoomScaleNormal="90" zoomScaleSheetLayoutView="50" workbookViewId="0">
      <selection activeCell="C10" sqref="C10"/>
    </sheetView>
  </sheetViews>
  <sheetFormatPr baseColWidth="10" defaultColWidth="11.5703125" defaultRowHeight="14.25"/>
  <cols>
    <col min="1" max="1" width="4.85546875" style="12" customWidth="1"/>
    <col min="2" max="2" width="8.85546875" style="12" customWidth="1"/>
    <col min="3" max="3" width="11.28515625" style="12" bestFit="1" customWidth="1"/>
    <col min="4" max="4" width="13" style="12" bestFit="1" customWidth="1"/>
    <col min="5" max="5" width="9.28515625" style="12" customWidth="1"/>
    <col min="6" max="6" width="9.7109375" style="12" customWidth="1"/>
    <col min="7" max="7" width="10.140625" style="12" customWidth="1"/>
    <col min="8" max="8" width="10.42578125" style="12" customWidth="1"/>
    <col min="9" max="9" width="10.140625" style="12" customWidth="1"/>
    <col min="10" max="10" width="10.28515625" style="12" customWidth="1"/>
    <col min="11" max="11" width="10" style="12" customWidth="1"/>
    <col min="12" max="12" width="8.7109375" style="12" customWidth="1"/>
    <col min="13" max="13" width="12.28515625" style="12" bestFit="1" customWidth="1"/>
    <col min="14" max="14" width="8" style="12" bestFit="1" customWidth="1"/>
    <col min="15" max="15" width="10" style="12" bestFit="1" customWidth="1"/>
    <col min="16" max="16" width="8.28515625" style="12" customWidth="1"/>
    <col min="17" max="17" width="9.5703125" style="12" customWidth="1"/>
    <col min="18" max="18" width="1.5703125" style="12" customWidth="1"/>
    <col min="19" max="19" width="10.28515625" style="12" customWidth="1"/>
    <col min="20" max="20" width="9.7109375" style="12" customWidth="1"/>
    <col min="21" max="21" width="11" style="12" customWidth="1"/>
    <col min="22" max="22" width="11.5703125" style="12"/>
    <col min="23" max="23" width="9.140625" style="12" customWidth="1"/>
    <col min="24" max="24" width="9.28515625" style="12" bestFit="1" customWidth="1"/>
    <col min="25" max="25" width="12.7109375" style="12" bestFit="1" customWidth="1"/>
    <col min="26" max="26" width="14.85546875" style="12" bestFit="1" customWidth="1"/>
    <col min="27" max="27" width="10.140625" style="12" bestFit="1" customWidth="1"/>
    <col min="28" max="28" width="13.28515625" style="12" bestFit="1" customWidth="1"/>
    <col min="29" max="29" width="11.28515625" style="12" bestFit="1" customWidth="1"/>
    <col min="30" max="30" width="8.85546875" style="12" customWidth="1"/>
    <col min="31" max="31" width="9.28515625" style="12" customWidth="1"/>
    <col min="32" max="32" width="8.140625" style="12" customWidth="1"/>
    <col min="33" max="33" width="7.42578125" style="12" bestFit="1" customWidth="1"/>
    <col min="34" max="34" width="10" style="12" customWidth="1"/>
    <col min="35" max="16384" width="11.5703125" style="12"/>
  </cols>
  <sheetData>
    <row r="2" spans="2:37" ht="15.75">
      <c r="B2" s="251" t="s">
        <v>153</v>
      </c>
      <c r="C2" s="252"/>
      <c r="D2" s="177">
        <v>44379</v>
      </c>
      <c r="K2" s="250"/>
      <c r="L2" s="250"/>
      <c r="M2" s="250"/>
      <c r="N2" s="250"/>
      <c r="O2" s="250"/>
      <c r="P2" s="250"/>
      <c r="Q2" s="250"/>
      <c r="R2" s="250"/>
      <c r="S2" s="250"/>
      <c r="T2" s="250"/>
    </row>
    <row r="3" spans="2:37" ht="15">
      <c r="B3" s="253" t="s">
        <v>152</v>
      </c>
      <c r="C3" s="254"/>
      <c r="D3" s="176">
        <v>44383</v>
      </c>
      <c r="E3" s="17"/>
      <c r="G3" s="22"/>
      <c r="K3" s="221"/>
      <c r="L3" s="220"/>
      <c r="M3" s="28"/>
      <c r="N3" s="28"/>
      <c r="O3" s="28"/>
      <c r="P3" s="17"/>
    </row>
    <row r="4" spans="2:37" ht="15">
      <c r="B4" s="253" t="s">
        <v>28</v>
      </c>
      <c r="C4" s="254"/>
      <c r="D4" s="13">
        <v>0.34060000000000001</v>
      </c>
      <c r="E4" s="18"/>
      <c r="G4" s="22"/>
      <c r="H4" s="16"/>
      <c r="K4" s="27"/>
      <c r="L4" s="27"/>
      <c r="M4" s="27"/>
      <c r="N4" s="18"/>
      <c r="O4" s="18"/>
      <c r="P4" s="18"/>
      <c r="AA4" s="110"/>
      <c r="AB4" s="110"/>
      <c r="AC4" s="110"/>
      <c r="AD4" s="110"/>
      <c r="AE4" s="110"/>
      <c r="AF4" s="110"/>
      <c r="AG4" s="110"/>
    </row>
    <row r="5" spans="2:37" ht="15.75">
      <c r="B5" s="255" t="s">
        <v>61</v>
      </c>
      <c r="C5" s="256"/>
      <c r="D5" s="23">
        <v>0.46500000000000002</v>
      </c>
      <c r="E5" s="18"/>
      <c r="F5" s="22"/>
      <c r="H5" s="16"/>
      <c r="N5" s="18"/>
      <c r="O5" s="18"/>
      <c r="P5" s="18"/>
      <c r="AA5" s="147"/>
      <c r="AB5" s="147"/>
      <c r="AC5" s="110"/>
      <c r="AD5" s="110"/>
      <c r="AE5" s="110"/>
      <c r="AF5" s="110"/>
      <c r="AG5" s="110"/>
    </row>
    <row r="6" spans="2:37">
      <c r="G6" s="260"/>
      <c r="H6" s="260"/>
      <c r="I6" s="384" t="s">
        <v>101</v>
      </c>
      <c r="J6" s="385"/>
      <c r="AA6" s="231"/>
      <c r="AB6" s="231"/>
      <c r="AC6" s="231"/>
      <c r="AD6" s="110"/>
      <c r="AE6" s="110"/>
      <c r="AF6" s="110"/>
      <c r="AG6" s="110"/>
    </row>
    <row r="7" spans="2:37" ht="30.75" customHeight="1">
      <c r="B7" s="257" t="s">
        <v>46</v>
      </c>
      <c r="C7" s="257" t="s">
        <v>40</v>
      </c>
      <c r="D7" s="257" t="s">
        <v>23</v>
      </c>
      <c r="E7" s="257" t="s">
        <v>19</v>
      </c>
      <c r="F7" s="257" t="s">
        <v>11</v>
      </c>
      <c r="G7" s="257" t="s">
        <v>64</v>
      </c>
      <c r="H7" s="257" t="s">
        <v>10</v>
      </c>
      <c r="I7" s="258" t="s">
        <v>62</v>
      </c>
      <c r="J7" s="259" t="s">
        <v>169</v>
      </c>
      <c r="AA7" s="14"/>
      <c r="AB7" s="231"/>
      <c r="AC7" s="231"/>
    </row>
    <row r="8" spans="2:37" ht="15" customHeight="1">
      <c r="B8" s="150" t="s">
        <v>154</v>
      </c>
      <c r="G8" s="22"/>
      <c r="I8" s="222"/>
      <c r="J8" s="27"/>
      <c r="AA8" s="14"/>
      <c r="AB8" s="148"/>
      <c r="AC8" s="231"/>
      <c r="AF8" s="150" t="s">
        <v>230</v>
      </c>
    </row>
    <row r="9" spans="2:37">
      <c r="B9" s="145" t="s">
        <v>20</v>
      </c>
      <c r="C9" s="142">
        <v>100.1</v>
      </c>
      <c r="D9" s="143">
        <v>44472</v>
      </c>
      <c r="E9" s="142">
        <v>103.89</v>
      </c>
      <c r="F9" s="144">
        <f t="shared" ref="F9:F20" si="0">+C9/E9</f>
        <v>0.96351910674752139</v>
      </c>
      <c r="G9" s="226">
        <f>+'TO21'!I10</f>
        <v>0.24657534246575341</v>
      </c>
      <c r="H9" s="225">
        <f>+'TO21'!I9</f>
        <v>0.41788154785156262</v>
      </c>
      <c r="I9" s="223">
        <f>+'TO21'!I13</f>
        <v>3.1343513819960468E-3</v>
      </c>
      <c r="J9" s="224">
        <f>+'TO21'!I14</f>
        <v>-5.5079798053269714E-3</v>
      </c>
      <c r="AA9" s="14"/>
      <c r="AB9" s="231"/>
      <c r="AC9" s="231"/>
    </row>
    <row r="10" spans="2:37">
      <c r="B10" s="145" t="s">
        <v>52</v>
      </c>
      <c r="C10" s="142">
        <v>105.85</v>
      </c>
      <c r="D10" s="143">
        <v>44413</v>
      </c>
      <c r="E10" s="142">
        <v>104.44</v>
      </c>
      <c r="F10" s="144">
        <f t="shared" si="0"/>
        <v>1.0135005744925316</v>
      </c>
      <c r="G10" s="226">
        <f>+'TB21'!J11</f>
        <v>7.3121599658247327E-2</v>
      </c>
      <c r="H10" s="225">
        <f>+'TB21'!J10</f>
        <v>0.4066626513671876</v>
      </c>
      <c r="I10" s="223">
        <f>+'TB21'!J16</f>
        <v>3.9030186453037352E-4</v>
      </c>
      <c r="J10" s="224">
        <f>+'TB21'!J17</f>
        <v>-2.4908849350141482E-3</v>
      </c>
      <c r="AA10" s="14"/>
      <c r="AB10" s="231"/>
      <c r="AC10" s="231"/>
    </row>
    <row r="11" spans="2:37">
      <c r="B11" s="145" t="s">
        <v>42</v>
      </c>
      <c r="C11" s="142">
        <v>166.75</v>
      </c>
      <c r="D11" s="143">
        <v>44413</v>
      </c>
      <c r="E11" s="142">
        <v>129.07</v>
      </c>
      <c r="F11" s="144">
        <f t="shared" si="0"/>
        <v>1.2919346091268304</v>
      </c>
      <c r="G11" s="226">
        <f>+'TX21'!O10</f>
        <v>6.6115292688525715E-2</v>
      </c>
      <c r="H11" s="225">
        <f>+'TX21'!O9</f>
        <v>0.4368206591796876</v>
      </c>
      <c r="I11" s="223">
        <f>+'TX21'!I20</f>
        <v>2.1360229455700264E-3</v>
      </c>
      <c r="J11" s="224">
        <f>+'TX21'!I21</f>
        <v>-7.5019164015466266E-4</v>
      </c>
      <c r="AA11" s="22"/>
      <c r="AB11" s="231"/>
      <c r="AC11" s="231"/>
      <c r="AF11" s="12" t="s">
        <v>45</v>
      </c>
      <c r="AG11" s="16">
        <f>+E71</f>
        <v>2.7927407226562506E-2</v>
      </c>
      <c r="AH11" s="14">
        <f>+F71</f>
        <v>0.69703557312252973</v>
      </c>
      <c r="AI11" s="22">
        <v>0.33</v>
      </c>
      <c r="AJ11" s="22">
        <f>+AG11*AI11</f>
        <v>9.216044384765627E-3</v>
      </c>
      <c r="AK11" s="14">
        <f>+AI11*AH11</f>
        <v>0.23002173913043483</v>
      </c>
    </row>
    <row r="12" spans="2:37">
      <c r="B12" s="145" t="s">
        <v>41</v>
      </c>
      <c r="C12" s="142">
        <v>524.70000000000005</v>
      </c>
      <c r="D12" s="143">
        <v>44399</v>
      </c>
      <c r="E12" s="142">
        <v>406.28</v>
      </c>
      <c r="F12" s="144">
        <f t="shared" si="0"/>
        <v>1.2914738603918481</v>
      </c>
      <c r="G12" s="226">
        <f>+'TC21'!O11</f>
        <v>4.4444444444444398E-2</v>
      </c>
      <c r="H12" s="225">
        <f>+'TC21'!O10</f>
        <v>0.40090236816406255</v>
      </c>
      <c r="I12" s="223">
        <f>+'TC21'!I15</f>
        <v>2.8245465745698662E-5</v>
      </c>
      <c r="J12" s="224">
        <f>+'TC21'!I14</f>
        <v>-1.5088650854277613E-3</v>
      </c>
      <c r="AA12" s="14"/>
      <c r="AB12" s="231"/>
      <c r="AC12" s="115"/>
      <c r="AF12" s="12" t="s">
        <v>73</v>
      </c>
      <c r="AG12" s="16">
        <f>+E80</f>
        <v>9.0999999999999998E-2</v>
      </c>
      <c r="AH12" s="14">
        <f>+F80</f>
        <v>5.62</v>
      </c>
      <c r="AI12" s="22">
        <v>0.67</v>
      </c>
      <c r="AJ12" s="22">
        <f>+AG12*AI12</f>
        <v>6.0970000000000003E-2</v>
      </c>
      <c r="AK12" s="14">
        <f>+AH12*AI12</f>
        <v>3.7654000000000001</v>
      </c>
    </row>
    <row r="13" spans="2:37">
      <c r="B13" s="145" t="s">
        <v>55</v>
      </c>
      <c r="C13" s="142">
        <v>69.45</v>
      </c>
      <c r="D13" s="143">
        <v>44838</v>
      </c>
      <c r="E13" s="142">
        <v>115.72</v>
      </c>
      <c r="F13" s="144">
        <f t="shared" si="0"/>
        <v>0.60015554787417913</v>
      </c>
      <c r="G13" s="226">
        <v>0.52</v>
      </c>
      <c r="H13" s="225">
        <f>+'PR15'!J13</f>
        <v>0.45841657714843753</v>
      </c>
      <c r="I13" s="223">
        <f>+'PR15'!J16</f>
        <v>3.0113907854856459E-2</v>
      </c>
      <c r="J13" s="224">
        <f>+'PR15'!J17</f>
        <v>4.1954565956805467E-3</v>
      </c>
      <c r="AA13" s="14"/>
      <c r="AB13" s="231"/>
      <c r="AC13" s="231"/>
      <c r="AJ13" s="22">
        <f>+AJ12+AJ11</f>
        <v>7.0186044384765625E-2</v>
      </c>
      <c r="AK13" s="14">
        <f>+AK12+AK11</f>
        <v>3.995421739130435</v>
      </c>
    </row>
    <row r="14" spans="2:37">
      <c r="B14" s="145" t="s">
        <v>120</v>
      </c>
      <c r="C14" s="142">
        <v>98</v>
      </c>
      <c r="D14" s="143">
        <v>44654</v>
      </c>
      <c r="E14" s="142">
        <v>107.25</v>
      </c>
      <c r="F14" s="144">
        <f t="shared" si="0"/>
        <v>0.91375291375291379</v>
      </c>
      <c r="G14" s="226">
        <f>+'AA22'!J12</f>
        <v>0.61227639425198632</v>
      </c>
      <c r="H14" s="225">
        <f>+'AA22'!J11</f>
        <v>0.45818644042968759</v>
      </c>
      <c r="I14" s="223">
        <f>+'AA22'!J17</f>
        <v>2.8182830109412915E-2</v>
      </c>
      <c r="J14" s="224">
        <f>+'AA22'!J18</f>
        <v>3.8477924812279074E-3</v>
      </c>
      <c r="AA14" s="231"/>
      <c r="AB14" s="231"/>
      <c r="AC14" s="231"/>
    </row>
    <row r="15" spans="2:37">
      <c r="B15" s="145" t="s">
        <v>45</v>
      </c>
      <c r="C15" s="142">
        <v>157.69999999999999</v>
      </c>
      <c r="D15" s="143">
        <v>44638</v>
      </c>
      <c r="E15" s="142">
        <v>123.65</v>
      </c>
      <c r="F15" s="144">
        <f t="shared" si="0"/>
        <v>1.275374039627982</v>
      </c>
      <c r="G15" s="226">
        <f>+'TX22'!O11</f>
        <v>0.56973787729424774</v>
      </c>
      <c r="H15" s="225">
        <f>+'TX22'!O10</f>
        <v>0.44456767089843763</v>
      </c>
      <c r="I15" s="223">
        <f>+'TX22'!I18</f>
        <v>2.2040081289232294E-2</v>
      </c>
      <c r="J15" s="224">
        <f>+'TX22'!I19</f>
        <v>-2.6076637680948478E-3</v>
      </c>
      <c r="AA15" s="231"/>
      <c r="AB15" s="231"/>
      <c r="AC15" s="231"/>
      <c r="AF15" s="12" t="s">
        <v>124</v>
      </c>
      <c r="AG15" s="16">
        <f>+E78</f>
        <v>7.34679638671875E-2</v>
      </c>
      <c r="AH15" s="14">
        <f>+F78</f>
        <v>3.8327476213809417</v>
      </c>
    </row>
    <row r="16" spans="2:37">
      <c r="B16" s="145" t="s">
        <v>102</v>
      </c>
      <c r="C16" s="142">
        <v>148</v>
      </c>
      <c r="D16" s="143">
        <v>44824</v>
      </c>
      <c r="E16" s="142">
        <v>117.5</v>
      </c>
      <c r="F16" s="144">
        <f t="shared" si="0"/>
        <v>1.2595744680851064</v>
      </c>
      <c r="G16" s="226">
        <f>+T2X2!P12</f>
        <v>0.967265485511556</v>
      </c>
      <c r="H16" s="225">
        <f>+T2X2!P11</f>
        <v>0.46469922363281269</v>
      </c>
      <c r="I16" s="223">
        <f>+T2X2!I25</f>
        <v>5.5641053189800616E-2</v>
      </c>
      <c r="J16" s="224">
        <f>+T2X2!I26</f>
        <v>1.2161052174357811E-2</v>
      </c>
      <c r="AA16" s="231"/>
      <c r="AB16" s="231"/>
      <c r="AC16" s="231"/>
    </row>
    <row r="17" spans="2:33">
      <c r="B17" s="142" t="s">
        <v>79</v>
      </c>
      <c r="C17" s="142">
        <v>64.900000000000006</v>
      </c>
      <c r="D17" s="143">
        <v>45216</v>
      </c>
      <c r="E17" s="142">
        <v>102.76</v>
      </c>
      <c r="F17" s="144">
        <f t="shared" si="0"/>
        <v>0.63156870377578822</v>
      </c>
      <c r="G17" s="226">
        <f>+'TO23'!I14</f>
        <v>1.4439351777119052</v>
      </c>
      <c r="H17" s="225">
        <f>+'TO23'!I13</f>
        <v>0.49368477539062516</v>
      </c>
      <c r="I17" s="223">
        <f>+'TO23'!I17</f>
        <v>0.12659672683851023</v>
      </c>
      <c r="J17" s="224">
        <f>+'TO23'!I18</f>
        <v>5.5865382265804654E-2</v>
      </c>
      <c r="AA17" s="231"/>
      <c r="AB17" s="231"/>
      <c r="AC17" s="231"/>
    </row>
    <row r="18" spans="2:33">
      <c r="B18" s="145" t="s">
        <v>78</v>
      </c>
      <c r="C18" s="142">
        <v>368</v>
      </c>
      <c r="D18" s="143">
        <v>44991</v>
      </c>
      <c r="E18" s="142">
        <v>286.68</v>
      </c>
      <c r="F18" s="144">
        <f t="shared" si="0"/>
        <v>1.2836612250592996</v>
      </c>
      <c r="G18" s="226">
        <f>+'TC23'!O13</f>
        <v>1.2687863125632977</v>
      </c>
      <c r="H18" s="225">
        <f>+'TC23'!O12</f>
        <v>0.48455432617187499</v>
      </c>
      <c r="I18" s="223">
        <f>+'TC23'!I33</f>
        <v>9.899392321837483E-2</v>
      </c>
      <c r="J18" s="224">
        <f>+'TC23'!I32</f>
        <v>3.8610469611783535E-2</v>
      </c>
      <c r="AA18" s="231"/>
      <c r="AB18" s="231"/>
      <c r="AC18" s="231"/>
    </row>
    <row r="19" spans="2:33">
      <c r="B19" s="145" t="s">
        <v>80</v>
      </c>
      <c r="C19" s="142">
        <v>43.97</v>
      </c>
      <c r="D19" s="143">
        <v>46313</v>
      </c>
      <c r="E19" s="142">
        <v>102.67</v>
      </c>
      <c r="F19" s="146">
        <f t="shared" si="0"/>
        <v>0.4282653160611668</v>
      </c>
      <c r="G19" s="226">
        <f>+'TO26'!I21</f>
        <v>2.0151238860575362</v>
      </c>
      <c r="H19" s="225">
        <f>+'TO26'!I20</f>
        <v>0.51678725585937513</v>
      </c>
      <c r="I19" s="223">
        <f>+'TO26'!I25</f>
        <v>0.25596715299891187</v>
      </c>
      <c r="J19" s="224">
        <f>+'TO26'!I26</f>
        <v>0.13327488993868303</v>
      </c>
      <c r="X19" s="132"/>
      <c r="Y19" s="132"/>
      <c r="Z19" s="132"/>
      <c r="AA19" s="132"/>
      <c r="AB19" s="132"/>
      <c r="AC19" s="110"/>
      <c r="AD19" s="110"/>
      <c r="AE19" s="110"/>
      <c r="AF19" s="110"/>
      <c r="AG19" s="110"/>
    </row>
    <row r="20" spans="2:33">
      <c r="B20" s="145" t="s">
        <v>65</v>
      </c>
      <c r="C20" s="142">
        <v>150.69999999999999</v>
      </c>
      <c r="D20" s="143">
        <v>45010</v>
      </c>
      <c r="E20" s="142">
        <v>123.19</v>
      </c>
      <c r="F20" s="144">
        <f t="shared" si="0"/>
        <v>1.2233135806477797</v>
      </c>
      <c r="G20" s="226">
        <f>+'TX23'!O13</f>
        <v>1.3559291973168417</v>
      </c>
      <c r="H20" s="225">
        <f>+'TX23'!O12</f>
        <v>0.48607174804687503</v>
      </c>
      <c r="I20" s="223">
        <f>+'TX23'!I29</f>
        <v>0.10656247588199874</v>
      </c>
      <c r="J20" s="224">
        <f>+'TX23'!I30</f>
        <v>4.2574468046278513E-2</v>
      </c>
      <c r="X20" s="132"/>
      <c r="Y20" s="132"/>
      <c r="Z20" s="132"/>
      <c r="AA20" s="132"/>
      <c r="AB20" s="132"/>
      <c r="AC20" s="110"/>
      <c r="AD20" s="110"/>
      <c r="AE20" s="110"/>
      <c r="AF20" s="110"/>
      <c r="AG20" s="110"/>
    </row>
    <row r="21" spans="2:33">
      <c r="B21" s="12" t="s">
        <v>180</v>
      </c>
      <c r="C21" s="142">
        <v>136</v>
      </c>
      <c r="D21" s="143">
        <v>45151</v>
      </c>
      <c r="E21" s="142"/>
      <c r="F21" s="146"/>
      <c r="G21" s="226">
        <f>+T2X3!O14</f>
        <v>1.6408743175498961</v>
      </c>
      <c r="H21" s="225">
        <f>+T2X3!O13</f>
        <v>0.48454940429687499</v>
      </c>
      <c r="I21" s="223">
        <f>+T2X3!I29</f>
        <v>0.12914073707009077</v>
      </c>
      <c r="J21" s="224">
        <f>+T2X3!I30</f>
        <v>4.9959832292436612E-2</v>
      </c>
      <c r="X21" s="132"/>
      <c r="Y21" s="132"/>
      <c r="Z21" s="132"/>
      <c r="AA21" s="132"/>
      <c r="AB21" s="132"/>
      <c r="AC21" s="110"/>
      <c r="AD21" s="110"/>
      <c r="AE21" s="110"/>
      <c r="AF21" s="110"/>
      <c r="AG21" s="110"/>
    </row>
    <row r="22" spans="2:33">
      <c r="B22" s="145" t="s">
        <v>81</v>
      </c>
      <c r="C22" s="142">
        <v>141</v>
      </c>
      <c r="D22" s="143">
        <v>45376</v>
      </c>
      <c r="E22" s="142">
        <v>123.22</v>
      </c>
      <c r="F22" s="146">
        <f>+C22/E22</f>
        <v>1.144294757344587</v>
      </c>
      <c r="G22" s="226">
        <f>+'TX24'!O15</f>
        <v>2.0758728559936257</v>
      </c>
      <c r="H22" s="225">
        <f>+'TX24'!O14</f>
        <v>0.5084366113281249</v>
      </c>
      <c r="I22" s="223">
        <f>+'TX24'!I32</f>
        <v>0.22025930834883933</v>
      </c>
      <c r="J22" s="224">
        <f>+'TX24'!I33</f>
        <v>0.11111346329820271</v>
      </c>
      <c r="X22" s="110"/>
      <c r="Y22" s="110"/>
      <c r="Z22" s="110"/>
      <c r="AA22" s="110"/>
      <c r="AB22" s="110"/>
      <c r="AC22" s="115"/>
      <c r="AD22" s="110"/>
      <c r="AE22" s="110"/>
      <c r="AF22" s="110"/>
      <c r="AG22" s="110"/>
    </row>
    <row r="23" spans="2:33">
      <c r="G23" s="196"/>
      <c r="H23" s="196"/>
      <c r="I23" s="222"/>
      <c r="J23" s="27"/>
    </row>
    <row r="24" spans="2:33" ht="15">
      <c r="B24" s="150" t="s">
        <v>156</v>
      </c>
      <c r="G24" s="196"/>
      <c r="H24" s="196"/>
      <c r="I24" s="222"/>
      <c r="J24" s="27"/>
    </row>
    <row r="25" spans="2:33">
      <c r="B25" s="12" t="s">
        <v>249</v>
      </c>
      <c r="C25" s="142">
        <v>78.75</v>
      </c>
      <c r="D25" s="143">
        <v>44707</v>
      </c>
      <c r="E25" s="142"/>
      <c r="F25" s="144"/>
      <c r="G25" s="226">
        <f>+'BNY22'!J13</f>
        <v>0.40222779262270447</v>
      </c>
      <c r="H25" s="225">
        <f>+'BNY22'!J12</f>
        <v>0.55247565429687495</v>
      </c>
      <c r="I25" s="223"/>
      <c r="J25" s="224"/>
    </row>
    <row r="26" spans="2:33">
      <c r="B26" s="12" t="s">
        <v>171</v>
      </c>
      <c r="C26" s="142">
        <v>107.75</v>
      </c>
      <c r="D26" s="143">
        <v>44584</v>
      </c>
      <c r="E26" s="142">
        <v>106.26</v>
      </c>
      <c r="F26" s="144">
        <f>+C26/E26</f>
        <v>1.0140222096743836</v>
      </c>
      <c r="G26" s="226">
        <f>+'BDC22'!J12</f>
        <v>0.43055475079959543</v>
      </c>
      <c r="H26" s="225">
        <f>+'BDC22'!J11</f>
        <v>0.46635158691406264</v>
      </c>
      <c r="I26" s="223">
        <f>+'BDC22'!J15</f>
        <v>2.2705420041927882E-2</v>
      </c>
      <c r="J26" s="224">
        <f>+'BDC22'!J16</f>
        <v>5.4472678033048449E-3</v>
      </c>
    </row>
    <row r="27" spans="2:33">
      <c r="B27" s="145" t="s">
        <v>32</v>
      </c>
      <c r="C27" s="142">
        <v>98.85</v>
      </c>
      <c r="D27" s="143">
        <v>44712</v>
      </c>
      <c r="E27" s="142">
        <v>102.29</v>
      </c>
      <c r="F27" s="144">
        <f>+C27/E27</f>
        <v>0.96637012415680901</v>
      </c>
      <c r="G27" s="226">
        <f>+'PBY22'!J13</f>
        <v>0.67994127522254422</v>
      </c>
      <c r="H27" s="225">
        <f>+'PBY22'!J12</f>
        <v>0.52693625976562508</v>
      </c>
      <c r="I27" s="223">
        <f>+'PBY22'!J17</f>
        <v>6.9835134482830963E-2</v>
      </c>
      <c r="J27" s="224">
        <f>+'PBY22'!J18</f>
        <v>4.0975513759339277E-2</v>
      </c>
    </row>
    <row r="28" spans="2:33">
      <c r="B28" s="145" t="s">
        <v>26</v>
      </c>
      <c r="C28" s="142">
        <v>94.25</v>
      </c>
      <c r="D28" s="143">
        <v>45759</v>
      </c>
      <c r="E28" s="142">
        <v>107.02</v>
      </c>
      <c r="F28" s="144">
        <f>+C28/E28</f>
        <v>0.88067650906372641</v>
      </c>
      <c r="G28" s="226">
        <f>+'PBA25'!J25</f>
        <v>1.4888571268484097</v>
      </c>
      <c r="H28" s="225">
        <f>+'PBA25'!J24</f>
        <v>0.54860588867187499</v>
      </c>
      <c r="I28" s="223">
        <f>+'PBA25'!I37</f>
        <v>0.21505102979123356</v>
      </c>
      <c r="J28" s="224">
        <f>+'PBA25'!I36</f>
        <v>0.13296833704302541</v>
      </c>
    </row>
    <row r="29" spans="2:33">
      <c r="B29" s="12" t="s">
        <v>172</v>
      </c>
      <c r="C29" s="142">
        <v>89</v>
      </c>
      <c r="D29" s="143">
        <v>45380</v>
      </c>
      <c r="E29" s="142">
        <v>108.05</v>
      </c>
      <c r="F29" s="144">
        <f>+C29/E29</f>
        <v>0.82369273484497918</v>
      </c>
      <c r="G29" s="226">
        <f>+'BDC24'!J22</f>
        <v>1.4767834390216694</v>
      </c>
      <c r="H29" s="225">
        <f>+'BDC24'!J21</f>
        <v>0.54036532226562528</v>
      </c>
      <c r="I29" s="223">
        <f>+'BDC24'!J25</f>
        <v>0.18569358373914224</v>
      </c>
      <c r="J29" s="224">
        <f>+'BDC24'!J26</f>
        <v>0.11274776900290795</v>
      </c>
    </row>
    <row r="30" spans="2:33">
      <c r="B30" s="12" t="s">
        <v>155</v>
      </c>
      <c r="C30" s="142">
        <v>90.6</v>
      </c>
      <c r="D30" s="143">
        <v>46805</v>
      </c>
      <c r="E30" s="142">
        <v>103</v>
      </c>
      <c r="F30" s="144">
        <f>+C30/E30</f>
        <v>0.87961165048543688</v>
      </c>
      <c r="G30" s="226">
        <f>+'BDC28'!J36</f>
        <v>1.7876114232506264</v>
      </c>
      <c r="H30" s="225">
        <f>+'BDC28'!J35</f>
        <v>0.52398575195312502</v>
      </c>
      <c r="I30" s="223">
        <f>+'BDC28'!J39</f>
        <v>0.2312648503749386</v>
      </c>
      <c r="J30" s="224">
        <f>+'BDC28'!J40</f>
        <v>0.12568589587769874</v>
      </c>
    </row>
    <row r="31" spans="2:33">
      <c r="K31" s="195"/>
      <c r="L31" s="195"/>
      <c r="M31" s="195"/>
      <c r="N31" s="195"/>
      <c r="O31" s="195"/>
      <c r="T31" s="195"/>
    </row>
    <row r="32" spans="2:33">
      <c r="K32" s="195"/>
      <c r="L32" s="195"/>
      <c r="M32" s="195"/>
      <c r="N32" s="195"/>
      <c r="O32" s="195"/>
      <c r="T32" s="195"/>
    </row>
    <row r="33" spans="2:29">
      <c r="C33" s="14"/>
      <c r="D33" s="22"/>
      <c r="E33" s="19"/>
    </row>
    <row r="34" spans="2:29">
      <c r="C34" s="14"/>
      <c r="D34" s="15"/>
      <c r="E34" s="19"/>
      <c r="H34" s="16"/>
      <c r="I34" s="27"/>
    </row>
    <row r="35" spans="2:29" ht="30">
      <c r="B35" s="257" t="s">
        <v>46</v>
      </c>
      <c r="C35" s="257" t="s">
        <v>40</v>
      </c>
      <c r="D35" s="257" t="s">
        <v>23</v>
      </c>
      <c r="E35" s="257" t="s">
        <v>56</v>
      </c>
      <c r="F35" s="257" t="s">
        <v>57</v>
      </c>
      <c r="G35" s="257" t="s">
        <v>225</v>
      </c>
      <c r="H35" s="257" t="s">
        <v>17</v>
      </c>
      <c r="I35" s="257" t="s">
        <v>10</v>
      </c>
      <c r="J35" s="257" t="s">
        <v>64</v>
      </c>
      <c r="W35" s="383"/>
      <c r="X35" s="383"/>
      <c r="Y35" s="383"/>
      <c r="Z35" s="383"/>
      <c r="AA35" s="383"/>
    </row>
    <row r="36" spans="2:29" ht="15" customHeight="1">
      <c r="B36" s="20" t="s">
        <v>70</v>
      </c>
      <c r="C36" s="145"/>
      <c r="D36" s="145"/>
      <c r="E36" s="145"/>
      <c r="F36" s="145"/>
      <c r="G36" s="145"/>
      <c r="H36" s="145"/>
      <c r="I36" s="145"/>
      <c r="J36" s="70"/>
      <c r="W36" s="194"/>
      <c r="X36" s="194"/>
      <c r="Y36" s="194"/>
      <c r="Z36" s="194"/>
      <c r="AA36" s="194"/>
    </row>
    <row r="37" spans="2:29">
      <c r="B37" s="12" t="s">
        <v>175</v>
      </c>
      <c r="C37" s="166">
        <v>131.15</v>
      </c>
      <c r="D37" s="15">
        <v>44452</v>
      </c>
      <c r="E37" s="338">
        <f>D37-$D$3</f>
        <v>69</v>
      </c>
      <c r="F37" s="227">
        <f>+LECER!M7</f>
        <v>6.9738807316447771E-2</v>
      </c>
      <c r="G37" s="225">
        <f>H37/365*30</f>
        <v>3.0321220572368593E-2</v>
      </c>
      <c r="H37" s="16">
        <f>+LECER!N7</f>
        <v>0.36890818363048455</v>
      </c>
      <c r="I37" s="227">
        <f>+LECER!O7</f>
        <v>0.42848294779024987</v>
      </c>
      <c r="J37" s="288">
        <f>E37/365</f>
        <v>0.18904109589041096</v>
      </c>
      <c r="K37" s="227">
        <f>+LECER!S25</f>
        <v>5.8430284261703483E-3</v>
      </c>
    </row>
    <row r="38" spans="2:29">
      <c r="B38" s="12" t="s">
        <v>217</v>
      </c>
      <c r="C38" s="166">
        <v>113.4</v>
      </c>
      <c r="D38" s="15">
        <v>44620</v>
      </c>
      <c r="E38" s="310">
        <f>+LECER!I8</f>
        <v>237</v>
      </c>
      <c r="F38" s="227">
        <f>+LECER!M8</f>
        <v>0.27090906866184472</v>
      </c>
      <c r="G38" s="225">
        <f>I38/365*30</f>
        <v>3.6705924616280167E-2</v>
      </c>
      <c r="H38" s="16">
        <f>+LECER!N8</f>
        <v>0.41722282726402249</v>
      </c>
      <c r="I38" s="227">
        <f>+LECER!O8</f>
        <v>0.44658874949807537</v>
      </c>
      <c r="J38" s="288">
        <f>E38/365</f>
        <v>0.64931506849315068</v>
      </c>
      <c r="K38" s="227">
        <f>+LECER!S33</f>
        <v>3.0749306082725525E-2</v>
      </c>
    </row>
    <row r="39" spans="2:29">
      <c r="B39" s="12" t="s">
        <v>218</v>
      </c>
      <c r="C39" s="166">
        <v>111.1</v>
      </c>
      <c r="D39" s="15">
        <v>44651</v>
      </c>
      <c r="E39" s="310">
        <f>+LECER!I9</f>
        <v>268</v>
      </c>
      <c r="F39" s="227">
        <f>+LECER!M9</f>
        <v>0.31408470467434402</v>
      </c>
      <c r="G39" s="225">
        <f>I39/365*30</f>
        <v>3.7038433620534814E-2</v>
      </c>
      <c r="H39" s="16">
        <f>+LECER!N9</f>
        <v>0.42776461644080438</v>
      </c>
      <c r="I39" s="227">
        <f>+LECER!O9</f>
        <v>0.45063427571650694</v>
      </c>
      <c r="J39" s="288">
        <f>E39/365</f>
        <v>0.73424657534246573</v>
      </c>
      <c r="K39" s="227">
        <f>+LECER!S41</f>
        <v>3.2676270604133612E-2</v>
      </c>
    </row>
    <row r="40" spans="2:29">
      <c r="B40" s="12" t="s">
        <v>219</v>
      </c>
      <c r="C40" s="166">
        <v>109</v>
      </c>
      <c r="D40" s="15">
        <v>44669</v>
      </c>
      <c r="E40" s="316">
        <f>+LECER!I10</f>
        <v>286</v>
      </c>
      <c r="F40" s="227">
        <f>+LECER!M10</f>
        <v>0.32868020405352572</v>
      </c>
      <c r="G40" s="225">
        <f>I40/365*30</f>
        <v>3.5932865598014507E-2</v>
      </c>
      <c r="H40" s="16">
        <f>+LECER!N10</f>
        <v>0.4194694911871919</v>
      </c>
      <c r="I40" s="227">
        <f>+LECER!O10</f>
        <v>0.4371831981091765</v>
      </c>
      <c r="J40" s="288">
        <f>E40/365</f>
        <v>0.78356164383561644</v>
      </c>
      <c r="K40" s="227">
        <f>+LECER!S49</f>
        <v>2.568953335285187E-2</v>
      </c>
    </row>
    <row r="41" spans="2:29">
      <c r="B41" s="12" t="s">
        <v>237</v>
      </c>
      <c r="C41" s="166">
        <v>103.6</v>
      </c>
      <c r="D41" s="15">
        <v>44704</v>
      </c>
      <c r="E41" s="329">
        <f>+LECER!I11</f>
        <v>321</v>
      </c>
      <c r="F41" s="227">
        <f>+LECER!M11</f>
        <v>0.38767735392306513</v>
      </c>
      <c r="G41" s="225">
        <f>I41/365*30</f>
        <v>3.7102771281122562E-2</v>
      </c>
      <c r="H41" s="16">
        <f>+LECER!N11</f>
        <v>0.44081692891563479</v>
      </c>
      <c r="I41" s="227">
        <f>+LECER!O11</f>
        <v>0.45141705058699122</v>
      </c>
      <c r="J41" s="288">
        <f>E41/365</f>
        <v>0.8794520547945206</v>
      </c>
      <c r="K41" s="227">
        <f>+LECER!S57</f>
        <v>2.8710618615150455E-2</v>
      </c>
    </row>
    <row r="42" spans="2:29" ht="15">
      <c r="B42" s="20" t="s">
        <v>113</v>
      </c>
      <c r="C42" s="110"/>
      <c r="E42" s="236"/>
      <c r="F42" s="227"/>
      <c r="G42" s="225"/>
      <c r="H42" s="236"/>
      <c r="I42" s="236"/>
      <c r="J42" s="288"/>
      <c r="K42" s="22"/>
    </row>
    <row r="43" spans="2:29">
      <c r="B43" s="12" t="s">
        <v>189</v>
      </c>
      <c r="C43" s="166">
        <v>97.4</v>
      </c>
      <c r="D43" s="15">
        <v>44407</v>
      </c>
      <c r="E43" s="328">
        <f>D43-$D$2</f>
        <v>28</v>
      </c>
      <c r="F43" s="227">
        <f>100/C43-1</f>
        <v>2.6694045174537884E-2</v>
      </c>
      <c r="G43" s="225">
        <f>H43/365*30</f>
        <v>2.8600762687004875E-2</v>
      </c>
      <c r="H43" s="227">
        <f>F43/E43*365</f>
        <v>0.34797594602522597</v>
      </c>
      <c r="I43" s="227">
        <f>(1+F43)^(365/E43)-1</f>
        <v>0.40975021424225888</v>
      </c>
      <c r="J43" s="288">
        <f>E43/365</f>
        <v>7.6712328767123292E-2</v>
      </c>
      <c r="K43" s="22"/>
    </row>
    <row r="44" spans="2:29">
      <c r="B44" s="12" t="s">
        <v>205</v>
      </c>
      <c r="C44" s="166">
        <v>94.75</v>
      </c>
      <c r="D44" s="15">
        <v>44439</v>
      </c>
      <c r="E44" s="328">
        <f>D44-$D$3</f>
        <v>56</v>
      </c>
      <c r="F44" s="227">
        <f>100/C44-1</f>
        <v>5.5408970976253302E-2</v>
      </c>
      <c r="G44" s="225">
        <f>H44/365*30</f>
        <v>2.9683377308707126E-2</v>
      </c>
      <c r="H44" s="227">
        <f>F44/E44*365</f>
        <v>0.36114775725593673</v>
      </c>
      <c r="I44" s="227">
        <f>(1+F44)^(365/E44)-1</f>
        <v>0.42119380942115936</v>
      </c>
      <c r="J44" s="288">
        <f>E44/365</f>
        <v>0.15342465753424658</v>
      </c>
      <c r="K44" s="22"/>
    </row>
    <row r="45" spans="2:29">
      <c r="B45" s="12" t="s">
        <v>213</v>
      </c>
      <c r="C45" s="166">
        <v>92.05</v>
      </c>
      <c r="D45" s="15">
        <v>44469</v>
      </c>
      <c r="E45" s="328">
        <f>D45-$D$3</f>
        <v>86</v>
      </c>
      <c r="F45" s="227">
        <f>100/C45-1</f>
        <v>8.6366105377512215E-2</v>
      </c>
      <c r="G45" s="225">
        <f>H45/365*30</f>
        <v>3.0127711178201934E-2</v>
      </c>
      <c r="H45" s="227">
        <f>F45/E45*365</f>
        <v>0.3665538193347902</v>
      </c>
      <c r="I45" s="227">
        <f>(1+F45)^(365/E45)-1</f>
        <v>0.42131296111167482</v>
      </c>
      <c r="J45" s="288">
        <f>E45/365</f>
        <v>0.23561643835616439</v>
      </c>
      <c r="K45" s="22"/>
      <c r="X45" s="12" t="s">
        <v>204</v>
      </c>
      <c r="Y45" s="16">
        <f>+[1]T2V1!$U$9</f>
        <v>0.53985725585937505</v>
      </c>
      <c r="Z45" s="282">
        <f>+[1]T2V1!$U$10</f>
        <v>0.47945205479452052</v>
      </c>
    </row>
    <row r="46" spans="2:29">
      <c r="B46" s="12" t="s">
        <v>220</v>
      </c>
      <c r="C46" s="166">
        <v>89.55</v>
      </c>
      <c r="D46" s="15">
        <v>44498</v>
      </c>
      <c r="E46" s="328">
        <f>D46-$D$3</f>
        <v>115</v>
      </c>
      <c r="F46" s="227">
        <f>100/C46-1</f>
        <v>0.11669458403126742</v>
      </c>
      <c r="G46" s="225">
        <f>H46/365*30</f>
        <v>3.0442065399461066E-2</v>
      </c>
      <c r="H46" s="227">
        <f>F46/E46*365</f>
        <v>0.37037846236010963</v>
      </c>
      <c r="I46" s="227">
        <f>(1+F46)^(365/E46)-1</f>
        <v>0.41951389677118356</v>
      </c>
      <c r="J46" s="288">
        <f>E46/365</f>
        <v>0.31506849315068491</v>
      </c>
      <c r="K46" s="22"/>
    </row>
    <row r="47" spans="2:29">
      <c r="B47" s="12" t="s">
        <v>236</v>
      </c>
      <c r="C47" s="166">
        <v>86.25</v>
      </c>
      <c r="D47" s="15">
        <v>44530</v>
      </c>
      <c r="E47" s="329">
        <f>D47-$D$3</f>
        <v>147</v>
      </c>
      <c r="F47" s="227">
        <f>100/C47-1</f>
        <v>0.15942028985507251</v>
      </c>
      <c r="G47" s="225">
        <f>H47/365*30</f>
        <v>3.2534753031647455E-2</v>
      </c>
      <c r="H47" s="227">
        <f>F47/E47*365</f>
        <v>0.39583949521837736</v>
      </c>
      <c r="I47" s="227">
        <f>(1+F47)^(365/E47)-1</f>
        <v>0.44380887939433156</v>
      </c>
      <c r="J47" s="288">
        <f>E47/365</f>
        <v>0.40273972602739727</v>
      </c>
      <c r="K47" s="16"/>
      <c r="V47" s="144"/>
      <c r="W47" s="144"/>
      <c r="Y47" s="16"/>
      <c r="Z47" s="14"/>
      <c r="AB47" s="16"/>
      <c r="AC47" s="14"/>
    </row>
    <row r="48" spans="2:29" ht="15">
      <c r="B48" s="150" t="s">
        <v>146</v>
      </c>
      <c r="E48" s="236"/>
      <c r="F48" s="236"/>
      <c r="G48" s="225"/>
      <c r="H48" s="236"/>
      <c r="I48" s="236"/>
      <c r="J48" s="288"/>
      <c r="V48" s="144"/>
      <c r="W48" s="144"/>
      <c r="Y48" s="16"/>
      <c r="Z48" s="14"/>
      <c r="AB48" s="22"/>
      <c r="AC48" s="14"/>
    </row>
    <row r="49" spans="2:30">
      <c r="B49" s="12" t="s">
        <v>179</v>
      </c>
      <c r="C49" s="166">
        <v>115.98350000000001</v>
      </c>
      <c r="D49" s="15">
        <v>44377</v>
      </c>
      <c r="E49" s="267">
        <f>Lepase!I6</f>
        <v>-6</v>
      </c>
      <c r="F49" s="227">
        <f>Lepase!J6</f>
        <v>1.3233460049908187E-3</v>
      </c>
      <c r="G49" s="225">
        <f>H49/365*30</f>
        <v>-6.6167300249540938E-3</v>
      </c>
      <c r="H49" s="227">
        <f>Lepase!J8</f>
        <v>-8.050354863694148E-2</v>
      </c>
      <c r="I49" s="227">
        <f>Lepase!J9</f>
        <v>-7.7299265679789952E-2</v>
      </c>
      <c r="J49" s="288">
        <f>E49/365</f>
        <v>-1.643835616438356E-2</v>
      </c>
      <c r="V49" s="144"/>
      <c r="W49" s="144"/>
      <c r="AB49" s="22"/>
      <c r="AC49" s="14"/>
    </row>
    <row r="50" spans="2:30">
      <c r="B50" s="12" t="s">
        <v>196</v>
      </c>
      <c r="C50" s="166">
        <v>112.53</v>
      </c>
      <c r="D50" s="15">
        <v>44407</v>
      </c>
      <c r="E50" s="278">
        <f>+Lepase!O6</f>
        <v>24</v>
      </c>
      <c r="F50" s="227">
        <f>+Lepase!P6</f>
        <v>3.3940416497761965E-2</v>
      </c>
      <c r="G50" s="225">
        <f>H50/365*30</f>
        <v>4.2425520622202458E-2</v>
      </c>
      <c r="H50" s="227">
        <f>+Lepase!P8</f>
        <v>0.51617716757012988</v>
      </c>
      <c r="I50" s="227">
        <f>+Lepase!P9</f>
        <v>0.66131727224953885</v>
      </c>
      <c r="J50" s="288">
        <f>E50/365</f>
        <v>6.575342465753424E-2</v>
      </c>
      <c r="V50" s="144"/>
      <c r="W50" s="144"/>
      <c r="Y50" s="16"/>
      <c r="Z50" s="14"/>
    </row>
    <row r="51" spans="2:30">
      <c r="B51" s="12" t="s">
        <v>207</v>
      </c>
      <c r="C51" s="166">
        <v>109</v>
      </c>
      <c r="D51" s="15">
        <v>44439</v>
      </c>
      <c r="E51" s="287">
        <f>+Lepase!U6</f>
        <v>56</v>
      </c>
      <c r="F51" s="227">
        <f>+Lepase!V6</f>
        <v>7.0296594193791598E-2</v>
      </c>
      <c r="G51" s="225">
        <f>H51/365*30</f>
        <v>3.7658889746674071E-2</v>
      </c>
      <c r="H51" s="227">
        <f>+Lepase!V8</f>
        <v>0.45818315858453451</v>
      </c>
      <c r="I51" s="227">
        <f>+Lepase!V9</f>
        <v>0.55705442167041097</v>
      </c>
      <c r="J51" s="288">
        <f>E51/365</f>
        <v>0.15342465753424658</v>
      </c>
      <c r="V51" s="144"/>
      <c r="W51" s="144"/>
      <c r="Y51" s="16"/>
      <c r="Z51" s="14"/>
    </row>
    <row r="52" spans="2:30">
      <c r="B52" s="12" t="s">
        <v>215</v>
      </c>
      <c r="C52" s="166">
        <v>108.3</v>
      </c>
      <c r="D52" s="15">
        <f>+Lepase!Y5</f>
        <v>44469</v>
      </c>
      <c r="E52" s="315">
        <f>+Lepase!AA6</f>
        <v>86</v>
      </c>
      <c r="F52" s="227">
        <f>+Lepase!AB6</f>
        <v>0.10159501132065928</v>
      </c>
      <c r="G52" s="225">
        <f>H52/365*30</f>
        <v>3.5440120228136959E-2</v>
      </c>
      <c r="H52" s="227">
        <f>+Lepase!AB8</f>
        <v>0.43118812944233298</v>
      </c>
      <c r="I52" s="227">
        <f>+Lepase!AB9</f>
        <v>0.5078183295487475</v>
      </c>
      <c r="J52" s="288">
        <f>E52/365</f>
        <v>0.23561643835616439</v>
      </c>
      <c r="V52" s="144"/>
      <c r="W52" s="144"/>
      <c r="Y52" s="16"/>
      <c r="Z52" s="14"/>
    </row>
    <row r="53" spans="2:30">
      <c r="B53" s="12" t="s">
        <v>221</v>
      </c>
      <c r="C53" s="166">
        <v>106.25</v>
      </c>
      <c r="D53" s="15">
        <v>44498</v>
      </c>
      <c r="E53" s="317">
        <f>+Lepase!AG6</f>
        <v>115</v>
      </c>
      <c r="F53" s="227">
        <f>+Lepase!AH6</f>
        <v>0.13650926672038677</v>
      </c>
      <c r="G53" s="225">
        <f>H53/365*30</f>
        <v>3.5611113057492198E-2</v>
      </c>
      <c r="H53" s="227">
        <f>+Lepase!AH8</f>
        <v>0.43326854219948846</v>
      </c>
      <c r="I53" s="227">
        <f>+Lepase!AH9</f>
        <v>0.50101077486585366</v>
      </c>
      <c r="J53" s="288">
        <f>E53/365</f>
        <v>0.31506849315068491</v>
      </c>
    </row>
    <row r="54" spans="2:30" ht="15">
      <c r="B54" s="150" t="s">
        <v>227</v>
      </c>
      <c r="E54" s="267"/>
      <c r="G54" s="225"/>
      <c r="J54" s="288"/>
      <c r="K54" s="22"/>
      <c r="M54" s="22"/>
      <c r="AB54" s="12" t="s">
        <v>245</v>
      </c>
      <c r="AC54" s="31">
        <f>+D2</f>
        <v>44379</v>
      </c>
    </row>
    <row r="55" spans="2:30">
      <c r="B55" s="12" t="s">
        <v>41</v>
      </c>
      <c r="C55" s="142">
        <f>+C12</f>
        <v>524.70000000000005</v>
      </c>
      <c r="D55" s="15">
        <f>+D12</f>
        <v>44399</v>
      </c>
      <c r="E55" s="275">
        <f>D55-D3</f>
        <v>16</v>
      </c>
      <c r="F55" s="227">
        <f>+'TC21'!O20</f>
        <v>1.4887443228340694E-2</v>
      </c>
      <c r="G55" s="225">
        <f>H55/365*30</f>
        <v>2.7913956053138803E-2</v>
      </c>
      <c r="H55" s="227">
        <f>+'TC21'!O21</f>
        <v>0.33961979864652209</v>
      </c>
      <c r="I55" s="227">
        <f>+'TC21'!O22</f>
        <v>0.40090236750730845</v>
      </c>
      <c r="J55" s="288">
        <f>E55/365</f>
        <v>4.3835616438356165E-2</v>
      </c>
      <c r="AB55" s="12" t="s">
        <v>147</v>
      </c>
      <c r="AC55" s="31">
        <v>44498</v>
      </c>
      <c r="AD55" s="31"/>
    </row>
    <row r="56" spans="2:30">
      <c r="B56" s="12" t="s">
        <v>42</v>
      </c>
      <c r="C56" s="142">
        <f>+C11</f>
        <v>166.75</v>
      </c>
      <c r="D56" s="15">
        <f>+D11</f>
        <v>44413</v>
      </c>
      <c r="E56" s="275">
        <f>D56-D3</f>
        <v>30</v>
      </c>
      <c r="F56" s="227">
        <f>+'TX21'!O18</f>
        <v>3.0237128116518176E-2</v>
      </c>
      <c r="G56" s="225">
        <f>H56/365*30</f>
        <v>3.0237128116518172E-2</v>
      </c>
      <c r="H56" s="227">
        <f>+'TX21'!O19</f>
        <v>0.36788505875097111</v>
      </c>
      <c r="I56" s="227">
        <f>+'TX21'!O20</f>
        <v>0.43682066263668307</v>
      </c>
      <c r="J56" s="288">
        <f>E56/365</f>
        <v>8.2191780821917804E-2</v>
      </c>
      <c r="M56" s="16"/>
      <c r="Y56" s="16"/>
      <c r="Z56" s="14"/>
      <c r="AB56" s="12" t="s">
        <v>238</v>
      </c>
      <c r="AC56" s="31">
        <v>44407</v>
      </c>
      <c r="AD56" s="12">
        <f>AC56-AC54</f>
        <v>28</v>
      </c>
    </row>
    <row r="57" spans="2:30">
      <c r="B57" s="12" t="s">
        <v>52</v>
      </c>
      <c r="C57" s="142">
        <f>+C10</f>
        <v>105.85</v>
      </c>
      <c r="D57" s="15">
        <f>+D10</f>
        <v>44413</v>
      </c>
      <c r="E57" s="339">
        <f>+'TB21'!E8</f>
        <v>0</v>
      </c>
      <c r="F57" s="227">
        <f>+'TB21'!J20</f>
        <v>2.8442454906651482E-2</v>
      </c>
      <c r="G57" s="225" t="e">
        <f>H57/365*30</f>
        <v>#DIV/0!</v>
      </c>
      <c r="H57" s="227" t="e">
        <f>+'TB21'!J21</f>
        <v>#DIV/0!</v>
      </c>
      <c r="I57" s="227">
        <f>+'TB21'!J10</f>
        <v>0.4066626513671876</v>
      </c>
      <c r="J57" s="288">
        <f>+'TB21'!J11</f>
        <v>7.3121599658247327E-2</v>
      </c>
      <c r="V57" s="144"/>
      <c r="W57" s="144"/>
      <c r="Y57" s="16"/>
      <c r="Z57" s="14"/>
      <c r="AB57" s="12" t="s">
        <v>239</v>
      </c>
      <c r="AC57" s="12">
        <f>AC55-AC56</f>
        <v>91</v>
      </c>
    </row>
    <row r="58" spans="2:30">
      <c r="B58" s="12" t="s">
        <v>20</v>
      </c>
      <c r="C58" s="142">
        <v>99.75</v>
      </c>
      <c r="D58" s="15">
        <v>44473</v>
      </c>
      <c r="E58" s="330">
        <f>+'TO21'!E8</f>
        <v>90</v>
      </c>
      <c r="F58" s="227">
        <f>+'TO21'!I8</f>
        <v>8.9910089910089919E-2</v>
      </c>
      <c r="G58" s="225">
        <f>H58/365*30</f>
        <v>2.9970029970029968E-2</v>
      </c>
      <c r="H58" s="227">
        <f>+'TO21'!U10</f>
        <v>0.36463536463536461</v>
      </c>
      <c r="I58" s="227">
        <f>+'TO21'!I9</f>
        <v>0.41788154785156262</v>
      </c>
      <c r="J58" s="288">
        <f>+'TO21'!I10</f>
        <v>0.24657534246575341</v>
      </c>
      <c r="Z58" s="14"/>
      <c r="AB58" s="12" t="s">
        <v>240</v>
      </c>
      <c r="AC58" s="22">
        <v>0.43</v>
      </c>
    </row>
    <row r="59" spans="2:30">
      <c r="M59" s="16"/>
      <c r="Z59" s="14"/>
      <c r="AB59" s="12" t="s">
        <v>184</v>
      </c>
      <c r="AC59" s="22">
        <f>AC58/365*AC57</f>
        <v>0.10720547945205479</v>
      </c>
    </row>
    <row r="60" spans="2:30">
      <c r="M60" s="22"/>
      <c r="Y60" s="157"/>
      <c r="Z60" s="14"/>
      <c r="AB60" s="12" t="s">
        <v>241</v>
      </c>
      <c r="AC60" s="14">
        <f>100/(1+AC59)</f>
        <v>90.317472100561702</v>
      </c>
    </row>
    <row r="61" spans="2:30">
      <c r="D61" s="15"/>
      <c r="E61" s="340">
        <f>+E56</f>
        <v>30</v>
      </c>
      <c r="F61" s="227">
        <f>(1+(0.33/365))^(E61)-1</f>
        <v>2.7481881693347976E-2</v>
      </c>
      <c r="G61" s="225">
        <f>(1+F56)/(1+F61)-1</f>
        <v>2.6815523195691249E-3</v>
      </c>
      <c r="H61" s="227"/>
      <c r="I61" s="227"/>
      <c r="J61" s="288"/>
      <c r="M61" s="22"/>
      <c r="Y61" s="22"/>
      <c r="Z61" s="14"/>
      <c r="AB61" s="12" t="s">
        <v>107</v>
      </c>
      <c r="AC61" s="14">
        <f>+C46</f>
        <v>89.55</v>
      </c>
    </row>
    <row r="62" spans="2:30">
      <c r="M62" s="22"/>
      <c r="Y62" s="14"/>
      <c r="Z62" s="14"/>
      <c r="AB62" s="12" t="s">
        <v>242</v>
      </c>
      <c r="AC62" s="22">
        <f>(AC60-AC61)/AC61</f>
        <v>8.5703193809235564E-3</v>
      </c>
    </row>
    <row r="63" spans="2:30">
      <c r="M63" s="22"/>
      <c r="Z63" s="14"/>
      <c r="AB63" s="12" t="s">
        <v>243</v>
      </c>
      <c r="AC63" s="22">
        <v>0.33</v>
      </c>
    </row>
    <row r="64" spans="2:30" ht="15">
      <c r="B64" s="386" t="s">
        <v>24</v>
      </c>
      <c r="C64" s="387"/>
      <c r="D64" s="50">
        <f>+'Serie CER'!H177</f>
        <v>31.885400000000001</v>
      </c>
      <c r="M64" s="16"/>
      <c r="AB64" s="12" t="s">
        <v>244</v>
      </c>
      <c r="AC64" s="22">
        <f>(1+(AC63/365))^AD56-1</f>
        <v>2.5626485850482883E-2</v>
      </c>
    </row>
    <row r="65" spans="2:29">
      <c r="U65" s="16"/>
    </row>
    <row r="66" spans="2:29" ht="15">
      <c r="B66" s="150" t="s">
        <v>63</v>
      </c>
      <c r="G66" s="305"/>
      <c r="M66" s="22"/>
      <c r="U66" s="16"/>
    </row>
    <row r="67" spans="2:29" ht="15">
      <c r="B67" s="150"/>
      <c r="G67" s="305"/>
      <c r="AA67" s="280"/>
      <c r="AB67" s="280"/>
      <c r="AC67" s="280"/>
    </row>
    <row r="68" spans="2:29" ht="15">
      <c r="B68" s="229" t="s">
        <v>46</v>
      </c>
      <c r="C68" s="229" t="s">
        <v>40</v>
      </c>
      <c r="D68" s="229" t="s">
        <v>147</v>
      </c>
      <c r="E68" s="229" t="s">
        <v>10</v>
      </c>
      <c r="F68" s="229" t="s">
        <v>29</v>
      </c>
      <c r="G68" s="306" t="s">
        <v>11</v>
      </c>
      <c r="AA68" s="110"/>
      <c r="AB68" s="281"/>
      <c r="AC68" s="171"/>
    </row>
    <row r="69" spans="2:29">
      <c r="B69" s="12" t="s">
        <v>41</v>
      </c>
      <c r="C69" s="148">
        <f t="shared" ref="C69:C76" si="1">VLOOKUP(B69,$B$9:$C$22,2,FALSE)</f>
        <v>524.70000000000005</v>
      </c>
      <c r="D69" s="15">
        <f>+D12</f>
        <v>44399</v>
      </c>
      <c r="E69" s="227">
        <f>'TC21'!I9</f>
        <v>-3.264036686051637E-2</v>
      </c>
      <c r="F69" s="128">
        <f>+'TC21'!I10</f>
        <v>4.4444444444444391E-2</v>
      </c>
      <c r="G69" s="307">
        <f>+F12</f>
        <v>1.2914738603918481</v>
      </c>
      <c r="AA69" s="110"/>
      <c r="AB69" s="281"/>
      <c r="AC69" s="171"/>
    </row>
    <row r="70" spans="2:29">
      <c r="B70" s="12" t="s">
        <v>42</v>
      </c>
      <c r="C70" s="148">
        <f t="shared" si="1"/>
        <v>166.75</v>
      </c>
      <c r="D70" s="15">
        <f>+D11</f>
        <v>44413</v>
      </c>
      <c r="E70" s="227">
        <f>'TX21'!I9</f>
        <v>-1.6136326139234013E-2</v>
      </c>
      <c r="F70" s="128">
        <f>+'TX21'!I10</f>
        <v>8.0555555555555602E-2</v>
      </c>
      <c r="G70" s="307">
        <f>+F11</f>
        <v>1.2919346091268304</v>
      </c>
      <c r="AA70" s="110"/>
      <c r="AB70" s="281"/>
      <c r="AC70" s="171"/>
    </row>
    <row r="71" spans="2:29">
      <c r="B71" s="12" t="s">
        <v>45</v>
      </c>
      <c r="C71" s="148">
        <f t="shared" si="1"/>
        <v>157.69999999999999</v>
      </c>
      <c r="D71" s="15">
        <f>+D15</f>
        <v>44638</v>
      </c>
      <c r="E71" s="227">
        <f>'TX22'!I10</f>
        <v>2.7927407226562506E-2</v>
      </c>
      <c r="F71" s="128">
        <f>+'TX22'!I11</f>
        <v>0.69703557312252973</v>
      </c>
      <c r="G71" s="307">
        <f>+F15</f>
        <v>1.275374039627982</v>
      </c>
      <c r="Y71" s="14"/>
      <c r="Z71" s="16"/>
      <c r="AA71" s="14"/>
      <c r="AB71" s="110"/>
      <c r="AC71" s="110"/>
    </row>
    <row r="72" spans="2:29">
      <c r="B72" s="12" t="s">
        <v>102</v>
      </c>
      <c r="C72" s="148">
        <f t="shared" si="1"/>
        <v>148</v>
      </c>
      <c r="D72" s="15">
        <f>+D16</f>
        <v>44824</v>
      </c>
      <c r="E72" s="227">
        <f>+T2X2!I11</f>
        <v>3.2965014648437499E-2</v>
      </c>
      <c r="F72" s="228">
        <f>+T2X2!I12</f>
        <v>1.195992044030298</v>
      </c>
      <c r="G72" s="307">
        <f>+F16</f>
        <v>1.2595744680851064</v>
      </c>
      <c r="Y72" s="14" t="str">
        <f>+B13</f>
        <v>PR15</v>
      </c>
      <c r="Z72" s="16">
        <f>+H13</f>
        <v>0.45841657714843753</v>
      </c>
      <c r="AA72" s="14">
        <f>+G13</f>
        <v>0.52</v>
      </c>
      <c r="AB72" s="110"/>
      <c r="AC72" s="171"/>
    </row>
    <row r="73" spans="2:29">
      <c r="B73" s="12" t="s">
        <v>78</v>
      </c>
      <c r="C73" s="148">
        <f t="shared" si="1"/>
        <v>368</v>
      </c>
      <c r="D73" s="15">
        <f>+D18</f>
        <v>44991</v>
      </c>
      <c r="E73" s="227">
        <f>+'TC23'!I12</f>
        <v>4.3932631611824036E-2</v>
      </c>
      <c r="F73" s="128">
        <f>+'TC23'!I13</f>
        <v>1.6111111111111112</v>
      </c>
      <c r="G73" s="307">
        <f>+F18</f>
        <v>1.2836612250592996</v>
      </c>
      <c r="Y73" s="14" t="str">
        <f>+B9</f>
        <v>TO21</v>
      </c>
      <c r="Z73" s="16">
        <f>+H9</f>
        <v>0.41788154785156262</v>
      </c>
      <c r="AA73" s="14">
        <f>+G9</f>
        <v>0.24657534246575341</v>
      </c>
      <c r="AB73" s="281"/>
      <c r="AC73" s="171"/>
    </row>
    <row r="74" spans="2:29">
      <c r="B74" s="12" t="s">
        <v>65</v>
      </c>
      <c r="C74" s="148">
        <f t="shared" si="1"/>
        <v>150.69999999999999</v>
      </c>
      <c r="D74" s="15">
        <f>+D20</f>
        <v>45010</v>
      </c>
      <c r="E74" s="227">
        <f>'TX23'!I12</f>
        <v>4.6011450195312512E-2</v>
      </c>
      <c r="F74" s="128">
        <f>+'TX23'!I13</f>
        <v>1.6597369963736781</v>
      </c>
      <c r="G74" s="307">
        <f>+F20</f>
        <v>1.2233135806477797</v>
      </c>
      <c r="I74" s="31"/>
      <c r="Y74" s="14" t="str">
        <f>+B10</f>
        <v>TB21</v>
      </c>
      <c r="Z74" s="16">
        <f>+H10</f>
        <v>0.4066626513671876</v>
      </c>
      <c r="AA74" s="14">
        <f>+G10</f>
        <v>7.3121599658247327E-2</v>
      </c>
      <c r="AB74" s="281"/>
      <c r="AC74" s="171"/>
    </row>
    <row r="75" spans="2:29">
      <c r="B75" s="12" t="s">
        <v>180</v>
      </c>
      <c r="C75" s="148">
        <f t="shared" si="1"/>
        <v>136</v>
      </c>
      <c r="D75" s="15">
        <f>+D21</f>
        <v>45151</v>
      </c>
      <c r="E75" s="227">
        <f>+T2X3!I13</f>
        <v>4.4258891601562503E-2</v>
      </c>
      <c r="F75" s="128">
        <f>+T2X3!I14</f>
        <v>2.0234713292376876</v>
      </c>
      <c r="G75" s="305"/>
      <c r="I75" s="31"/>
      <c r="T75" s="22"/>
      <c r="Y75" s="14" t="str">
        <f>+B11</f>
        <v>TX21</v>
      </c>
      <c r="Z75" s="16">
        <f>+H11</f>
        <v>0.4368206591796876</v>
      </c>
      <c r="AA75" s="14">
        <f>+F70</f>
        <v>8.0555555555555602E-2</v>
      </c>
      <c r="AB75" s="281"/>
      <c r="AC75" s="171"/>
    </row>
    <row r="76" spans="2:29">
      <c r="B76" s="12" t="s">
        <v>81</v>
      </c>
      <c r="C76" s="148">
        <f t="shared" si="1"/>
        <v>141</v>
      </c>
      <c r="D76" s="15">
        <f>+D22</f>
        <v>45376</v>
      </c>
      <c r="E76" s="227">
        <f>+'TX24'!I14</f>
        <v>6.0383334960937521E-2</v>
      </c>
      <c r="F76" s="128">
        <f>+'TX24'!I15</f>
        <v>2.585338099883248</v>
      </c>
      <c r="G76" s="307">
        <f>+F22</f>
        <v>1.144294757344587</v>
      </c>
      <c r="Y76" s="12" t="str">
        <f>+B12</f>
        <v>TC21</v>
      </c>
      <c r="Z76" s="16">
        <f>+H12</f>
        <v>0.40090236816406255</v>
      </c>
      <c r="AA76" s="14">
        <f>+F69</f>
        <v>4.4444444444444391E-2</v>
      </c>
    </row>
    <row r="77" spans="2:29">
      <c r="B77" s="12" t="s">
        <v>90</v>
      </c>
      <c r="C77" s="323">
        <v>340</v>
      </c>
      <c r="D77" s="15">
        <v>45772</v>
      </c>
      <c r="E77" s="227">
        <f>+TC25P!I21</f>
        <v>5.273611843585968E-2</v>
      </c>
      <c r="F77" s="128">
        <f>+TC25P!I22</f>
        <v>3.4459135389716677</v>
      </c>
      <c r="G77" s="307">
        <f>+TC25P!C15</f>
        <v>0</v>
      </c>
      <c r="Q77" s="16"/>
      <c r="Y77" s="12" t="s">
        <v>120</v>
      </c>
      <c r="Z77" s="16">
        <f>+H14</f>
        <v>0.45818644042968759</v>
      </c>
      <c r="AA77" s="14">
        <f>+G14</f>
        <v>0.61227639425198632</v>
      </c>
    </row>
    <row r="78" spans="2:29">
      <c r="B78" s="12" t="s">
        <v>124</v>
      </c>
      <c r="C78" s="323">
        <v>114.85</v>
      </c>
      <c r="D78" s="15">
        <f>+'TX26'!E17</f>
        <v>46335</v>
      </c>
      <c r="E78" s="227">
        <f>+'TX26'!J19</f>
        <v>7.34679638671875E-2</v>
      </c>
      <c r="F78" s="128">
        <f>+'TX26'!J20</f>
        <v>3.8327476213809417</v>
      </c>
      <c r="G78" s="307">
        <v>0.8085</v>
      </c>
      <c r="Y78" s="12" t="s">
        <v>102</v>
      </c>
      <c r="Z78" s="16">
        <f>+H16</f>
        <v>0.46469922363281269</v>
      </c>
      <c r="AA78" s="14">
        <f>+F72</f>
        <v>1.195992044030298</v>
      </c>
    </row>
    <row r="79" spans="2:29">
      <c r="B79" s="12" t="s">
        <v>129</v>
      </c>
      <c r="C79" s="323">
        <v>108.2</v>
      </c>
      <c r="D79" s="15">
        <f>+'TX28'!E21</f>
        <v>47066</v>
      </c>
      <c r="E79" s="227">
        <f>+'TX28'!J23</f>
        <v>8.3005133271217363E-2</v>
      </c>
      <c r="F79" s="128">
        <f>+'TX28'!J24</f>
        <v>4.2912524812415604</v>
      </c>
      <c r="G79" s="307">
        <v>0.81820000000000004</v>
      </c>
      <c r="Y79" s="14" t="str">
        <f>+B15</f>
        <v>TX22</v>
      </c>
      <c r="Z79" s="16">
        <f>+H15</f>
        <v>0.44456767089843763</v>
      </c>
      <c r="AA79" s="14">
        <f>+F71</f>
        <v>0.69703557312252973</v>
      </c>
    </row>
    <row r="80" spans="2:29">
      <c r="B80" s="12" t="s">
        <v>73</v>
      </c>
      <c r="C80" s="323">
        <v>2330</v>
      </c>
      <c r="D80" s="15">
        <v>48944</v>
      </c>
      <c r="E80" s="227">
        <v>9.0999999999999998E-2</v>
      </c>
      <c r="F80" s="128">
        <v>5.62</v>
      </c>
      <c r="G80" s="308">
        <v>0.84109999999999996</v>
      </c>
      <c r="Y80" s="14" t="str">
        <f>+B17</f>
        <v>TO23</v>
      </c>
      <c r="Z80" s="16">
        <f>+H17</f>
        <v>0.49368477539062516</v>
      </c>
      <c r="AA80" s="14">
        <f>+G17</f>
        <v>1.4439351777119052</v>
      </c>
    </row>
    <row r="81" spans="2:30">
      <c r="B81" s="12" t="s">
        <v>75</v>
      </c>
      <c r="C81" s="323">
        <v>881</v>
      </c>
      <c r="D81" s="15">
        <v>50770</v>
      </c>
      <c r="E81" s="227">
        <v>0.1105</v>
      </c>
      <c r="F81" s="128">
        <v>9.43</v>
      </c>
      <c r="G81" s="308">
        <v>0.437</v>
      </c>
      <c r="Y81" s="14" t="str">
        <f>+B18</f>
        <v>TC23</v>
      </c>
      <c r="Z81" s="16">
        <f>+H18</f>
        <v>0.48455432617187499</v>
      </c>
      <c r="AA81" s="14">
        <f>+G18</f>
        <v>1.2687863125632977</v>
      </c>
    </row>
    <row r="82" spans="2:30">
      <c r="B82" s="12" t="s">
        <v>74</v>
      </c>
      <c r="C82" s="323">
        <v>1330</v>
      </c>
      <c r="D82" s="15">
        <v>53327</v>
      </c>
      <c r="E82" s="227">
        <v>0.1016</v>
      </c>
      <c r="F82" s="128">
        <v>10.76</v>
      </c>
      <c r="G82" s="308">
        <v>0.4461</v>
      </c>
      <c r="Y82" s="14" t="str">
        <f>+B20</f>
        <v>TX23</v>
      </c>
      <c r="Z82" s="16">
        <f>+H20</f>
        <v>0.48607174804687503</v>
      </c>
      <c r="AA82" s="14">
        <f>+G20</f>
        <v>1.3559291973168417</v>
      </c>
    </row>
    <row r="83" spans="2:30">
      <c r="G83" s="305"/>
      <c r="Y83" s="14" t="str">
        <f>+B19</f>
        <v>TO26</v>
      </c>
      <c r="Z83" s="16">
        <f>+H19</f>
        <v>0.51678725585937513</v>
      </c>
      <c r="AA83" s="14">
        <f>+G19</f>
        <v>2.0151238860575362</v>
      </c>
    </row>
    <row r="84" spans="2:30">
      <c r="G84" s="305"/>
      <c r="Y84" s="12" t="s">
        <v>81</v>
      </c>
      <c r="Z84" s="16">
        <f>+H22</f>
        <v>0.5084366113281249</v>
      </c>
      <c r="AA84" s="14">
        <f>+G22</f>
        <v>2.0758728559936257</v>
      </c>
    </row>
    <row r="85" spans="2:30">
      <c r="D85" s="16"/>
      <c r="E85" s="14"/>
      <c r="Y85" s="110" t="s">
        <v>180</v>
      </c>
      <c r="Z85" s="132">
        <f>+H21</f>
        <v>0.48454940429687499</v>
      </c>
      <c r="AA85" s="139">
        <f>+G21</f>
        <v>1.6408743175498961</v>
      </c>
    </row>
    <row r="86" spans="2:30">
      <c r="D86" s="16"/>
      <c r="E86" s="148"/>
    </row>
    <row r="87" spans="2:30" ht="15">
      <c r="B87" s="230" t="s">
        <v>46</v>
      </c>
      <c r="C87" s="230" t="s">
        <v>107</v>
      </c>
      <c r="D87" s="230" t="s">
        <v>10</v>
      </c>
      <c r="E87" s="230" t="s">
        <v>108</v>
      </c>
      <c r="F87" s="230" t="s">
        <v>10</v>
      </c>
      <c r="G87" s="230" t="s">
        <v>29</v>
      </c>
      <c r="H87" s="230" t="s">
        <v>18</v>
      </c>
      <c r="Y87" s="22"/>
    </row>
    <row r="88" spans="2:30">
      <c r="B88" s="175" t="s">
        <v>41</v>
      </c>
      <c r="C88" s="142">
        <f t="shared" ref="C88:C94" si="2">VLOOKUP(B88,$B$9:$C$29,2,FALSE)</f>
        <v>524.70000000000005</v>
      </c>
      <c r="D88" s="146">
        <f t="shared" ref="D88:D93" si="3">+E69</f>
        <v>-3.264036686051637E-2</v>
      </c>
      <c r="E88" s="142">
        <f>+'TC21'!X40</f>
        <v>523.48267108651044</v>
      </c>
      <c r="F88" s="146">
        <v>0.02</v>
      </c>
      <c r="G88" s="142">
        <f>+'TC21'!I10</f>
        <v>4.4444444444444391E-2</v>
      </c>
      <c r="H88" s="22">
        <f t="shared" ref="H88:H97" si="4">(E88-C88)/C88</f>
        <v>-2.3200474813981501E-3</v>
      </c>
      <c r="Y88" s="22"/>
    </row>
    <row r="89" spans="2:30">
      <c r="B89" s="175" t="s">
        <v>42</v>
      </c>
      <c r="C89" s="142">
        <f t="shared" si="2"/>
        <v>166.75</v>
      </c>
      <c r="D89" s="146">
        <f t="shared" si="3"/>
        <v>-1.6136326139234013E-2</v>
      </c>
      <c r="E89" s="142">
        <f>+'TX21'!X39</f>
        <v>166.25636771219899</v>
      </c>
      <c r="F89" s="146">
        <v>0.02</v>
      </c>
      <c r="G89" s="142">
        <f>+'TX21'!AG10</f>
        <v>7.9757975726976654E-2</v>
      </c>
      <c r="H89" s="22">
        <f t="shared" si="4"/>
        <v>-2.9603135700210256E-3</v>
      </c>
    </row>
    <row r="90" spans="2:30">
      <c r="B90" s="175" t="s">
        <v>45</v>
      </c>
      <c r="C90" s="142">
        <f t="shared" si="2"/>
        <v>157.69999999999999</v>
      </c>
      <c r="D90" s="146">
        <f t="shared" si="3"/>
        <v>2.7927407226562506E-2</v>
      </c>
      <c r="E90" s="142">
        <f>+'TX22'!X39</f>
        <v>158.01317978902156</v>
      </c>
      <c r="F90" s="146">
        <v>2.5000000000000001E-2</v>
      </c>
      <c r="G90" s="142">
        <f>+'TX22'!AG11</f>
        <v>0.68839381851073378</v>
      </c>
      <c r="H90" s="22">
        <f t="shared" si="4"/>
        <v>1.9859213000733996E-3</v>
      </c>
      <c r="Y90" s="22"/>
      <c r="AB90" s="22"/>
      <c r="AD90" s="14"/>
    </row>
    <row r="91" spans="2:30">
      <c r="B91" s="175" t="s">
        <v>102</v>
      </c>
      <c r="C91" s="142">
        <f t="shared" si="2"/>
        <v>148</v>
      </c>
      <c r="D91" s="146">
        <f t="shared" si="3"/>
        <v>3.2965014648437499E-2</v>
      </c>
      <c r="E91" s="142">
        <f>+T2X2!Y39</f>
        <v>148.51070505381435</v>
      </c>
      <c r="F91" s="146">
        <v>0.03</v>
      </c>
      <c r="G91" s="142">
        <f>+T2X2!AH12</f>
        <v>1.1780831023270644</v>
      </c>
      <c r="H91" s="22">
        <f>+T2X2!Z37</f>
        <v>-1.378494629170688E-2</v>
      </c>
      <c r="AA91" s="12" t="s">
        <v>41</v>
      </c>
      <c r="AB91" s="22">
        <v>-4.1099999999999998E-2</v>
      </c>
      <c r="AC91" s="12">
        <v>0.4</v>
      </c>
      <c r="AD91" s="14">
        <f t="shared" ref="AD91:AD96" si="5">(E69*10000)-(AB91*10000)</f>
        <v>84.596331394836284</v>
      </c>
    </row>
    <row r="92" spans="2:30">
      <c r="B92" s="175" t="s">
        <v>78</v>
      </c>
      <c r="C92" s="142">
        <f t="shared" si="2"/>
        <v>368</v>
      </c>
      <c r="D92" s="146">
        <f t="shared" si="3"/>
        <v>4.3932631611824036E-2</v>
      </c>
      <c r="E92" s="142">
        <f>+'TC23'!X37</f>
        <v>373.12020079420142</v>
      </c>
      <c r="F92" s="146">
        <v>3.5000000000000003E-2</v>
      </c>
      <c r="G92" s="142">
        <f>+'TC23'!AG13</f>
        <v>1.5812529174283569</v>
      </c>
      <c r="H92" s="22">
        <f t="shared" si="4"/>
        <v>1.3913589114677782E-2</v>
      </c>
      <c r="AA92" s="12" t="s">
        <v>42</v>
      </c>
      <c r="AB92" s="22">
        <v>-4.58E-2</v>
      </c>
      <c r="AC92" s="12">
        <v>0.44</v>
      </c>
      <c r="AD92" s="14">
        <f t="shared" si="5"/>
        <v>296.63673860765988</v>
      </c>
    </row>
    <row r="93" spans="2:30">
      <c r="B93" s="175" t="s">
        <v>65</v>
      </c>
      <c r="C93" s="142">
        <f t="shared" si="2"/>
        <v>150.69999999999999</v>
      </c>
      <c r="D93" s="146">
        <f t="shared" si="3"/>
        <v>4.6011450195312512E-2</v>
      </c>
      <c r="E93" s="142">
        <f>+'TX23'!X38</f>
        <v>153.4300618724082</v>
      </c>
      <c r="F93" s="146">
        <v>3.5000000000000003E-2</v>
      </c>
      <c r="G93" s="142">
        <f>+'TX23'!AG13</f>
        <v>1.6689790059744172</v>
      </c>
      <c r="H93" s="22">
        <f t="shared" si="4"/>
        <v>1.8115871747897905E-2</v>
      </c>
      <c r="AA93" s="12" t="s">
        <v>45</v>
      </c>
      <c r="AB93" s="22">
        <v>1E-3</v>
      </c>
      <c r="AC93" s="12">
        <v>1.05</v>
      </c>
      <c r="AD93" s="14">
        <f t="shared" si="5"/>
        <v>269.27407226562508</v>
      </c>
    </row>
    <row r="94" spans="2:30">
      <c r="B94" s="175" t="s">
        <v>81</v>
      </c>
      <c r="C94" s="142">
        <f t="shared" si="2"/>
        <v>141</v>
      </c>
      <c r="D94" s="146">
        <f>+E76</f>
        <v>6.0383334960937521E-2</v>
      </c>
      <c r="E94" s="142">
        <f>+'TX24'!X39</f>
        <v>148.48699598766501</v>
      </c>
      <c r="F94" s="146">
        <v>0.04</v>
      </c>
      <c r="G94" s="142">
        <f>+'TX24'!AG15</f>
        <v>2.6130996295790356</v>
      </c>
      <c r="H94" s="22">
        <f t="shared" si="4"/>
        <v>5.3099262323865332E-2</v>
      </c>
      <c r="AA94" s="12" t="s">
        <v>102</v>
      </c>
      <c r="AB94" s="22">
        <v>8.0999999999999996E-3</v>
      </c>
      <c r="AC94" s="12">
        <v>1.55</v>
      </c>
      <c r="AD94" s="14">
        <f t="shared" si="5"/>
        <v>248.650146484375</v>
      </c>
    </row>
    <row r="95" spans="2:30">
      <c r="B95" s="175" t="s">
        <v>73</v>
      </c>
      <c r="C95" s="142">
        <f>+C80</f>
        <v>2330</v>
      </c>
      <c r="D95" s="146">
        <f>+E80</f>
        <v>9.0999999999999998E-2</v>
      </c>
      <c r="E95" s="142">
        <v>2072</v>
      </c>
      <c r="F95" s="146">
        <v>0.06</v>
      </c>
      <c r="G95" s="142">
        <v>6.37</v>
      </c>
      <c r="H95" s="22">
        <f t="shared" si="4"/>
        <v>-0.11072961373390558</v>
      </c>
      <c r="AA95" s="12" t="s">
        <v>78</v>
      </c>
      <c r="AB95" s="22">
        <v>2.23E-2</v>
      </c>
      <c r="AC95" s="12">
        <v>1.91</v>
      </c>
      <c r="AD95" s="14">
        <f t="shared" si="5"/>
        <v>216.32631611824036</v>
      </c>
    </row>
    <row r="96" spans="2:30">
      <c r="B96" s="175" t="s">
        <v>75</v>
      </c>
      <c r="C96" s="142">
        <f>+C81</f>
        <v>881</v>
      </c>
      <c r="D96" s="146">
        <f>+E81</f>
        <v>0.1105</v>
      </c>
      <c r="E96" s="142">
        <v>925</v>
      </c>
      <c r="F96" s="146">
        <v>7.0000000000000007E-2</v>
      </c>
      <c r="G96" s="142">
        <v>10.83</v>
      </c>
      <c r="H96" s="22">
        <f t="shared" si="4"/>
        <v>4.9943246311010214E-2</v>
      </c>
      <c r="AA96" s="12" t="s">
        <v>65</v>
      </c>
      <c r="AB96" s="22">
        <v>4.8899999999999999E-2</v>
      </c>
      <c r="AC96" s="12">
        <v>2.02</v>
      </c>
      <c r="AD96" s="14">
        <f t="shared" si="5"/>
        <v>-28.885498046874886</v>
      </c>
    </row>
    <row r="97" spans="2:30">
      <c r="B97" s="175" t="s">
        <v>74</v>
      </c>
      <c r="C97" s="142">
        <f>+C82</f>
        <v>1330</v>
      </c>
      <c r="D97" s="146">
        <f>+E82</f>
        <v>0.1016</v>
      </c>
      <c r="E97" s="142">
        <v>1392</v>
      </c>
      <c r="F97" s="146">
        <v>7.0000000000000007E-2</v>
      </c>
      <c r="G97" s="142">
        <v>11.87</v>
      </c>
      <c r="H97" s="22">
        <f t="shared" si="4"/>
        <v>4.6616541353383459E-2</v>
      </c>
      <c r="AA97" s="12" t="s">
        <v>81</v>
      </c>
      <c r="AB97" s="22">
        <v>3.1399999999999997E-2</v>
      </c>
      <c r="AC97" s="12">
        <v>2.93</v>
      </c>
      <c r="AD97" s="14">
        <f>(E76*10000)-(AB97*10000)</f>
        <v>289.8333496093752</v>
      </c>
    </row>
    <row r="98" spans="2:30">
      <c r="AA98" s="12" t="s">
        <v>124</v>
      </c>
      <c r="AB98" s="22">
        <v>6.8099999999999994E-2</v>
      </c>
      <c r="AC98" s="12">
        <v>4.29</v>
      </c>
      <c r="AD98" s="14">
        <f>(E78*10000)-(AB98*10000)</f>
        <v>53.679638671875068</v>
      </c>
    </row>
    <row r="99" spans="2:30">
      <c r="AA99" s="12" t="s">
        <v>129</v>
      </c>
      <c r="AB99" s="22">
        <v>7.6999999999999999E-2</v>
      </c>
      <c r="AC99" s="12">
        <v>4.83</v>
      </c>
      <c r="AD99" s="14">
        <f>(E79*10000)-(AB99*10000)</f>
        <v>60.051332712173576</v>
      </c>
    </row>
    <row r="100" spans="2:30">
      <c r="AA100" s="12" t="s">
        <v>73</v>
      </c>
      <c r="AB100" s="22">
        <v>9.8100000000000007E-2</v>
      </c>
      <c r="AC100" s="12">
        <v>5.9</v>
      </c>
      <c r="AD100" s="14">
        <f>(E80*10000)-(AB100*10000)</f>
        <v>-71.000000000000114</v>
      </c>
    </row>
    <row r="101" spans="2:30">
      <c r="AA101" s="12" t="s">
        <v>75</v>
      </c>
      <c r="AB101" s="22">
        <v>0.1072</v>
      </c>
      <c r="AC101" s="12">
        <v>9.82</v>
      </c>
      <c r="AD101" s="14">
        <f>(E81*10000)-(AB101*10000)</f>
        <v>33</v>
      </c>
    </row>
    <row r="102" spans="2:30">
      <c r="AA102" s="12" t="s">
        <v>74</v>
      </c>
      <c r="AB102" s="22">
        <v>0.1056</v>
      </c>
      <c r="AC102" s="12">
        <v>11.03</v>
      </c>
      <c r="AD102" s="14">
        <f>(E82*10000)-(AB102*10000)</f>
        <v>-40</v>
      </c>
    </row>
    <row r="104" spans="2:30">
      <c r="AD104" s="14">
        <f>AVERAGE(AD90:AD99)</f>
        <v>165.57360309080948</v>
      </c>
    </row>
    <row r="107" spans="2:30">
      <c r="D107" s="22"/>
    </row>
    <row r="110" spans="2:30">
      <c r="F110" s="22"/>
    </row>
    <row r="118" spans="4:29">
      <c r="D118" s="31"/>
    </row>
    <row r="119" spans="4:29">
      <c r="D119" s="31"/>
    </row>
    <row r="120" spans="4:29">
      <c r="D120" s="19"/>
      <c r="G120" s="22"/>
    </row>
    <row r="122" spans="4:29">
      <c r="G122" s="22"/>
    </row>
    <row r="123" spans="4:29" ht="15.75">
      <c r="H123" s="22"/>
      <c r="AC123" s="149"/>
    </row>
    <row r="127" spans="4:29">
      <c r="N127" s="348"/>
    </row>
    <row r="132" spans="3:8">
      <c r="H132" s="22"/>
    </row>
    <row r="133" spans="3:8">
      <c r="H133" s="22"/>
    </row>
    <row r="137" spans="3:8">
      <c r="C137" s="107"/>
    </row>
    <row r="138" spans="3:8">
      <c r="C138" s="31"/>
    </row>
    <row r="139" spans="3:8">
      <c r="D139" s="22"/>
    </row>
    <row r="141" spans="3:8">
      <c r="C141" s="14"/>
    </row>
    <row r="145" spans="3:25">
      <c r="C145" s="107"/>
    </row>
    <row r="146" spans="3:25">
      <c r="C146" s="31"/>
    </row>
    <row r="147" spans="3:25">
      <c r="C147" s="19"/>
      <c r="D147" s="22"/>
    </row>
    <row r="148" spans="3:25">
      <c r="D148" s="22"/>
    </row>
    <row r="149" spans="3:25">
      <c r="C149" s="282"/>
      <c r="D149" s="22"/>
    </row>
    <row r="151" spans="3:25">
      <c r="Y151" s="19"/>
    </row>
    <row r="152" spans="3:25">
      <c r="Y152" s="19"/>
    </row>
    <row r="154" spans="3:25">
      <c r="Y154" s="14"/>
    </row>
    <row r="156" spans="3:25">
      <c r="Y156" s="19"/>
    </row>
    <row r="157" spans="3:25">
      <c r="Y157" s="19"/>
    </row>
    <row r="159" spans="3:25">
      <c r="Y159" s="19"/>
    </row>
  </sheetData>
  <sortState ref="K64:T76">
    <sortCondition ref="P64:P76"/>
  </sortState>
  <mergeCells count="3">
    <mergeCell ref="W35:AA35"/>
    <mergeCell ref="I6:J6"/>
    <mergeCell ref="B64:C64"/>
  </mergeCells>
  <conditionalFormatting sqref="H88:H9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D90:AD10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{E8CFE384-DF14-40BC-9E71-D4EF5AFD4427}</x14:id>
        </ext>
      </extLst>
    </cfRule>
  </conditionalFormatting>
  <conditionalFormatting sqref="I9:J24 I26:J3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H91 Z83:AA83 Z84:AA84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CFE384-DF14-40BC-9E71-D4EF5AFD44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AD90:AD102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showGridLines="0" zoomScale="90" zoomScaleNormal="90" workbookViewId="0">
      <selection activeCell="C25" sqref="C25"/>
    </sheetView>
  </sheetViews>
  <sheetFormatPr baseColWidth="10" defaultRowHeight="15"/>
  <cols>
    <col min="2" max="2" width="17.7109375" customWidth="1"/>
    <col min="3" max="3" width="13.42578125" customWidth="1"/>
    <col min="4" max="4" width="4" customWidth="1"/>
    <col min="5" max="5" width="12.140625" bestFit="1" customWidth="1"/>
    <col min="6" max="6" width="9.140625" customWidth="1"/>
    <col min="7" max="7" width="7.5703125" customWidth="1"/>
    <col min="8" max="8" width="8.28515625" customWidth="1"/>
    <col min="9" max="9" width="11.5703125" customWidth="1"/>
    <col min="10" max="10" width="10.85546875" customWidth="1"/>
    <col min="11" max="11" width="6.140625" customWidth="1"/>
    <col min="12" max="12" width="12.140625" bestFit="1" customWidth="1"/>
    <col min="13" max="13" width="8.5703125" customWidth="1"/>
    <col min="14" max="14" width="7.7109375" customWidth="1"/>
    <col min="15" max="15" width="9.140625" customWidth="1"/>
    <col min="16" max="16" width="10.7109375" customWidth="1"/>
    <col min="17" max="17" width="9.28515625" customWidth="1"/>
  </cols>
  <sheetData>
    <row r="1" spans="1:18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>
      <c r="A4" s="12"/>
      <c r="B4" s="369" t="s">
        <v>34</v>
      </c>
      <c r="C4" s="370"/>
      <c r="D4" s="12"/>
      <c r="E4" s="394" t="s">
        <v>173</v>
      </c>
      <c r="F4" s="394"/>
      <c r="G4" s="394"/>
      <c r="H4" s="394"/>
      <c r="I4" s="394"/>
      <c r="J4" s="394"/>
      <c r="K4" s="12"/>
      <c r="L4" s="394" t="s">
        <v>173</v>
      </c>
      <c r="M4" s="394"/>
      <c r="N4" s="394"/>
      <c r="O4" s="394"/>
      <c r="P4" s="394"/>
      <c r="Q4" s="394"/>
      <c r="R4" s="12"/>
    </row>
    <row r="5" spans="1:18">
      <c r="A5" s="12"/>
      <c r="B5" s="122" t="s">
        <v>0</v>
      </c>
      <c r="C5" s="123">
        <v>42823</v>
      </c>
      <c r="D5" s="12"/>
      <c r="E5" s="68" t="s">
        <v>14</v>
      </c>
      <c r="F5" s="68" t="s">
        <v>7</v>
      </c>
      <c r="G5" s="68" t="s">
        <v>21</v>
      </c>
      <c r="H5" s="68" t="s">
        <v>8</v>
      </c>
      <c r="I5" s="68" t="s">
        <v>33</v>
      </c>
      <c r="J5" s="68" t="s">
        <v>9</v>
      </c>
      <c r="K5" s="12"/>
      <c r="L5" s="68" t="s">
        <v>14</v>
      </c>
      <c r="M5" s="68" t="s">
        <v>7</v>
      </c>
      <c r="N5" s="68" t="s">
        <v>21</v>
      </c>
      <c r="O5" s="68" t="s">
        <v>8</v>
      </c>
      <c r="P5" s="68" t="s">
        <v>33</v>
      </c>
      <c r="Q5" s="68" t="s">
        <v>9</v>
      </c>
      <c r="R5" s="12"/>
    </row>
    <row r="6" spans="1:18">
      <c r="A6" s="12"/>
      <c r="B6" s="122" t="s">
        <v>1</v>
      </c>
      <c r="C6" s="123">
        <v>45380</v>
      </c>
      <c r="D6" s="12"/>
      <c r="E6" s="97">
        <f>'Planilla de datos'!D3</f>
        <v>44383</v>
      </c>
      <c r="F6" s="94">
        <v>100</v>
      </c>
      <c r="G6" s="208"/>
      <c r="H6" s="208"/>
      <c r="I6" s="208"/>
      <c r="J6" s="204">
        <f>-'Planilla de datos'!C29</f>
        <v>-89</v>
      </c>
      <c r="K6" s="12"/>
      <c r="L6" s="97">
        <f t="shared" ref="L6:L17" si="0">+E6</f>
        <v>44383</v>
      </c>
      <c r="M6" s="94">
        <f t="shared" ref="M6:M17" si="1">+F6</f>
        <v>100</v>
      </c>
      <c r="N6" s="94">
        <f t="shared" ref="N6:N17" si="2">+G6</f>
        <v>0</v>
      </c>
      <c r="O6" s="202">
        <f t="shared" ref="O6:O17" si="3">+H6</f>
        <v>0</v>
      </c>
      <c r="P6" s="94">
        <f t="shared" ref="P6:P17" si="4">+I6</f>
        <v>0</v>
      </c>
      <c r="Q6" s="203">
        <v>0</v>
      </c>
      <c r="R6" s="12"/>
    </row>
    <row r="7" spans="1:18">
      <c r="A7" s="12"/>
      <c r="B7" s="122" t="s">
        <v>157</v>
      </c>
      <c r="C7" s="124">
        <v>3.2500000000000001E-2</v>
      </c>
      <c r="D7" s="12"/>
      <c r="E7" s="97">
        <v>44468</v>
      </c>
      <c r="F7" s="94">
        <v>100</v>
      </c>
      <c r="G7" s="208">
        <f>E7-C12</f>
        <v>92</v>
      </c>
      <c r="H7" s="209">
        <f t="shared" ref="H7:H17" si="5">F6*(($C$11)/360*G7)</f>
        <v>9.5585763888888895</v>
      </c>
      <c r="I7" s="209">
        <v>0</v>
      </c>
      <c r="J7" s="204">
        <f t="shared" ref="J7:J17" si="6">SUM(H7:I7)</f>
        <v>9.5585763888888895</v>
      </c>
      <c r="K7" s="12"/>
      <c r="L7" s="97">
        <f t="shared" si="0"/>
        <v>44468</v>
      </c>
      <c r="M7" s="94">
        <f t="shared" si="1"/>
        <v>100</v>
      </c>
      <c r="N7" s="94">
        <f t="shared" si="2"/>
        <v>92</v>
      </c>
      <c r="O7" s="202">
        <f t="shared" si="3"/>
        <v>9.5585763888888895</v>
      </c>
      <c r="P7" s="94">
        <f t="shared" si="4"/>
        <v>0</v>
      </c>
      <c r="Q7" s="203">
        <f t="shared" ref="Q7:Q17" si="7">+J7</f>
        <v>9.5585763888888895</v>
      </c>
      <c r="R7" s="12"/>
    </row>
    <row r="8" spans="1:18">
      <c r="A8" s="12"/>
      <c r="B8" s="122" t="s">
        <v>168</v>
      </c>
      <c r="C8" s="124">
        <f>AVERAGE('Serie BADLAR'!C233:C292)/100</f>
        <v>0.34153125000000001</v>
      </c>
      <c r="D8" s="12"/>
      <c r="E8" s="97">
        <v>44559</v>
      </c>
      <c r="F8" s="94">
        <v>100</v>
      </c>
      <c r="G8" s="208">
        <f t="shared" ref="G8:G17" si="8">E8-E7</f>
        <v>91</v>
      </c>
      <c r="H8" s="209">
        <f t="shared" si="5"/>
        <v>9.454678819444446</v>
      </c>
      <c r="I8" s="209">
        <v>0</v>
      </c>
      <c r="J8" s="204">
        <f t="shared" si="6"/>
        <v>9.454678819444446</v>
      </c>
      <c r="K8" s="12"/>
      <c r="L8" s="97">
        <f t="shared" si="0"/>
        <v>44559</v>
      </c>
      <c r="M8" s="94">
        <f t="shared" si="1"/>
        <v>100</v>
      </c>
      <c r="N8" s="94">
        <f t="shared" si="2"/>
        <v>91</v>
      </c>
      <c r="O8" s="202">
        <f t="shared" si="3"/>
        <v>9.454678819444446</v>
      </c>
      <c r="P8" s="94">
        <f t="shared" si="4"/>
        <v>0</v>
      </c>
      <c r="Q8" s="203">
        <f t="shared" si="7"/>
        <v>9.454678819444446</v>
      </c>
      <c r="R8" s="12"/>
    </row>
    <row r="9" spans="1:18">
      <c r="A9" s="12"/>
      <c r="B9" s="122" t="s">
        <v>163</v>
      </c>
      <c r="C9" s="124">
        <f>+C8+C7</f>
        <v>0.37403125000000004</v>
      </c>
      <c r="D9" s="12"/>
      <c r="E9" s="97">
        <v>44649</v>
      </c>
      <c r="F9" s="94">
        <v>100</v>
      </c>
      <c r="G9" s="208">
        <f t="shared" si="8"/>
        <v>90</v>
      </c>
      <c r="H9" s="209">
        <f t="shared" si="5"/>
        <v>9.3507812500000007</v>
      </c>
      <c r="I9" s="209">
        <v>0</v>
      </c>
      <c r="J9" s="204">
        <f t="shared" si="6"/>
        <v>9.3507812500000007</v>
      </c>
      <c r="K9" s="12"/>
      <c r="L9" s="97">
        <f t="shared" si="0"/>
        <v>44649</v>
      </c>
      <c r="M9" s="94">
        <f t="shared" si="1"/>
        <v>100</v>
      </c>
      <c r="N9" s="94">
        <f t="shared" si="2"/>
        <v>90</v>
      </c>
      <c r="O9" s="202">
        <f t="shared" si="3"/>
        <v>9.3507812500000007</v>
      </c>
      <c r="P9" s="94">
        <f t="shared" si="4"/>
        <v>0</v>
      </c>
      <c r="Q9" s="203">
        <f t="shared" si="7"/>
        <v>9.3507812500000007</v>
      </c>
      <c r="R9" s="12"/>
    </row>
    <row r="10" spans="1:18">
      <c r="A10" s="12"/>
      <c r="B10" s="122" t="s">
        <v>161</v>
      </c>
      <c r="C10" s="124">
        <f>+C8</f>
        <v>0.34153125000000001</v>
      </c>
      <c r="D10" s="12"/>
      <c r="E10" s="97">
        <v>44741</v>
      </c>
      <c r="F10" s="94">
        <v>100</v>
      </c>
      <c r="G10" s="208">
        <f t="shared" si="8"/>
        <v>92</v>
      </c>
      <c r="H10" s="209">
        <f t="shared" si="5"/>
        <v>9.5585763888888895</v>
      </c>
      <c r="I10" s="209">
        <v>0</v>
      </c>
      <c r="J10" s="204">
        <f t="shared" si="6"/>
        <v>9.5585763888888895</v>
      </c>
      <c r="K10" s="12"/>
      <c r="L10" s="97">
        <f t="shared" si="0"/>
        <v>44741</v>
      </c>
      <c r="M10" s="94">
        <f t="shared" si="1"/>
        <v>100</v>
      </c>
      <c r="N10" s="94">
        <f t="shared" si="2"/>
        <v>92</v>
      </c>
      <c r="O10" s="202">
        <f t="shared" si="3"/>
        <v>9.5585763888888895</v>
      </c>
      <c r="P10" s="94">
        <f t="shared" si="4"/>
        <v>0</v>
      </c>
      <c r="Q10" s="203">
        <f t="shared" si="7"/>
        <v>9.5585763888888895</v>
      </c>
      <c r="R10" s="12"/>
    </row>
    <row r="11" spans="1:18">
      <c r="A11" s="12"/>
      <c r="B11" s="122" t="s">
        <v>167</v>
      </c>
      <c r="C11" s="124">
        <f>+C10+C7</f>
        <v>0.37403125000000004</v>
      </c>
      <c r="D11" s="12"/>
      <c r="E11" s="97">
        <v>44833</v>
      </c>
      <c r="F11" s="94">
        <v>100</v>
      </c>
      <c r="G11" s="208">
        <f t="shared" si="8"/>
        <v>92</v>
      </c>
      <c r="H11" s="209">
        <f t="shared" si="5"/>
        <v>9.5585763888888895</v>
      </c>
      <c r="I11" s="209">
        <v>0</v>
      </c>
      <c r="J11" s="204">
        <f t="shared" si="6"/>
        <v>9.5585763888888895</v>
      </c>
      <c r="K11" s="12"/>
      <c r="L11" s="97">
        <f t="shared" si="0"/>
        <v>44833</v>
      </c>
      <c r="M11" s="94">
        <f t="shared" si="1"/>
        <v>100</v>
      </c>
      <c r="N11" s="94">
        <f t="shared" si="2"/>
        <v>92</v>
      </c>
      <c r="O11" s="202">
        <f t="shared" si="3"/>
        <v>9.5585763888888895</v>
      </c>
      <c r="P11" s="94">
        <f t="shared" si="4"/>
        <v>0</v>
      </c>
      <c r="Q11" s="203">
        <f t="shared" si="7"/>
        <v>9.5585763888888895</v>
      </c>
      <c r="R11" s="12"/>
    </row>
    <row r="12" spans="1:18">
      <c r="A12" s="12"/>
      <c r="B12" s="125" t="s">
        <v>27</v>
      </c>
      <c r="C12" s="200">
        <v>44376</v>
      </c>
      <c r="D12" s="12"/>
      <c r="E12" s="97">
        <v>44924</v>
      </c>
      <c r="F12" s="94">
        <v>100</v>
      </c>
      <c r="G12" s="208">
        <f t="shared" si="8"/>
        <v>91</v>
      </c>
      <c r="H12" s="209">
        <f t="shared" si="5"/>
        <v>9.454678819444446</v>
      </c>
      <c r="I12" s="209">
        <v>0</v>
      </c>
      <c r="J12" s="204">
        <f t="shared" si="6"/>
        <v>9.454678819444446</v>
      </c>
      <c r="K12" s="12"/>
      <c r="L12" s="97">
        <f t="shared" si="0"/>
        <v>44924</v>
      </c>
      <c r="M12" s="94">
        <f t="shared" si="1"/>
        <v>100</v>
      </c>
      <c r="N12" s="94">
        <f t="shared" si="2"/>
        <v>91</v>
      </c>
      <c r="O12" s="202">
        <f t="shared" si="3"/>
        <v>9.454678819444446</v>
      </c>
      <c r="P12" s="94">
        <f t="shared" si="4"/>
        <v>0</v>
      </c>
      <c r="Q12" s="203">
        <f t="shared" si="7"/>
        <v>9.454678819444446</v>
      </c>
      <c r="R12" s="12"/>
    </row>
    <row r="13" spans="1:18">
      <c r="A13" s="12"/>
      <c r="B13" s="12"/>
      <c r="C13" s="12"/>
      <c r="D13" s="12"/>
      <c r="E13" s="97">
        <v>45014</v>
      </c>
      <c r="F13" s="94">
        <v>100</v>
      </c>
      <c r="G13" s="208">
        <f t="shared" si="8"/>
        <v>90</v>
      </c>
      <c r="H13" s="209">
        <f t="shared" si="5"/>
        <v>9.3507812500000007</v>
      </c>
      <c r="I13" s="209">
        <v>0</v>
      </c>
      <c r="J13" s="204">
        <f t="shared" si="6"/>
        <v>9.3507812500000007</v>
      </c>
      <c r="K13" s="12"/>
      <c r="L13" s="97">
        <f t="shared" si="0"/>
        <v>45014</v>
      </c>
      <c r="M13" s="94">
        <f t="shared" si="1"/>
        <v>100</v>
      </c>
      <c r="N13" s="94">
        <f t="shared" si="2"/>
        <v>90</v>
      </c>
      <c r="O13" s="202">
        <f t="shared" si="3"/>
        <v>9.3507812500000007</v>
      </c>
      <c r="P13" s="94">
        <f t="shared" si="4"/>
        <v>0</v>
      </c>
      <c r="Q13" s="203">
        <f t="shared" si="7"/>
        <v>9.3507812500000007</v>
      </c>
      <c r="R13" s="12"/>
    </row>
    <row r="14" spans="1:18">
      <c r="A14" s="12"/>
      <c r="B14" s="12"/>
      <c r="C14" s="12"/>
      <c r="D14" s="12"/>
      <c r="E14" s="97">
        <v>45106</v>
      </c>
      <c r="F14" s="94">
        <v>100</v>
      </c>
      <c r="G14" s="208">
        <f t="shared" si="8"/>
        <v>92</v>
      </c>
      <c r="H14" s="209">
        <f t="shared" si="5"/>
        <v>9.5585763888888895</v>
      </c>
      <c r="I14" s="209">
        <v>0</v>
      </c>
      <c r="J14" s="204">
        <f t="shared" si="6"/>
        <v>9.5585763888888895</v>
      </c>
      <c r="K14" s="12"/>
      <c r="L14" s="97">
        <f t="shared" si="0"/>
        <v>45106</v>
      </c>
      <c r="M14" s="94">
        <f t="shared" si="1"/>
        <v>100</v>
      </c>
      <c r="N14" s="94">
        <f t="shared" si="2"/>
        <v>92</v>
      </c>
      <c r="O14" s="202">
        <f t="shared" si="3"/>
        <v>9.5585763888888895</v>
      </c>
      <c r="P14" s="94">
        <f t="shared" si="4"/>
        <v>0</v>
      </c>
      <c r="Q14" s="203">
        <f t="shared" si="7"/>
        <v>9.5585763888888895</v>
      </c>
      <c r="R14" s="12"/>
    </row>
    <row r="15" spans="1:18" ht="15" customHeight="1">
      <c r="A15" s="12"/>
      <c r="B15" s="12"/>
      <c r="C15" s="12"/>
      <c r="D15" s="12"/>
      <c r="E15" s="97">
        <v>45198</v>
      </c>
      <c r="F15" s="94">
        <v>100</v>
      </c>
      <c r="G15" s="208">
        <f t="shared" si="8"/>
        <v>92</v>
      </c>
      <c r="H15" s="209">
        <f t="shared" si="5"/>
        <v>9.5585763888888895</v>
      </c>
      <c r="I15" s="209">
        <v>0</v>
      </c>
      <c r="J15" s="204">
        <f t="shared" si="6"/>
        <v>9.5585763888888895</v>
      </c>
      <c r="K15" s="12"/>
      <c r="L15" s="97">
        <f t="shared" si="0"/>
        <v>45198</v>
      </c>
      <c r="M15" s="94">
        <f t="shared" si="1"/>
        <v>100</v>
      </c>
      <c r="N15" s="94">
        <f t="shared" si="2"/>
        <v>92</v>
      </c>
      <c r="O15" s="202">
        <f t="shared" si="3"/>
        <v>9.5585763888888895</v>
      </c>
      <c r="P15" s="94">
        <f t="shared" si="4"/>
        <v>0</v>
      </c>
      <c r="Q15" s="203">
        <f t="shared" si="7"/>
        <v>9.5585763888888895</v>
      </c>
      <c r="R15" s="12"/>
    </row>
    <row r="16" spans="1:18" ht="15" customHeight="1">
      <c r="A16" s="12"/>
      <c r="B16" s="12"/>
      <c r="C16" s="16"/>
      <c r="D16" s="12"/>
      <c r="E16" s="97">
        <v>45289</v>
      </c>
      <c r="F16" s="94">
        <v>100</v>
      </c>
      <c r="G16" s="208">
        <f t="shared" si="8"/>
        <v>91</v>
      </c>
      <c r="H16" s="209">
        <f t="shared" si="5"/>
        <v>9.454678819444446</v>
      </c>
      <c r="I16" s="209">
        <v>0</v>
      </c>
      <c r="J16" s="204">
        <f t="shared" si="6"/>
        <v>9.454678819444446</v>
      </c>
      <c r="K16" s="12"/>
      <c r="L16" s="97">
        <f t="shared" si="0"/>
        <v>45289</v>
      </c>
      <c r="M16" s="94">
        <f t="shared" si="1"/>
        <v>100</v>
      </c>
      <c r="N16" s="94">
        <f t="shared" si="2"/>
        <v>91</v>
      </c>
      <c r="O16" s="202">
        <f t="shared" si="3"/>
        <v>9.454678819444446</v>
      </c>
      <c r="P16" s="94">
        <f t="shared" si="4"/>
        <v>0</v>
      </c>
      <c r="Q16" s="203">
        <f t="shared" si="7"/>
        <v>9.454678819444446</v>
      </c>
      <c r="R16" s="12"/>
    </row>
    <row r="17" spans="1:18">
      <c r="A17" s="12"/>
      <c r="B17" s="12"/>
      <c r="C17" s="12"/>
      <c r="D17" s="12"/>
      <c r="E17" s="97">
        <v>45380</v>
      </c>
      <c r="F17" s="94">
        <v>100</v>
      </c>
      <c r="G17" s="208">
        <f t="shared" si="8"/>
        <v>91</v>
      </c>
      <c r="H17" s="209">
        <f t="shared" si="5"/>
        <v>9.454678819444446</v>
      </c>
      <c r="I17" s="209">
        <v>100</v>
      </c>
      <c r="J17" s="204">
        <f t="shared" si="6"/>
        <v>109.45467881944444</v>
      </c>
      <c r="K17" s="12"/>
      <c r="L17" s="97">
        <f t="shared" si="0"/>
        <v>45380</v>
      </c>
      <c r="M17" s="94">
        <f t="shared" si="1"/>
        <v>100</v>
      </c>
      <c r="N17" s="94">
        <f t="shared" si="2"/>
        <v>91</v>
      </c>
      <c r="O17" s="202">
        <f t="shared" si="3"/>
        <v>9.454678819444446</v>
      </c>
      <c r="P17" s="94">
        <f t="shared" si="4"/>
        <v>100</v>
      </c>
      <c r="Q17" s="203">
        <f t="shared" si="7"/>
        <v>109.45467881944444</v>
      </c>
      <c r="R17" s="12"/>
    </row>
    <row r="18" spans="1:18">
      <c r="A18" s="12"/>
      <c r="B18" s="12"/>
      <c r="C18" s="12"/>
      <c r="D18" s="12"/>
      <c r="K18" s="12"/>
      <c r="R18" s="12"/>
    </row>
    <row r="19" spans="1:18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>
      <c r="A21" s="12"/>
      <c r="B21" s="12"/>
      <c r="C21" s="12"/>
      <c r="D21" s="12"/>
      <c r="E21" s="97"/>
      <c r="F21" s="94"/>
      <c r="G21" s="94"/>
      <c r="H21" s="96"/>
      <c r="I21" s="92" t="s">
        <v>10</v>
      </c>
      <c r="J21" s="206">
        <f>XIRR(J6:J17,E6:E17,0)</f>
        <v>0.54036532226562528</v>
      </c>
      <c r="K21" s="12"/>
      <c r="L21" s="12"/>
      <c r="M21" s="12"/>
      <c r="N21" s="12"/>
      <c r="O21" s="12"/>
      <c r="P21" s="12"/>
      <c r="Q21" s="12"/>
      <c r="R21" s="12"/>
    </row>
    <row r="22" spans="1:18">
      <c r="A22" s="12"/>
      <c r="B22" s="12"/>
      <c r="C22" s="12"/>
      <c r="D22" s="12"/>
      <c r="E22" s="97"/>
      <c r="F22" s="94"/>
      <c r="G22" s="94"/>
      <c r="H22" s="96"/>
      <c r="I22" s="92" t="s">
        <v>29</v>
      </c>
      <c r="J22" s="207">
        <f>MDURATION(E6,E17,C9,J21,4)</f>
        <v>1.4767834390216694</v>
      </c>
      <c r="K22" s="12"/>
      <c r="L22" s="12"/>
      <c r="M22" s="12"/>
      <c r="N22" s="12"/>
      <c r="O22" s="12"/>
      <c r="P22" s="12"/>
      <c r="Q22" s="12"/>
      <c r="R22" s="12"/>
    </row>
    <row r="23" spans="1:18">
      <c r="A23" s="12"/>
      <c r="B23" s="12"/>
      <c r="C23" s="12"/>
      <c r="D23" s="12"/>
      <c r="K23" s="12"/>
      <c r="L23" s="12"/>
      <c r="M23" s="12"/>
      <c r="N23" s="12"/>
      <c r="O23" s="12"/>
      <c r="P23" s="12"/>
      <c r="Q23" s="12"/>
      <c r="R23" s="12"/>
    </row>
    <row r="24" spans="1:18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ht="30" customHeight="1">
      <c r="A25" s="12"/>
      <c r="B25" s="12"/>
      <c r="C25" s="12"/>
      <c r="D25" s="12"/>
      <c r="E25" s="372" t="s">
        <v>92</v>
      </c>
      <c r="F25" s="285"/>
      <c r="G25" s="129"/>
      <c r="H25" s="61">
        <v>0.4</v>
      </c>
      <c r="I25" s="62">
        <f>XNPV(H25,Q6:Q17,L6:L17)</f>
        <v>105.52672895278366</v>
      </c>
      <c r="J25" s="61">
        <f>(I25/-J6)-1</f>
        <v>0.18569358373914224</v>
      </c>
      <c r="K25" s="12"/>
      <c r="L25" s="12"/>
      <c r="M25" s="12"/>
      <c r="N25" s="12"/>
      <c r="O25" s="12"/>
      <c r="P25" s="12"/>
      <c r="Q25" s="12"/>
      <c r="R25" s="12"/>
    </row>
    <row r="26" spans="1:18">
      <c r="A26" s="12"/>
      <c r="B26" s="12"/>
      <c r="C26" s="12"/>
      <c r="D26" s="12"/>
      <c r="E26" s="373"/>
      <c r="F26" s="286"/>
      <c r="G26" s="130"/>
      <c r="H26" s="63">
        <v>0.45</v>
      </c>
      <c r="I26" s="64">
        <f>XNPV(H26,Q6:Q17,L6:L17)</f>
        <v>99.034551441258813</v>
      </c>
      <c r="J26" s="63">
        <f>(I26/-J6)-1</f>
        <v>0.11274776900290795</v>
      </c>
      <c r="K26" s="12"/>
      <c r="L26" s="12"/>
      <c r="M26" s="12"/>
      <c r="N26" s="12"/>
      <c r="O26" s="12"/>
      <c r="P26" s="12"/>
      <c r="Q26" s="12"/>
      <c r="R26" s="12"/>
    </row>
    <row r="27" spans="1:18" ht="15" customHeight="1">
      <c r="A27" s="12"/>
      <c r="B27" s="12"/>
      <c r="C27" s="12"/>
      <c r="D27" s="12"/>
      <c r="R27" s="12"/>
    </row>
    <row r="28" spans="1:18">
      <c r="A28" s="12"/>
      <c r="B28" s="12"/>
      <c r="C28" s="12"/>
      <c r="D28" s="12"/>
      <c r="R28" s="12"/>
    </row>
    <row r="29" spans="1:18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>
      <c r="A31" s="12"/>
      <c r="B31" s="12"/>
      <c r="C31" s="12"/>
      <c r="D31" s="12"/>
      <c r="E31" s="31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>
      <c r="A32" s="12"/>
      <c r="B32" s="12"/>
      <c r="C32" s="12"/>
      <c r="D32" s="12"/>
      <c r="E32" s="31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>
      <c r="A33" s="12"/>
      <c r="B33" s="12"/>
      <c r="C33" s="12"/>
      <c r="D33" s="12"/>
      <c r="E33" s="94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>
      <c r="A34" s="12"/>
      <c r="B34" s="12"/>
      <c r="C34" s="12"/>
      <c r="D34" s="12"/>
      <c r="E34" s="2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</sheetData>
  <mergeCells count="4">
    <mergeCell ref="B4:C4"/>
    <mergeCell ref="E4:J4"/>
    <mergeCell ref="L4:Q4"/>
    <mergeCell ref="E25:E26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showGridLines="0" zoomScale="90" zoomScaleNormal="90" workbookViewId="0">
      <selection activeCell="J27" sqref="J27"/>
    </sheetView>
  </sheetViews>
  <sheetFormatPr baseColWidth="10" defaultRowHeight="15"/>
  <cols>
    <col min="2" max="2" width="17.7109375" customWidth="1"/>
    <col min="3" max="3" width="13.42578125" customWidth="1"/>
    <col min="4" max="4" width="4" customWidth="1"/>
    <col min="5" max="5" width="12.140625" bestFit="1" customWidth="1"/>
    <col min="6" max="6" width="9.140625" customWidth="1"/>
    <col min="7" max="7" width="7.5703125" customWidth="1"/>
    <col min="8" max="8" width="8.28515625" customWidth="1"/>
    <col min="9" max="9" width="11.5703125" customWidth="1"/>
    <col min="10" max="10" width="10.85546875" customWidth="1"/>
    <col min="11" max="11" width="6.140625" customWidth="1"/>
    <col min="12" max="12" width="12.140625" bestFit="1" customWidth="1"/>
    <col min="13" max="13" width="8.5703125" customWidth="1"/>
    <col min="14" max="14" width="7.7109375" customWidth="1"/>
    <col min="15" max="15" width="9.140625" customWidth="1"/>
    <col min="16" max="16" width="10.7109375" customWidth="1"/>
    <col min="17" max="17" width="9.28515625" customWidth="1"/>
  </cols>
  <sheetData>
    <row r="1" spans="1:18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>
      <c r="A4" s="12"/>
      <c r="B4" s="369" t="s">
        <v>34</v>
      </c>
      <c r="C4" s="370"/>
      <c r="D4" s="12"/>
      <c r="E4" s="394" t="s">
        <v>170</v>
      </c>
      <c r="F4" s="394"/>
      <c r="G4" s="394"/>
      <c r="H4" s="394"/>
      <c r="I4" s="394"/>
      <c r="J4" s="394"/>
      <c r="K4" s="12"/>
      <c r="L4" s="394" t="s">
        <v>170</v>
      </c>
      <c r="M4" s="394"/>
      <c r="N4" s="394"/>
      <c r="O4" s="394"/>
      <c r="P4" s="394"/>
      <c r="Q4" s="394"/>
      <c r="R4" s="12"/>
    </row>
    <row r="5" spans="1:18">
      <c r="A5" s="12"/>
      <c r="B5" s="122" t="s">
        <v>0</v>
      </c>
      <c r="C5" s="123">
        <v>42758</v>
      </c>
      <c r="D5" s="12"/>
      <c r="E5" s="68" t="s">
        <v>14</v>
      </c>
      <c r="F5" s="68" t="s">
        <v>7</v>
      </c>
      <c r="G5" s="68" t="s">
        <v>21</v>
      </c>
      <c r="H5" s="68" t="s">
        <v>8</v>
      </c>
      <c r="I5" s="68" t="s">
        <v>33</v>
      </c>
      <c r="J5" s="68" t="s">
        <v>9</v>
      </c>
      <c r="K5" s="12"/>
      <c r="L5" s="68" t="s">
        <v>14</v>
      </c>
      <c r="M5" s="68" t="s">
        <v>7</v>
      </c>
      <c r="N5" s="68" t="s">
        <v>21</v>
      </c>
      <c r="O5" s="68" t="s">
        <v>8</v>
      </c>
      <c r="P5" s="68" t="s">
        <v>33</v>
      </c>
      <c r="Q5" s="68" t="s">
        <v>9</v>
      </c>
      <c r="R5" s="12"/>
    </row>
    <row r="6" spans="1:18">
      <c r="A6" s="12"/>
      <c r="B6" s="122" t="s">
        <v>1</v>
      </c>
      <c r="C6" s="123">
        <v>44584</v>
      </c>
      <c r="D6" s="12"/>
      <c r="E6" s="97">
        <f>'Planilla de datos'!D3</f>
        <v>44383</v>
      </c>
      <c r="F6" s="94">
        <v>100</v>
      </c>
      <c r="G6" s="208"/>
      <c r="H6" s="208"/>
      <c r="I6" s="208"/>
      <c r="J6" s="204">
        <f>-'Planilla de datos'!C26</f>
        <v>-107.75</v>
      </c>
      <c r="K6" s="12"/>
      <c r="L6" s="97">
        <f>+E6</f>
        <v>44383</v>
      </c>
      <c r="M6" s="94">
        <f>+F6</f>
        <v>100</v>
      </c>
      <c r="N6" s="94">
        <f>+G6</f>
        <v>0</v>
      </c>
      <c r="O6" s="202">
        <f>+H6</f>
        <v>0</v>
      </c>
      <c r="P6" s="94">
        <f>+I6</f>
        <v>0</v>
      </c>
      <c r="Q6" s="203">
        <v>0</v>
      </c>
      <c r="R6" s="12"/>
    </row>
    <row r="7" spans="1:18">
      <c r="A7" s="12"/>
      <c r="B7" s="122" t="s">
        <v>157</v>
      </c>
      <c r="C7" s="124">
        <v>0.05</v>
      </c>
      <c r="D7" s="12"/>
      <c r="E7" s="97">
        <v>44400</v>
      </c>
      <c r="F7" s="94">
        <v>100</v>
      </c>
      <c r="G7" s="208">
        <f>E7-C12</f>
        <v>91</v>
      </c>
      <c r="H7" s="209">
        <f>F6*(($C$11)/360*G7)</f>
        <v>9.8986197916666665</v>
      </c>
      <c r="I7" s="209">
        <v>0</v>
      </c>
      <c r="J7" s="204">
        <f>SUM(H7:I7)</f>
        <v>9.8986197916666665</v>
      </c>
      <c r="K7" s="12"/>
      <c r="L7" s="97">
        <f t="shared" ref="L7:Q9" si="0">+E7</f>
        <v>44400</v>
      </c>
      <c r="M7" s="94">
        <f t="shared" si="0"/>
        <v>100</v>
      </c>
      <c r="N7" s="94">
        <f t="shared" si="0"/>
        <v>91</v>
      </c>
      <c r="O7" s="202">
        <f t="shared" si="0"/>
        <v>9.8986197916666665</v>
      </c>
      <c r="P7" s="94">
        <f t="shared" si="0"/>
        <v>0</v>
      </c>
      <c r="Q7" s="203">
        <f t="shared" si="0"/>
        <v>9.8986197916666665</v>
      </c>
      <c r="R7" s="12"/>
    </row>
    <row r="8" spans="1:18">
      <c r="A8" s="12"/>
      <c r="B8" s="122" t="s">
        <v>168</v>
      </c>
      <c r="C8" s="124">
        <f>AVERAGE('Serie BADLAR'!C250:C309)/100</f>
        <v>0.34159374999999997</v>
      </c>
      <c r="D8" s="12"/>
      <c r="E8" s="97">
        <v>44492</v>
      </c>
      <c r="F8" s="94">
        <v>100</v>
      </c>
      <c r="G8" s="208">
        <f>E8-E7</f>
        <v>92</v>
      </c>
      <c r="H8" s="209">
        <f>F7*(($C$11)/360*G8)</f>
        <v>10.007395833333332</v>
      </c>
      <c r="I8" s="209">
        <v>0</v>
      </c>
      <c r="J8" s="204">
        <f>SUM(H8:I8)</f>
        <v>10.007395833333332</v>
      </c>
      <c r="K8" s="12"/>
      <c r="L8" s="97">
        <f t="shared" si="0"/>
        <v>44492</v>
      </c>
      <c r="M8" s="94">
        <f t="shared" si="0"/>
        <v>100</v>
      </c>
      <c r="N8" s="94">
        <f t="shared" si="0"/>
        <v>92</v>
      </c>
      <c r="O8" s="202">
        <f t="shared" si="0"/>
        <v>10.007395833333332</v>
      </c>
      <c r="P8" s="94">
        <f t="shared" si="0"/>
        <v>0</v>
      </c>
      <c r="Q8" s="203">
        <f t="shared" si="0"/>
        <v>10.007395833333332</v>
      </c>
      <c r="R8" s="12"/>
    </row>
    <row r="9" spans="1:18">
      <c r="A9" s="12"/>
      <c r="B9" s="122" t="s">
        <v>163</v>
      </c>
      <c r="C9" s="124">
        <f>+C8+C7</f>
        <v>0.39159374999999996</v>
      </c>
      <c r="D9" s="12"/>
      <c r="E9" s="97">
        <v>44584</v>
      </c>
      <c r="F9" s="94">
        <v>100</v>
      </c>
      <c r="G9" s="208">
        <f>E9-E8</f>
        <v>92</v>
      </c>
      <c r="H9" s="209">
        <f>F8*(($C$11)/360*G9)</f>
        <v>10.007395833333332</v>
      </c>
      <c r="I9" s="209">
        <v>100</v>
      </c>
      <c r="J9" s="204">
        <f>SUM(H9:I9)</f>
        <v>110.00739583333333</v>
      </c>
      <c r="K9" s="12"/>
      <c r="L9" s="97">
        <f t="shared" si="0"/>
        <v>44584</v>
      </c>
      <c r="M9" s="94">
        <f t="shared" si="0"/>
        <v>100</v>
      </c>
      <c r="N9" s="94">
        <f t="shared" si="0"/>
        <v>92</v>
      </c>
      <c r="O9" s="202">
        <f t="shared" si="0"/>
        <v>10.007395833333332</v>
      </c>
      <c r="P9" s="94">
        <f t="shared" si="0"/>
        <v>100</v>
      </c>
      <c r="Q9" s="203">
        <f t="shared" si="0"/>
        <v>110.00739583333333</v>
      </c>
      <c r="R9" s="12"/>
    </row>
    <row r="10" spans="1:18">
      <c r="A10" s="12"/>
      <c r="B10" s="122" t="s">
        <v>161</v>
      </c>
      <c r="C10" s="124">
        <f>+C8</f>
        <v>0.34159374999999997</v>
      </c>
      <c r="D10" s="12"/>
      <c r="K10" s="12"/>
      <c r="R10" s="12"/>
    </row>
    <row r="11" spans="1:18">
      <c r="A11" s="12"/>
      <c r="B11" s="122" t="s">
        <v>167</v>
      </c>
      <c r="C11" s="124">
        <f>+C10+C7</f>
        <v>0.39159374999999996</v>
      </c>
      <c r="D11" s="12"/>
      <c r="E11" s="97"/>
      <c r="F11" s="94"/>
      <c r="G11" s="94"/>
      <c r="H11" s="96"/>
      <c r="I11" s="92" t="s">
        <v>10</v>
      </c>
      <c r="J11" s="206">
        <f>XIRR(J6:J9,E6:E9,0)</f>
        <v>0.46635158691406264</v>
      </c>
      <c r="K11" s="12"/>
      <c r="L11" s="97"/>
      <c r="M11" s="94"/>
      <c r="N11" s="94"/>
      <c r="O11" s="96"/>
      <c r="P11" s="95"/>
      <c r="Q11" s="127"/>
      <c r="R11" s="12"/>
    </row>
    <row r="12" spans="1:18">
      <c r="A12" s="12"/>
      <c r="B12" s="125" t="s">
        <v>27</v>
      </c>
      <c r="C12" s="126">
        <v>44309</v>
      </c>
      <c r="D12" s="12"/>
      <c r="E12" s="97"/>
      <c r="F12" s="94"/>
      <c r="G12" s="94"/>
      <c r="H12" s="96"/>
      <c r="I12" s="92" t="s">
        <v>29</v>
      </c>
      <c r="J12" s="207">
        <f>MDURATION(E6,E9,C9,J11,4)</f>
        <v>0.43055475079959543</v>
      </c>
      <c r="K12" s="12"/>
      <c r="L12" s="97"/>
      <c r="M12" s="94"/>
      <c r="N12" s="94"/>
      <c r="O12" s="96"/>
      <c r="P12" s="95"/>
      <c r="Q12" s="127"/>
      <c r="R12" s="12"/>
    </row>
    <row r="13" spans="1:18">
      <c r="A13" s="12"/>
      <c r="B13" s="12"/>
      <c r="C13" s="12"/>
      <c r="D13" s="12"/>
      <c r="K13" s="12"/>
      <c r="L13" s="12"/>
      <c r="M13" s="12"/>
      <c r="N13" s="12"/>
      <c r="O13" s="12"/>
      <c r="P13" s="12"/>
      <c r="Q13" s="12"/>
      <c r="R13" s="12"/>
    </row>
    <row r="14" spans="1:18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ht="15" customHeight="1">
      <c r="A15" s="12"/>
      <c r="B15" s="12"/>
      <c r="C15" s="12"/>
      <c r="D15" s="12"/>
      <c r="E15" s="264" t="s">
        <v>92</v>
      </c>
      <c r="F15" s="264"/>
      <c r="G15" s="129"/>
      <c r="H15" s="61">
        <v>0.4</v>
      </c>
      <c r="I15" s="62">
        <f>XNPV(H15,Q6:Q9,L6:L9)</f>
        <v>110.19650900951774</v>
      </c>
      <c r="J15" s="61">
        <f>(I15/-J6)-1</f>
        <v>2.2705420041927882E-2</v>
      </c>
      <c r="K15" s="12"/>
      <c r="L15" s="12"/>
      <c r="M15" s="12"/>
      <c r="N15" s="12"/>
      <c r="O15" s="12"/>
      <c r="P15" s="12"/>
      <c r="Q15" s="12"/>
      <c r="R15" s="12"/>
    </row>
    <row r="16" spans="1:18" ht="15" customHeight="1">
      <c r="A16" s="12"/>
      <c r="B16" s="12"/>
      <c r="C16" s="16"/>
      <c r="D16" s="12"/>
      <c r="E16" s="265"/>
      <c r="F16" s="265"/>
      <c r="G16" s="130"/>
      <c r="H16" s="63">
        <v>0.45</v>
      </c>
      <c r="I16" s="64">
        <f>XNPV(H16,Q6:Q9,L6:L9)</f>
        <v>108.33694310580609</v>
      </c>
      <c r="J16" s="63">
        <f>(I16/-J6)-1</f>
        <v>5.4472678033048449E-3</v>
      </c>
      <c r="K16" s="12"/>
      <c r="L16" s="12"/>
      <c r="M16" s="12"/>
      <c r="N16" s="12"/>
      <c r="O16" s="12"/>
      <c r="P16" s="12"/>
      <c r="Q16" s="12"/>
      <c r="R16" s="12"/>
    </row>
    <row r="17" spans="1:18" ht="15" customHeight="1">
      <c r="A17" s="12"/>
      <c r="B17" s="12"/>
      <c r="C17" s="12"/>
      <c r="D17" s="12"/>
      <c r="R17" s="12"/>
    </row>
    <row r="18" spans="1:18">
      <c r="A18" s="12"/>
      <c r="B18" s="12"/>
      <c r="C18" s="12"/>
      <c r="D18" s="12"/>
      <c r="K18" s="12"/>
      <c r="L18" s="12"/>
      <c r="M18" s="12"/>
      <c r="N18" s="12"/>
      <c r="O18" s="12"/>
      <c r="P18" s="12"/>
      <c r="Q18" s="12"/>
      <c r="R18" s="12"/>
    </row>
    <row r="19" spans="1:18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>
      <c r="A23" s="12"/>
      <c r="B23" s="12"/>
      <c r="C23" s="12"/>
      <c r="D23" s="12"/>
      <c r="K23" s="12"/>
      <c r="L23" s="12"/>
      <c r="M23" s="12"/>
      <c r="N23" s="12"/>
      <c r="O23" s="12"/>
      <c r="P23" s="12"/>
      <c r="Q23" s="12"/>
      <c r="R23" s="12"/>
    </row>
    <row r="24" spans="1:18">
      <c r="A24" s="12"/>
      <c r="B24" s="12"/>
      <c r="C24" s="12"/>
      <c r="D24" s="12"/>
      <c r="K24" s="12"/>
      <c r="L24" s="12"/>
      <c r="M24" s="12"/>
      <c r="N24" s="12"/>
      <c r="O24" s="12"/>
      <c r="P24" s="12"/>
      <c r="Q24" s="12"/>
      <c r="R24" s="12"/>
    </row>
    <row r="25" spans="1:18">
      <c r="A25" s="12"/>
      <c r="B25" s="12"/>
      <c r="C25" s="12"/>
      <c r="D25" s="12"/>
      <c r="K25" s="12"/>
      <c r="L25" s="12"/>
      <c r="M25" s="12"/>
      <c r="N25" s="12"/>
      <c r="O25" s="12"/>
      <c r="P25" s="12"/>
      <c r="Q25" s="12"/>
      <c r="R25" s="12"/>
    </row>
    <row r="26" spans="1:18">
      <c r="A26" s="12"/>
      <c r="B26" s="12"/>
      <c r="C26" s="12"/>
      <c r="D26" s="12"/>
      <c r="K26" s="12"/>
      <c r="L26" s="12"/>
      <c r="M26" s="12"/>
      <c r="N26" s="12"/>
      <c r="O26" s="12"/>
      <c r="P26" s="12"/>
      <c r="Q26" s="12"/>
      <c r="R26" s="12"/>
    </row>
    <row r="27" spans="1:18">
      <c r="A27" s="12"/>
      <c r="B27" s="12"/>
      <c r="C27" s="12"/>
      <c r="D27" s="12"/>
      <c r="K27" s="12"/>
      <c r="L27" s="12"/>
      <c r="M27" s="12"/>
      <c r="N27" s="12"/>
      <c r="O27" s="12"/>
      <c r="P27" s="12"/>
      <c r="Q27" s="12"/>
      <c r="R27" s="12"/>
    </row>
    <row r="28" spans="1:18">
      <c r="A28" s="12"/>
      <c r="B28" s="12"/>
      <c r="C28" s="12"/>
      <c r="D28" s="12"/>
      <c r="K28" s="12"/>
      <c r="L28" s="12"/>
      <c r="M28" s="12"/>
      <c r="N28" s="12"/>
      <c r="O28" s="12"/>
      <c r="P28" s="12"/>
      <c r="Q28" s="12"/>
      <c r="R28" s="12"/>
    </row>
    <row r="29" spans="1:18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</sheetData>
  <mergeCells count="3">
    <mergeCell ref="B4:C4"/>
    <mergeCell ref="E4:J4"/>
    <mergeCell ref="L4:Q4"/>
  </mergeCells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showGridLines="0" zoomScale="90" zoomScaleNormal="90" workbookViewId="0">
      <selection activeCell="H12" sqref="H12"/>
    </sheetView>
  </sheetViews>
  <sheetFormatPr baseColWidth="10" defaultRowHeight="15"/>
  <cols>
    <col min="2" max="2" width="12.7109375" customWidth="1"/>
    <col min="3" max="3" width="14.140625" bestFit="1" customWidth="1"/>
    <col min="4" max="4" width="3.42578125" customWidth="1"/>
    <col min="5" max="5" width="14.140625" bestFit="1" customWidth="1"/>
    <col min="6" max="7" width="9.42578125" customWidth="1"/>
    <col min="8" max="8" width="9.28515625" bestFit="1" customWidth="1"/>
    <col min="9" max="9" width="10.42578125" customWidth="1"/>
    <col min="10" max="10" width="11.5703125" bestFit="1" customWidth="1"/>
    <col min="13" max="13" width="13.7109375" bestFit="1" customWidth="1"/>
    <col min="17" max="17" width="12.140625" bestFit="1" customWidth="1"/>
  </cols>
  <sheetData>
    <row r="1" spans="1:17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7" ht="15.75">
      <c r="A2" s="12"/>
      <c r="B2" s="368" t="s">
        <v>132</v>
      </c>
      <c r="C2" s="368"/>
      <c r="D2" s="368"/>
      <c r="E2" s="368"/>
      <c r="F2" s="368"/>
      <c r="G2" s="368"/>
      <c r="H2" s="368"/>
      <c r="I2" s="368"/>
      <c r="J2" s="368"/>
      <c r="K2" s="12"/>
      <c r="L2" s="12"/>
      <c r="M2" s="12"/>
    </row>
    <row r="3" spans="1:17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7">
      <c r="A4" s="12"/>
      <c r="B4" s="369" t="s">
        <v>34</v>
      </c>
      <c r="C4" s="370"/>
      <c r="D4" s="12"/>
      <c r="E4" s="371" t="s">
        <v>133</v>
      </c>
      <c r="F4" s="371"/>
      <c r="G4" s="371"/>
      <c r="H4" s="371"/>
      <c r="I4" s="371"/>
      <c r="J4" s="371"/>
      <c r="K4" s="12"/>
      <c r="L4" s="12"/>
      <c r="M4" s="12"/>
    </row>
    <row r="5" spans="1:17">
      <c r="A5" s="12"/>
      <c r="B5" s="24" t="s">
        <v>0</v>
      </c>
      <c r="C5" s="33">
        <v>43977</v>
      </c>
      <c r="D5" s="12"/>
      <c r="E5" s="29" t="s">
        <v>14</v>
      </c>
      <c r="F5" s="29" t="s">
        <v>7</v>
      </c>
      <c r="G5" s="29" t="s">
        <v>21</v>
      </c>
      <c r="H5" s="29" t="s">
        <v>8</v>
      </c>
      <c r="I5" s="29" t="s">
        <v>33</v>
      </c>
      <c r="J5" s="29" t="s">
        <v>9</v>
      </c>
      <c r="K5" s="12"/>
      <c r="L5" s="29" t="s">
        <v>21</v>
      </c>
      <c r="M5" s="29" t="s">
        <v>126</v>
      </c>
      <c r="N5" s="29" t="s">
        <v>127</v>
      </c>
    </row>
    <row r="6" spans="1:17">
      <c r="A6" s="12"/>
      <c r="B6" s="24" t="s">
        <v>1</v>
      </c>
      <c r="C6" s="33">
        <v>44707</v>
      </c>
      <c r="D6" s="12"/>
      <c r="E6" s="15">
        <f>+'Planilla de datos'!D3</f>
        <v>44383</v>
      </c>
      <c r="F6" s="14">
        <v>80</v>
      </c>
      <c r="G6" s="12"/>
      <c r="H6" s="30"/>
      <c r="I6" s="12"/>
      <c r="J6" s="14">
        <f>-'Planilla de datos'!C25</f>
        <v>-78.75</v>
      </c>
      <c r="K6" s="12"/>
      <c r="L6" s="14"/>
      <c r="M6" s="14"/>
      <c r="N6" s="14"/>
    </row>
    <row r="7" spans="1:17">
      <c r="A7" s="12"/>
      <c r="B7" s="24" t="s">
        <v>28</v>
      </c>
      <c r="C7" s="35">
        <f>'Planilla de datos'!D4</f>
        <v>0.34060000000000001</v>
      </c>
      <c r="D7" s="12"/>
      <c r="E7" s="15">
        <v>44434</v>
      </c>
      <c r="F7" s="14">
        <f>+F6</f>
        <v>80</v>
      </c>
      <c r="G7" s="12">
        <f>E7-C9</f>
        <v>92</v>
      </c>
      <c r="H7" s="14">
        <f>($C$7+$C$8)/365*G7*F7</f>
        <v>6.8679890410958908</v>
      </c>
      <c r="I7" s="14">
        <f>100/5</f>
        <v>20</v>
      </c>
      <c r="J7" s="14">
        <f>SUM(H7:I7)</f>
        <v>26.867989041095889</v>
      </c>
      <c r="K7" s="12"/>
      <c r="L7" s="67">
        <f>DAYS360($E$6,E7)</f>
        <v>50</v>
      </c>
      <c r="M7" s="14">
        <f>J7/(1+$J$12)^(L7/360)</f>
        <v>25.275743559886379</v>
      </c>
      <c r="N7" s="14">
        <f>M7*(L7/360)</f>
        <v>3.5105199388731085</v>
      </c>
      <c r="O7" s="2">
        <v>0.33</v>
      </c>
      <c r="P7" s="2">
        <f>(1+(O7/365))^(L7)-1</f>
        <v>4.6221451978465611E-2</v>
      </c>
      <c r="Q7" s="351">
        <f>J7/(1+P7)</f>
        <v>25.680976996110104</v>
      </c>
    </row>
    <row r="8" spans="1:17">
      <c r="A8" s="12"/>
      <c r="B8" s="24" t="s">
        <v>30</v>
      </c>
      <c r="C8" s="35">
        <v>0</v>
      </c>
      <c r="D8" s="12"/>
      <c r="E8" s="15">
        <v>44526</v>
      </c>
      <c r="F8" s="14">
        <f>+F7-I7</f>
        <v>60</v>
      </c>
      <c r="G8" s="12">
        <f>E8-E7</f>
        <v>92</v>
      </c>
      <c r="H8" s="14">
        <f>($C$7+$C$8)/365*G8*F8</f>
        <v>5.1509917808219186</v>
      </c>
      <c r="I8" s="14">
        <f>100/5</f>
        <v>20</v>
      </c>
      <c r="J8" s="14">
        <f>SUM(H8:I8)</f>
        <v>25.150991780821919</v>
      </c>
      <c r="K8" s="12"/>
      <c r="L8" s="67">
        <f t="shared" ref="L8:L9" si="0">DAYS360($E$6,E8)</f>
        <v>140</v>
      </c>
      <c r="M8" s="14">
        <f t="shared" ref="M8:M10" si="1">J8/(1+$J$12)^(L8/360)</f>
        <v>21.196672691757652</v>
      </c>
      <c r="N8" s="14">
        <f t="shared" ref="N8:N10" si="2">M8*(L8/360)</f>
        <v>8.2431504912390867</v>
      </c>
      <c r="O8" s="5">
        <f>+O7</f>
        <v>0.33</v>
      </c>
      <c r="P8" s="2">
        <f t="shared" ref="P8:P10" si="3">(1+(O8/365))^(L8)-1</f>
        <v>0.13487005789154982</v>
      </c>
      <c r="Q8" s="351">
        <f t="shared" ref="Q8:Q10" si="4">J8/(1+P8)</f>
        <v>22.162001372694064</v>
      </c>
    </row>
    <row r="9" spans="1:17">
      <c r="A9" s="12"/>
      <c r="B9" s="24" t="s">
        <v>247</v>
      </c>
      <c r="C9" s="33">
        <v>44342</v>
      </c>
      <c r="D9" s="12"/>
      <c r="E9" s="15">
        <v>44618</v>
      </c>
      <c r="F9" s="14">
        <f>+F8-I8</f>
        <v>40</v>
      </c>
      <c r="G9" s="12">
        <f>E9-E8</f>
        <v>92</v>
      </c>
      <c r="H9" s="14">
        <f>($C$7+$C$8)/365*G9*F9</f>
        <v>3.4339945205479454</v>
      </c>
      <c r="I9" s="14">
        <f>100/5</f>
        <v>20</v>
      </c>
      <c r="J9" s="14">
        <f>SUM(H9:I9)</f>
        <v>23.433994520547945</v>
      </c>
      <c r="K9" s="12"/>
      <c r="L9" s="67">
        <f t="shared" si="0"/>
        <v>230</v>
      </c>
      <c r="M9" s="14">
        <f t="shared" si="1"/>
        <v>17.693049920561322</v>
      </c>
      <c r="N9" s="14">
        <f t="shared" si="2"/>
        <v>11.303893004803065</v>
      </c>
      <c r="O9" s="5">
        <f t="shared" ref="O9:O10" si="5">+O8</f>
        <v>0.33</v>
      </c>
      <c r="P9" s="2">
        <f t="shared" si="3"/>
        <v>0.23103005187211512</v>
      </c>
      <c r="Q9" s="351">
        <f t="shared" si="4"/>
        <v>19.036086474826671</v>
      </c>
    </row>
    <row r="10" spans="1:17">
      <c r="A10" s="12"/>
      <c r="B10" s="24"/>
      <c r="C10" s="35"/>
      <c r="D10" s="12"/>
      <c r="E10" s="15">
        <v>44707</v>
      </c>
      <c r="F10" s="14">
        <f>+F9-I9</f>
        <v>20</v>
      </c>
      <c r="G10" s="12">
        <f>E10-E9</f>
        <v>89</v>
      </c>
      <c r="H10" s="14">
        <f>($C$7+$C$8)/365*G10*F10</f>
        <v>1.6610082191780822</v>
      </c>
      <c r="I10" s="14">
        <f>100/5</f>
        <v>20</v>
      </c>
      <c r="J10" s="14">
        <f>SUM(H10:I10)</f>
        <v>21.661008219178083</v>
      </c>
      <c r="K10" s="12"/>
      <c r="L10" s="67">
        <f>DAYS360($E$6,E10)</f>
        <v>320</v>
      </c>
      <c r="M10" s="14">
        <f t="shared" si="1"/>
        <v>14.651390592153765</v>
      </c>
      <c r="N10" s="14">
        <f t="shared" si="2"/>
        <v>13.02345830413668</v>
      </c>
      <c r="O10" s="5">
        <f t="shared" si="5"/>
        <v>0.33</v>
      </c>
      <c r="P10" s="2">
        <f t="shared" si="3"/>
        <v>0.3353378900732964</v>
      </c>
      <c r="Q10" s="351">
        <f t="shared" si="4"/>
        <v>16.221368673953464</v>
      </c>
    </row>
    <row r="11" spans="1:17">
      <c r="A11" s="12"/>
      <c r="B11" s="36"/>
      <c r="C11" s="37"/>
      <c r="D11" s="12"/>
      <c r="E11" s="15"/>
      <c r="F11" s="14"/>
      <c r="G11" s="12"/>
      <c r="H11" s="14"/>
      <c r="I11" s="14"/>
      <c r="J11" s="14"/>
      <c r="K11" s="12"/>
      <c r="L11" s="67"/>
      <c r="M11" s="14"/>
      <c r="N11" s="14"/>
      <c r="Q11" s="352">
        <f>SUM(Q7:Q10)</f>
        <v>83.100433517584307</v>
      </c>
    </row>
    <row r="12" spans="1:17">
      <c r="A12" s="12"/>
      <c r="B12" s="12"/>
      <c r="C12" s="12"/>
      <c r="D12" s="12"/>
      <c r="E12" s="15"/>
      <c r="F12" s="14"/>
      <c r="G12" s="12"/>
      <c r="H12" s="14"/>
      <c r="I12" s="92" t="s">
        <v>10</v>
      </c>
      <c r="J12" s="86">
        <f>XIRR(J6:J10,E6:E10,0)</f>
        <v>0.55247565429687495</v>
      </c>
      <c r="K12" s="12"/>
      <c r="L12" s="67"/>
      <c r="M12" s="14">
        <f>SUM(M7:M10)</f>
        <v>78.816856764359116</v>
      </c>
      <c r="N12" s="14">
        <f>SUM(N7:N10)</f>
        <v>36.081021739051941</v>
      </c>
    </row>
    <row r="13" spans="1:17">
      <c r="A13" s="12"/>
      <c r="B13" s="12"/>
      <c r="C13" s="12"/>
      <c r="D13" s="12"/>
      <c r="I13" s="92" t="s">
        <v>64</v>
      </c>
      <c r="J13" s="71">
        <f>N14/(1+(J12/4))</f>
        <v>0.40222779262270447</v>
      </c>
      <c r="K13" s="12"/>
      <c r="L13" s="67"/>
      <c r="M13" s="14"/>
      <c r="N13" s="14"/>
    </row>
    <row r="14" spans="1:17">
      <c r="A14" s="12"/>
      <c r="B14" s="12"/>
      <c r="C14" s="12"/>
      <c r="D14" s="12"/>
      <c r="E14" s="15"/>
      <c r="F14" s="14"/>
      <c r="G14" s="12"/>
      <c r="H14" s="14"/>
      <c r="I14" s="14"/>
      <c r="J14" s="14"/>
      <c r="K14" s="12"/>
      <c r="L14" s="71"/>
      <c r="M14" s="71" t="s">
        <v>22</v>
      </c>
      <c r="N14" s="71">
        <f>N12/M12</f>
        <v>0.45778305834910854</v>
      </c>
      <c r="Q14" s="352">
        <f>Q11+J6</f>
        <v>4.3504335175843067</v>
      </c>
    </row>
    <row r="15" spans="1:17">
      <c r="A15" s="12"/>
      <c r="B15" s="12"/>
      <c r="C15" s="12"/>
      <c r="D15" s="12"/>
      <c r="E15" s="15"/>
      <c r="F15" s="14"/>
      <c r="G15" s="12"/>
      <c r="H15" s="14"/>
      <c r="I15" s="14"/>
      <c r="J15" s="22"/>
      <c r="K15" s="12"/>
      <c r="L15" s="67"/>
      <c r="M15" s="14"/>
      <c r="N15" s="14"/>
      <c r="Q15" s="352">
        <f>Q14/100*10000000</f>
        <v>435043.35175843065</v>
      </c>
    </row>
    <row r="16" spans="1:17">
      <c r="A16" s="12"/>
      <c r="B16" s="12"/>
      <c r="C16" s="12"/>
      <c r="D16" s="12"/>
      <c r="E16" s="12"/>
      <c r="F16" s="12"/>
      <c r="G16" s="12"/>
      <c r="H16" s="12"/>
      <c r="I16" s="12"/>
      <c r="J16" s="22"/>
      <c r="K16" s="12"/>
      <c r="L16" s="67"/>
      <c r="M16" s="14"/>
      <c r="N16" s="14"/>
    </row>
    <row r="17" spans="1:13">
      <c r="A17" s="12"/>
      <c r="B17" s="12"/>
      <c r="C17" s="12"/>
      <c r="D17" s="12"/>
      <c r="J17" s="5"/>
      <c r="K17" s="12"/>
    </row>
    <row r="18" spans="1:13">
      <c r="A18" s="12"/>
      <c r="B18" s="12"/>
      <c r="C18" s="12"/>
      <c r="D18" s="12"/>
      <c r="K18" s="12"/>
    </row>
    <row r="19" spans="1:13">
      <c r="A19" s="12"/>
      <c r="B19" s="12"/>
      <c r="C19" s="12"/>
      <c r="D19" s="12"/>
      <c r="K19" s="12"/>
    </row>
    <row r="20" spans="1:13">
      <c r="A20" s="12"/>
      <c r="B20" s="12"/>
      <c r="C20" s="12"/>
      <c r="D20" s="12"/>
      <c r="E20" s="413" t="s">
        <v>256</v>
      </c>
      <c r="F20" s="413"/>
      <c r="G20" s="413"/>
      <c r="H20" s="413"/>
      <c r="I20" s="413"/>
      <c r="J20" s="413"/>
      <c r="K20" s="12"/>
      <c r="L20" s="12"/>
      <c r="M20" s="12"/>
    </row>
    <row r="21" spans="1:13">
      <c r="A21" s="12"/>
      <c r="B21" s="12"/>
      <c r="C21" s="12"/>
      <c r="D21" s="12"/>
      <c r="E21" s="186" t="s">
        <v>14</v>
      </c>
      <c r="F21" s="186" t="s">
        <v>239</v>
      </c>
      <c r="G21" s="186" t="s">
        <v>252</v>
      </c>
      <c r="H21" s="353" t="s">
        <v>253</v>
      </c>
      <c r="I21" s="186" t="s">
        <v>254</v>
      </c>
      <c r="J21" s="186" t="s">
        <v>255</v>
      </c>
      <c r="K21" s="12"/>
      <c r="L21" s="12"/>
      <c r="M21" s="12"/>
    </row>
    <row r="22" spans="1:13">
      <c r="A22" s="12"/>
      <c r="B22" s="12"/>
      <c r="C22" s="12"/>
      <c r="D22" s="12"/>
      <c r="E22" s="11">
        <f>+E6</f>
        <v>44383</v>
      </c>
      <c r="G22" s="4">
        <f>+J6</f>
        <v>-78.75</v>
      </c>
      <c r="H22" s="2"/>
      <c r="J22" s="359">
        <f>SUM(J23:J26)</f>
        <v>82.872882117750919</v>
      </c>
      <c r="K22" s="12"/>
      <c r="L22" s="12"/>
      <c r="M22" s="12"/>
    </row>
    <row r="23" spans="1:13">
      <c r="A23" s="12"/>
      <c r="B23" s="12"/>
      <c r="C23" s="12"/>
      <c r="D23" s="12"/>
      <c r="E23" s="11">
        <f t="shared" ref="E23:E26" si="6">+E7</f>
        <v>44434</v>
      </c>
      <c r="F23">
        <f>E23-E22</f>
        <v>51</v>
      </c>
      <c r="G23" s="4">
        <f t="shared" ref="G23:G26" si="7">+J7</f>
        <v>26.867989041095889</v>
      </c>
      <c r="H23" s="5">
        <v>0.33</v>
      </c>
      <c r="I23" s="2">
        <f>(1+(H23/365))^(F23)-1</f>
        <v>4.7167350825460197E-2</v>
      </c>
      <c r="J23" s="359">
        <f>G23/(1+I23)</f>
        <v>25.657779551584007</v>
      </c>
      <c r="K23" s="12"/>
      <c r="L23" s="12"/>
      <c r="M23" s="12"/>
    </row>
    <row r="24" spans="1:13">
      <c r="A24" s="12"/>
      <c r="B24" s="12"/>
      <c r="C24" s="12"/>
      <c r="D24" s="12"/>
      <c r="E24" s="11">
        <f t="shared" si="6"/>
        <v>44526</v>
      </c>
      <c r="F24">
        <f>E24-E22</f>
        <v>143</v>
      </c>
      <c r="G24" s="4">
        <f t="shared" si="7"/>
        <v>25.150991780821919</v>
      </c>
      <c r="H24" s="5">
        <f t="shared" ref="H24:H26" si="8">+H23</f>
        <v>0.33</v>
      </c>
      <c r="I24" s="2">
        <f t="shared" ref="I24:I26" si="9">(1+(H24/365))^(F24)-1</f>
        <v>0.13795098241174952</v>
      </c>
      <c r="J24" s="359">
        <f t="shared" ref="J24:J26" si="10">G24/(1+I24)</f>
        <v>22.101999268472383</v>
      </c>
      <c r="K24" s="12"/>
      <c r="L24" s="12"/>
      <c r="M24" s="12"/>
    </row>
    <row r="25" spans="1:13">
      <c r="A25" s="12"/>
      <c r="B25" s="12"/>
      <c r="C25" s="12"/>
      <c r="D25" s="12"/>
      <c r="E25" s="11">
        <f t="shared" si="6"/>
        <v>44618</v>
      </c>
      <c r="F25">
        <f>E25-E22</f>
        <v>235</v>
      </c>
      <c r="G25" s="4">
        <f t="shared" si="7"/>
        <v>23.433994520547945</v>
      </c>
      <c r="H25" s="5">
        <f t="shared" si="8"/>
        <v>0.33</v>
      </c>
      <c r="I25" s="2">
        <f t="shared" si="9"/>
        <v>0.2366050539592337</v>
      </c>
      <c r="J25" s="359">
        <f t="shared" si="10"/>
        <v>18.950265847223747</v>
      </c>
      <c r="K25" s="12"/>
      <c r="L25" s="12"/>
      <c r="M25" s="12"/>
    </row>
    <row r="26" spans="1:13">
      <c r="A26" s="12"/>
      <c r="B26" s="12"/>
      <c r="C26" s="12"/>
      <c r="D26" s="12"/>
      <c r="E26" s="11">
        <f t="shared" si="6"/>
        <v>44707</v>
      </c>
      <c r="F26">
        <f>E26-E22</f>
        <v>324</v>
      </c>
      <c r="G26" s="4">
        <f t="shared" si="7"/>
        <v>21.661008219178083</v>
      </c>
      <c r="H26" s="5">
        <f t="shared" si="8"/>
        <v>0.33</v>
      </c>
      <c r="I26" s="2">
        <f t="shared" si="9"/>
        <v>0.34017361033022975</v>
      </c>
      <c r="J26" s="359">
        <f t="shared" si="10"/>
        <v>16.162837450470789</v>
      </c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354" t="s">
        <v>258</v>
      </c>
      <c r="H28" s="355"/>
      <c r="I28" s="354"/>
      <c r="J28" s="358">
        <f>-G22/100*10000000</f>
        <v>7875000</v>
      </c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40" t="s">
        <v>257</v>
      </c>
      <c r="H29" s="356"/>
      <c r="I29" s="40"/>
      <c r="J29" s="357">
        <f>(J22+G22)/100*10000000</f>
        <v>412288.21177509188</v>
      </c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12"/>
      <c r="H31" s="12"/>
      <c r="I31" s="12"/>
      <c r="J31" s="2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</sheetData>
  <mergeCells count="4">
    <mergeCell ref="B2:J2"/>
    <mergeCell ref="B4:C4"/>
    <mergeCell ref="E4:J4"/>
    <mergeCell ref="E20:J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showGridLines="0" zoomScale="90" zoomScaleNormal="90" workbookViewId="0">
      <selection activeCell="G24" sqref="G24"/>
    </sheetView>
  </sheetViews>
  <sheetFormatPr baseColWidth="10" defaultRowHeight="15"/>
  <cols>
    <col min="2" max="2" width="17.42578125" customWidth="1"/>
    <col min="3" max="3" width="12.42578125" bestFit="1" customWidth="1"/>
    <col min="4" max="4" width="3.42578125" customWidth="1"/>
    <col min="5" max="5" width="12.28515625" bestFit="1" customWidth="1"/>
    <col min="6" max="6" width="8.5703125" customWidth="1"/>
    <col min="7" max="7" width="6.85546875" customWidth="1"/>
    <col min="8" max="8" width="9.85546875" customWidth="1"/>
    <col min="9" max="9" width="8.28515625" customWidth="1"/>
    <col min="10" max="10" width="9.85546875" customWidth="1"/>
    <col min="11" max="11" width="7.5703125" customWidth="1"/>
    <col min="16" max="16" width="13.42578125" customWidth="1"/>
  </cols>
  <sheetData>
    <row r="1" spans="1:17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5.75">
      <c r="A2" s="12"/>
      <c r="B2" s="368" t="s">
        <v>50</v>
      </c>
      <c r="C2" s="368"/>
      <c r="D2" s="368"/>
      <c r="E2" s="368"/>
      <c r="F2" s="368"/>
      <c r="G2" s="368"/>
      <c r="H2" s="368"/>
      <c r="I2" s="368"/>
      <c r="J2" s="368"/>
      <c r="K2" s="12"/>
      <c r="L2" s="12"/>
      <c r="M2" s="12"/>
      <c r="N2" s="12"/>
      <c r="O2" s="12"/>
      <c r="P2" s="12"/>
      <c r="Q2" s="12"/>
    </row>
    <row r="3" spans="1:17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>
      <c r="A4" s="12"/>
      <c r="B4" s="389" t="s">
        <v>34</v>
      </c>
      <c r="C4" s="390"/>
      <c r="D4" s="12"/>
      <c r="E4" s="391" t="s">
        <v>119</v>
      </c>
      <c r="F4" s="391"/>
      <c r="G4" s="391"/>
      <c r="H4" s="391"/>
      <c r="I4" s="391"/>
      <c r="J4" s="391"/>
      <c r="K4" s="12"/>
      <c r="L4" s="391" t="s">
        <v>51</v>
      </c>
      <c r="M4" s="391"/>
      <c r="N4" s="391"/>
      <c r="O4" s="391"/>
      <c r="P4" s="391"/>
      <c r="Q4" s="391"/>
    </row>
    <row r="5" spans="1:17">
      <c r="A5" s="12"/>
      <c r="B5" s="24" t="s">
        <v>0</v>
      </c>
      <c r="C5" s="33">
        <v>42828</v>
      </c>
      <c r="D5" s="12"/>
      <c r="E5" s="29" t="s">
        <v>14</v>
      </c>
      <c r="F5" s="29" t="s">
        <v>7</v>
      </c>
      <c r="G5" s="29" t="s">
        <v>21</v>
      </c>
      <c r="H5" s="29" t="s">
        <v>8</v>
      </c>
      <c r="I5" s="29" t="s">
        <v>33</v>
      </c>
      <c r="J5" s="29" t="s">
        <v>9</v>
      </c>
      <c r="K5" s="12"/>
      <c r="L5" s="29" t="s">
        <v>14</v>
      </c>
      <c r="M5" s="29" t="s">
        <v>7</v>
      </c>
      <c r="N5" s="29" t="s">
        <v>21</v>
      </c>
      <c r="O5" s="29" t="s">
        <v>8</v>
      </c>
      <c r="P5" s="29" t="s">
        <v>33</v>
      </c>
      <c r="Q5" s="29" t="s">
        <v>9</v>
      </c>
    </row>
    <row r="6" spans="1:17">
      <c r="A6" s="12"/>
      <c r="B6" s="24" t="s">
        <v>1</v>
      </c>
      <c r="C6" s="33">
        <v>44654</v>
      </c>
      <c r="D6" s="12"/>
      <c r="E6" s="15">
        <f>'Planilla de datos'!D3</f>
        <v>44383</v>
      </c>
      <c r="F6" s="14">
        <v>100</v>
      </c>
      <c r="G6" s="12"/>
      <c r="H6" s="14"/>
      <c r="I6" s="12"/>
      <c r="J6" s="14">
        <f>-'Planilla de datos'!C14</f>
        <v>-98</v>
      </c>
      <c r="K6" s="12"/>
      <c r="L6" s="15">
        <f>+E6</f>
        <v>44383</v>
      </c>
      <c r="M6" s="14">
        <f t="shared" ref="M6:N9" si="0">F6</f>
        <v>100</v>
      </c>
      <c r="N6" s="12">
        <f t="shared" si="0"/>
        <v>0</v>
      </c>
      <c r="O6" s="14"/>
      <c r="P6" s="12"/>
      <c r="Q6" s="14">
        <v>0</v>
      </c>
    </row>
    <row r="7" spans="1:17">
      <c r="A7" s="12"/>
      <c r="B7" s="24" t="s">
        <v>157</v>
      </c>
      <c r="C7" s="35">
        <v>0.02</v>
      </c>
      <c r="D7" s="12"/>
      <c r="E7" s="15">
        <v>44472</v>
      </c>
      <c r="F7" s="14">
        <v>100</v>
      </c>
      <c r="G7" s="12">
        <f>E7-C12</f>
        <v>90</v>
      </c>
      <c r="H7" s="14">
        <f>($C$11)/365*G7*$F$6</f>
        <v>8.9142454706142296</v>
      </c>
      <c r="I7" s="12"/>
      <c r="J7" s="14">
        <f>SUM(H7:I7)</f>
        <v>8.9142454706142296</v>
      </c>
      <c r="K7" s="12"/>
      <c r="L7" s="15">
        <f>E7</f>
        <v>44472</v>
      </c>
      <c r="M7" s="14">
        <f t="shared" si="0"/>
        <v>100</v>
      </c>
      <c r="N7" s="12">
        <f t="shared" si="0"/>
        <v>90</v>
      </c>
      <c r="O7" s="14">
        <f>+H7</f>
        <v>8.9142454706142296</v>
      </c>
      <c r="P7" s="14"/>
      <c r="Q7" s="14">
        <f>SUM(O7:P7)</f>
        <v>8.9142454706142296</v>
      </c>
    </row>
    <row r="8" spans="1:17">
      <c r="A8" s="12"/>
      <c r="B8" s="24" t="s">
        <v>28</v>
      </c>
      <c r="C8" s="35">
        <f>AVERAGE('Serie BADLAR'!C177:C232)/100</f>
        <v>0.31820267857142853</v>
      </c>
      <c r="D8" s="12"/>
      <c r="E8" s="15">
        <v>44564</v>
      </c>
      <c r="F8" s="14">
        <v>100</v>
      </c>
      <c r="G8" s="12">
        <f>E8-E7</f>
        <v>92</v>
      </c>
      <c r="H8" s="14">
        <f>($C$11)/365*G8*$F$6</f>
        <v>9.1123398144056562</v>
      </c>
      <c r="I8" s="12"/>
      <c r="J8" s="14">
        <f>SUM(H8:I8)</f>
        <v>9.1123398144056562</v>
      </c>
      <c r="K8" s="12"/>
      <c r="L8" s="15">
        <f>E8</f>
        <v>44564</v>
      </c>
      <c r="M8" s="14">
        <f t="shared" si="0"/>
        <v>100</v>
      </c>
      <c r="N8" s="12">
        <f t="shared" si="0"/>
        <v>92</v>
      </c>
      <c r="O8" s="14">
        <f>+H8</f>
        <v>9.1123398144056562</v>
      </c>
      <c r="P8" s="14"/>
      <c r="Q8" s="14">
        <f>SUM(O8:P8)</f>
        <v>9.1123398144056562</v>
      </c>
    </row>
    <row r="9" spans="1:17">
      <c r="A9" s="12"/>
      <c r="B9" s="24" t="s">
        <v>165</v>
      </c>
      <c r="C9" s="35">
        <f>C7+C8</f>
        <v>0.33820267857142855</v>
      </c>
      <c r="D9" s="12"/>
      <c r="E9" s="15">
        <v>44654</v>
      </c>
      <c r="F9" s="14">
        <v>100</v>
      </c>
      <c r="G9" s="12">
        <f>E9-E8</f>
        <v>90</v>
      </c>
      <c r="H9" s="14">
        <f>($C$11)/365*G9*$F$6</f>
        <v>8.9142454706142296</v>
      </c>
      <c r="I9" s="14">
        <v>100</v>
      </c>
      <c r="J9" s="14">
        <f>SUM(H9:I9)</f>
        <v>108.91424547061423</v>
      </c>
      <c r="K9" s="12"/>
      <c r="L9" s="15">
        <f>E9</f>
        <v>44654</v>
      </c>
      <c r="M9" s="14">
        <f t="shared" si="0"/>
        <v>100</v>
      </c>
      <c r="N9" s="12">
        <f t="shared" si="0"/>
        <v>90</v>
      </c>
      <c r="O9" s="14">
        <f>+H9</f>
        <v>8.9142454706142296</v>
      </c>
      <c r="P9" s="14">
        <v>100</v>
      </c>
      <c r="Q9" s="14">
        <f>SUM(O9:P9)</f>
        <v>108.91424547061423</v>
      </c>
    </row>
    <row r="10" spans="1:17">
      <c r="A10" s="12"/>
      <c r="B10" s="24" t="s">
        <v>161</v>
      </c>
      <c r="C10" s="35">
        <f>AVERAGE('Serie BADLAR'!C232:C293)/100</f>
        <v>0.34152217741935481</v>
      </c>
      <c r="D10" s="12"/>
      <c r="E10" s="12"/>
      <c r="F10" s="12"/>
      <c r="G10" s="12"/>
      <c r="H10" s="12"/>
      <c r="K10" s="12"/>
    </row>
    <row r="11" spans="1:17">
      <c r="A11" s="12"/>
      <c r="B11" s="24" t="s">
        <v>167</v>
      </c>
      <c r="C11" s="35">
        <f>+C10+C7</f>
        <v>0.36152217741935483</v>
      </c>
      <c r="D11" s="12"/>
      <c r="E11" s="12"/>
      <c r="F11" s="12"/>
      <c r="G11" s="12"/>
      <c r="H11" s="12"/>
      <c r="I11" s="92" t="s">
        <v>10</v>
      </c>
      <c r="J11" s="86">
        <f>XIRR(J6:J9,E6:E9,0)</f>
        <v>0.45818644042968759</v>
      </c>
      <c r="K11" s="12"/>
    </row>
    <row r="12" spans="1:17">
      <c r="A12" s="12"/>
      <c r="B12" s="36" t="s">
        <v>27</v>
      </c>
      <c r="C12" s="197">
        <v>44382</v>
      </c>
      <c r="D12" s="12"/>
      <c r="E12" s="367"/>
      <c r="F12" s="367"/>
      <c r="G12" s="367"/>
      <c r="H12" s="367"/>
      <c r="I12" s="92" t="s">
        <v>64</v>
      </c>
      <c r="J12" s="71">
        <f>MDURATION(E6,E9,C9,J11,4)</f>
        <v>0.61227639425198632</v>
      </c>
      <c r="K12" s="12"/>
    </row>
    <row r="13" spans="1:17">
      <c r="A13" s="12"/>
      <c r="B13" s="26"/>
      <c r="C13" s="74"/>
      <c r="D13" s="12"/>
    </row>
    <row r="14" spans="1:17">
      <c r="A14" s="12"/>
      <c r="B14" s="12"/>
      <c r="C14" s="12"/>
      <c r="D14" s="12"/>
      <c r="K14" s="12"/>
      <c r="L14" s="365"/>
      <c r="M14" s="365"/>
      <c r="N14" s="365"/>
      <c r="O14" s="365"/>
      <c r="P14" s="365"/>
      <c r="Q14" s="365"/>
    </row>
    <row r="15" spans="1:17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ht="15" customHeight="1">
      <c r="A16" s="12"/>
      <c r="B16" s="12"/>
      <c r="C16" s="12"/>
      <c r="D16" s="12"/>
      <c r="E16" s="372" t="s">
        <v>92</v>
      </c>
      <c r="F16" s="362"/>
      <c r="G16" s="129"/>
      <c r="H16" s="61">
        <v>0.35</v>
      </c>
      <c r="I16" s="129">
        <f>XNPV(H16,Q6:Q9,L6:L9)</f>
        <v>103.29738244233884</v>
      </c>
      <c r="J16" s="61">
        <f>(I16/-$J$6)-1</f>
        <v>5.4054922881008549E-2</v>
      </c>
      <c r="K16" s="12"/>
      <c r="L16" s="12"/>
      <c r="M16" s="12"/>
      <c r="N16" s="12"/>
      <c r="O16" s="12"/>
      <c r="P16" s="12"/>
      <c r="Q16" s="12"/>
    </row>
    <row r="17" spans="1:19" ht="15" customHeight="1">
      <c r="A17" s="12"/>
      <c r="B17" s="12"/>
      <c r="C17" s="12"/>
      <c r="D17" s="12"/>
      <c r="E17" s="392"/>
      <c r="F17" s="364"/>
      <c r="G17" s="27"/>
      <c r="H17" s="18">
        <v>0.4</v>
      </c>
      <c r="I17" s="49">
        <f>XNPV(H17,Q6:Q9,L6:L9)</f>
        <v>100.76191735072246</v>
      </c>
      <c r="J17" s="18">
        <f>(I17/-$J$6)-1</f>
        <v>2.8182830109412915E-2</v>
      </c>
      <c r="K17" s="12"/>
      <c r="L17" s="12"/>
      <c r="M17" s="12"/>
      <c r="N17" s="12"/>
      <c r="O17" s="12"/>
      <c r="P17" s="12"/>
      <c r="Q17" s="12"/>
    </row>
    <row r="18" spans="1:19" ht="15" customHeight="1">
      <c r="A18" s="12"/>
      <c r="B18" s="12"/>
      <c r="C18" s="12"/>
      <c r="D18" s="12"/>
      <c r="E18" s="373"/>
      <c r="F18" s="363"/>
      <c r="G18" s="130"/>
      <c r="H18" s="63">
        <v>0.45</v>
      </c>
      <c r="I18" s="64">
        <f>XNPV(H18,Q6:Q9,L6:L9)</f>
        <v>98.377083663160334</v>
      </c>
      <c r="J18" s="63">
        <f>(I18/-J6)-1</f>
        <v>3.8477924812279074E-3</v>
      </c>
      <c r="K18" s="12"/>
      <c r="L18" s="12"/>
      <c r="M18" s="12"/>
      <c r="N18" s="12"/>
      <c r="O18" s="12"/>
      <c r="P18" s="12"/>
      <c r="Q18" s="12"/>
    </row>
    <row r="19" spans="1: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9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9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9">
      <c r="A22" s="12"/>
      <c r="B22" s="12"/>
      <c r="C22" s="12"/>
      <c r="D22" s="12"/>
    </row>
    <row r="23" spans="1:19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9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9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9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51"/>
      <c r="S26" s="51"/>
    </row>
    <row r="27" spans="1:19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51"/>
      <c r="S27" s="51"/>
    </row>
    <row r="28" spans="1:19" ht="5.2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51"/>
      <c r="S28" s="51"/>
    </row>
    <row r="29" spans="1:1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51"/>
      <c r="S29" s="51"/>
    </row>
    <row r="30" spans="1:19" ht="8.2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51"/>
      <c r="S30" s="51"/>
    </row>
    <row r="31" spans="1:19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51"/>
      <c r="S31" s="51"/>
    </row>
    <row r="32" spans="1:19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51"/>
      <c r="S32" s="51"/>
    </row>
    <row r="33" spans="1:19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51"/>
      <c r="S33" s="51"/>
    </row>
    <row r="34" spans="1:19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51"/>
      <c r="S34" s="51"/>
    </row>
    <row r="35" spans="1:19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51"/>
      <c r="S35" s="51"/>
    </row>
    <row r="36" spans="1:19" ht="6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51"/>
      <c r="S36" s="51"/>
    </row>
    <row r="37" spans="1:19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58"/>
      <c r="S37" s="51"/>
    </row>
    <row r="38" spans="1:19">
      <c r="N38" s="51"/>
      <c r="O38" s="51"/>
      <c r="P38" s="51"/>
      <c r="Q38" s="51"/>
      <c r="R38" s="51"/>
      <c r="S38" s="51"/>
    </row>
    <row r="39" spans="1:19">
      <c r="N39" s="51"/>
      <c r="O39" s="51"/>
      <c r="P39" s="51"/>
      <c r="Q39" s="51"/>
      <c r="R39" s="51"/>
      <c r="S39" s="51"/>
    </row>
    <row r="40" spans="1:19">
      <c r="N40" s="51"/>
      <c r="O40" s="51"/>
      <c r="P40" s="51"/>
      <c r="Q40" s="51"/>
      <c r="R40" s="51"/>
      <c r="S40" s="51"/>
    </row>
    <row r="41" spans="1:19">
      <c r="N41" s="51"/>
      <c r="O41" s="51"/>
      <c r="P41" s="52"/>
      <c r="Q41" s="51"/>
      <c r="R41" s="51"/>
      <c r="S41" s="51"/>
    </row>
    <row r="42" spans="1:19" ht="5.25" customHeight="1">
      <c r="N42" s="51"/>
      <c r="O42" s="51"/>
      <c r="P42" s="51"/>
      <c r="Q42" s="51"/>
      <c r="R42" s="51"/>
      <c r="S42" s="51"/>
    </row>
    <row r="43" spans="1:19">
      <c r="N43" s="51"/>
      <c r="O43" s="51"/>
      <c r="P43" s="388"/>
      <c r="Q43" s="388"/>
      <c r="R43" s="51"/>
      <c r="S43" s="51"/>
    </row>
    <row r="44" spans="1:19" ht="7.5" customHeight="1">
      <c r="N44" s="51"/>
      <c r="O44" s="51"/>
      <c r="P44" s="51"/>
      <c r="Q44" s="51"/>
    </row>
    <row r="45" spans="1:19">
      <c r="N45" s="51"/>
      <c r="O45" s="51"/>
      <c r="P45" s="53"/>
      <c r="Q45" s="54"/>
    </row>
    <row r="46" spans="1:19">
      <c r="N46" s="51"/>
      <c r="O46" s="51"/>
      <c r="P46" s="53"/>
      <c r="Q46" s="55"/>
    </row>
    <row r="47" spans="1:19">
      <c r="N47" s="51"/>
      <c r="O47" s="51"/>
      <c r="P47" s="53"/>
      <c r="Q47" s="55"/>
    </row>
    <row r="48" spans="1:19">
      <c r="N48" s="51"/>
      <c r="O48" s="51"/>
      <c r="P48" s="53"/>
      <c r="Q48" s="54"/>
    </row>
    <row r="49" spans="14:17">
      <c r="N49" s="51"/>
      <c r="O49" s="51"/>
      <c r="P49" s="53"/>
      <c r="Q49" s="56"/>
    </row>
    <row r="50" spans="14:17">
      <c r="N50" s="51"/>
      <c r="O50" s="51"/>
      <c r="P50" s="51"/>
      <c r="Q50" s="51"/>
    </row>
    <row r="51" spans="14:17">
      <c r="N51" s="51"/>
      <c r="O51" s="51"/>
      <c r="P51" s="57"/>
      <c r="Q51" s="57"/>
    </row>
    <row r="52" spans="14:17">
      <c r="N52" s="51"/>
      <c r="O52" s="51"/>
      <c r="P52" s="51"/>
      <c r="Q52" s="51"/>
    </row>
    <row r="53" spans="14:17">
      <c r="N53" s="51"/>
      <c r="O53" s="51"/>
      <c r="P53" s="51"/>
      <c r="Q53" s="51"/>
    </row>
    <row r="54" spans="14:17">
      <c r="N54" s="51"/>
      <c r="O54" s="51"/>
      <c r="P54" s="51"/>
      <c r="Q54" s="51"/>
    </row>
    <row r="55" spans="14:17">
      <c r="N55" s="51"/>
      <c r="O55" s="51"/>
      <c r="P55" s="51"/>
      <c r="Q55" s="51"/>
    </row>
    <row r="56" spans="14:17">
      <c r="N56" s="51"/>
      <c r="O56" s="51"/>
      <c r="P56" s="51"/>
      <c r="Q56" s="51"/>
    </row>
    <row r="57" spans="14:17">
      <c r="N57" s="51"/>
      <c r="O57" s="51"/>
      <c r="P57" s="51"/>
      <c r="Q57" s="51"/>
    </row>
  </sheetData>
  <mergeCells count="6">
    <mergeCell ref="P43:Q43"/>
    <mergeCell ref="B2:J2"/>
    <mergeCell ref="B4:C4"/>
    <mergeCell ref="E4:J4"/>
    <mergeCell ref="L4:Q4"/>
    <mergeCell ref="E16:E1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tabSelected="1" zoomScale="90" zoomScaleNormal="90" workbookViewId="0">
      <selection activeCell="F11" sqref="F11"/>
    </sheetView>
  </sheetViews>
  <sheetFormatPr baseColWidth="10" defaultRowHeight="15"/>
  <cols>
    <col min="2" max="2" width="17.140625" customWidth="1"/>
    <col min="3" max="3" width="12.42578125" bestFit="1" customWidth="1"/>
    <col min="4" max="4" width="3.42578125" customWidth="1"/>
    <col min="5" max="5" width="12.28515625" bestFit="1" customWidth="1"/>
    <col min="6" max="6" width="8.5703125" customWidth="1"/>
    <col min="7" max="7" width="6.85546875" customWidth="1"/>
    <col min="8" max="8" width="9.85546875" customWidth="1"/>
    <col min="9" max="9" width="8.28515625" customWidth="1"/>
    <col min="10" max="10" width="9.85546875" customWidth="1"/>
    <col min="16" max="16" width="13.42578125" customWidth="1"/>
  </cols>
  <sheetData>
    <row r="1" spans="1:18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75">
      <c r="A2" s="12"/>
      <c r="B2" s="368" t="s">
        <v>50</v>
      </c>
      <c r="C2" s="368"/>
      <c r="D2" s="368"/>
      <c r="E2" s="368"/>
      <c r="F2" s="368"/>
      <c r="G2" s="368"/>
      <c r="H2" s="368"/>
      <c r="I2" s="368"/>
      <c r="J2" s="368"/>
      <c r="K2" s="12"/>
      <c r="L2" s="12"/>
      <c r="M2" s="12"/>
      <c r="N2" s="12"/>
      <c r="O2" s="12"/>
      <c r="P2" s="12"/>
      <c r="Q2" s="12"/>
      <c r="R2" s="12"/>
    </row>
    <row r="3" spans="1:18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>
      <c r="A4" s="12"/>
      <c r="B4" s="369" t="s">
        <v>34</v>
      </c>
      <c r="C4" s="370"/>
      <c r="D4" s="12"/>
      <c r="E4" s="391" t="s">
        <v>51</v>
      </c>
      <c r="F4" s="391"/>
      <c r="G4" s="391"/>
      <c r="H4" s="391"/>
      <c r="I4" s="391"/>
      <c r="J4" s="391"/>
      <c r="K4" s="12"/>
      <c r="L4" s="391" t="s">
        <v>51</v>
      </c>
      <c r="M4" s="391"/>
      <c r="N4" s="391"/>
      <c r="O4" s="391"/>
      <c r="P4" s="391"/>
      <c r="Q4" s="391"/>
      <c r="R4" s="12"/>
    </row>
    <row r="5" spans="1:18">
      <c r="A5" s="12"/>
      <c r="B5" s="24" t="s">
        <v>0</v>
      </c>
      <c r="C5" s="33">
        <v>43866</v>
      </c>
      <c r="D5" s="12"/>
      <c r="E5" s="29" t="s">
        <v>14</v>
      </c>
      <c r="F5" s="29" t="s">
        <v>7</v>
      </c>
      <c r="G5" s="29" t="s">
        <v>21</v>
      </c>
      <c r="H5" s="29" t="s">
        <v>8</v>
      </c>
      <c r="I5" s="29" t="s">
        <v>33</v>
      </c>
      <c r="J5" s="29" t="s">
        <v>9</v>
      </c>
      <c r="K5" s="12"/>
      <c r="L5" s="29" t="s">
        <v>14</v>
      </c>
      <c r="M5" s="29" t="s">
        <v>7</v>
      </c>
      <c r="N5" s="29" t="s">
        <v>21</v>
      </c>
      <c r="O5" s="29" t="s">
        <v>8</v>
      </c>
      <c r="P5" s="29" t="s">
        <v>33</v>
      </c>
      <c r="Q5" s="29" t="s">
        <v>9</v>
      </c>
      <c r="R5" s="12"/>
    </row>
    <row r="6" spans="1:18">
      <c r="A6" s="12"/>
      <c r="B6" s="24" t="s">
        <v>1</v>
      </c>
      <c r="C6" s="33">
        <v>44413</v>
      </c>
      <c r="D6" s="12"/>
      <c r="E6" s="15">
        <f>'Planilla de datos'!D3</f>
        <v>44383</v>
      </c>
      <c r="F6" s="14">
        <v>100</v>
      </c>
      <c r="G6" s="12"/>
      <c r="H6" s="14"/>
      <c r="I6" s="12"/>
      <c r="J6" s="14">
        <f>-'Planilla de datos'!C10</f>
        <v>-105.85</v>
      </c>
      <c r="K6" s="12"/>
      <c r="L6" s="15">
        <f>+E6</f>
        <v>44383</v>
      </c>
      <c r="M6" s="14">
        <f>F6</f>
        <v>100</v>
      </c>
      <c r="N6" s="12">
        <f>G6</f>
        <v>0</v>
      </c>
      <c r="O6" s="14"/>
      <c r="P6" s="12"/>
      <c r="Q6" s="14">
        <v>0</v>
      </c>
      <c r="R6" s="12"/>
    </row>
    <row r="7" spans="1:18">
      <c r="A7" s="12"/>
      <c r="B7" s="24" t="s">
        <v>157</v>
      </c>
      <c r="C7" s="35">
        <v>0.01</v>
      </c>
      <c r="D7" s="12"/>
      <c r="E7" s="15">
        <v>44413</v>
      </c>
      <c r="F7" s="14">
        <v>100</v>
      </c>
      <c r="G7" s="12">
        <f>E7-C12</f>
        <v>92</v>
      </c>
      <c r="H7" s="14">
        <f>($C$11)/365*G7*$F$6</f>
        <v>8.8606338518690499</v>
      </c>
      <c r="I7" s="14">
        <v>100</v>
      </c>
      <c r="J7" s="14">
        <f>SUM(H7:I7)</f>
        <v>108.86063385186905</v>
      </c>
      <c r="K7" s="12"/>
      <c r="L7" s="15">
        <f>E7</f>
        <v>44413</v>
      </c>
      <c r="M7" s="14">
        <f>F7</f>
        <v>100</v>
      </c>
      <c r="N7" s="12">
        <f>G7</f>
        <v>92</v>
      </c>
      <c r="O7" s="14">
        <f>($C$8+$C$7)/365*N7*$F$6</f>
        <v>8.8606338518690499</v>
      </c>
      <c r="P7" s="14">
        <v>100</v>
      </c>
      <c r="Q7" s="14">
        <f>SUM(O7:P7)</f>
        <v>108.86063385186905</v>
      </c>
      <c r="R7" s="12"/>
    </row>
    <row r="8" spans="1:18">
      <c r="A8" s="12"/>
      <c r="B8" s="24" t="s">
        <v>166</v>
      </c>
      <c r="C8" s="35">
        <f>AVERAGE('Serie BADLAR'!C257:C315)/100</f>
        <v>0.34153601694915253</v>
      </c>
      <c r="D8" s="12"/>
      <c r="E8" s="12"/>
      <c r="F8" s="12"/>
      <c r="G8" s="12"/>
      <c r="H8" s="12"/>
      <c r="I8" s="12"/>
      <c r="J8" s="12"/>
      <c r="K8" s="12"/>
      <c r="R8" s="12"/>
    </row>
    <row r="9" spans="1:18">
      <c r="A9" s="12"/>
      <c r="B9" s="24" t="s">
        <v>165</v>
      </c>
      <c r="C9" s="35">
        <f>C7+C8</f>
        <v>0.35153601694915254</v>
      </c>
      <c r="D9" s="12"/>
      <c r="E9" s="12"/>
      <c r="F9" s="12"/>
      <c r="G9" s="12"/>
      <c r="H9" s="12"/>
      <c r="I9" s="12"/>
      <c r="J9" s="12"/>
      <c r="K9" s="12"/>
      <c r="R9" s="12"/>
    </row>
    <row r="10" spans="1:18">
      <c r="A10" s="12"/>
      <c r="B10" s="24" t="s">
        <v>161</v>
      </c>
      <c r="C10" s="35">
        <f>AVERAGE('Serie BADLAR'!C257:C315)/100</f>
        <v>0.34153601694915253</v>
      </c>
      <c r="D10" s="12"/>
      <c r="E10" s="12"/>
      <c r="F10" s="12"/>
      <c r="G10" s="12"/>
      <c r="H10" s="12"/>
      <c r="I10" s="92" t="s">
        <v>10</v>
      </c>
      <c r="J10" s="86">
        <f>XIRR(J6:J7,E6:E7,0)</f>
        <v>0.4066626513671876</v>
      </c>
      <c r="K10" s="12"/>
      <c r="L10" s="110"/>
      <c r="M10" s="110"/>
      <c r="N10" s="110"/>
      <c r="O10" s="110"/>
      <c r="P10" s="110"/>
      <c r="Q10" s="110"/>
      <c r="R10" s="110"/>
    </row>
    <row r="11" spans="1:18">
      <c r="A11" s="12"/>
      <c r="B11" s="24" t="s">
        <v>167</v>
      </c>
      <c r="C11" s="35">
        <f>C10+C7</f>
        <v>0.35153601694915254</v>
      </c>
      <c r="D11" s="12"/>
      <c r="E11" s="12"/>
      <c r="F11" s="12"/>
      <c r="G11" s="12"/>
      <c r="H11" s="12"/>
      <c r="I11" s="92" t="s">
        <v>64</v>
      </c>
      <c r="J11" s="71">
        <f>MDURATION(E6,E7,C9,J10,4)</f>
        <v>7.3121599658247327E-2</v>
      </c>
      <c r="K11" s="12"/>
    </row>
    <row r="12" spans="1:18">
      <c r="A12" s="12"/>
      <c r="B12" s="24" t="s">
        <v>27</v>
      </c>
      <c r="C12" s="33">
        <v>44321</v>
      </c>
      <c r="D12" s="12"/>
      <c r="K12" s="12"/>
      <c r="L12" s="110"/>
      <c r="M12" s="110"/>
      <c r="N12" s="110"/>
      <c r="O12" s="110"/>
      <c r="P12" s="59"/>
      <c r="Q12" s="60"/>
      <c r="R12" s="110"/>
    </row>
    <row r="13" spans="1:18">
      <c r="A13" s="12"/>
      <c r="B13" s="218"/>
      <c r="C13" s="261"/>
      <c r="D13" s="12"/>
      <c r="E13" s="12"/>
      <c r="F13" s="12"/>
      <c r="G13" s="12"/>
      <c r="H13" s="12"/>
      <c r="I13" s="12"/>
      <c r="J13" s="12"/>
      <c r="K13" s="12"/>
      <c r="L13" s="110"/>
      <c r="M13" s="110"/>
      <c r="N13" s="110"/>
      <c r="O13" s="110"/>
      <c r="P13" s="110"/>
      <c r="Q13" s="110"/>
      <c r="R13" s="110"/>
    </row>
    <row r="14" spans="1:18">
      <c r="A14" s="12"/>
      <c r="B14" s="27"/>
      <c r="C14" s="69"/>
      <c r="D14" s="12"/>
      <c r="E14" s="12"/>
      <c r="F14" s="12"/>
      <c r="G14" s="12"/>
      <c r="H14" s="12"/>
      <c r="I14" s="12"/>
      <c r="J14" s="12"/>
      <c r="K14" s="12"/>
      <c r="L14" s="393"/>
      <c r="M14" s="393"/>
      <c r="N14" s="393"/>
      <c r="O14" s="393"/>
      <c r="P14" s="393"/>
      <c r="Q14" s="393"/>
      <c r="R14" s="110"/>
    </row>
    <row r="15" spans="1:18" ht="30">
      <c r="A15" s="12"/>
      <c r="B15" s="12"/>
      <c r="C15" s="12"/>
      <c r="D15" s="12"/>
      <c r="E15" s="320" t="s">
        <v>92</v>
      </c>
      <c r="F15" s="320"/>
      <c r="G15" s="129"/>
      <c r="H15" s="61">
        <v>0.35</v>
      </c>
      <c r="I15" s="129">
        <f>XNPV(H15,Q6:Q7,L6:L7)</f>
        <v>106.20830898061253</v>
      </c>
      <c r="J15" s="61">
        <f>(I15/-$J$6)-1</f>
        <v>3.3850635863252876E-3</v>
      </c>
      <c r="K15" s="12"/>
      <c r="L15" s="12"/>
      <c r="M15" s="12"/>
      <c r="N15" s="12"/>
      <c r="O15" s="12"/>
      <c r="P15" s="12"/>
      <c r="Q15" s="12"/>
      <c r="R15" s="12"/>
    </row>
    <row r="16" spans="1:18" ht="14.45" customHeight="1">
      <c r="A16" s="12"/>
      <c r="B16" s="12"/>
      <c r="C16" s="12"/>
      <c r="D16" s="12"/>
      <c r="E16" s="322"/>
      <c r="F16" s="322"/>
      <c r="G16" s="27"/>
      <c r="H16" s="18">
        <v>0.4</v>
      </c>
      <c r="I16" s="49">
        <f>XNPV(H16,Q6:Q7,L6:L7)</f>
        <v>105.89131345236054</v>
      </c>
      <c r="J16" s="18">
        <f>(I16/-$J$6)-1</f>
        <v>3.9030186453037352E-4</v>
      </c>
      <c r="K16" s="12"/>
      <c r="L16" s="12"/>
      <c r="M16" s="12"/>
      <c r="N16" s="12"/>
      <c r="O16" s="12"/>
      <c r="P16" s="12"/>
      <c r="Q16" s="12"/>
      <c r="R16" s="12"/>
    </row>
    <row r="17" spans="1:20" ht="15" customHeight="1">
      <c r="A17" s="12"/>
      <c r="B17" s="12"/>
      <c r="C17" s="12"/>
      <c r="D17" s="12"/>
      <c r="E17" s="321"/>
      <c r="F17" s="321"/>
      <c r="G17" s="130"/>
      <c r="H17" s="63">
        <v>0.45</v>
      </c>
      <c r="I17" s="64">
        <f>XNPV(H17,Q6:Q7,L6:L7)</f>
        <v>105.58633982962874</v>
      </c>
      <c r="J17" s="63">
        <f>(I17/-J6)-1</f>
        <v>-2.4908849350141482E-3</v>
      </c>
      <c r="K17" s="12"/>
      <c r="L17" s="12"/>
      <c r="M17" s="12"/>
      <c r="N17" s="12"/>
      <c r="O17" s="12"/>
      <c r="P17" s="12"/>
      <c r="Q17" s="12"/>
      <c r="R17" s="12"/>
    </row>
    <row r="18" spans="1:20" ht="15" customHeight="1">
      <c r="A18" s="12"/>
      <c r="B18" s="12"/>
      <c r="C18" s="12"/>
      <c r="D18" s="12"/>
      <c r="K18" s="12"/>
      <c r="L18" s="12"/>
      <c r="M18" s="12"/>
      <c r="N18" s="12"/>
      <c r="O18" s="12"/>
      <c r="P18" s="12"/>
      <c r="Q18" s="12"/>
      <c r="R18" s="12"/>
    </row>
    <row r="19" spans="1:20">
      <c r="A19" s="12"/>
      <c r="B19" s="12"/>
      <c r="C19" s="12"/>
      <c r="D19" s="12"/>
      <c r="K19" s="12"/>
      <c r="L19" s="12"/>
      <c r="M19" s="12"/>
      <c r="N19" s="12"/>
      <c r="O19" s="12"/>
      <c r="P19" s="12"/>
      <c r="Q19" s="12"/>
      <c r="R19" s="12"/>
    </row>
    <row r="20" spans="1:20">
      <c r="A20" s="12"/>
      <c r="B20" s="12"/>
      <c r="C20" s="12"/>
      <c r="D20" s="12"/>
      <c r="E20" s="12"/>
      <c r="F20" s="12"/>
      <c r="G20" s="12"/>
      <c r="H20" s="12"/>
      <c r="I20" s="12" t="s">
        <v>184</v>
      </c>
      <c r="J20" s="22">
        <f>(J7+J6)/(-J6)</f>
        <v>2.8442454906651482E-2</v>
      </c>
      <c r="K20" s="12"/>
      <c r="L20" s="12"/>
      <c r="M20" s="12"/>
      <c r="N20" s="12"/>
      <c r="O20" s="12"/>
      <c r="P20" s="12"/>
      <c r="Q20" s="12"/>
      <c r="R20" s="12"/>
    </row>
    <row r="21" spans="1:20">
      <c r="A21" s="12"/>
      <c r="B21" s="12"/>
      <c r="C21" s="12"/>
      <c r="D21" s="12"/>
      <c r="E21" s="12"/>
      <c r="F21" s="12"/>
      <c r="G21" s="12"/>
      <c r="H21" s="12"/>
      <c r="I21" s="12" t="s">
        <v>17</v>
      </c>
      <c r="J21" s="22" t="e">
        <f>J20/E8*365</f>
        <v>#DIV/0!</v>
      </c>
      <c r="K21" s="12"/>
      <c r="L21" s="12"/>
      <c r="M21" s="12"/>
      <c r="N21" s="12"/>
      <c r="O21" s="12"/>
      <c r="P21" s="12"/>
      <c r="Q21" s="12"/>
      <c r="R21" s="12"/>
    </row>
    <row r="22" spans="1:2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20">
      <c r="A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20">
      <c r="A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20">
      <c r="A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51"/>
      <c r="T26" s="51"/>
    </row>
    <row r="27" spans="1:20">
      <c r="A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51"/>
      <c r="T27" s="51"/>
    </row>
    <row r="28" spans="1:20">
      <c r="A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51"/>
      <c r="T28" s="51"/>
    </row>
    <row r="29" spans="1:20">
      <c r="A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51"/>
      <c r="T29" s="51"/>
    </row>
    <row r="30" spans="1:20">
      <c r="A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51"/>
      <c r="T30" s="51"/>
    </row>
    <row r="31" spans="1:20">
      <c r="A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51"/>
      <c r="T31" s="51"/>
    </row>
    <row r="32" spans="1:2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1"/>
      <c r="T32" s="51"/>
    </row>
    <row r="33" spans="1:20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51"/>
      <c r="T33" s="51"/>
    </row>
    <row r="34" spans="1:2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51"/>
      <c r="T34" s="51"/>
    </row>
    <row r="35" spans="1:20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51"/>
      <c r="T35" s="51"/>
    </row>
    <row r="36" spans="1:20" ht="6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51"/>
      <c r="T36" s="51"/>
    </row>
    <row r="37" spans="1:20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58"/>
      <c r="T37" s="51"/>
    </row>
    <row r="38" spans="1:20">
      <c r="N38" s="51"/>
      <c r="O38" s="51"/>
      <c r="P38" s="51"/>
      <c r="Q38" s="51"/>
      <c r="R38" s="51"/>
      <c r="S38" s="51"/>
      <c r="T38" s="51"/>
    </row>
    <row r="39" spans="1:20">
      <c r="N39" s="51"/>
      <c r="O39" s="51"/>
      <c r="P39" s="51"/>
      <c r="Q39" s="51"/>
      <c r="R39" s="51"/>
      <c r="S39" s="51"/>
      <c r="T39" s="51"/>
    </row>
    <row r="40" spans="1:20">
      <c r="N40" s="51"/>
      <c r="O40" s="51"/>
      <c r="P40" s="51"/>
      <c r="Q40" s="51"/>
      <c r="R40" s="51"/>
      <c r="S40" s="51"/>
      <c r="T40" s="51"/>
    </row>
    <row r="41" spans="1:20">
      <c r="N41" s="51"/>
      <c r="O41" s="51"/>
      <c r="P41" s="52"/>
      <c r="Q41" s="51"/>
      <c r="R41" s="51"/>
      <c r="S41" s="51"/>
      <c r="T41" s="51"/>
    </row>
    <row r="42" spans="1:20" ht="5.25" customHeight="1">
      <c r="N42" s="51"/>
      <c r="O42" s="51"/>
      <c r="P42" s="51"/>
      <c r="Q42" s="51"/>
      <c r="R42" s="51"/>
      <c r="S42" s="51"/>
      <c r="T42" s="51"/>
    </row>
    <row r="43" spans="1:20">
      <c r="N43" s="51"/>
      <c r="O43" s="51"/>
      <c r="P43" s="388"/>
      <c r="Q43" s="388"/>
      <c r="R43" s="388"/>
      <c r="S43" s="51"/>
      <c r="T43" s="51"/>
    </row>
    <row r="44" spans="1:20" ht="7.5" customHeight="1">
      <c r="N44" s="51"/>
      <c r="O44" s="51"/>
      <c r="P44" s="51"/>
      <c r="Q44" s="51"/>
      <c r="R44" s="51"/>
    </row>
    <row r="45" spans="1:20">
      <c r="N45" s="51"/>
      <c r="O45" s="51"/>
      <c r="P45" s="53"/>
      <c r="Q45" s="54"/>
      <c r="R45" s="54"/>
    </row>
    <row r="46" spans="1:20">
      <c r="N46" s="51"/>
      <c r="O46" s="51"/>
      <c r="P46" s="53"/>
      <c r="Q46" s="55"/>
      <c r="R46" s="55"/>
    </row>
    <row r="47" spans="1:20">
      <c r="N47" s="51"/>
      <c r="O47" s="51"/>
      <c r="P47" s="53"/>
      <c r="Q47" s="55"/>
      <c r="R47" s="55"/>
    </row>
    <row r="48" spans="1:20">
      <c r="N48" s="51"/>
      <c r="O48" s="51"/>
      <c r="P48" s="53"/>
      <c r="Q48" s="54"/>
      <c r="R48" s="54"/>
    </row>
    <row r="49" spans="14:18">
      <c r="N49" s="51"/>
      <c r="O49" s="51"/>
      <c r="P49" s="53"/>
      <c r="Q49" s="56"/>
      <c r="R49" s="56"/>
    </row>
    <row r="50" spans="14:18">
      <c r="N50" s="51"/>
      <c r="O50" s="51"/>
      <c r="P50" s="51"/>
      <c r="Q50" s="51"/>
      <c r="R50" s="51"/>
    </row>
    <row r="51" spans="14:18">
      <c r="N51" s="51"/>
      <c r="O51" s="51"/>
      <c r="P51" s="57"/>
      <c r="Q51" s="57"/>
      <c r="R51" s="57"/>
    </row>
    <row r="52" spans="14:18">
      <c r="N52" s="51"/>
      <c r="O52" s="51"/>
      <c r="P52" s="51"/>
      <c r="Q52" s="51"/>
      <c r="R52" s="51"/>
    </row>
    <row r="53" spans="14:18">
      <c r="N53" s="51"/>
      <c r="O53" s="51"/>
      <c r="P53" s="51"/>
      <c r="Q53" s="51"/>
      <c r="R53" s="51"/>
    </row>
    <row r="54" spans="14:18">
      <c r="N54" s="51"/>
      <c r="O54" s="51"/>
      <c r="P54" s="51"/>
      <c r="Q54" s="51"/>
      <c r="R54" s="51"/>
    </row>
    <row r="55" spans="14:18">
      <c r="N55" s="51"/>
      <c r="O55" s="51"/>
      <c r="P55" s="51"/>
      <c r="Q55" s="51"/>
      <c r="R55" s="51"/>
    </row>
    <row r="56" spans="14:18">
      <c r="N56" s="51"/>
      <c r="O56" s="51"/>
      <c r="P56" s="51"/>
      <c r="Q56" s="51"/>
      <c r="R56" s="51"/>
    </row>
    <row r="57" spans="14:18">
      <c r="N57" s="51"/>
      <c r="O57" s="51"/>
      <c r="P57" s="51"/>
      <c r="Q57" s="51"/>
      <c r="R57" s="51"/>
    </row>
  </sheetData>
  <mergeCells count="6">
    <mergeCell ref="P43:R43"/>
    <mergeCell ref="B2:J2"/>
    <mergeCell ref="B4:C4"/>
    <mergeCell ref="E4:J4"/>
    <mergeCell ref="L4:Q4"/>
    <mergeCell ref="L14:Q14"/>
  </mergeCells>
  <pageMargins left="0.7" right="0.7" top="0.75" bottom="0.75" header="0.3" footer="0.3"/>
  <pageSetup paperSize="9" orientation="portrait" r:id="rId1"/>
  <ignoredErrors>
    <ignoredError sqref="C9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showGridLines="0" zoomScale="90" zoomScaleNormal="90" workbookViewId="0">
      <selection activeCell="N18" sqref="N18"/>
    </sheetView>
  </sheetViews>
  <sheetFormatPr baseColWidth="10" defaultRowHeight="15"/>
  <cols>
    <col min="2" max="2" width="17.140625" customWidth="1"/>
    <col min="3" max="3" width="14.140625" bestFit="1" customWidth="1"/>
    <col min="4" max="4" width="3.42578125" customWidth="1"/>
    <col min="5" max="5" width="14.140625" bestFit="1" customWidth="1"/>
    <col min="6" max="7" width="9.42578125" customWidth="1"/>
    <col min="8" max="8" width="9.28515625" bestFit="1" customWidth="1"/>
    <col min="9" max="10" width="10.42578125" customWidth="1"/>
  </cols>
  <sheetData>
    <row r="1" spans="1:20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5.75">
      <c r="A2" s="12"/>
      <c r="B2" s="368" t="s">
        <v>53</v>
      </c>
      <c r="C2" s="368"/>
      <c r="D2" s="368"/>
      <c r="E2" s="368"/>
      <c r="F2" s="368"/>
      <c r="G2" s="368"/>
      <c r="H2" s="368"/>
      <c r="I2" s="368"/>
      <c r="J2" s="368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>
      <c r="A4" s="12"/>
      <c r="B4" s="369" t="s">
        <v>34</v>
      </c>
      <c r="C4" s="370"/>
      <c r="D4" s="12"/>
      <c r="E4" s="371" t="s">
        <v>54</v>
      </c>
      <c r="F4" s="371"/>
      <c r="G4" s="371"/>
      <c r="H4" s="371"/>
      <c r="I4" s="371"/>
      <c r="J4" s="371"/>
      <c r="K4" s="12"/>
      <c r="L4" s="12"/>
      <c r="M4" s="371" t="s">
        <v>54</v>
      </c>
      <c r="N4" s="371"/>
      <c r="O4" s="371"/>
      <c r="P4" s="371"/>
      <c r="Q4" s="371"/>
      <c r="R4" s="371"/>
      <c r="S4" s="12"/>
      <c r="T4" s="12"/>
    </row>
    <row r="5" spans="1:20">
      <c r="A5" s="12"/>
      <c r="B5" s="24" t="s">
        <v>0</v>
      </c>
      <c r="C5" s="33">
        <v>40182</v>
      </c>
      <c r="D5" s="12"/>
      <c r="E5" s="29" t="s">
        <v>14</v>
      </c>
      <c r="F5" s="29" t="s">
        <v>7</v>
      </c>
      <c r="G5" s="29" t="s">
        <v>21</v>
      </c>
      <c r="H5" s="29" t="s">
        <v>8</v>
      </c>
      <c r="I5" s="29" t="s">
        <v>33</v>
      </c>
      <c r="J5" s="29" t="s">
        <v>9</v>
      </c>
      <c r="K5" s="12"/>
      <c r="L5" s="12"/>
      <c r="M5" s="29" t="s">
        <v>14</v>
      </c>
      <c r="N5" s="29" t="s">
        <v>7</v>
      </c>
      <c r="O5" s="29" t="s">
        <v>21</v>
      </c>
      <c r="P5" s="29" t="s">
        <v>8</v>
      </c>
      <c r="Q5" s="29" t="s">
        <v>33</v>
      </c>
      <c r="R5" s="29" t="s">
        <v>9</v>
      </c>
      <c r="S5" s="12"/>
      <c r="T5" s="12"/>
    </row>
    <row r="6" spans="1:20">
      <c r="A6" s="12"/>
      <c r="B6" s="24" t="s">
        <v>1</v>
      </c>
      <c r="C6" s="33">
        <v>44838</v>
      </c>
      <c r="D6" s="12"/>
      <c r="E6" s="15">
        <f>'Planilla de datos'!D3</f>
        <v>44383</v>
      </c>
      <c r="F6" s="14">
        <f>96.5078-12.2828-12.2828</f>
        <v>71.942200000000014</v>
      </c>
      <c r="G6" s="12"/>
      <c r="H6" s="30"/>
      <c r="I6" s="12"/>
      <c r="J6" s="14">
        <f>-'Planilla de datos'!C13</f>
        <v>-69.45</v>
      </c>
      <c r="K6" s="12"/>
      <c r="L6" s="12"/>
      <c r="M6" s="15">
        <f>+E6</f>
        <v>44383</v>
      </c>
      <c r="N6" s="14">
        <f t="shared" ref="N6:N11" si="0">F6</f>
        <v>71.942200000000014</v>
      </c>
      <c r="O6" s="12"/>
      <c r="P6" s="30"/>
      <c r="Q6" s="12"/>
      <c r="R6" s="14">
        <v>0</v>
      </c>
      <c r="S6" s="12"/>
      <c r="T6" s="12"/>
    </row>
    <row r="7" spans="1:20">
      <c r="A7" s="12"/>
      <c r="B7" s="24" t="s">
        <v>28</v>
      </c>
      <c r="C7" s="35">
        <f>AVERAGE('Serie BADLAR'!C162:C181)/100</f>
        <v>0.29721875000000003</v>
      </c>
      <c r="D7" s="12"/>
      <c r="E7" s="15">
        <v>44473</v>
      </c>
      <c r="F7" s="14">
        <f>F6-I7</f>
        <v>59.659400000000012</v>
      </c>
      <c r="G7" s="12">
        <f>E7-C9</f>
        <v>91</v>
      </c>
      <c r="H7" s="14">
        <f>($C$8)/365*G7*F6</f>
        <v>6.12259713057382</v>
      </c>
      <c r="I7" s="12">
        <v>12.2828</v>
      </c>
      <c r="J7" s="14">
        <f>SUM(H7:I7)</f>
        <v>18.405397130573821</v>
      </c>
      <c r="K7" s="12"/>
      <c r="L7" s="12"/>
      <c r="M7" s="15">
        <v>44473</v>
      </c>
      <c r="N7" s="14">
        <f t="shared" si="0"/>
        <v>59.659400000000012</v>
      </c>
      <c r="O7" s="12">
        <f t="shared" ref="O7:Q11" si="1">G7</f>
        <v>91</v>
      </c>
      <c r="P7" s="14">
        <f t="shared" si="1"/>
        <v>6.12259713057382</v>
      </c>
      <c r="Q7" s="12">
        <f t="shared" si="1"/>
        <v>12.2828</v>
      </c>
      <c r="R7" s="14">
        <f>SUM(P7:Q7)</f>
        <v>18.405397130573821</v>
      </c>
      <c r="S7" s="12"/>
      <c r="T7" s="12"/>
    </row>
    <row r="8" spans="1:20">
      <c r="A8" s="12"/>
      <c r="B8" s="24" t="s">
        <v>161</v>
      </c>
      <c r="C8" s="35">
        <f>AVERAGE('Serie BADLAR'!C221:C238)/100</f>
        <v>0.34135277777777773</v>
      </c>
      <c r="D8" s="12"/>
      <c r="E8" s="15">
        <v>44565</v>
      </c>
      <c r="F8" s="14">
        <f>F7-I8</f>
        <v>47.37660000000001</v>
      </c>
      <c r="G8" s="12">
        <f>E8-E7</f>
        <v>92</v>
      </c>
      <c r="H8" s="14">
        <f t="shared" ref="H8:H11" si="2">($C$8)/365*G8*F7</f>
        <v>5.1330711664961957</v>
      </c>
      <c r="I8" s="12">
        <v>12.2828</v>
      </c>
      <c r="J8" s="14">
        <f>SUM(H8:I8)</f>
        <v>17.415871166496196</v>
      </c>
      <c r="K8" s="12"/>
      <c r="L8" s="12"/>
      <c r="M8" s="15">
        <v>44565</v>
      </c>
      <c r="N8" s="14">
        <f t="shared" si="0"/>
        <v>47.37660000000001</v>
      </c>
      <c r="O8" s="12">
        <f t="shared" si="1"/>
        <v>92</v>
      </c>
      <c r="P8" s="14">
        <f t="shared" si="1"/>
        <v>5.1330711664961957</v>
      </c>
      <c r="Q8" s="12">
        <f t="shared" si="1"/>
        <v>12.2828</v>
      </c>
      <c r="R8" s="14">
        <f>SUM(P8:Q8)</f>
        <v>17.415871166496196</v>
      </c>
      <c r="S8" s="12"/>
      <c r="T8" s="12"/>
    </row>
    <row r="9" spans="1:20">
      <c r="A9" s="12"/>
      <c r="B9" s="36" t="s">
        <v>27</v>
      </c>
      <c r="C9" s="197">
        <v>44382</v>
      </c>
      <c r="D9" s="12"/>
      <c r="E9" s="15">
        <v>44655</v>
      </c>
      <c r="F9" s="14">
        <f>F8-I9</f>
        <v>35.093800000000009</v>
      </c>
      <c r="G9" s="12">
        <f>E9-E8</f>
        <v>90</v>
      </c>
      <c r="H9" s="14">
        <f t="shared" si="2"/>
        <v>3.9876494823287674</v>
      </c>
      <c r="I9" s="12">
        <v>12.2828</v>
      </c>
      <c r="J9" s="14">
        <f>SUM(H9:I9)</f>
        <v>16.270449482328768</v>
      </c>
      <c r="K9" s="12"/>
      <c r="L9" s="12"/>
      <c r="M9" s="15">
        <v>44655</v>
      </c>
      <c r="N9" s="14">
        <f t="shared" si="0"/>
        <v>35.093800000000009</v>
      </c>
      <c r="O9" s="12">
        <f t="shared" si="1"/>
        <v>90</v>
      </c>
      <c r="P9" s="14">
        <f t="shared" si="1"/>
        <v>3.9876494823287674</v>
      </c>
      <c r="Q9" s="12">
        <f t="shared" si="1"/>
        <v>12.2828</v>
      </c>
      <c r="R9" s="14">
        <f>SUM(P9:Q9)</f>
        <v>16.270449482328768</v>
      </c>
      <c r="S9" s="12"/>
      <c r="T9" s="12"/>
    </row>
    <row r="10" spans="1:20">
      <c r="A10" s="12"/>
      <c r="B10" s="26"/>
      <c r="C10" s="86"/>
      <c r="D10" s="12"/>
      <c r="E10" s="15">
        <v>44746</v>
      </c>
      <c r="F10" s="14">
        <f>F9-I10</f>
        <v>22.811000000000007</v>
      </c>
      <c r="G10" s="12">
        <f>E10-E9</f>
        <v>91</v>
      </c>
      <c r="H10" s="14">
        <f t="shared" si="2"/>
        <v>2.9866364829117202</v>
      </c>
      <c r="I10" s="12">
        <v>12.2828</v>
      </c>
      <c r="J10" s="14">
        <f>SUM(H10:I10)</f>
        <v>15.26943648291172</v>
      </c>
      <c r="K10" s="12"/>
      <c r="L10" s="12"/>
      <c r="M10" s="15">
        <v>44746</v>
      </c>
      <c r="N10" s="14">
        <f t="shared" si="0"/>
        <v>22.811000000000007</v>
      </c>
      <c r="O10" s="12">
        <f t="shared" si="1"/>
        <v>91</v>
      </c>
      <c r="P10" s="14">
        <f t="shared" si="1"/>
        <v>2.9866364829117202</v>
      </c>
      <c r="Q10" s="12">
        <f t="shared" si="1"/>
        <v>12.2828</v>
      </c>
      <c r="R10" s="14">
        <f>SUM(P10:Q10)</f>
        <v>15.26943648291172</v>
      </c>
      <c r="S10" s="12"/>
      <c r="T10" s="12"/>
    </row>
    <row r="11" spans="1:20">
      <c r="A11" s="12"/>
      <c r="B11" s="26"/>
      <c r="C11" s="74"/>
      <c r="D11" s="12"/>
      <c r="E11" s="15">
        <v>44838</v>
      </c>
      <c r="F11" s="14">
        <f>F10-I11</f>
        <v>0</v>
      </c>
      <c r="G11" s="12">
        <f>E11-E10</f>
        <v>92</v>
      </c>
      <c r="H11" s="14">
        <f t="shared" si="2"/>
        <v>1.9626494128158301</v>
      </c>
      <c r="I11" s="47">
        <v>22.811</v>
      </c>
      <c r="J11" s="14">
        <f>SUM(H11:I11)</f>
        <v>24.773649412815828</v>
      </c>
      <c r="K11" s="12"/>
      <c r="L11" s="12"/>
      <c r="M11" s="15">
        <v>44838</v>
      </c>
      <c r="N11" s="14">
        <f t="shared" si="0"/>
        <v>0</v>
      </c>
      <c r="O11" s="12">
        <f t="shared" si="1"/>
        <v>92</v>
      </c>
      <c r="P11" s="14">
        <f t="shared" si="1"/>
        <v>1.9626494128158301</v>
      </c>
      <c r="Q11" s="12">
        <f t="shared" si="1"/>
        <v>22.811</v>
      </c>
      <c r="R11" s="14">
        <f>SUM(P11:Q11)</f>
        <v>24.773649412815828</v>
      </c>
      <c r="S11" s="12"/>
      <c r="T11" s="12"/>
    </row>
    <row r="12" spans="1:20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S12" s="12"/>
      <c r="T12" s="12"/>
    </row>
    <row r="13" spans="1:20">
      <c r="A13" s="12"/>
      <c r="B13" s="12"/>
      <c r="C13" s="12"/>
      <c r="D13" s="12"/>
      <c r="E13" s="12"/>
      <c r="F13" s="12"/>
      <c r="G13" s="12"/>
      <c r="H13" s="12"/>
      <c r="I13" s="92" t="s">
        <v>10</v>
      </c>
      <c r="J13" s="86">
        <f>XIRR(J6:J11,E6:E11,0)</f>
        <v>0.45841657714843753</v>
      </c>
      <c r="K13" s="12"/>
      <c r="L13" s="12"/>
      <c r="S13" s="12"/>
      <c r="T13" s="12"/>
    </row>
    <row r="14" spans="1:20">
      <c r="A14" s="12"/>
      <c r="B14" s="12"/>
      <c r="C14" s="12"/>
      <c r="D14" s="12"/>
      <c r="E14" s="12"/>
      <c r="F14" s="12"/>
      <c r="G14" s="12"/>
      <c r="H14" s="12"/>
      <c r="I14" s="92"/>
      <c r="J14" s="86"/>
      <c r="K14" s="12"/>
      <c r="L14" s="12"/>
      <c r="S14" s="12"/>
      <c r="T14" s="12"/>
    </row>
    <row r="15" spans="1:20">
      <c r="A15" s="12"/>
      <c r="B15" s="12"/>
      <c r="C15" s="12"/>
      <c r="D15" s="12"/>
      <c r="E15" s="362" t="s">
        <v>92</v>
      </c>
      <c r="F15" s="362"/>
      <c r="G15" s="362"/>
      <c r="H15" s="61">
        <v>0.35</v>
      </c>
      <c r="I15" s="62">
        <f>XNPV(H15,R6:R11,M6:M11)</f>
        <v>73.469114159200984</v>
      </c>
      <c r="J15" s="61">
        <f>(I15/-$J$6)-1</f>
        <v>5.7870614243354712E-2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>
      <c r="A16" s="12"/>
      <c r="B16" s="12"/>
      <c r="C16" s="12"/>
      <c r="D16" s="12"/>
      <c r="E16" s="364"/>
      <c r="F16" s="364"/>
      <c r="G16" s="364"/>
      <c r="H16" s="18">
        <v>0.4</v>
      </c>
      <c r="I16" s="49">
        <f>XNPV(H16,R6:R11,M6:M11)</f>
        <v>71.541410900519779</v>
      </c>
      <c r="J16" s="18">
        <f>(I16/-$J$6)-1</f>
        <v>3.0113907854856459E-2</v>
      </c>
      <c r="K16" s="12"/>
      <c r="L16" s="12"/>
      <c r="M16" s="12"/>
      <c r="N16" s="12"/>
      <c r="O16" s="12"/>
      <c r="P16" s="27"/>
      <c r="Q16" s="366"/>
      <c r="R16" s="131"/>
      <c r="S16" s="27"/>
      <c r="T16" s="12"/>
    </row>
    <row r="17" spans="1:20">
      <c r="A17" s="12"/>
      <c r="B17" s="12"/>
      <c r="C17" s="12"/>
      <c r="D17" s="12"/>
      <c r="E17" s="363"/>
      <c r="F17" s="363"/>
      <c r="G17" s="363"/>
      <c r="H17" s="63">
        <v>0.45</v>
      </c>
      <c r="I17" s="64">
        <f>XNPV(H17,R6:R11,M6:M11)</f>
        <v>69.741374460570015</v>
      </c>
      <c r="J17" s="63">
        <f>(I17/-J6)-1</f>
        <v>4.1954565956805467E-3</v>
      </c>
      <c r="K17" s="12"/>
      <c r="L17" s="12"/>
      <c r="M17" s="12"/>
      <c r="N17" s="12"/>
      <c r="O17" s="12"/>
      <c r="P17" s="27"/>
      <c r="Q17" s="27"/>
      <c r="R17" s="27"/>
      <c r="S17" s="27"/>
      <c r="T17" s="12"/>
    </row>
    <row r="18" spans="1:20">
      <c r="A18" s="12"/>
      <c r="B18" s="12"/>
      <c r="C18" s="12"/>
      <c r="D18" s="12"/>
      <c r="K18" s="12"/>
      <c r="L18" s="12"/>
      <c r="M18" s="12"/>
      <c r="N18" s="12"/>
      <c r="O18" s="12"/>
      <c r="P18" s="27"/>
      <c r="Q18" s="27"/>
      <c r="R18" s="27"/>
      <c r="S18" s="27"/>
      <c r="T18" s="12"/>
    </row>
    <row r="19" spans="1:20">
      <c r="A19" s="12"/>
      <c r="B19" s="12"/>
      <c r="C19" s="12"/>
      <c r="T19" s="12"/>
    </row>
    <row r="20" spans="1:20">
      <c r="A20" s="12"/>
      <c r="B20" s="12"/>
      <c r="C20" s="12"/>
      <c r="D20" s="12"/>
      <c r="T20" s="12"/>
    </row>
    <row r="21" spans="1:20">
      <c r="A21" s="12"/>
      <c r="B21" s="12"/>
      <c r="C21" s="12"/>
      <c r="D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>
      <c r="A22" s="12"/>
      <c r="B22" s="12"/>
      <c r="C22" s="12"/>
      <c r="D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</sheetData>
  <mergeCells count="4">
    <mergeCell ref="B2:J2"/>
    <mergeCell ref="B4:C4"/>
    <mergeCell ref="E4:J4"/>
    <mergeCell ref="M4:R4"/>
  </mergeCells>
  <pageMargins left="0.7" right="0.7" top="0.75" bottom="0.75" header="0.3" footer="0.3"/>
  <pageSetup paperSize="9" orientation="portrait" r:id="rId1"/>
  <ignoredErrors>
    <ignoredError sqref="C7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0"/>
  <sheetViews>
    <sheetView showGridLines="0" zoomScale="90" zoomScaleNormal="90" workbookViewId="0">
      <selection activeCell="H22" sqref="H22"/>
    </sheetView>
  </sheetViews>
  <sheetFormatPr baseColWidth="10" defaultRowHeight="15"/>
  <cols>
    <col min="2" max="2" width="12.5703125" customWidth="1"/>
    <col min="3" max="3" width="11.7109375" customWidth="1"/>
    <col min="4" max="4" width="4" customWidth="1"/>
    <col min="5" max="5" width="12.140625" bestFit="1" customWidth="1"/>
    <col min="8" max="8" width="14.42578125" bestFit="1" customWidth="1"/>
    <col min="14" max="14" width="13.85546875" bestFit="1" customWidth="1"/>
    <col min="17" max="17" width="12.140625" bestFit="1" customWidth="1"/>
    <col min="20" max="20" width="14.42578125" bestFit="1" customWidth="1"/>
  </cols>
  <sheetData>
    <row r="2" spans="2:24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2:24">
      <c r="B4" s="369" t="s">
        <v>34</v>
      </c>
      <c r="C4" s="370"/>
      <c r="D4" s="12"/>
      <c r="E4" s="394" t="s">
        <v>20</v>
      </c>
      <c r="F4" s="394"/>
      <c r="G4" s="394"/>
      <c r="H4" s="394"/>
      <c r="I4" s="394"/>
      <c r="J4" s="12"/>
      <c r="K4" s="394" t="s">
        <v>20</v>
      </c>
      <c r="L4" s="394"/>
      <c r="M4" s="394"/>
      <c r="N4" s="394"/>
      <c r="O4" s="394"/>
      <c r="P4" s="12"/>
      <c r="Q4" s="394" t="s">
        <v>20</v>
      </c>
      <c r="R4" s="394"/>
      <c r="S4" s="394"/>
      <c r="T4" s="394"/>
      <c r="U4" s="394"/>
      <c r="V4" s="12"/>
      <c r="W4" s="12"/>
      <c r="X4" s="12"/>
    </row>
    <row r="5" spans="2:24">
      <c r="B5" s="24" t="s">
        <v>0</v>
      </c>
      <c r="C5" s="33">
        <v>42646</v>
      </c>
      <c r="D5" s="12"/>
      <c r="E5" s="68" t="s">
        <v>14</v>
      </c>
      <c r="F5" s="68" t="s">
        <v>7</v>
      </c>
      <c r="G5" s="68" t="s">
        <v>8</v>
      </c>
      <c r="H5" s="68" t="s">
        <v>15</v>
      </c>
      <c r="I5" s="68" t="s">
        <v>9</v>
      </c>
      <c r="J5" s="12"/>
      <c r="K5" s="68" t="s">
        <v>14</v>
      </c>
      <c r="L5" s="68" t="s">
        <v>7</v>
      </c>
      <c r="M5" s="68" t="s">
        <v>8</v>
      </c>
      <c r="N5" s="68" t="s">
        <v>15</v>
      </c>
      <c r="O5" s="68" t="s">
        <v>9</v>
      </c>
      <c r="P5" s="12"/>
      <c r="Q5" s="68" t="s">
        <v>14</v>
      </c>
      <c r="R5" s="68" t="s">
        <v>7</v>
      </c>
      <c r="S5" s="68" t="s">
        <v>8</v>
      </c>
      <c r="T5" s="68" t="s">
        <v>15</v>
      </c>
      <c r="U5" s="68" t="s">
        <v>9</v>
      </c>
      <c r="V5" s="12"/>
      <c r="W5" s="12"/>
      <c r="X5" s="12"/>
    </row>
    <row r="6" spans="2:24">
      <c r="B6" s="24" t="s">
        <v>1</v>
      </c>
      <c r="C6" s="33">
        <v>44472</v>
      </c>
      <c r="D6" s="12"/>
      <c r="E6" s="69">
        <f>'Planilla de datos'!D3</f>
        <v>44383</v>
      </c>
      <c r="F6" s="70">
        <v>100</v>
      </c>
      <c r="G6" s="26"/>
      <c r="H6" s="26"/>
      <c r="I6" s="71">
        <f>-'Planilla de datos'!C9</f>
        <v>-100.1</v>
      </c>
      <c r="J6" s="12"/>
      <c r="K6" s="69">
        <f>+E6</f>
        <v>44383</v>
      </c>
      <c r="L6" s="70">
        <v>100</v>
      </c>
      <c r="M6" s="26"/>
      <c r="N6" s="26"/>
      <c r="O6" s="71">
        <v>0</v>
      </c>
      <c r="P6" s="12"/>
      <c r="Q6" s="69">
        <f>+E6</f>
        <v>44383</v>
      </c>
      <c r="R6" s="70">
        <v>100</v>
      </c>
      <c r="S6" s="26"/>
      <c r="T6" s="26"/>
      <c r="U6" s="71">
        <f>+I6</f>
        <v>-100.1</v>
      </c>
      <c r="V6" s="12"/>
      <c r="W6" s="12"/>
      <c r="X6" s="12"/>
    </row>
    <row r="7" spans="2:24">
      <c r="B7" s="36" t="s">
        <v>8</v>
      </c>
      <c r="C7" s="201">
        <v>0.182</v>
      </c>
      <c r="D7" s="12"/>
      <c r="E7" s="69">
        <v>44473</v>
      </c>
      <c r="F7" s="70">
        <v>100</v>
      </c>
      <c r="G7" s="74">
        <f>$F$6*($C$7/360*180)</f>
        <v>9.1</v>
      </c>
      <c r="H7" s="74">
        <f>F7</f>
        <v>100</v>
      </c>
      <c r="I7" s="73">
        <f>SUM(G7:H7)</f>
        <v>109.1</v>
      </c>
      <c r="J7" s="12"/>
      <c r="K7" s="69">
        <v>44473</v>
      </c>
      <c r="L7" s="70">
        <v>100</v>
      </c>
      <c r="M7" s="74">
        <v>9.1</v>
      </c>
      <c r="N7" s="74">
        <v>100</v>
      </c>
      <c r="O7" s="73">
        <v>109.1</v>
      </c>
      <c r="P7" s="12"/>
      <c r="Q7" s="69">
        <f>+E7</f>
        <v>44473</v>
      </c>
      <c r="R7" s="70">
        <v>100</v>
      </c>
      <c r="S7" s="74">
        <f>$F$6*($C$7/360*180)</f>
        <v>9.1</v>
      </c>
      <c r="T7" s="74">
        <f>R7</f>
        <v>100</v>
      </c>
      <c r="U7" s="73">
        <f>SUM(S7:T7)</f>
        <v>109.1</v>
      </c>
      <c r="V7" s="12"/>
      <c r="W7" s="12"/>
      <c r="X7" s="12"/>
    </row>
    <row r="8" spans="2:24">
      <c r="B8" s="26"/>
      <c r="C8" s="69"/>
      <c r="D8" s="12"/>
      <c r="E8" s="26">
        <f>E7-E6</f>
        <v>90</v>
      </c>
      <c r="F8" s="26"/>
      <c r="G8" s="26"/>
      <c r="I8" s="86">
        <f>(I7+I6)/(-I6)</f>
        <v>8.9910089910089919E-2</v>
      </c>
      <c r="J8" s="12"/>
      <c r="P8" s="12"/>
      <c r="Q8" s="26">
        <f>Q7-Q6</f>
        <v>90</v>
      </c>
      <c r="R8" s="26"/>
      <c r="S8" s="26"/>
      <c r="V8" s="12"/>
      <c r="W8" s="12"/>
      <c r="X8" s="12"/>
    </row>
    <row r="9" spans="2:24">
      <c r="B9" s="90"/>
      <c r="C9" s="86"/>
      <c r="D9" s="12"/>
      <c r="E9" s="26"/>
      <c r="F9" s="26"/>
      <c r="G9" s="26"/>
      <c r="H9" s="92" t="s">
        <v>10</v>
      </c>
      <c r="I9" s="86">
        <f>XIRR(I6:I7,E6:E7,0)</f>
        <v>0.41788154785156262</v>
      </c>
      <c r="J9" s="12"/>
      <c r="K9" s="26"/>
      <c r="L9" s="26"/>
      <c r="M9" s="26"/>
      <c r="N9" s="92"/>
      <c r="O9" s="86"/>
      <c r="P9" s="12"/>
      <c r="Q9" s="26"/>
      <c r="R9" s="26"/>
      <c r="S9" s="26"/>
      <c r="T9" s="92" t="s">
        <v>184</v>
      </c>
      <c r="U9" s="86">
        <f>(U7+U6)/(-U6)</f>
        <v>8.9910089910089919E-2</v>
      </c>
      <c r="V9" s="12"/>
      <c r="W9" s="12"/>
      <c r="X9" s="12"/>
    </row>
    <row r="10" spans="2:24">
      <c r="B10" s="26"/>
      <c r="C10" s="91"/>
      <c r="D10" s="12"/>
      <c r="E10" s="12"/>
      <c r="F10" s="12"/>
      <c r="G10" s="12"/>
      <c r="H10" s="92" t="s">
        <v>64</v>
      </c>
      <c r="I10" s="71">
        <f>E8/365</f>
        <v>0.24657534246575341</v>
      </c>
      <c r="J10" s="12"/>
      <c r="K10" s="26"/>
      <c r="L10" s="26"/>
      <c r="M10" s="26"/>
      <c r="N10" s="92"/>
      <c r="O10" s="86"/>
      <c r="P10" s="12"/>
      <c r="Q10" s="12"/>
      <c r="R10" s="12"/>
      <c r="S10" s="12"/>
      <c r="T10" s="92" t="s">
        <v>17</v>
      </c>
      <c r="U10" s="86">
        <f>U9/Q8*365</f>
        <v>0.36463536463536461</v>
      </c>
      <c r="V10" s="12"/>
      <c r="W10" s="12"/>
      <c r="X10" s="12"/>
    </row>
    <row r="11" spans="2:24">
      <c r="B11" s="26"/>
      <c r="C11" s="91"/>
      <c r="D11" s="12"/>
      <c r="J11" s="12"/>
      <c r="K11" s="12"/>
      <c r="L11" s="12"/>
      <c r="M11" s="12"/>
      <c r="N11" s="12"/>
      <c r="O11" s="12"/>
      <c r="P11" s="12"/>
      <c r="T11" s="92" t="s">
        <v>10</v>
      </c>
      <c r="U11" s="86">
        <f>(1+U9)^(365/Q8)-1</f>
        <v>0.41788155230348667</v>
      </c>
      <c r="V11" s="12"/>
      <c r="W11" s="12"/>
      <c r="X11" s="12"/>
    </row>
    <row r="12" spans="2:24" ht="30">
      <c r="B12" s="12"/>
      <c r="C12" s="12"/>
      <c r="D12" s="12"/>
      <c r="E12" s="302" t="s">
        <v>92</v>
      </c>
      <c r="F12" s="302"/>
      <c r="G12" s="76">
        <v>0.35</v>
      </c>
      <c r="H12" s="77">
        <f>XNPV(G12,O6:O7,K6:K7)</f>
        <v>101.31824465092349</v>
      </c>
      <c r="I12" s="76">
        <f>(H12+I6)/(-I6)</f>
        <v>1.2170276233001948E-2</v>
      </c>
      <c r="J12" s="12"/>
      <c r="K12" s="12"/>
      <c r="L12" s="12"/>
      <c r="M12" s="12"/>
      <c r="N12" s="12"/>
      <c r="O12" s="12"/>
      <c r="P12" s="12"/>
      <c r="T12" s="92" t="s">
        <v>64</v>
      </c>
      <c r="U12" s="71">
        <f>Q8/365</f>
        <v>0.24657534246575341</v>
      </c>
      <c r="V12" s="12"/>
      <c r="W12" s="12"/>
      <c r="X12" s="12"/>
    </row>
    <row r="13" spans="2:24" ht="15" customHeight="1">
      <c r="B13" s="12"/>
      <c r="C13" s="12"/>
      <c r="D13" s="12"/>
      <c r="E13" s="304"/>
      <c r="F13" s="304"/>
      <c r="G13" s="42">
        <v>0.4</v>
      </c>
      <c r="H13" s="109">
        <f>XNPV(G13,O6:O7,K6:K7)</f>
        <v>100.4137485733378</v>
      </c>
      <c r="I13" s="42">
        <f>(H13+I6)/(-I6)</f>
        <v>3.1343513819960468E-3</v>
      </c>
      <c r="J13" s="12"/>
      <c r="K13" s="12"/>
      <c r="L13" s="12"/>
      <c r="M13" s="12"/>
      <c r="N13" s="12"/>
      <c r="O13" s="12"/>
      <c r="P13" s="12"/>
      <c r="Q13" s="392"/>
      <c r="R13" s="299"/>
      <c r="S13" s="42"/>
      <c r="T13" s="109"/>
      <c r="U13" s="42"/>
      <c r="V13" s="12"/>
      <c r="W13" s="12"/>
      <c r="X13" s="12"/>
    </row>
    <row r="14" spans="2:24" ht="15" customHeight="1">
      <c r="B14" s="12"/>
      <c r="C14" s="12"/>
      <c r="D14" s="12"/>
      <c r="E14" s="303"/>
      <c r="F14" s="303"/>
      <c r="G14" s="78">
        <v>0.45</v>
      </c>
      <c r="H14" s="79">
        <f>XNPV(G14,O6:O7,K6:K7)</f>
        <v>99.548651221486764</v>
      </c>
      <c r="I14" s="78">
        <f>(H14+I6)/(-I6)</f>
        <v>-5.5079798053269714E-3</v>
      </c>
      <c r="J14" s="12"/>
      <c r="K14" s="12"/>
      <c r="L14" s="12"/>
      <c r="M14" s="12"/>
      <c r="N14" s="12"/>
      <c r="O14" s="12"/>
      <c r="P14" s="12"/>
      <c r="Q14" s="392"/>
      <c r="R14" s="299"/>
      <c r="S14" s="42"/>
      <c r="T14" s="109"/>
      <c r="U14" s="42"/>
      <c r="V14" s="12"/>
      <c r="W14" s="12"/>
      <c r="X14" s="12"/>
    </row>
    <row r="15" spans="2:24" ht="15" customHeight="1">
      <c r="B15" s="12"/>
      <c r="C15" s="12"/>
      <c r="D15" s="12"/>
      <c r="P15" s="12"/>
      <c r="Q15" s="392"/>
      <c r="R15" s="299"/>
      <c r="S15" s="42"/>
      <c r="T15" s="109"/>
      <c r="U15" s="42"/>
      <c r="V15" s="12"/>
      <c r="W15" s="12"/>
      <c r="X15" s="12"/>
    </row>
    <row r="16" spans="2:24">
      <c r="B16" s="12"/>
      <c r="C16" s="12"/>
      <c r="D16" s="12"/>
      <c r="J16" s="12"/>
      <c r="K16" s="12"/>
      <c r="L16" s="12"/>
      <c r="M16" s="12"/>
      <c r="N16" s="12"/>
      <c r="O16" s="12"/>
      <c r="P16" s="12"/>
      <c r="V16" s="12"/>
      <c r="W16" s="12"/>
      <c r="X16" s="12"/>
    </row>
    <row r="17" spans="2:24">
      <c r="B17" s="93"/>
      <c r="C17" s="93"/>
      <c r="D17" s="93"/>
      <c r="E17" s="395"/>
      <c r="F17" s="395"/>
      <c r="G17" s="395"/>
      <c r="H17" s="395"/>
      <c r="I17" s="395"/>
      <c r="J17" s="12"/>
      <c r="K17" s="12"/>
      <c r="L17" s="12"/>
      <c r="M17" s="12"/>
      <c r="N17" s="12"/>
      <c r="O17" s="12"/>
      <c r="P17" s="12"/>
      <c r="Q17" s="395"/>
      <c r="R17" s="395"/>
      <c r="S17" s="395"/>
      <c r="T17" s="395"/>
      <c r="U17" s="395"/>
      <c r="V17" s="12"/>
      <c r="W17" s="12"/>
      <c r="X17" s="12"/>
    </row>
    <row r="18" spans="2:2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2:24">
      <c r="B19" s="12"/>
      <c r="C19" s="12"/>
      <c r="D19" s="12"/>
      <c r="I19" s="162"/>
      <c r="J19" s="12"/>
      <c r="K19" s="12"/>
      <c r="L19" s="12"/>
      <c r="M19" s="12"/>
      <c r="N19" s="12"/>
      <c r="O19" s="12"/>
      <c r="P19" s="12"/>
      <c r="U19" s="162"/>
      <c r="V19" s="12"/>
      <c r="W19" s="12"/>
      <c r="X19" s="12"/>
    </row>
    <row r="20" spans="2:24">
      <c r="B20" s="12"/>
      <c r="C20" s="12"/>
      <c r="D20" s="12"/>
      <c r="F20" s="2"/>
      <c r="G20" s="2"/>
      <c r="I20" s="2"/>
      <c r="J20" s="12"/>
      <c r="K20" s="12"/>
      <c r="L20" s="12"/>
      <c r="M20" s="12"/>
      <c r="N20" s="12"/>
      <c r="O20" s="12"/>
      <c r="P20" s="12"/>
      <c r="R20" s="2"/>
      <c r="S20" s="2"/>
      <c r="U20" s="4"/>
      <c r="V20" s="12"/>
      <c r="W20" s="12"/>
      <c r="X20" s="12"/>
    </row>
    <row r="21" spans="2:24">
      <c r="B21" s="12"/>
      <c r="C21" s="12"/>
      <c r="D21" s="12"/>
      <c r="E21" s="12"/>
      <c r="F21" s="22"/>
      <c r="G21" s="22"/>
      <c r="H21" s="15"/>
      <c r="I21" s="14"/>
      <c r="J21" s="12"/>
      <c r="K21" s="12"/>
      <c r="L21" s="12"/>
      <c r="M21" s="12"/>
      <c r="N21" s="12"/>
      <c r="O21" s="12"/>
      <c r="P21" s="12"/>
      <c r="Q21" s="12"/>
      <c r="R21" s="22"/>
      <c r="S21" s="22"/>
      <c r="T21" s="15"/>
      <c r="U21" s="14"/>
      <c r="V21" s="12"/>
      <c r="W21" s="12"/>
      <c r="X21" s="12"/>
    </row>
    <row r="22" spans="2:24">
      <c r="B22" s="12"/>
      <c r="C22" s="12"/>
      <c r="D22" s="12"/>
      <c r="E22" s="12"/>
      <c r="F22" s="12"/>
      <c r="G22" s="12"/>
      <c r="H22" s="15"/>
      <c r="I22" s="284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5"/>
      <c r="U22" s="284"/>
      <c r="V22" s="12"/>
      <c r="W22" s="12"/>
      <c r="X22" s="12"/>
    </row>
    <row r="23" spans="2:24">
      <c r="B23" s="12"/>
      <c r="C23" s="12"/>
      <c r="D23" s="12"/>
      <c r="E23" s="12"/>
      <c r="F23" s="12"/>
      <c r="G23" s="12"/>
      <c r="H23" s="12"/>
      <c r="I23" s="2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22"/>
      <c r="V23" s="12"/>
      <c r="W23" s="12"/>
      <c r="X23" s="12"/>
    </row>
    <row r="24" spans="2:24">
      <c r="B24" s="12"/>
      <c r="C24" s="12"/>
      <c r="D24" s="12"/>
      <c r="E24" s="12"/>
      <c r="F24" s="12"/>
      <c r="G24" s="12"/>
      <c r="H24" s="283"/>
      <c r="I24" s="2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300"/>
      <c r="U24" s="22"/>
      <c r="V24" s="12"/>
      <c r="W24" s="12"/>
      <c r="X24" s="12"/>
    </row>
    <row r="28" spans="2:24">
      <c r="I28" s="2"/>
    </row>
    <row r="30" spans="2:24">
      <c r="I30" s="2"/>
    </row>
  </sheetData>
  <mergeCells count="7">
    <mergeCell ref="Q4:U4"/>
    <mergeCell ref="Q13:Q15"/>
    <mergeCell ref="Q17:U17"/>
    <mergeCell ref="K4:O4"/>
    <mergeCell ref="B4:C4"/>
    <mergeCell ref="E4:I4"/>
    <mergeCell ref="E17:I1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showGridLines="0" zoomScale="90" zoomScaleNormal="90" workbookViewId="0">
      <selection activeCell="J18" sqref="J18"/>
    </sheetView>
  </sheetViews>
  <sheetFormatPr baseColWidth="10" defaultRowHeight="15"/>
  <cols>
    <col min="2" max="2" width="12.5703125" customWidth="1"/>
    <col min="3" max="3" width="11.7109375" customWidth="1"/>
    <col min="4" max="4" width="4" customWidth="1"/>
    <col min="5" max="5" width="12.140625" bestFit="1" customWidth="1"/>
    <col min="8" max="8" width="13.140625" customWidth="1"/>
    <col min="14" max="14" width="14.42578125" bestFit="1" customWidth="1"/>
  </cols>
  <sheetData>
    <row r="1" spans="1:20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>
      <c r="A4" s="12"/>
      <c r="B4" s="369" t="s">
        <v>34</v>
      </c>
      <c r="C4" s="370"/>
      <c r="D4" s="12"/>
      <c r="E4" s="394" t="s">
        <v>79</v>
      </c>
      <c r="F4" s="394"/>
      <c r="G4" s="394"/>
      <c r="H4" s="394"/>
      <c r="I4" s="394"/>
      <c r="J4" s="12"/>
      <c r="K4" s="394" t="s">
        <v>79</v>
      </c>
      <c r="L4" s="394"/>
      <c r="M4" s="394"/>
      <c r="N4" s="394"/>
      <c r="O4" s="394"/>
      <c r="P4" s="12"/>
      <c r="Q4" s="12"/>
      <c r="R4" s="12"/>
      <c r="S4" s="12"/>
      <c r="T4" s="12"/>
    </row>
    <row r="5" spans="1:20">
      <c r="A5" s="12"/>
      <c r="B5" s="24" t="s">
        <v>0</v>
      </c>
      <c r="C5" s="33">
        <v>42660</v>
      </c>
      <c r="D5" s="12"/>
      <c r="E5" s="68" t="s">
        <v>14</v>
      </c>
      <c r="F5" s="68" t="s">
        <v>7</v>
      </c>
      <c r="G5" s="68" t="s">
        <v>8</v>
      </c>
      <c r="H5" s="68" t="s">
        <v>15</v>
      </c>
      <c r="I5" s="68" t="s">
        <v>9</v>
      </c>
      <c r="J5" s="12"/>
      <c r="K5" s="68" t="s">
        <v>14</v>
      </c>
      <c r="L5" s="68" t="s">
        <v>7</v>
      </c>
      <c r="M5" s="68" t="s">
        <v>8</v>
      </c>
      <c r="N5" s="68" t="s">
        <v>15</v>
      </c>
      <c r="O5" s="68" t="s">
        <v>9</v>
      </c>
      <c r="P5" s="12"/>
      <c r="Q5" s="12"/>
      <c r="R5" s="12"/>
      <c r="S5" s="12"/>
      <c r="T5" s="12"/>
    </row>
    <row r="6" spans="1:20">
      <c r="A6" s="12"/>
      <c r="B6" s="24" t="s">
        <v>1</v>
      </c>
      <c r="C6" s="33">
        <v>45216</v>
      </c>
      <c r="D6" s="12"/>
      <c r="E6" s="69">
        <f>'Planilla de datos'!D3</f>
        <v>44383</v>
      </c>
      <c r="F6" s="100">
        <v>100</v>
      </c>
      <c r="G6" s="101"/>
      <c r="H6" s="101"/>
      <c r="I6" s="102">
        <f>-'Planilla de datos'!C17</f>
        <v>-64.900000000000006</v>
      </c>
      <c r="J6" s="12"/>
      <c r="K6" s="97">
        <f t="shared" ref="K6:L11" si="0">+E6</f>
        <v>44383</v>
      </c>
      <c r="L6" s="94">
        <f t="shared" si="0"/>
        <v>100</v>
      </c>
      <c r="M6" s="95"/>
      <c r="N6" s="95"/>
      <c r="O6" s="98">
        <v>0</v>
      </c>
      <c r="P6" s="12"/>
      <c r="Q6" s="12"/>
      <c r="R6" s="12"/>
      <c r="S6" s="12"/>
      <c r="T6" s="12"/>
    </row>
    <row r="7" spans="1:20">
      <c r="A7" s="12"/>
      <c r="B7" s="24" t="s">
        <v>8</v>
      </c>
      <c r="C7" s="35">
        <v>0.16</v>
      </c>
      <c r="D7" s="12"/>
      <c r="E7" s="69">
        <v>44487</v>
      </c>
      <c r="F7" s="100">
        <v>100</v>
      </c>
      <c r="G7" s="103">
        <f>$F$6*($C$7/360*180)</f>
        <v>8</v>
      </c>
      <c r="H7" s="101"/>
      <c r="I7" s="104">
        <f>SUM(G7:H7)</f>
        <v>8</v>
      </c>
      <c r="J7" s="12"/>
      <c r="K7" s="97">
        <f t="shared" si="0"/>
        <v>44487</v>
      </c>
      <c r="L7" s="94">
        <f t="shared" si="0"/>
        <v>100</v>
      </c>
      <c r="M7" s="96">
        <f>+G7</f>
        <v>8</v>
      </c>
      <c r="N7" s="95"/>
      <c r="O7" s="98">
        <f>SUM(M7:N7)</f>
        <v>8</v>
      </c>
      <c r="P7" s="12"/>
      <c r="Q7" s="12"/>
      <c r="R7" s="12"/>
      <c r="S7" s="12"/>
      <c r="T7" s="12"/>
    </row>
    <row r="8" spans="1:20">
      <c r="A8" s="12"/>
      <c r="B8" s="24"/>
      <c r="C8" s="88"/>
      <c r="D8" s="12"/>
      <c r="E8" s="69">
        <v>44669</v>
      </c>
      <c r="F8" s="100">
        <v>100</v>
      </c>
      <c r="G8" s="103">
        <f>$F$6*($C$7/360*180)</f>
        <v>8</v>
      </c>
      <c r="H8" s="103"/>
      <c r="I8" s="104">
        <f>SUM(G8:H8)</f>
        <v>8</v>
      </c>
      <c r="J8" s="12"/>
      <c r="K8" s="97">
        <f t="shared" si="0"/>
        <v>44669</v>
      </c>
      <c r="L8" s="94">
        <f t="shared" si="0"/>
        <v>100</v>
      </c>
      <c r="M8" s="96">
        <f>+G8</f>
        <v>8</v>
      </c>
      <c r="N8" s="96"/>
      <c r="O8" s="98">
        <f>SUM(M8:N8)</f>
        <v>8</v>
      </c>
      <c r="P8" s="12"/>
      <c r="Q8" s="12"/>
      <c r="R8" s="12"/>
      <c r="S8" s="12"/>
      <c r="T8" s="12"/>
    </row>
    <row r="9" spans="1:20">
      <c r="A9" s="12"/>
      <c r="B9" s="24"/>
      <c r="C9" s="35"/>
      <c r="D9" s="12"/>
      <c r="E9" s="69">
        <v>44851</v>
      </c>
      <c r="F9" s="100">
        <v>100</v>
      </c>
      <c r="G9" s="103">
        <f>$F$6*($C$7/360*180)</f>
        <v>8</v>
      </c>
      <c r="H9" s="105"/>
      <c r="I9" s="104">
        <f>SUM(G9:H9)</f>
        <v>8</v>
      </c>
      <c r="J9" s="12"/>
      <c r="K9" s="97">
        <f t="shared" si="0"/>
        <v>44851</v>
      </c>
      <c r="L9" s="94">
        <f t="shared" si="0"/>
        <v>100</v>
      </c>
      <c r="M9" s="96">
        <f>+G9</f>
        <v>8</v>
      </c>
      <c r="N9" s="99"/>
      <c r="O9" s="98">
        <f>SUM(M9:N9)</f>
        <v>8</v>
      </c>
      <c r="P9" s="12"/>
      <c r="Q9" s="12"/>
      <c r="R9" s="12"/>
      <c r="S9" s="12"/>
      <c r="T9" s="12"/>
    </row>
    <row r="10" spans="1:20">
      <c r="A10" s="12"/>
      <c r="B10" s="36"/>
      <c r="C10" s="89"/>
      <c r="D10" s="12"/>
      <c r="E10" s="69">
        <v>45033</v>
      </c>
      <c r="F10" s="100">
        <v>100</v>
      </c>
      <c r="G10" s="103">
        <f>$F$6*($C$7/360*180)</f>
        <v>8</v>
      </c>
      <c r="H10" s="105"/>
      <c r="I10" s="104">
        <f>SUM(G10:H10)</f>
        <v>8</v>
      </c>
      <c r="J10" s="12"/>
      <c r="K10" s="97">
        <f t="shared" si="0"/>
        <v>45033</v>
      </c>
      <c r="L10" s="94">
        <f t="shared" si="0"/>
        <v>100</v>
      </c>
      <c r="M10" s="96">
        <f>+G10</f>
        <v>8</v>
      </c>
      <c r="N10" s="92"/>
      <c r="O10" s="98">
        <f>SUM(M10:N10)</f>
        <v>8</v>
      </c>
      <c r="P10" s="12"/>
      <c r="Q10" s="12"/>
      <c r="R10" s="12"/>
      <c r="S10" s="12"/>
      <c r="T10" s="12"/>
    </row>
    <row r="11" spans="1:20">
      <c r="A11" s="12"/>
      <c r="B11" s="12"/>
      <c r="C11" s="12"/>
      <c r="D11" s="12"/>
      <c r="E11" s="69">
        <v>45216</v>
      </c>
      <c r="F11" s="100">
        <v>100</v>
      </c>
      <c r="G11" s="103">
        <f>$F$6*($C$7/360*180)</f>
        <v>8</v>
      </c>
      <c r="H11" s="106">
        <v>100</v>
      </c>
      <c r="I11" s="104">
        <f>SUM(G11:H11)</f>
        <v>108</v>
      </c>
      <c r="J11" s="12"/>
      <c r="K11" s="97">
        <f t="shared" si="0"/>
        <v>45216</v>
      </c>
      <c r="L11" s="94">
        <f t="shared" si="0"/>
        <v>100</v>
      </c>
      <c r="M11" s="96">
        <f>+G11</f>
        <v>8</v>
      </c>
      <c r="N11" s="96">
        <f>+H11</f>
        <v>100</v>
      </c>
      <c r="O11" s="98">
        <f>SUM(M11:N11)</f>
        <v>108</v>
      </c>
      <c r="P11" s="12"/>
      <c r="Q11" s="12"/>
      <c r="R11" s="12"/>
      <c r="S11" s="12"/>
      <c r="T11" s="12"/>
    </row>
    <row r="12" spans="1:20">
      <c r="A12" s="12"/>
      <c r="B12" s="26"/>
      <c r="C12" s="91"/>
      <c r="D12" s="12"/>
      <c r="E12" s="90"/>
      <c r="F12" s="70"/>
      <c r="G12" s="74"/>
      <c r="H12" s="92"/>
      <c r="I12" s="73"/>
      <c r="J12" s="12"/>
      <c r="K12" s="26"/>
      <c r="L12" s="26"/>
      <c r="M12" s="26"/>
      <c r="N12" s="92"/>
      <c r="O12" s="86"/>
      <c r="P12" s="12"/>
      <c r="Q12" s="12"/>
      <c r="R12" s="12"/>
      <c r="S12" s="12"/>
      <c r="T12" s="12"/>
    </row>
    <row r="13" spans="1:20">
      <c r="A13" s="12"/>
      <c r="B13" s="26"/>
      <c r="C13" s="91"/>
      <c r="D13" s="12"/>
      <c r="E13" s="26"/>
      <c r="F13" s="26"/>
      <c r="G13" s="26"/>
      <c r="H13" s="92" t="s">
        <v>10</v>
      </c>
      <c r="I13" s="86">
        <f>XIRR(I6:I11,E6:E11,0)</f>
        <v>0.49368477539062516</v>
      </c>
      <c r="J13" s="12"/>
      <c r="K13" s="26"/>
      <c r="L13" s="26"/>
      <c r="M13" s="26"/>
      <c r="N13" s="92"/>
      <c r="O13" s="86"/>
      <c r="P13" s="12"/>
      <c r="Q13" s="12"/>
      <c r="R13" s="12"/>
      <c r="S13" s="12"/>
      <c r="T13" s="12"/>
    </row>
    <row r="14" spans="1:20">
      <c r="A14" s="12"/>
      <c r="B14" s="26"/>
      <c r="C14" s="91"/>
      <c r="D14" s="12"/>
      <c r="E14" s="26"/>
      <c r="F14" s="26"/>
      <c r="G14" s="26"/>
      <c r="H14" s="92" t="s">
        <v>64</v>
      </c>
      <c r="I14" s="73">
        <f>MDURATION(E6,E11,C7,I13,2)</f>
        <v>1.4439351777119052</v>
      </c>
      <c r="J14" s="12"/>
      <c r="K14" s="26"/>
      <c r="L14" s="26"/>
      <c r="M14" s="26"/>
      <c r="N14" s="92"/>
      <c r="O14" s="86"/>
      <c r="P14" s="12"/>
      <c r="Q14" s="12"/>
      <c r="R14" s="12"/>
      <c r="S14" s="12"/>
      <c r="T14" s="12"/>
    </row>
    <row r="15" spans="1:20">
      <c r="A15" s="12"/>
      <c r="B15" s="26"/>
      <c r="C15" s="9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ht="30">
      <c r="A16" s="12"/>
      <c r="B16" s="26"/>
      <c r="C16" s="91"/>
      <c r="D16" s="12"/>
      <c r="E16" s="311" t="s">
        <v>92</v>
      </c>
      <c r="F16" s="311"/>
      <c r="G16" s="76">
        <v>0.35</v>
      </c>
      <c r="H16" s="77">
        <f>XNPV(G16,O6:O11,K6:K11)</f>
        <v>78.248118674301907</v>
      </c>
      <c r="I16" s="76">
        <f>(H16+$I$6)/(-$I$6)</f>
        <v>0.20567209051312635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ht="14.25" customHeight="1">
      <c r="A17" s="12"/>
      <c r="B17" s="12"/>
      <c r="C17" s="12"/>
      <c r="D17" s="12"/>
      <c r="E17" s="313"/>
      <c r="F17" s="313"/>
      <c r="G17" s="42">
        <v>0.4</v>
      </c>
      <c r="H17" s="109">
        <f>XNPV(G17,O6:O11,K6:K11)</f>
        <v>73.11612757181932</v>
      </c>
      <c r="I17" s="42">
        <f>(H17+$I$6)/(-$I$6)</f>
        <v>0.12659672683851023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15" customHeight="1">
      <c r="A18" s="12"/>
      <c r="B18" s="12"/>
      <c r="C18" s="12"/>
      <c r="D18" s="12"/>
      <c r="E18" s="312"/>
      <c r="F18" s="312"/>
      <c r="G18" s="78">
        <v>0.45</v>
      </c>
      <c r="H18" s="79">
        <f>XNPV(G18,O6:O11,K6:K11)</f>
        <v>68.525663309050728</v>
      </c>
      <c r="I18" s="78">
        <f>(H18+I6)/(-I6)</f>
        <v>5.5865382265804654E-2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5" customHeight="1">
      <c r="A19" s="12"/>
      <c r="B19" s="12"/>
      <c r="C19" s="12"/>
      <c r="D19" s="12"/>
      <c r="Q19" s="12"/>
      <c r="R19" s="12"/>
      <c r="S19" s="12"/>
      <c r="T19" s="12"/>
    </row>
    <row r="20" spans="1:20">
      <c r="A20" s="12"/>
      <c r="B20" s="12"/>
      <c r="C20" s="12"/>
      <c r="D20" s="12"/>
      <c r="P20" s="12"/>
      <c r="Q20" s="12"/>
      <c r="R20" s="12"/>
      <c r="S20" s="12"/>
      <c r="T20" s="12"/>
    </row>
    <row r="21" spans="1:20" ht="3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>
      <c r="A22" s="12"/>
      <c r="B22" s="93"/>
      <c r="C22" s="93"/>
      <c r="D22" s="93"/>
      <c r="E22" s="395"/>
      <c r="F22" s="395"/>
      <c r="G22" s="395"/>
      <c r="H22" s="395"/>
      <c r="I22" s="395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2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2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20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2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</sheetData>
  <mergeCells count="4">
    <mergeCell ref="B4:C4"/>
    <mergeCell ref="E4:I4"/>
    <mergeCell ref="K4:O4"/>
    <mergeCell ref="E22:I2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showGridLines="0" zoomScale="90" zoomScaleNormal="90" workbookViewId="0">
      <selection activeCell="M23" sqref="M23"/>
    </sheetView>
  </sheetViews>
  <sheetFormatPr baseColWidth="10" defaultRowHeight="15"/>
  <cols>
    <col min="2" max="2" width="12.5703125" customWidth="1"/>
    <col min="3" max="3" width="11.7109375" customWidth="1"/>
    <col min="4" max="4" width="4" customWidth="1"/>
    <col min="5" max="5" width="12.140625" bestFit="1" customWidth="1"/>
    <col min="8" max="8" width="13.140625" customWidth="1"/>
    <col min="14" max="14" width="14.42578125" bestFit="1" customWidth="1"/>
    <col min="17" max="17" width="12.140625" bestFit="1" customWidth="1"/>
    <col min="20" max="20" width="13.140625" customWidth="1"/>
  </cols>
  <sheetData>
    <row r="1" spans="1: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>
      <c r="A4" s="12"/>
      <c r="B4" s="369" t="s">
        <v>34</v>
      </c>
      <c r="C4" s="370"/>
      <c r="D4" s="12"/>
      <c r="E4" s="394" t="s">
        <v>80</v>
      </c>
      <c r="F4" s="394"/>
      <c r="G4" s="394"/>
      <c r="H4" s="394"/>
      <c r="I4" s="394"/>
      <c r="J4" s="12"/>
      <c r="K4" s="394" t="s">
        <v>80</v>
      </c>
      <c r="L4" s="394"/>
      <c r="M4" s="394"/>
      <c r="N4" s="394"/>
      <c r="O4" s="394"/>
      <c r="P4" s="12"/>
      <c r="Q4" s="394" t="s">
        <v>80</v>
      </c>
      <c r="R4" s="394"/>
      <c r="S4" s="394"/>
      <c r="T4" s="394"/>
      <c r="U4" s="394"/>
      <c r="V4" s="12"/>
      <c r="W4" s="12"/>
      <c r="X4" s="12"/>
      <c r="Y4" s="12"/>
    </row>
    <row r="5" spans="1:25">
      <c r="A5" s="12"/>
      <c r="B5" s="24" t="s">
        <v>0</v>
      </c>
      <c r="C5" s="33">
        <v>42660</v>
      </c>
      <c r="D5" s="12"/>
      <c r="E5" s="68" t="s">
        <v>14</v>
      </c>
      <c r="F5" s="68" t="s">
        <v>7</v>
      </c>
      <c r="G5" s="68" t="s">
        <v>8</v>
      </c>
      <c r="H5" s="68" t="s">
        <v>15</v>
      </c>
      <c r="I5" s="68" t="s">
        <v>9</v>
      </c>
      <c r="J5" s="12"/>
      <c r="K5" s="68" t="s">
        <v>14</v>
      </c>
      <c r="L5" s="68" t="s">
        <v>7</v>
      </c>
      <c r="M5" s="68" t="s">
        <v>8</v>
      </c>
      <c r="N5" s="68" t="s">
        <v>15</v>
      </c>
      <c r="O5" s="68" t="s">
        <v>9</v>
      </c>
      <c r="P5" s="12"/>
      <c r="Q5" s="68" t="s">
        <v>14</v>
      </c>
      <c r="R5" s="68" t="s">
        <v>7</v>
      </c>
      <c r="S5" s="68" t="s">
        <v>8</v>
      </c>
      <c r="T5" s="68" t="s">
        <v>15</v>
      </c>
      <c r="U5" s="68" t="s">
        <v>9</v>
      </c>
      <c r="V5" s="12"/>
      <c r="W5" s="12"/>
      <c r="X5" s="12"/>
      <c r="Y5" s="12"/>
    </row>
    <row r="6" spans="1:25">
      <c r="A6" s="12"/>
      <c r="B6" s="24" t="s">
        <v>1</v>
      </c>
      <c r="C6" s="33">
        <v>46312</v>
      </c>
      <c r="D6" s="12"/>
      <c r="E6" s="69">
        <f>'Planilla de datos'!D3</f>
        <v>44383</v>
      </c>
      <c r="F6" s="100">
        <v>100</v>
      </c>
      <c r="G6" s="101"/>
      <c r="H6" s="101"/>
      <c r="I6" s="102">
        <f>-'Planilla de datos'!C19</f>
        <v>-43.97</v>
      </c>
      <c r="J6" s="12"/>
      <c r="K6" s="97">
        <f>+E6</f>
        <v>44383</v>
      </c>
      <c r="L6" s="94">
        <f>+F6</f>
        <v>100</v>
      </c>
      <c r="M6" s="95"/>
      <c r="N6" s="95"/>
      <c r="O6" s="98">
        <v>0</v>
      </c>
      <c r="P6" s="12"/>
      <c r="Q6" s="69"/>
      <c r="R6" s="100"/>
      <c r="S6" s="101"/>
      <c r="T6" s="101"/>
      <c r="U6" s="102"/>
      <c r="V6" s="12"/>
      <c r="W6" s="12"/>
      <c r="X6" s="12"/>
      <c r="Y6" s="12"/>
    </row>
    <row r="7" spans="1:25">
      <c r="A7" s="12"/>
      <c r="B7" s="24" t="s">
        <v>8</v>
      </c>
      <c r="C7" s="35">
        <v>0.155</v>
      </c>
      <c r="D7" s="12"/>
      <c r="E7" s="69">
        <v>44487</v>
      </c>
      <c r="F7" s="100">
        <v>100</v>
      </c>
      <c r="G7" s="103">
        <f>$F$6*($C$7/360*180)</f>
        <v>7.75</v>
      </c>
      <c r="H7" s="101"/>
      <c r="I7" s="104">
        <f>SUM(G7:H7)</f>
        <v>7.75</v>
      </c>
      <c r="J7" s="12"/>
      <c r="K7" s="97">
        <f t="shared" ref="K7:K17" si="0">+E7</f>
        <v>44487</v>
      </c>
      <c r="L7" s="94">
        <f t="shared" ref="L7:L17" si="1">+F7</f>
        <v>100</v>
      </c>
      <c r="M7" s="96">
        <f t="shared" ref="M7:M17" si="2">+G7</f>
        <v>7.75</v>
      </c>
      <c r="N7" s="95"/>
      <c r="O7" s="98">
        <f t="shared" ref="O7:O17" si="3">SUM(M7:N7)</f>
        <v>7.75</v>
      </c>
      <c r="P7" s="12"/>
      <c r="Q7" s="69">
        <v>44487</v>
      </c>
      <c r="R7" s="100">
        <v>100</v>
      </c>
      <c r="S7" s="103">
        <f t="shared" ref="S7:S17" si="4">$F$6*($C$7/360*180)</f>
        <v>7.75</v>
      </c>
      <c r="T7" s="101"/>
      <c r="U7" s="104">
        <f>SUM(S7:T7)</f>
        <v>7.75</v>
      </c>
      <c r="V7" s="12"/>
      <c r="W7" s="12"/>
      <c r="X7" s="12"/>
      <c r="Y7" s="12"/>
    </row>
    <row r="8" spans="1:25">
      <c r="A8" s="12"/>
      <c r="B8" s="24" t="s">
        <v>15</v>
      </c>
      <c r="C8" s="152" t="s">
        <v>114</v>
      </c>
      <c r="D8" s="12"/>
      <c r="E8" s="69">
        <v>44669</v>
      </c>
      <c r="F8" s="100">
        <v>100</v>
      </c>
      <c r="G8" s="103">
        <f>$F$6*($C$7/360*180)</f>
        <v>7.75</v>
      </c>
      <c r="H8" s="103"/>
      <c r="I8" s="104">
        <f>SUM(G8:H8)</f>
        <v>7.75</v>
      </c>
      <c r="J8" s="12"/>
      <c r="K8" s="97">
        <f t="shared" si="0"/>
        <v>44669</v>
      </c>
      <c r="L8" s="94">
        <f t="shared" si="1"/>
        <v>100</v>
      </c>
      <c r="M8" s="96">
        <f t="shared" si="2"/>
        <v>7.75</v>
      </c>
      <c r="N8" s="96"/>
      <c r="O8" s="98">
        <f t="shared" si="3"/>
        <v>7.75</v>
      </c>
      <c r="P8" s="12"/>
      <c r="Q8" s="69">
        <v>44669</v>
      </c>
      <c r="R8" s="100">
        <v>100</v>
      </c>
      <c r="S8" s="103">
        <f t="shared" si="4"/>
        <v>7.75</v>
      </c>
      <c r="T8" s="103"/>
      <c r="U8" s="104">
        <f>SUM(S8:T8)</f>
        <v>7.75</v>
      </c>
      <c r="V8" s="12"/>
      <c r="W8" s="12"/>
      <c r="X8" s="12"/>
      <c r="Y8" s="12"/>
    </row>
    <row r="9" spans="1:25">
      <c r="A9" s="12"/>
      <c r="B9" s="24"/>
      <c r="C9" s="35"/>
      <c r="D9" s="12"/>
      <c r="E9" s="69">
        <v>44851</v>
      </c>
      <c r="F9" s="100">
        <v>100</v>
      </c>
      <c r="G9" s="103">
        <f>$F$6*($C$7/360*180)</f>
        <v>7.75</v>
      </c>
      <c r="H9" s="105"/>
      <c r="I9" s="104">
        <f t="shared" ref="I9:I17" si="5">SUM(G9:H9)</f>
        <v>7.75</v>
      </c>
      <c r="J9" s="12"/>
      <c r="K9" s="97">
        <f t="shared" si="0"/>
        <v>44851</v>
      </c>
      <c r="L9" s="94">
        <f t="shared" si="1"/>
        <v>100</v>
      </c>
      <c r="M9" s="96">
        <f t="shared" si="2"/>
        <v>7.75</v>
      </c>
      <c r="N9" s="99"/>
      <c r="O9" s="98">
        <f t="shared" si="3"/>
        <v>7.75</v>
      </c>
      <c r="P9" s="12"/>
      <c r="Q9" s="69">
        <v>44851</v>
      </c>
      <c r="R9" s="100">
        <v>100</v>
      </c>
      <c r="S9" s="103">
        <f t="shared" si="4"/>
        <v>7.75</v>
      </c>
      <c r="T9" s="105"/>
      <c r="U9" s="104">
        <f t="shared" ref="U9:U17" si="6">SUM(S9:T9)</f>
        <v>7.75</v>
      </c>
      <c r="V9" s="12"/>
      <c r="W9" s="12"/>
      <c r="X9" s="12"/>
      <c r="Y9" s="12"/>
    </row>
    <row r="10" spans="1:25">
      <c r="A10" s="12"/>
      <c r="B10" s="36"/>
      <c r="C10" s="89"/>
      <c r="D10" s="12"/>
      <c r="E10" s="69">
        <v>45033</v>
      </c>
      <c r="F10" s="100">
        <v>100</v>
      </c>
      <c r="G10" s="103">
        <f>$F$6*($C$7/360*180)</f>
        <v>7.75</v>
      </c>
      <c r="H10" s="105"/>
      <c r="I10" s="104">
        <f t="shared" si="5"/>
        <v>7.75</v>
      </c>
      <c r="J10" s="12"/>
      <c r="K10" s="97">
        <f t="shared" si="0"/>
        <v>45033</v>
      </c>
      <c r="L10" s="94">
        <f t="shared" si="1"/>
        <v>100</v>
      </c>
      <c r="M10" s="96">
        <f t="shared" si="2"/>
        <v>7.75</v>
      </c>
      <c r="N10" s="92"/>
      <c r="O10" s="98">
        <f t="shared" si="3"/>
        <v>7.75</v>
      </c>
      <c r="P10" s="12"/>
      <c r="Q10" s="69">
        <v>45033</v>
      </c>
      <c r="R10" s="100">
        <v>100</v>
      </c>
      <c r="S10" s="103">
        <f t="shared" si="4"/>
        <v>7.75</v>
      </c>
      <c r="T10" s="105"/>
      <c r="U10" s="104">
        <f t="shared" si="6"/>
        <v>7.75</v>
      </c>
      <c r="V10" s="12"/>
      <c r="W10" s="12"/>
      <c r="X10" s="12"/>
      <c r="Y10" s="12"/>
    </row>
    <row r="11" spans="1:25">
      <c r="A11" s="12"/>
      <c r="B11" s="12"/>
      <c r="C11" s="12"/>
      <c r="D11" s="12"/>
      <c r="E11" s="69">
        <v>45216</v>
      </c>
      <c r="F11" s="100">
        <v>100</v>
      </c>
      <c r="G11" s="103">
        <f>$F$6*($C$7/360*180)</f>
        <v>7.75</v>
      </c>
      <c r="H11" s="106"/>
      <c r="I11" s="104">
        <f t="shared" si="5"/>
        <v>7.75</v>
      </c>
      <c r="J11" s="12"/>
      <c r="K11" s="97">
        <f t="shared" si="0"/>
        <v>45216</v>
      </c>
      <c r="L11" s="94">
        <f t="shared" si="1"/>
        <v>100</v>
      </c>
      <c r="M11" s="96">
        <f t="shared" si="2"/>
        <v>7.75</v>
      </c>
      <c r="N11" s="96"/>
      <c r="O11" s="98">
        <f t="shared" si="3"/>
        <v>7.75</v>
      </c>
      <c r="P11" s="12"/>
      <c r="Q11" s="69">
        <v>45216</v>
      </c>
      <c r="R11" s="100">
        <v>100</v>
      </c>
      <c r="S11" s="103">
        <f t="shared" si="4"/>
        <v>7.75</v>
      </c>
      <c r="T11" s="106"/>
      <c r="U11" s="104">
        <f t="shared" si="6"/>
        <v>7.75</v>
      </c>
      <c r="V11" s="12"/>
      <c r="W11" s="12"/>
      <c r="X11" s="12"/>
      <c r="Y11" s="12"/>
    </row>
    <row r="12" spans="1:25">
      <c r="A12" s="12"/>
      <c r="B12" s="26"/>
      <c r="C12" s="91"/>
      <c r="D12" s="12"/>
      <c r="E12" s="69">
        <v>45399</v>
      </c>
      <c r="F12" s="70">
        <f t="shared" ref="F12:F17" si="7">+F11</f>
        <v>100</v>
      </c>
      <c r="G12" s="103">
        <f t="shared" ref="G12:G17" si="8">$F$6*($C$7/360*180)</f>
        <v>7.75</v>
      </c>
      <c r="H12" s="92"/>
      <c r="I12" s="104">
        <f t="shared" si="5"/>
        <v>7.75</v>
      </c>
      <c r="J12" s="12"/>
      <c r="K12" s="97">
        <f t="shared" si="0"/>
        <v>45399</v>
      </c>
      <c r="L12" s="94">
        <f t="shared" si="1"/>
        <v>100</v>
      </c>
      <c r="M12" s="96">
        <f t="shared" si="2"/>
        <v>7.75</v>
      </c>
      <c r="N12" s="92"/>
      <c r="O12" s="98">
        <f t="shared" si="3"/>
        <v>7.75</v>
      </c>
      <c r="P12" s="12"/>
      <c r="Q12" s="69">
        <v>45399</v>
      </c>
      <c r="R12" s="70">
        <f t="shared" ref="R12:R17" si="9">+R11</f>
        <v>100</v>
      </c>
      <c r="S12" s="103">
        <f t="shared" si="4"/>
        <v>7.75</v>
      </c>
      <c r="T12" s="92"/>
      <c r="U12" s="104">
        <f t="shared" si="6"/>
        <v>7.75</v>
      </c>
      <c r="V12" s="12"/>
      <c r="W12" s="12"/>
      <c r="X12" s="12"/>
      <c r="Y12" s="12"/>
    </row>
    <row r="13" spans="1:25">
      <c r="A13" s="12"/>
      <c r="B13" s="26"/>
      <c r="C13" s="91"/>
      <c r="D13" s="12"/>
      <c r="E13" s="69">
        <v>45582</v>
      </c>
      <c r="F13" s="70">
        <f t="shared" si="7"/>
        <v>100</v>
      </c>
      <c r="G13" s="103">
        <f t="shared" si="8"/>
        <v>7.75</v>
      </c>
      <c r="H13" s="92"/>
      <c r="I13" s="104">
        <f t="shared" si="5"/>
        <v>7.75</v>
      </c>
      <c r="J13" s="12"/>
      <c r="K13" s="97">
        <f t="shared" si="0"/>
        <v>45582</v>
      </c>
      <c r="L13" s="94">
        <f t="shared" si="1"/>
        <v>100</v>
      </c>
      <c r="M13" s="96">
        <f t="shared" si="2"/>
        <v>7.75</v>
      </c>
      <c r="N13" s="92"/>
      <c r="O13" s="98">
        <f t="shared" si="3"/>
        <v>7.75</v>
      </c>
      <c r="P13" s="12"/>
      <c r="Q13" s="69">
        <v>45582</v>
      </c>
      <c r="R13" s="70">
        <f t="shared" si="9"/>
        <v>100</v>
      </c>
      <c r="S13" s="103">
        <f t="shared" si="4"/>
        <v>7.75</v>
      </c>
      <c r="T13" s="92"/>
      <c r="U13" s="104">
        <f t="shared" si="6"/>
        <v>7.75</v>
      </c>
      <c r="V13" s="12"/>
      <c r="W13" s="12"/>
      <c r="X13" s="12"/>
      <c r="Y13" s="12"/>
    </row>
    <row r="14" spans="1:25">
      <c r="A14" s="12"/>
      <c r="B14" s="26"/>
      <c r="C14" s="91"/>
      <c r="D14" s="12"/>
      <c r="E14" s="69">
        <v>45764</v>
      </c>
      <c r="F14" s="70">
        <f t="shared" si="7"/>
        <v>100</v>
      </c>
      <c r="G14" s="103">
        <f t="shared" si="8"/>
        <v>7.75</v>
      </c>
      <c r="H14" s="92"/>
      <c r="I14" s="104">
        <f t="shared" si="5"/>
        <v>7.75</v>
      </c>
      <c r="J14" s="12"/>
      <c r="K14" s="97">
        <f t="shared" si="0"/>
        <v>45764</v>
      </c>
      <c r="L14" s="94">
        <f t="shared" si="1"/>
        <v>100</v>
      </c>
      <c r="M14" s="96">
        <f t="shared" si="2"/>
        <v>7.75</v>
      </c>
      <c r="N14" s="92"/>
      <c r="O14" s="98">
        <f t="shared" si="3"/>
        <v>7.75</v>
      </c>
      <c r="P14" s="12"/>
      <c r="Q14" s="69">
        <v>45764</v>
      </c>
      <c r="R14" s="70">
        <f t="shared" si="9"/>
        <v>100</v>
      </c>
      <c r="S14" s="103">
        <f t="shared" si="4"/>
        <v>7.75</v>
      </c>
      <c r="T14" s="92"/>
      <c r="U14" s="104">
        <f t="shared" si="6"/>
        <v>7.75</v>
      </c>
      <c r="V14" s="12"/>
      <c r="W14" s="12"/>
      <c r="X14" s="12"/>
      <c r="Y14" s="12"/>
    </row>
    <row r="15" spans="1:25">
      <c r="A15" s="12"/>
      <c r="B15" s="26"/>
      <c r="C15" s="91"/>
      <c r="D15" s="12"/>
      <c r="E15" s="69">
        <v>45947</v>
      </c>
      <c r="F15" s="70">
        <f t="shared" si="7"/>
        <v>100</v>
      </c>
      <c r="G15" s="103">
        <f t="shared" si="8"/>
        <v>7.75</v>
      </c>
      <c r="H15" s="92"/>
      <c r="I15" s="104">
        <f t="shared" si="5"/>
        <v>7.75</v>
      </c>
      <c r="J15" s="12"/>
      <c r="K15" s="97">
        <f t="shared" si="0"/>
        <v>45947</v>
      </c>
      <c r="L15" s="94">
        <f t="shared" si="1"/>
        <v>100</v>
      </c>
      <c r="M15" s="96">
        <f t="shared" si="2"/>
        <v>7.75</v>
      </c>
      <c r="N15" s="92"/>
      <c r="O15" s="98">
        <f t="shared" si="3"/>
        <v>7.75</v>
      </c>
      <c r="P15" s="12"/>
      <c r="Q15" s="69">
        <v>45947</v>
      </c>
      <c r="R15" s="70">
        <f t="shared" si="9"/>
        <v>100</v>
      </c>
      <c r="S15" s="103">
        <f t="shared" si="4"/>
        <v>7.75</v>
      </c>
      <c r="T15" s="92"/>
      <c r="U15" s="104">
        <f t="shared" si="6"/>
        <v>7.75</v>
      </c>
      <c r="V15" s="12"/>
      <c r="W15" s="12"/>
      <c r="X15" s="12"/>
      <c r="Y15" s="12"/>
    </row>
    <row r="16" spans="1:25">
      <c r="A16" s="12"/>
      <c r="B16" s="26"/>
      <c r="C16" s="91"/>
      <c r="D16" s="12"/>
      <c r="E16" s="69">
        <v>46129</v>
      </c>
      <c r="F16" s="70">
        <f t="shared" si="7"/>
        <v>100</v>
      </c>
      <c r="G16" s="103">
        <f t="shared" si="8"/>
        <v>7.75</v>
      </c>
      <c r="H16" s="92"/>
      <c r="I16" s="104">
        <f t="shared" si="5"/>
        <v>7.75</v>
      </c>
      <c r="J16" s="12"/>
      <c r="K16" s="97">
        <f t="shared" si="0"/>
        <v>46129</v>
      </c>
      <c r="L16" s="94">
        <f t="shared" si="1"/>
        <v>100</v>
      </c>
      <c r="M16" s="96">
        <f t="shared" si="2"/>
        <v>7.75</v>
      </c>
      <c r="N16" s="92"/>
      <c r="O16" s="98">
        <f t="shared" si="3"/>
        <v>7.75</v>
      </c>
      <c r="P16" s="12"/>
      <c r="Q16" s="69">
        <v>46129</v>
      </c>
      <c r="R16" s="70">
        <f t="shared" si="9"/>
        <v>100</v>
      </c>
      <c r="S16" s="103">
        <f t="shared" si="4"/>
        <v>7.75</v>
      </c>
      <c r="T16" s="92"/>
      <c r="U16" s="104">
        <f t="shared" si="6"/>
        <v>7.75</v>
      </c>
      <c r="V16" s="12"/>
      <c r="W16" s="12"/>
      <c r="X16" s="12"/>
      <c r="Y16" s="12"/>
    </row>
    <row r="17" spans="1:25">
      <c r="A17" s="12"/>
      <c r="B17" s="26"/>
      <c r="C17" s="91"/>
      <c r="D17" s="12"/>
      <c r="E17" s="69">
        <v>46313</v>
      </c>
      <c r="F17" s="70">
        <f t="shared" si="7"/>
        <v>100</v>
      </c>
      <c r="G17" s="103">
        <f t="shared" si="8"/>
        <v>7.75</v>
      </c>
      <c r="H17" s="85">
        <v>100</v>
      </c>
      <c r="I17" s="104">
        <f t="shared" si="5"/>
        <v>107.75</v>
      </c>
      <c r="J17" s="12"/>
      <c r="K17" s="97">
        <f t="shared" si="0"/>
        <v>46313</v>
      </c>
      <c r="L17" s="94">
        <f t="shared" si="1"/>
        <v>100</v>
      </c>
      <c r="M17" s="96">
        <f t="shared" si="2"/>
        <v>7.75</v>
      </c>
      <c r="N17" s="85">
        <f>+H17</f>
        <v>100</v>
      </c>
      <c r="O17" s="98">
        <f t="shared" si="3"/>
        <v>107.75</v>
      </c>
      <c r="P17" s="12"/>
      <c r="Q17" s="69">
        <v>46313</v>
      </c>
      <c r="R17" s="70">
        <f t="shared" si="9"/>
        <v>100</v>
      </c>
      <c r="S17" s="103">
        <f t="shared" si="4"/>
        <v>7.75</v>
      </c>
      <c r="T17" s="85">
        <v>100</v>
      </c>
      <c r="U17" s="104">
        <f t="shared" si="6"/>
        <v>107.75</v>
      </c>
      <c r="V17" s="12"/>
      <c r="W17" s="12"/>
      <c r="X17" s="12"/>
      <c r="Y17" s="12"/>
    </row>
    <row r="18" spans="1:25">
      <c r="A18" s="12"/>
      <c r="B18" s="26"/>
      <c r="C18" s="91"/>
      <c r="D18" s="12"/>
      <c r="E18" s="90"/>
      <c r="F18" s="70"/>
      <c r="G18" s="74"/>
      <c r="H18" s="92"/>
      <c r="I18" s="73"/>
      <c r="J18" s="12"/>
      <c r="K18" s="26"/>
      <c r="L18" s="26"/>
      <c r="M18" s="26"/>
      <c r="N18" s="92"/>
      <c r="O18" s="86"/>
      <c r="P18" s="12"/>
      <c r="Q18" s="90"/>
      <c r="R18" s="70"/>
      <c r="S18" s="74"/>
      <c r="T18" s="92"/>
      <c r="U18" s="73"/>
      <c r="V18" s="12"/>
      <c r="W18" s="12"/>
      <c r="X18" s="12"/>
      <c r="Y18" s="12"/>
    </row>
    <row r="19" spans="1:25">
      <c r="A19" s="12"/>
      <c r="B19" s="26"/>
      <c r="C19" s="91"/>
      <c r="D19" s="12"/>
      <c r="E19" s="90"/>
      <c r="F19" s="70"/>
      <c r="G19" s="74"/>
      <c r="H19" s="92"/>
      <c r="I19" s="73"/>
      <c r="J19" s="12"/>
      <c r="K19" s="26"/>
      <c r="L19" s="26"/>
      <c r="M19" s="26"/>
      <c r="N19" s="92"/>
      <c r="O19" s="86"/>
      <c r="P19" s="12"/>
      <c r="Q19" s="90"/>
      <c r="R19" s="70"/>
      <c r="S19" s="74"/>
      <c r="T19" s="92"/>
      <c r="U19" s="73"/>
      <c r="V19" s="12"/>
      <c r="W19" s="12"/>
      <c r="X19" s="12"/>
      <c r="Y19" s="12"/>
    </row>
    <row r="20" spans="1:25">
      <c r="A20" s="12"/>
      <c r="B20" s="26"/>
      <c r="C20" s="91"/>
      <c r="D20" s="12"/>
      <c r="E20" s="26"/>
      <c r="F20" s="26"/>
      <c r="G20" s="26"/>
      <c r="H20" s="92" t="s">
        <v>10</v>
      </c>
      <c r="I20" s="86">
        <f>XIRR(I6:I17,E6:E17,0)</f>
        <v>0.51678725585937513</v>
      </c>
      <c r="J20" s="12"/>
      <c r="K20" s="26"/>
      <c r="L20" s="26"/>
      <c r="M20" s="26"/>
      <c r="N20" s="92"/>
      <c r="O20" s="86"/>
      <c r="P20" s="12"/>
      <c r="Q20" s="26"/>
      <c r="R20" s="26"/>
      <c r="S20" s="26"/>
      <c r="T20" s="92" t="s">
        <v>10</v>
      </c>
      <c r="U20" s="86" t="e">
        <f>XIRR(U7:U17,Q7:Q17,0)</f>
        <v>#NUM!</v>
      </c>
      <c r="V20" s="12"/>
      <c r="W20" s="12"/>
      <c r="X20" s="12"/>
      <c r="Y20" s="12"/>
    </row>
    <row r="21" spans="1:25">
      <c r="A21" s="12"/>
      <c r="B21" s="26"/>
      <c r="C21" s="91"/>
      <c r="D21" s="12"/>
      <c r="E21" s="26"/>
      <c r="F21" s="26"/>
      <c r="G21" s="26"/>
      <c r="H21" s="92" t="s">
        <v>64</v>
      </c>
      <c r="I21" s="73">
        <f>MDURATION(E6,E17,C7,I20,2)</f>
        <v>2.0151238860575362</v>
      </c>
      <c r="J21" s="12"/>
      <c r="K21" s="26"/>
      <c r="L21" s="26"/>
      <c r="M21" s="26"/>
      <c r="N21" s="92"/>
      <c r="O21" s="86"/>
      <c r="P21" s="12"/>
      <c r="Q21" s="26"/>
      <c r="R21" s="26"/>
      <c r="S21" s="26"/>
      <c r="T21" s="92" t="s">
        <v>64</v>
      </c>
      <c r="U21" s="73" t="e">
        <f>MDURATION(#REF!,Q17,C7,U20,2)</f>
        <v>#REF!</v>
      </c>
      <c r="V21" s="12"/>
      <c r="W21" s="12"/>
      <c r="X21" s="12"/>
      <c r="Y21" s="12"/>
    </row>
    <row r="22" spans="1:25">
      <c r="A22" s="12"/>
      <c r="B22" s="26"/>
      <c r="C22" s="9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>
      <c r="A23" s="12"/>
      <c r="B23" s="26"/>
      <c r="C23" s="9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30">
      <c r="A24" s="12"/>
      <c r="B24" s="12"/>
      <c r="C24" s="12"/>
      <c r="D24" s="12"/>
      <c r="E24" s="311" t="s">
        <v>92</v>
      </c>
      <c r="F24" s="311"/>
      <c r="G24" s="76">
        <v>0.35</v>
      </c>
      <c r="H24" s="62">
        <f>XNPV(G24,O6:O17,K6:K17)</f>
        <v>61.735622960046911</v>
      </c>
      <c r="I24" s="61">
        <f>(H24+I6)/(-I6)</f>
        <v>0.40403963975544488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5" customHeight="1">
      <c r="A25" s="12"/>
      <c r="B25" s="12"/>
      <c r="C25" s="12"/>
      <c r="D25" s="12"/>
      <c r="E25" s="313"/>
      <c r="F25" s="313"/>
      <c r="G25" s="42">
        <v>0.4</v>
      </c>
      <c r="H25" s="109">
        <f>XNPV(G25,O6:O17,K6:K17)</f>
        <v>55.224875717362153</v>
      </c>
      <c r="I25" s="42">
        <f>(H25+I6)/(-I6)</f>
        <v>0.25596715299891187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5" customHeight="1">
      <c r="A26" s="12"/>
      <c r="B26" s="12"/>
      <c r="C26" s="12"/>
      <c r="D26" s="12"/>
      <c r="E26" s="312"/>
      <c r="F26" s="312"/>
      <c r="G26" s="78">
        <v>0.45</v>
      </c>
      <c r="H26" s="79">
        <f>XNPV(G26,O6:O17,K6:K17)</f>
        <v>49.830096910603892</v>
      </c>
      <c r="I26" s="78">
        <f>(H26+I6)/(-I6)</f>
        <v>0.13327488993868303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5" customHeight="1">
      <c r="A27" s="12"/>
      <c r="B27" s="93"/>
      <c r="C27" s="93"/>
      <c r="D27" s="93"/>
      <c r="W27" s="12"/>
      <c r="X27" s="12"/>
      <c r="Y27" s="12"/>
    </row>
    <row r="28" spans="1:25">
      <c r="A28" s="12"/>
      <c r="B28" s="12"/>
      <c r="C28" s="12"/>
      <c r="D28" s="12"/>
      <c r="W28" s="12"/>
      <c r="X28" s="12"/>
      <c r="Y28" s="12"/>
    </row>
    <row r="29" spans="1: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>
      <c r="A34" s="12"/>
      <c r="B34" s="12"/>
      <c r="C34" s="12"/>
      <c r="D34" s="12"/>
      <c r="E34" s="12"/>
      <c r="F34" s="12"/>
      <c r="G34" s="12"/>
      <c r="H34" s="12"/>
      <c r="I34" s="2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>
      <c r="A35" s="12"/>
      <c r="B35" s="12"/>
      <c r="C35" s="12"/>
      <c r="D35" s="12"/>
      <c r="E35" s="12"/>
      <c r="F35" s="12"/>
      <c r="G35" s="12"/>
      <c r="H35" s="12"/>
      <c r="I35" s="2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</sheetData>
  <mergeCells count="4">
    <mergeCell ref="B4:C4"/>
    <mergeCell ref="E4:I4"/>
    <mergeCell ref="K4:O4"/>
    <mergeCell ref="Q4:U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BAY23</vt:lpstr>
      <vt:lpstr>Variaciones</vt:lpstr>
      <vt:lpstr>Planilla de datos</vt:lpstr>
      <vt:lpstr>AA22</vt:lpstr>
      <vt:lpstr>TB21</vt:lpstr>
      <vt:lpstr>PR15</vt:lpstr>
      <vt:lpstr>TO21</vt:lpstr>
      <vt:lpstr>TO23</vt:lpstr>
      <vt:lpstr>TO26</vt:lpstr>
      <vt:lpstr>TC21</vt:lpstr>
      <vt:lpstr>TX21</vt:lpstr>
      <vt:lpstr>TX22</vt:lpstr>
      <vt:lpstr>T2X2</vt:lpstr>
      <vt:lpstr>TC23</vt:lpstr>
      <vt:lpstr>TX23</vt:lpstr>
      <vt:lpstr>T2X3</vt:lpstr>
      <vt:lpstr>TX24</vt:lpstr>
      <vt:lpstr>T2X4</vt:lpstr>
      <vt:lpstr>TC25P</vt:lpstr>
      <vt:lpstr>TX26</vt:lpstr>
      <vt:lpstr>TX28</vt:lpstr>
      <vt:lpstr>LECER</vt:lpstr>
      <vt:lpstr>Lepase</vt:lpstr>
      <vt:lpstr>Serie CER</vt:lpstr>
      <vt:lpstr>Serie BADLAR</vt:lpstr>
      <vt:lpstr>PBY22</vt:lpstr>
      <vt:lpstr>PBA25</vt:lpstr>
      <vt:lpstr>PMJ21</vt:lpstr>
      <vt:lpstr>BDC28</vt:lpstr>
      <vt:lpstr>BDC24</vt:lpstr>
      <vt:lpstr>BDC22</vt:lpstr>
      <vt:lpstr>BNY22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Nicolas Zaniratto</cp:lastModifiedBy>
  <cp:lastPrinted>2020-06-12T01:18:08Z</cp:lastPrinted>
  <dcterms:created xsi:type="dcterms:W3CDTF">2019-02-14T04:55:32Z</dcterms:created>
  <dcterms:modified xsi:type="dcterms:W3CDTF">2021-07-02T18:50:48Z</dcterms:modified>
</cp:coreProperties>
</file>