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ás\Google Drive\Planillas Análisis Mercado\"/>
    </mc:Choice>
  </mc:AlternateContent>
  <xr:revisionPtr revIDLastSave="0" documentId="13_ncr:1_{FB86A296-A7A6-4B83-B31C-E38B7FA34F27}" xr6:coauthVersionLast="47" xr6:coauthVersionMax="47" xr10:uidLastSave="{00000000-0000-0000-0000-000000000000}"/>
  <bookViews>
    <workbookView xWindow="-120" yWindow="-120" windowWidth="29040" windowHeight="15840" tabRatio="851" xr2:uid="{00000000-000D-0000-FFFF-FFFF00000000}"/>
  </bookViews>
  <sheets>
    <sheet name="Emisiones" sheetId="12" r:id="rId1"/>
    <sheet name="CAC2O" sheetId="16" r:id="rId2"/>
    <sheet name="CSDOO" sheetId="4" r:id="rId3"/>
    <sheet name="CSJYO" sheetId="38" r:id="rId4"/>
    <sheet name="CP21O" sheetId="37" r:id="rId5"/>
    <sheet name="CP17O" sheetId="25" r:id="rId6"/>
    <sheet name="CRCEO" sheetId="35" r:id="rId7"/>
    <sheet name="GNCWO" sheetId="26" r:id="rId8"/>
    <sheet name="GNCLO" sheetId="31" r:id="rId9"/>
    <sheet name="IRC1O" sheetId="18" r:id="rId10"/>
    <sheet name="IRC8O" sheetId="19" r:id="rId11"/>
    <sheet name="IRC9O" sheetId="20" r:id="rId12"/>
    <sheet name="JHCEO" sheetId="7" r:id="rId13"/>
    <sheet name="LMS1O" sheetId="15" r:id="rId14"/>
    <sheet name="MTCFO" sheetId="13" r:id="rId15"/>
    <sheet name="MTCFO (2)" sheetId="32" r:id="rId16"/>
    <sheet name="PNC9O" sheetId="17" r:id="rId17"/>
    <sheet name="PNDCO" sheetId="29" r:id="rId18"/>
    <sheet name="PQCDO" sheetId="27" r:id="rId19"/>
    <sheet name="PTSTO" sheetId="21" r:id="rId20"/>
    <sheet name="RA31O" sheetId="33" r:id="rId21"/>
    <sheet name="RAC4O" sheetId="34" r:id="rId22"/>
    <sheet name="RCC9O" sheetId="6" r:id="rId23"/>
    <sheet name="RPC2O" sheetId="22" r:id="rId24"/>
    <sheet name="TLC1O" sheetId="36" r:id="rId25"/>
    <sheet name="TLC5O" sheetId="24" r:id="rId26"/>
    <sheet name="TTC1O" sheetId="5" r:id="rId27"/>
    <sheet name="TTC4O" sheetId="11" r:id="rId28"/>
    <sheet name="VSC1O" sheetId="10" r:id="rId29"/>
    <sheet name="VSC2D" sheetId="9" r:id="rId30"/>
    <sheet name="VSC3O" sheetId="8" r:id="rId31"/>
    <sheet name="YCA6P" sheetId="2" r:id="rId32"/>
    <sheet name="YPCUD" sheetId="1" r:id="rId33"/>
    <sheet name="YMCHO" sheetId="30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25" l="1"/>
  <c r="O32" i="12"/>
  <c r="W38" i="12"/>
  <c r="I6" i="38"/>
  <c r="N13" i="12"/>
  <c r="O13" i="12"/>
  <c r="I11" i="38"/>
  <c r="G11" i="38"/>
  <c r="G8" i="38"/>
  <c r="I8" i="38" s="1"/>
  <c r="G9" i="38"/>
  <c r="I9" i="38" s="1"/>
  <c r="G10" i="38"/>
  <c r="G7" i="38"/>
  <c r="I7" i="38" s="1"/>
  <c r="I10" i="38"/>
  <c r="E6" i="38"/>
  <c r="W35" i="12"/>
  <c r="W36" i="12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7" i="35"/>
  <c r="I6" i="37"/>
  <c r="O10" i="12"/>
  <c r="G8" i="37"/>
  <c r="I8" i="37" s="1"/>
  <c r="G9" i="37"/>
  <c r="G10" i="37"/>
  <c r="G7" i="37"/>
  <c r="I7" i="37" s="1"/>
  <c r="F10" i="37"/>
  <c r="I10" i="37" s="1"/>
  <c r="I9" i="37"/>
  <c r="E6" i="37"/>
  <c r="I6" i="36"/>
  <c r="I6" i="24"/>
  <c r="F9" i="36"/>
  <c r="F10" i="36" s="1"/>
  <c r="G8" i="36"/>
  <c r="I8" i="36" s="1"/>
  <c r="G7" i="36"/>
  <c r="I7" i="36" s="1"/>
  <c r="E6" i="36"/>
  <c r="W50" i="12"/>
  <c r="W49" i="12"/>
  <c r="I14" i="38" l="1"/>
  <c r="I15" i="38" s="1"/>
  <c r="R13" i="12" s="1"/>
  <c r="Y38" i="12" s="1"/>
  <c r="F11" i="37"/>
  <c r="G11" i="37" s="1"/>
  <c r="G9" i="36"/>
  <c r="I9" i="36" s="1"/>
  <c r="G10" i="36"/>
  <c r="I10" i="36" s="1"/>
  <c r="F11" i="36"/>
  <c r="I6" i="35"/>
  <c r="F7" i="35"/>
  <c r="I7" i="35" s="1"/>
  <c r="E6" i="35"/>
  <c r="K20" i="35" s="1"/>
  <c r="I6" i="34"/>
  <c r="I13" i="34"/>
  <c r="I14" i="34"/>
  <c r="I15" i="34"/>
  <c r="I16" i="34"/>
  <c r="I17" i="34"/>
  <c r="I18" i="34"/>
  <c r="G13" i="34"/>
  <c r="G14" i="34"/>
  <c r="G15" i="34"/>
  <c r="G16" i="34"/>
  <c r="G17" i="34"/>
  <c r="G18" i="34"/>
  <c r="G12" i="34"/>
  <c r="I12" i="34" s="1"/>
  <c r="G11" i="34"/>
  <c r="I11" i="34" s="1"/>
  <c r="G10" i="34"/>
  <c r="I10" i="34" s="1"/>
  <c r="G9" i="34"/>
  <c r="I9" i="34" s="1"/>
  <c r="G8" i="34"/>
  <c r="I8" i="34" s="1"/>
  <c r="G7" i="34"/>
  <c r="I7" i="34" s="1"/>
  <c r="E6" i="34"/>
  <c r="I6" i="33"/>
  <c r="I11" i="33"/>
  <c r="I12" i="33"/>
  <c r="G11" i="33"/>
  <c r="G12" i="33"/>
  <c r="G10" i="33"/>
  <c r="I10" i="33" s="1"/>
  <c r="G9" i="33"/>
  <c r="I9" i="33" s="1"/>
  <c r="I8" i="33"/>
  <c r="G8" i="33"/>
  <c r="G7" i="33"/>
  <c r="I7" i="33" s="1"/>
  <c r="E6" i="33"/>
  <c r="I26" i="32"/>
  <c r="I29" i="32" s="1"/>
  <c r="I18" i="32"/>
  <c r="I19" i="32" s="1"/>
  <c r="I7" i="32"/>
  <c r="I8" i="32"/>
  <c r="I9" i="32"/>
  <c r="I10" i="32"/>
  <c r="I11" i="32"/>
  <c r="I12" i="32"/>
  <c r="I13" i="32"/>
  <c r="I14" i="32"/>
  <c r="I15" i="32"/>
  <c r="G7" i="32"/>
  <c r="G8" i="32"/>
  <c r="G9" i="32"/>
  <c r="G10" i="32"/>
  <c r="G11" i="32"/>
  <c r="G12" i="32"/>
  <c r="G13" i="32"/>
  <c r="G14" i="32"/>
  <c r="G15" i="32"/>
  <c r="F7" i="32"/>
  <c r="F8" i="32" s="1"/>
  <c r="F9" i="32" s="1"/>
  <c r="F10" i="32" s="1"/>
  <c r="F11" i="32" s="1"/>
  <c r="F12" i="32" s="1"/>
  <c r="F13" i="32" s="1"/>
  <c r="F14" i="32" s="1"/>
  <c r="F15" i="32" s="1"/>
  <c r="F6" i="32"/>
  <c r="G6" i="32"/>
  <c r="I6" i="32" s="1"/>
  <c r="H6" i="20"/>
  <c r="H6" i="18"/>
  <c r="H6" i="19"/>
  <c r="I6" i="31"/>
  <c r="G8" i="31"/>
  <c r="I8" i="31" s="1"/>
  <c r="G7" i="31"/>
  <c r="I7" i="31"/>
  <c r="E6" i="31"/>
  <c r="H7" i="30"/>
  <c r="J7" i="30" s="1"/>
  <c r="G7" i="30"/>
  <c r="G8" i="30" s="1"/>
  <c r="H6" i="30"/>
  <c r="J6" i="30" s="1"/>
  <c r="J5" i="30"/>
  <c r="E5" i="30"/>
  <c r="L9" i="30" s="1"/>
  <c r="G6" i="8"/>
  <c r="G6" i="9"/>
  <c r="F6" i="9"/>
  <c r="G6" i="10"/>
  <c r="F6" i="10"/>
  <c r="Q13" i="12" l="1"/>
  <c r="X38" i="12" s="1"/>
  <c r="I21" i="34"/>
  <c r="I22" i="34" s="1"/>
  <c r="R27" i="12" s="1"/>
  <c r="Y49" i="12" s="1"/>
  <c r="F8" i="35"/>
  <c r="I8" i="35" s="1"/>
  <c r="F9" i="35"/>
  <c r="F12" i="37"/>
  <c r="G12" i="37" s="1"/>
  <c r="I11" i="37"/>
  <c r="G11" i="36"/>
  <c r="I11" i="36" s="1"/>
  <c r="F12" i="36"/>
  <c r="K11" i="35"/>
  <c r="K18" i="35"/>
  <c r="K12" i="35"/>
  <c r="K17" i="35"/>
  <c r="K10" i="35"/>
  <c r="K19" i="35"/>
  <c r="K13" i="35"/>
  <c r="K16" i="35"/>
  <c r="K14" i="35"/>
  <c r="K15" i="35"/>
  <c r="K7" i="35"/>
  <c r="K8" i="35"/>
  <c r="K21" i="35"/>
  <c r="K22" i="35"/>
  <c r="K9" i="35"/>
  <c r="I14" i="33"/>
  <c r="I15" i="33" s="1"/>
  <c r="R28" i="12" s="1"/>
  <c r="Y50" i="12" s="1"/>
  <c r="I9" i="35"/>
  <c r="I10" i="31"/>
  <c r="I11" i="31" s="1"/>
  <c r="R16" i="12" s="1"/>
  <c r="H8" i="30"/>
  <c r="J8" i="30" s="1"/>
  <c r="G9" i="30"/>
  <c r="L7" i="30"/>
  <c r="L6" i="30"/>
  <c r="L8" i="30"/>
  <c r="L10" i="30"/>
  <c r="J5" i="29"/>
  <c r="L24" i="12"/>
  <c r="E5" i="29"/>
  <c r="L14" i="29" s="1"/>
  <c r="H6" i="29"/>
  <c r="I14" i="29"/>
  <c r="I15" i="29"/>
  <c r="I16" i="29"/>
  <c r="I17" i="29"/>
  <c r="I13" i="29"/>
  <c r="Q27" i="12" l="1"/>
  <c r="X49" i="12" s="1"/>
  <c r="F10" i="35"/>
  <c r="F13" i="37"/>
  <c r="G13" i="37" s="1"/>
  <c r="I12" i="37"/>
  <c r="F13" i="36"/>
  <c r="G12" i="36"/>
  <c r="I12" i="36" s="1"/>
  <c r="Q28" i="12"/>
  <c r="X50" i="12" s="1"/>
  <c r="F11" i="35"/>
  <c r="I10" i="35"/>
  <c r="Q16" i="12"/>
  <c r="H9" i="30"/>
  <c r="J9" i="30" s="1"/>
  <c r="G10" i="30"/>
  <c r="L15" i="29"/>
  <c r="L13" i="29"/>
  <c r="L11" i="29"/>
  <c r="L9" i="29"/>
  <c r="L12" i="29"/>
  <c r="L10" i="29"/>
  <c r="L17" i="29"/>
  <c r="L8" i="29"/>
  <c r="L16" i="29"/>
  <c r="L7" i="29"/>
  <c r="H7" i="29"/>
  <c r="J7" i="29" s="1"/>
  <c r="H8" i="29"/>
  <c r="J8" i="29" s="1"/>
  <c r="J6" i="29"/>
  <c r="F8" i="29"/>
  <c r="H9" i="29" s="1"/>
  <c r="J9" i="29" s="1"/>
  <c r="I6" i="27"/>
  <c r="I13" i="27"/>
  <c r="G7" i="27"/>
  <c r="I7" i="27" s="1"/>
  <c r="G8" i="27"/>
  <c r="I8" i="27" s="1"/>
  <c r="G9" i="27"/>
  <c r="I9" i="27" s="1"/>
  <c r="G10" i="27"/>
  <c r="I10" i="27" s="1"/>
  <c r="G11" i="27"/>
  <c r="I11" i="27" s="1"/>
  <c r="G12" i="27"/>
  <c r="I12" i="27" s="1"/>
  <c r="G13" i="27"/>
  <c r="E6" i="27"/>
  <c r="I6" i="11"/>
  <c r="I7" i="11"/>
  <c r="I11" i="11"/>
  <c r="G7" i="11"/>
  <c r="G8" i="11"/>
  <c r="I8" i="11" s="1"/>
  <c r="G9" i="11"/>
  <c r="I9" i="11" s="1"/>
  <c r="G10" i="11"/>
  <c r="I10" i="11" s="1"/>
  <c r="G11" i="11"/>
  <c r="G12" i="11"/>
  <c r="I12" i="11" s="1"/>
  <c r="G13" i="11"/>
  <c r="I13" i="11" s="1"/>
  <c r="I6" i="26"/>
  <c r="G12" i="26"/>
  <c r="I12" i="26"/>
  <c r="G7" i="26"/>
  <c r="I7" i="26" s="1"/>
  <c r="G8" i="26"/>
  <c r="G9" i="26"/>
  <c r="G10" i="26"/>
  <c r="G11" i="26"/>
  <c r="I11" i="26" s="1"/>
  <c r="I9" i="26"/>
  <c r="I10" i="26"/>
  <c r="I8" i="26"/>
  <c r="E6" i="26"/>
  <c r="F14" i="37" l="1"/>
  <c r="I13" i="37"/>
  <c r="F14" i="36"/>
  <c r="G13" i="36"/>
  <c r="I13" i="36" s="1"/>
  <c r="I11" i="35"/>
  <c r="F12" i="35"/>
  <c r="I14" i="26"/>
  <c r="Q17" i="12" s="1"/>
  <c r="X40" i="12" s="1"/>
  <c r="H10" i="30"/>
  <c r="J10" i="30" s="1"/>
  <c r="G11" i="30"/>
  <c r="H11" i="30" s="1"/>
  <c r="J11" i="30" s="1"/>
  <c r="I15" i="27"/>
  <c r="Q26" i="12" s="1"/>
  <c r="X48" i="12" s="1"/>
  <c r="F9" i="29"/>
  <c r="H10" i="29" s="1"/>
  <c r="J10" i="29" s="1"/>
  <c r="L6" i="29"/>
  <c r="F10" i="29"/>
  <c r="H11" i="29" s="1"/>
  <c r="F11" i="25"/>
  <c r="F12" i="25" s="1"/>
  <c r="F10" i="25"/>
  <c r="G10" i="25" s="1"/>
  <c r="I10" i="25" s="1"/>
  <c r="G9" i="25"/>
  <c r="I9" i="25" s="1"/>
  <c r="G8" i="25"/>
  <c r="I8" i="25" s="1"/>
  <c r="G7" i="25"/>
  <c r="I7" i="25" s="1"/>
  <c r="E6" i="25"/>
  <c r="G6" i="1"/>
  <c r="O34" i="12"/>
  <c r="O35" i="12"/>
  <c r="O36" i="12"/>
  <c r="O18" i="12"/>
  <c r="O37" i="12"/>
  <c r="O38" i="12"/>
  <c r="N37" i="12"/>
  <c r="N38" i="12"/>
  <c r="H15" i="24"/>
  <c r="H13" i="24"/>
  <c r="H11" i="24"/>
  <c r="H10" i="24"/>
  <c r="G8" i="24"/>
  <c r="G7" i="24"/>
  <c r="I7" i="24" s="1"/>
  <c r="F9" i="24"/>
  <c r="F10" i="24" s="1"/>
  <c r="G10" i="24" s="1"/>
  <c r="I8" i="24"/>
  <c r="E6" i="24"/>
  <c r="K14" i="24" s="1"/>
  <c r="L14" i="24" s="1"/>
  <c r="M14" i="24" s="1"/>
  <c r="I6" i="22"/>
  <c r="G10" i="22"/>
  <c r="I10" i="22" s="1"/>
  <c r="G9" i="22"/>
  <c r="I9" i="22" s="1"/>
  <c r="G8" i="22"/>
  <c r="I8" i="22" s="1"/>
  <c r="G7" i="22"/>
  <c r="I7" i="22" s="1"/>
  <c r="E6" i="22"/>
  <c r="I6" i="21"/>
  <c r="G11" i="21"/>
  <c r="I11" i="21" s="1"/>
  <c r="G10" i="21"/>
  <c r="I10" i="21" s="1"/>
  <c r="G9" i="21"/>
  <c r="I9" i="21" s="1"/>
  <c r="G8" i="21"/>
  <c r="I8" i="21" s="1"/>
  <c r="G7" i="21"/>
  <c r="I7" i="21" s="1"/>
  <c r="E6" i="21"/>
  <c r="K14" i="25" l="1"/>
  <c r="C14" i="25"/>
  <c r="G14" i="37"/>
  <c r="I14" i="37" s="1"/>
  <c r="I16" i="37" s="1"/>
  <c r="G14" i="36"/>
  <c r="I14" i="36" s="1"/>
  <c r="F15" i="36"/>
  <c r="I12" i="35"/>
  <c r="F13" i="35"/>
  <c r="I15" i="26"/>
  <c r="R17" i="12" s="1"/>
  <c r="Y40" i="12" s="1"/>
  <c r="J28" i="30"/>
  <c r="I16" i="27"/>
  <c r="R26" i="12" s="1"/>
  <c r="Y48" i="12" s="1"/>
  <c r="I14" i="22"/>
  <c r="Q18" i="12" s="1"/>
  <c r="X41" i="12" s="1"/>
  <c r="J11" i="29"/>
  <c r="F11" i="29"/>
  <c r="H12" i="29" s="1"/>
  <c r="I16" i="25"/>
  <c r="L13" i="25" s="1"/>
  <c r="M13" i="25" s="1"/>
  <c r="K13" i="25"/>
  <c r="K12" i="25"/>
  <c r="K11" i="25"/>
  <c r="K10" i="25"/>
  <c r="K9" i="25"/>
  <c r="K8" i="25"/>
  <c r="K7" i="25"/>
  <c r="G12" i="25"/>
  <c r="I12" i="25" s="1"/>
  <c r="F13" i="25"/>
  <c r="G11" i="25"/>
  <c r="I11" i="25" s="1"/>
  <c r="K13" i="24"/>
  <c r="L13" i="24" s="1"/>
  <c r="M13" i="24" s="1"/>
  <c r="K12" i="24"/>
  <c r="L12" i="24" s="1"/>
  <c r="M12" i="24" s="1"/>
  <c r="K11" i="24"/>
  <c r="L11" i="24" s="1"/>
  <c r="M11" i="24" s="1"/>
  <c r="K15" i="24"/>
  <c r="L15" i="24" s="1"/>
  <c r="M15" i="24" s="1"/>
  <c r="K10" i="24"/>
  <c r="L10" i="24" s="1"/>
  <c r="M10" i="24" s="1"/>
  <c r="K9" i="24"/>
  <c r="L9" i="24" s="1"/>
  <c r="M9" i="24" s="1"/>
  <c r="K7" i="24"/>
  <c r="L7" i="24" s="1"/>
  <c r="K8" i="24"/>
  <c r="L8" i="24" s="1"/>
  <c r="M8" i="24" s="1"/>
  <c r="G9" i="24"/>
  <c r="I10" i="24"/>
  <c r="F11" i="24"/>
  <c r="G11" i="24" s="1"/>
  <c r="I9" i="24"/>
  <c r="I13" i="21"/>
  <c r="Q25" i="12" s="1"/>
  <c r="X47" i="12" s="1"/>
  <c r="J5" i="20"/>
  <c r="G12" i="20"/>
  <c r="J7" i="20"/>
  <c r="H7" i="20"/>
  <c r="F7" i="20"/>
  <c r="H8" i="20" s="1"/>
  <c r="J8" i="20" s="1"/>
  <c r="J6" i="20"/>
  <c r="E5" i="20"/>
  <c r="J5" i="19"/>
  <c r="H7" i="19"/>
  <c r="J7" i="19" s="1"/>
  <c r="F7" i="19"/>
  <c r="H8" i="19" s="1"/>
  <c r="J8" i="19" s="1"/>
  <c r="J6" i="19"/>
  <c r="E5" i="19"/>
  <c r="J5" i="18"/>
  <c r="G12" i="18"/>
  <c r="J6" i="18"/>
  <c r="H7" i="18"/>
  <c r="J7" i="18" s="1"/>
  <c r="F7" i="18"/>
  <c r="E5" i="18"/>
  <c r="I6" i="17"/>
  <c r="G8" i="17"/>
  <c r="G9" i="17"/>
  <c r="I9" i="17" s="1"/>
  <c r="G7" i="17"/>
  <c r="I7" i="17" s="1"/>
  <c r="I8" i="17"/>
  <c r="E6" i="17"/>
  <c r="I6" i="2"/>
  <c r="E6" i="15"/>
  <c r="E5" i="13"/>
  <c r="E5" i="8"/>
  <c r="E5" i="9"/>
  <c r="E5" i="10"/>
  <c r="E6" i="7"/>
  <c r="I9" i="7" s="1"/>
  <c r="E6" i="6"/>
  <c r="E6" i="11"/>
  <c r="I15" i="11" s="1"/>
  <c r="E6" i="5"/>
  <c r="E6" i="4"/>
  <c r="I14" i="4" s="1"/>
  <c r="E6" i="2"/>
  <c r="E5" i="1"/>
  <c r="E6" i="16"/>
  <c r="I5" i="1"/>
  <c r="G11" i="16"/>
  <c r="I11" i="16" s="1"/>
  <c r="G12" i="16"/>
  <c r="I12" i="16" s="1"/>
  <c r="G10" i="16"/>
  <c r="I10" i="16" s="1"/>
  <c r="G9" i="16"/>
  <c r="I9" i="16" s="1"/>
  <c r="G8" i="16"/>
  <c r="I8" i="16" s="1"/>
  <c r="G7" i="16"/>
  <c r="I7" i="16" s="1"/>
  <c r="I6" i="16"/>
  <c r="I6" i="6"/>
  <c r="I6" i="5"/>
  <c r="I6" i="15"/>
  <c r="I5" i="13"/>
  <c r="G6" i="13"/>
  <c r="F6" i="13"/>
  <c r="I5" i="8"/>
  <c r="I5" i="9"/>
  <c r="I5" i="10"/>
  <c r="I6" i="4"/>
  <c r="C15" i="25" l="1"/>
  <c r="C16" i="25"/>
  <c r="C17" i="25" s="1"/>
  <c r="F14" i="35"/>
  <c r="I13" i="35"/>
  <c r="Q10" i="12"/>
  <c r="X36" i="12" s="1"/>
  <c r="I17" i="37"/>
  <c r="R10" i="12" s="1"/>
  <c r="Y36" i="12" s="1"/>
  <c r="G15" i="36"/>
  <c r="I15" i="36" s="1"/>
  <c r="F16" i="36"/>
  <c r="L7" i="19"/>
  <c r="L15" i="19"/>
  <c r="M6" i="30"/>
  <c r="M7" i="30"/>
  <c r="N7" i="30" s="1"/>
  <c r="M8" i="30"/>
  <c r="N8" i="30" s="1"/>
  <c r="M9" i="30"/>
  <c r="N9" i="30" s="1"/>
  <c r="M10" i="30"/>
  <c r="N10" i="30" s="1"/>
  <c r="F12" i="29"/>
  <c r="H13" i="29" s="1"/>
  <c r="J12" i="29"/>
  <c r="I16" i="11"/>
  <c r="R30" i="12" s="1"/>
  <c r="Q30" i="12"/>
  <c r="L8" i="25"/>
  <c r="M8" i="25" s="1"/>
  <c r="Q11" i="12"/>
  <c r="X37" i="12" s="1"/>
  <c r="L14" i="25"/>
  <c r="M14" i="25" s="1"/>
  <c r="L9" i="25"/>
  <c r="M9" i="25" s="1"/>
  <c r="L7" i="25"/>
  <c r="L10" i="25"/>
  <c r="M10" i="25" s="1"/>
  <c r="L11" i="25"/>
  <c r="M11" i="25" s="1"/>
  <c r="L12" i="25"/>
  <c r="M12" i="25" s="1"/>
  <c r="I20" i="15"/>
  <c r="F14" i="25"/>
  <c r="G14" i="25" s="1"/>
  <c r="I14" i="25" s="1"/>
  <c r="G13" i="25"/>
  <c r="I13" i="25" s="1"/>
  <c r="M7" i="24"/>
  <c r="M16" i="24" s="1"/>
  <c r="L16" i="24"/>
  <c r="F12" i="24"/>
  <c r="G12" i="24" s="1"/>
  <c r="I11" i="24"/>
  <c r="I13" i="17"/>
  <c r="Q23" i="12" s="1"/>
  <c r="X45" i="12" s="1"/>
  <c r="J17" i="19"/>
  <c r="L6" i="19"/>
  <c r="J14" i="18"/>
  <c r="Q19" i="12" s="1"/>
  <c r="X42" i="12" s="1"/>
  <c r="I14" i="21"/>
  <c r="R25" i="12" s="1"/>
  <c r="Y47" i="12" s="1"/>
  <c r="I15" i="22"/>
  <c r="R18" i="12" s="1"/>
  <c r="Y41" i="12" s="1"/>
  <c r="L11" i="19"/>
  <c r="L10" i="19"/>
  <c r="L14" i="19"/>
  <c r="L9" i="19"/>
  <c r="L13" i="19"/>
  <c r="L8" i="19"/>
  <c r="L12" i="19"/>
  <c r="F8" i="20"/>
  <c r="H9" i="20" s="1"/>
  <c r="J9" i="20" s="1"/>
  <c r="F8" i="19"/>
  <c r="F9" i="19" s="1"/>
  <c r="F10" i="19" s="1"/>
  <c r="F11" i="19" s="1"/>
  <c r="F12" i="19" s="1"/>
  <c r="F13" i="19" s="1"/>
  <c r="F14" i="19" s="1"/>
  <c r="F15" i="19" s="1"/>
  <c r="H8" i="18"/>
  <c r="J8" i="18" s="1"/>
  <c r="F8" i="18"/>
  <c r="H9" i="18" s="1"/>
  <c r="I14" i="16"/>
  <c r="O15" i="6"/>
  <c r="O12" i="15"/>
  <c r="F15" i="35" l="1"/>
  <c r="I14" i="35"/>
  <c r="F17" i="36"/>
  <c r="G17" i="36" s="1"/>
  <c r="I17" i="36" s="1"/>
  <c r="I21" i="36" s="1"/>
  <c r="G16" i="36"/>
  <c r="I16" i="36" s="1"/>
  <c r="M12" i="19"/>
  <c r="N12" i="19" s="1"/>
  <c r="M13" i="19"/>
  <c r="N13" i="19" s="1"/>
  <c r="M14" i="19"/>
  <c r="N14" i="19" s="1"/>
  <c r="M7" i="19"/>
  <c r="M15" i="19"/>
  <c r="N15" i="19" s="1"/>
  <c r="M9" i="19"/>
  <c r="N9" i="19" s="1"/>
  <c r="M11" i="19"/>
  <c r="N11" i="19" s="1"/>
  <c r="M8" i="19"/>
  <c r="N8" i="19" s="1"/>
  <c r="M10" i="19"/>
  <c r="N10" i="19" s="1"/>
  <c r="N6" i="30"/>
  <c r="N11" i="30" s="1"/>
  <c r="M11" i="30"/>
  <c r="J13" i="29"/>
  <c r="F13" i="29"/>
  <c r="H14" i="29" s="1"/>
  <c r="L15" i="25"/>
  <c r="M7" i="25"/>
  <c r="M15" i="25" s="1"/>
  <c r="M18" i="24"/>
  <c r="I12" i="24"/>
  <c r="F13" i="24"/>
  <c r="G13" i="24" s="1"/>
  <c r="I14" i="17"/>
  <c r="R23" i="12" s="1"/>
  <c r="Y45" i="12" s="1"/>
  <c r="Q20" i="12"/>
  <c r="X43" i="12" s="1"/>
  <c r="M6" i="19"/>
  <c r="N6" i="19" s="1"/>
  <c r="J15" i="18"/>
  <c r="R19" i="12" s="1"/>
  <c r="Y42" i="12" s="1"/>
  <c r="I15" i="16"/>
  <c r="R8" i="12" s="1"/>
  <c r="Y34" i="12" s="1"/>
  <c r="F9" i="20"/>
  <c r="H10" i="20"/>
  <c r="J10" i="20" s="1"/>
  <c r="F10" i="20"/>
  <c r="H9" i="19"/>
  <c r="J9" i="19" s="1"/>
  <c r="F9" i="18"/>
  <c r="H10" i="18" s="1"/>
  <c r="J9" i="18"/>
  <c r="Q8" i="12"/>
  <c r="X34" i="12" s="1"/>
  <c r="G7" i="15"/>
  <c r="I7" i="15" s="1"/>
  <c r="H15" i="15"/>
  <c r="H16" i="15"/>
  <c r="H17" i="15"/>
  <c r="H18" i="15"/>
  <c r="H8" i="15"/>
  <c r="H9" i="15"/>
  <c r="H10" i="15"/>
  <c r="H11" i="15"/>
  <c r="H12" i="15"/>
  <c r="H13" i="15"/>
  <c r="H14" i="15"/>
  <c r="H7" i="15"/>
  <c r="F8" i="15" s="1"/>
  <c r="I6" i="13"/>
  <c r="I10" i="13" s="1"/>
  <c r="F16" i="35" l="1"/>
  <c r="I15" i="35"/>
  <c r="Q32" i="12"/>
  <c r="I22" i="36"/>
  <c r="R32" i="12" s="1"/>
  <c r="M16" i="19"/>
  <c r="N7" i="19"/>
  <c r="N16" i="19" s="1"/>
  <c r="N13" i="30"/>
  <c r="J29" i="30" s="1"/>
  <c r="M17" i="25"/>
  <c r="I17" i="25" s="1"/>
  <c r="R11" i="12" s="1"/>
  <c r="Y37" i="12" s="1"/>
  <c r="J14" i="29"/>
  <c r="F14" i="29"/>
  <c r="H15" i="29" s="1"/>
  <c r="F14" i="24"/>
  <c r="G14" i="24" s="1"/>
  <c r="I13" i="24"/>
  <c r="H11" i="20"/>
  <c r="J11" i="20" s="1"/>
  <c r="F11" i="20"/>
  <c r="H12" i="20" s="1"/>
  <c r="H10" i="19"/>
  <c r="J10" i="19" s="1"/>
  <c r="J10" i="18"/>
  <c r="F10" i="18"/>
  <c r="F9" i="15"/>
  <c r="G8" i="15"/>
  <c r="I11" i="13"/>
  <c r="R22" i="12" s="1"/>
  <c r="Q22" i="12"/>
  <c r="I8" i="15"/>
  <c r="I13" i="6"/>
  <c r="Q7" i="12" s="1"/>
  <c r="X33" i="12" s="1"/>
  <c r="N18" i="19" l="1"/>
  <c r="F17" i="35"/>
  <c r="I16" i="35"/>
  <c r="J15" i="29"/>
  <c r="F15" i="29"/>
  <c r="I14" i="24"/>
  <c r="F15" i="24"/>
  <c r="G15" i="24" s="1"/>
  <c r="J12" i="20"/>
  <c r="J17" i="20" s="1"/>
  <c r="F12" i="20"/>
  <c r="H12" i="19"/>
  <c r="H11" i="19"/>
  <c r="J11" i="19" s="1"/>
  <c r="F11" i="18"/>
  <c r="H11" i="18"/>
  <c r="J11" i="18"/>
  <c r="F10" i="15"/>
  <c r="G9" i="15"/>
  <c r="I9" i="15" s="1"/>
  <c r="J18" i="19" l="1"/>
  <c r="R20" i="12" s="1"/>
  <c r="Y43" i="12" s="1"/>
  <c r="F18" i="35"/>
  <c r="I17" i="35"/>
  <c r="F12" i="18"/>
  <c r="H12" i="18"/>
  <c r="J12" i="18" s="1"/>
  <c r="H16" i="29"/>
  <c r="J16" i="29" s="1"/>
  <c r="F16" i="29"/>
  <c r="I15" i="24"/>
  <c r="I21" i="24" s="1"/>
  <c r="Q31" i="12" s="1"/>
  <c r="Q21" i="12"/>
  <c r="X44" i="12" s="1"/>
  <c r="J18" i="20"/>
  <c r="R21" i="12" s="1"/>
  <c r="Y44" i="12" s="1"/>
  <c r="J12" i="19"/>
  <c r="G10" i="15"/>
  <c r="I10" i="15" s="1"/>
  <c r="F11" i="15"/>
  <c r="F19" i="35" l="1"/>
  <c r="I18" i="35"/>
  <c r="F17" i="29"/>
  <c r="H17" i="29"/>
  <c r="J17" i="29" s="1"/>
  <c r="I22" i="24"/>
  <c r="R31" i="12" s="1"/>
  <c r="Y51" i="12" s="1"/>
  <c r="X51" i="12"/>
  <c r="H13" i="19"/>
  <c r="J13" i="19" s="1"/>
  <c r="G11" i="15"/>
  <c r="I11" i="15" s="1"/>
  <c r="F12" i="15"/>
  <c r="K6" i="1"/>
  <c r="K7" i="1"/>
  <c r="K8" i="1"/>
  <c r="K9" i="1"/>
  <c r="K10" i="1"/>
  <c r="F20" i="35" l="1"/>
  <c r="I19" i="35"/>
  <c r="J20" i="29"/>
  <c r="Q24" i="12" s="1"/>
  <c r="X46" i="12" s="1"/>
  <c r="H14" i="19"/>
  <c r="J14" i="19" s="1"/>
  <c r="G12" i="15"/>
  <c r="I12" i="15" s="1"/>
  <c r="F13" i="15"/>
  <c r="F7" i="1"/>
  <c r="F8" i="1" s="1"/>
  <c r="G7" i="1"/>
  <c r="F21" i="35" l="1"/>
  <c r="I20" i="35"/>
  <c r="M14" i="29"/>
  <c r="N14" i="29" s="1"/>
  <c r="M7" i="29"/>
  <c r="N7" i="29" s="1"/>
  <c r="M15" i="29"/>
  <c r="N15" i="29" s="1"/>
  <c r="M8" i="29"/>
  <c r="N8" i="29" s="1"/>
  <c r="M16" i="29"/>
  <c r="N16" i="29" s="1"/>
  <c r="M9" i="29"/>
  <c r="N9" i="29" s="1"/>
  <c r="M17" i="29"/>
  <c r="N17" i="29" s="1"/>
  <c r="M10" i="29"/>
  <c r="M11" i="29"/>
  <c r="N11" i="29" s="1"/>
  <c r="M12" i="29"/>
  <c r="N12" i="29" s="1"/>
  <c r="M13" i="29"/>
  <c r="N13" i="29" s="1"/>
  <c r="M6" i="29"/>
  <c r="H15" i="19"/>
  <c r="J15" i="19" s="1"/>
  <c r="G13" i="15"/>
  <c r="I13" i="15" s="1"/>
  <c r="F14" i="15"/>
  <c r="G8" i="1"/>
  <c r="F9" i="1"/>
  <c r="F22" i="35" l="1"/>
  <c r="I22" i="35" s="1"/>
  <c r="I21" i="35"/>
  <c r="M18" i="29"/>
  <c r="N10" i="29"/>
  <c r="N6" i="29"/>
  <c r="G14" i="15"/>
  <c r="I14" i="15" s="1"/>
  <c r="F15" i="15"/>
  <c r="G9" i="1"/>
  <c r="F10" i="1"/>
  <c r="I25" i="35" l="1"/>
  <c r="N18" i="29"/>
  <c r="N20" i="29" s="1"/>
  <c r="J21" i="29" s="1"/>
  <c r="R24" i="12" s="1"/>
  <c r="Y46" i="12" s="1"/>
  <c r="G15" i="15"/>
  <c r="I15" i="15" s="1"/>
  <c r="F16" i="15"/>
  <c r="I6" i="10"/>
  <c r="I9" i="10" s="1"/>
  <c r="F11" i="1"/>
  <c r="G11" i="1" s="1"/>
  <c r="G10" i="1"/>
  <c r="G7" i="8"/>
  <c r="I7" i="8" s="1"/>
  <c r="F7" i="8"/>
  <c r="F8" i="8" s="1"/>
  <c r="I6" i="8"/>
  <c r="L10" i="35" l="1"/>
  <c r="M10" i="35" s="1"/>
  <c r="L7" i="35"/>
  <c r="L11" i="35"/>
  <c r="M11" i="35" s="1"/>
  <c r="L8" i="35"/>
  <c r="M8" i="35" s="1"/>
  <c r="L9" i="35"/>
  <c r="M9" i="35" s="1"/>
  <c r="L12" i="35"/>
  <c r="M12" i="35" s="1"/>
  <c r="L13" i="35"/>
  <c r="M13" i="35" s="1"/>
  <c r="Q9" i="12"/>
  <c r="X35" i="12" s="1"/>
  <c r="L14" i="35"/>
  <c r="M14" i="35" s="1"/>
  <c r="L15" i="35"/>
  <c r="M15" i="35" s="1"/>
  <c r="L16" i="35"/>
  <c r="M16" i="35" s="1"/>
  <c r="L17" i="35"/>
  <c r="M17" i="35" s="1"/>
  <c r="L18" i="35"/>
  <c r="M18" i="35" s="1"/>
  <c r="L19" i="35"/>
  <c r="M19" i="35" s="1"/>
  <c r="L20" i="35"/>
  <c r="M20" i="35" s="1"/>
  <c r="L22" i="35"/>
  <c r="M22" i="35" s="1"/>
  <c r="L21" i="35"/>
  <c r="M21" i="35" s="1"/>
  <c r="G16" i="15"/>
  <c r="I16" i="15" s="1"/>
  <c r="F17" i="15"/>
  <c r="I10" i="10"/>
  <c r="R34" i="12" s="1"/>
  <c r="Q34" i="12"/>
  <c r="I6" i="9"/>
  <c r="G7" i="9"/>
  <c r="F9" i="8"/>
  <c r="G9" i="8"/>
  <c r="I9" i="8" s="1"/>
  <c r="G8" i="8"/>
  <c r="I8" i="8" s="1"/>
  <c r="G7" i="7"/>
  <c r="I7" i="7" s="1"/>
  <c r="M7" i="35" l="1"/>
  <c r="M23" i="35" s="1"/>
  <c r="L23" i="35"/>
  <c r="G17" i="15"/>
  <c r="I17" i="15" s="1"/>
  <c r="F18" i="15"/>
  <c r="F7" i="9"/>
  <c r="G8" i="9" s="1"/>
  <c r="I7" i="9"/>
  <c r="G10" i="8"/>
  <c r="I10" i="8" s="1"/>
  <c r="F10" i="8"/>
  <c r="I10" i="7"/>
  <c r="G11" i="6"/>
  <c r="I11" i="6" s="1"/>
  <c r="G10" i="6"/>
  <c r="I10" i="6" s="1"/>
  <c r="G9" i="6"/>
  <c r="I9" i="6" s="1"/>
  <c r="G8" i="6"/>
  <c r="I8" i="6" s="1"/>
  <c r="G7" i="6"/>
  <c r="I7" i="6" s="1"/>
  <c r="G10" i="5"/>
  <c r="I10" i="5" s="1"/>
  <c r="G9" i="5"/>
  <c r="I9" i="5" s="1"/>
  <c r="G8" i="5"/>
  <c r="I8" i="5" s="1"/>
  <c r="G7" i="5"/>
  <c r="I7" i="5" s="1"/>
  <c r="G10" i="4"/>
  <c r="I10" i="4" s="1"/>
  <c r="G9" i="4"/>
  <c r="I9" i="4" s="1"/>
  <c r="G8" i="4"/>
  <c r="I8" i="4" s="1"/>
  <c r="G7" i="4"/>
  <c r="I7" i="4" s="1"/>
  <c r="Q14" i="12" s="1"/>
  <c r="X39" i="1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I17" i="2" s="1"/>
  <c r="M25" i="35" l="1"/>
  <c r="I26" i="35" s="1"/>
  <c r="R9" i="12" s="1"/>
  <c r="Y35" i="12" s="1"/>
  <c r="G18" i="15"/>
  <c r="I18" i="15" s="1"/>
  <c r="I14" i="6"/>
  <c r="R7" i="12" s="1"/>
  <c r="Y33" i="12" s="1"/>
  <c r="I13" i="5"/>
  <c r="I15" i="4"/>
  <c r="R14" i="12" s="1"/>
  <c r="Y39" i="12" s="1"/>
  <c r="I8" i="9"/>
  <c r="F8" i="9"/>
  <c r="G11" i="8"/>
  <c r="I11" i="8" s="1"/>
  <c r="I13" i="8" s="1"/>
  <c r="F11" i="8"/>
  <c r="I6" i="1"/>
  <c r="I7" i="1"/>
  <c r="I18" i="2" l="1"/>
  <c r="R38" i="12" s="1"/>
  <c r="Y55" i="12" s="1"/>
  <c r="Q38" i="12"/>
  <c r="X55" i="12" s="1"/>
  <c r="I14" i="8"/>
  <c r="R36" i="12" s="1"/>
  <c r="Y53" i="12" s="1"/>
  <c r="Q36" i="12"/>
  <c r="X53" i="12" s="1"/>
  <c r="I14" i="5"/>
  <c r="R29" i="12" s="1"/>
  <c r="Q29" i="12"/>
  <c r="I8" i="1"/>
  <c r="F9" i="9"/>
  <c r="G10" i="9" s="1"/>
  <c r="I10" i="9" s="1"/>
  <c r="G9" i="9"/>
  <c r="I9" i="9" s="1"/>
  <c r="I10" i="1"/>
  <c r="I9" i="1"/>
  <c r="Q6" i="12" l="1"/>
  <c r="I21" i="15"/>
  <c r="R6" i="12" s="1"/>
  <c r="I12" i="9"/>
  <c r="I11" i="1"/>
  <c r="I13" i="1" s="1"/>
  <c r="Q37" i="12" s="1"/>
  <c r="X54" i="12" s="1"/>
  <c r="I13" i="9" l="1"/>
  <c r="R35" i="12" s="1"/>
  <c r="Y52" i="12" s="1"/>
  <c r="Q35" i="12"/>
  <c r="X52" i="12" s="1"/>
  <c r="L9" i="1"/>
  <c r="M9" i="1" s="1"/>
  <c r="L6" i="1"/>
  <c r="M6" i="1" s="1"/>
  <c r="L7" i="1"/>
  <c r="M7" i="1" s="1"/>
  <c r="L8" i="1"/>
  <c r="M8" i="1" s="1"/>
  <c r="L10" i="1"/>
  <c r="M10" i="1" s="1"/>
  <c r="L11" i="1" l="1"/>
  <c r="M11" i="1"/>
  <c r="M13" i="1" l="1"/>
  <c r="I14" i="1" l="1"/>
  <c r="R37" i="12" s="1"/>
  <c r="Y54" i="12" s="1"/>
</calcChain>
</file>

<file path=xl/sharedStrings.xml><?xml version="1.0" encoding="utf-8"?>
<sst xmlns="http://schemas.openxmlformats.org/spreadsheetml/2006/main" count="874" uniqueCount="220">
  <si>
    <t>Fecha de emisión</t>
  </si>
  <si>
    <t>Fecha de Vencimiento</t>
  </si>
  <si>
    <t>VNO</t>
  </si>
  <si>
    <t>Cupón</t>
  </si>
  <si>
    <t>Periodicidad</t>
  </si>
  <si>
    <t>Semestral</t>
  </si>
  <si>
    <t>Fecha</t>
  </si>
  <si>
    <t>VR</t>
  </si>
  <si>
    <t>Interes</t>
  </si>
  <si>
    <t>Amort.</t>
  </si>
  <si>
    <t>Total</t>
  </si>
  <si>
    <t>Ticker</t>
  </si>
  <si>
    <t>Flujo de fondos YPCUD</t>
  </si>
  <si>
    <t>YPCUD/YPCUO</t>
  </si>
  <si>
    <t>TIR</t>
  </si>
  <si>
    <t>Moneda</t>
  </si>
  <si>
    <t>Hard Dollar</t>
  </si>
  <si>
    <t>Datos ON YPF al 2024</t>
  </si>
  <si>
    <t>YCA6P/YCA6O</t>
  </si>
  <si>
    <t>Mínimo</t>
  </si>
  <si>
    <t>Flujo de fondos YCA6P</t>
  </si>
  <si>
    <t>Datos ON YPF al 2025</t>
  </si>
  <si>
    <t>MD</t>
  </si>
  <si>
    <t>Datos ON Cresud 2023</t>
  </si>
  <si>
    <t>CSDOO/CSDOD</t>
  </si>
  <si>
    <t>Flujo de fondos CSDOD</t>
  </si>
  <si>
    <t>TTC1O/TTC1D</t>
  </si>
  <si>
    <t>Datos ON Tecpetrol 2022</t>
  </si>
  <si>
    <t>Flujo de fondos TTC1O</t>
  </si>
  <si>
    <t>Datos ON Arcor 2023</t>
  </si>
  <si>
    <t>RCC9O</t>
  </si>
  <si>
    <t>Flujo de fondos RCC9O</t>
  </si>
  <si>
    <t>Datos ON John Deere Credit</t>
  </si>
  <si>
    <t>JHCEO/JHCED</t>
  </si>
  <si>
    <t>Trimestral</t>
  </si>
  <si>
    <t>Flujo de fondos JHCED</t>
  </si>
  <si>
    <t>Datos ON Vista 2024</t>
  </si>
  <si>
    <t>VSC3O/VSC3D</t>
  </si>
  <si>
    <t>Flujo de fondos VSC3O</t>
  </si>
  <si>
    <t>VSC2O/VSC2D</t>
  </si>
  <si>
    <t>Datos ON Vista 2022</t>
  </si>
  <si>
    <t>Datos ON Vista 2021</t>
  </si>
  <si>
    <t>Flujo de fondos VSC1O</t>
  </si>
  <si>
    <t>VSC1O/VSC1D</t>
  </si>
  <si>
    <t>Flujo de fondos VSC2O</t>
  </si>
  <si>
    <t>Días</t>
  </si>
  <si>
    <t>VPFF</t>
  </si>
  <si>
    <t>t x VPFF</t>
  </si>
  <si>
    <t>Duration</t>
  </si>
  <si>
    <t xml:space="preserve">Maturity </t>
  </si>
  <si>
    <t>AA 2000</t>
  </si>
  <si>
    <t>AGUA Y SANEAMIE</t>
  </si>
  <si>
    <t>GENERACION MEDIT</t>
  </si>
  <si>
    <t>ARCOS DORADOS HL</t>
  </si>
  <si>
    <t>BANCO MACRO SA</t>
  </si>
  <si>
    <t>CLISA</t>
  </si>
  <si>
    <t>BANCO GALICIA</t>
  </si>
  <si>
    <t>YPF</t>
  </si>
  <si>
    <t>MSU</t>
  </si>
  <si>
    <t>PAMPA ENERGIA</t>
  </si>
  <si>
    <t>YPF ENERGIA</t>
  </si>
  <si>
    <t>CGC</t>
  </si>
  <si>
    <t>USP0092MAE32</t>
  </si>
  <si>
    <t>XS1763161012</t>
  </si>
  <si>
    <t>USP4621MAA38</t>
  </si>
  <si>
    <t>USG0457FAC17</t>
  </si>
  <si>
    <t>USP1047VAF42</t>
  </si>
  <si>
    <t>USP0R66CAA64</t>
  </si>
  <si>
    <t>USP989MJBL47</t>
  </si>
  <si>
    <t>USP989MJBP50</t>
  </si>
  <si>
    <t>USP989MJBN03</t>
  </si>
  <si>
    <t>USP8S12UAA35</t>
  </si>
  <si>
    <t>USP7464EAA49</t>
  </si>
  <si>
    <t>USP7464EAB22</t>
  </si>
  <si>
    <t>USP9897PAB06</t>
  </si>
  <si>
    <t>ISIN</t>
  </si>
  <si>
    <t>Ticker BYMA</t>
  </si>
  <si>
    <t>Empresa</t>
  </si>
  <si>
    <t>Min piece</t>
  </si>
  <si>
    <t>CPCAO</t>
  </si>
  <si>
    <t>Cresud</t>
  </si>
  <si>
    <t>CSFQO</t>
  </si>
  <si>
    <t>Maturity</t>
  </si>
  <si>
    <t>Outstanding</t>
  </si>
  <si>
    <t>Tecpetrol</t>
  </si>
  <si>
    <t>TTC1O</t>
  </si>
  <si>
    <t>Aluar</t>
  </si>
  <si>
    <t>LMS1O</t>
  </si>
  <si>
    <t>Edenor</t>
  </si>
  <si>
    <t>CSDOO</t>
  </si>
  <si>
    <t>VSC1O</t>
  </si>
  <si>
    <t>VSC2O</t>
  </si>
  <si>
    <t>VSC3O</t>
  </si>
  <si>
    <t>Genneia</t>
  </si>
  <si>
    <t>YPCUO</t>
  </si>
  <si>
    <t>YCA6O</t>
  </si>
  <si>
    <t>Pampa Energía</t>
  </si>
  <si>
    <t>Vista Oil &amp; Gas</t>
  </si>
  <si>
    <t>PTSTO</t>
  </si>
  <si>
    <t>Arcor</t>
  </si>
  <si>
    <t>Telecom</t>
  </si>
  <si>
    <t>TLC5O</t>
  </si>
  <si>
    <t>TLC1O</t>
  </si>
  <si>
    <t>Transener</t>
  </si>
  <si>
    <t>PAE</t>
  </si>
  <si>
    <t>CLISO</t>
  </si>
  <si>
    <t>CLIUO</t>
  </si>
  <si>
    <t>AER1O</t>
  </si>
  <si>
    <t>USP0092MAF07</t>
  </si>
  <si>
    <t>AERAO</t>
  </si>
  <si>
    <t>BACAO</t>
  </si>
  <si>
    <t>IRSA SA</t>
  </si>
  <si>
    <t>RPC2O</t>
  </si>
  <si>
    <t>IRC8O</t>
  </si>
  <si>
    <t>GNCWO</t>
  </si>
  <si>
    <t>IRC9O</t>
  </si>
  <si>
    <t>Mastellone</t>
  </si>
  <si>
    <t>MTCFO</t>
  </si>
  <si>
    <t>CSJYO</t>
  </si>
  <si>
    <t>IRC1O</t>
  </si>
  <si>
    <t>Celulosa</t>
  </si>
  <si>
    <t>CRCEO</t>
  </si>
  <si>
    <t>Datos ON Mastellone 2021</t>
  </si>
  <si>
    <t>Último pago</t>
  </si>
  <si>
    <t>GNCLO</t>
  </si>
  <si>
    <t>Datos ON Aluar 2024</t>
  </si>
  <si>
    <t>Flujo de fondos LMS1O</t>
  </si>
  <si>
    <t>PNC9O</t>
  </si>
  <si>
    <t>Flujo de fondos MTCFO</t>
  </si>
  <si>
    <t>Px. MEP</t>
  </si>
  <si>
    <t>DM</t>
  </si>
  <si>
    <t>Capex</t>
  </si>
  <si>
    <t>CAC2O</t>
  </si>
  <si>
    <t>Datos ON Capex 2024</t>
  </si>
  <si>
    <t>Flujo de fondos CAC2O</t>
  </si>
  <si>
    <t>Fecha de liquidación</t>
  </si>
  <si>
    <t>Datos ON PAE 2023</t>
  </si>
  <si>
    <t>Flujo de fondos PNC9O</t>
  </si>
  <si>
    <t>Anual</t>
  </si>
  <si>
    <t>Datos ON IRSA 2023</t>
  </si>
  <si>
    <t>Dias</t>
  </si>
  <si>
    <t>Flujo de fondos IRC1O</t>
  </si>
  <si>
    <t>Datos ON Pampa 2023</t>
  </si>
  <si>
    <t>Flujo de fondos PTSTO</t>
  </si>
  <si>
    <t>Datos ON IRCP 2023</t>
  </si>
  <si>
    <t>Flujo de fondos RPC2O</t>
  </si>
  <si>
    <t>PCR</t>
  </si>
  <si>
    <t>Datos ON Telecom 2025</t>
  </si>
  <si>
    <t>Flujo de fondos TLC5O</t>
  </si>
  <si>
    <t>Cupon</t>
  </si>
  <si>
    <t>CP17O</t>
  </si>
  <si>
    <t>Datos ON CGC 2025</t>
  </si>
  <si>
    <t>Datos ON Genneia 2022</t>
  </si>
  <si>
    <t>IRCP</t>
  </si>
  <si>
    <t>TTC4O</t>
  </si>
  <si>
    <t>Datos ON Tecpetrol 2023</t>
  </si>
  <si>
    <t>Flujo de fondos TTC3O</t>
  </si>
  <si>
    <t>PQCDO</t>
  </si>
  <si>
    <t>Datos ON PCR 2023</t>
  </si>
  <si>
    <t>YMCIO</t>
  </si>
  <si>
    <t>Flujo de fondos CP17O</t>
  </si>
  <si>
    <t>Datos ON PAE 2027</t>
  </si>
  <si>
    <t>Flujo de fondos PAE 2027</t>
  </si>
  <si>
    <t>YMCHO</t>
  </si>
  <si>
    <t>YMCJO</t>
  </si>
  <si>
    <t>PNDCO</t>
  </si>
  <si>
    <t>RAC4O</t>
  </si>
  <si>
    <t>Raghsa</t>
  </si>
  <si>
    <t>HBC4O</t>
  </si>
  <si>
    <t>HJ3CO</t>
  </si>
  <si>
    <t>John Deere</t>
  </si>
  <si>
    <t>Flujo de fondos PQCDO</t>
  </si>
  <si>
    <t>Datos ON YPF al 2026</t>
  </si>
  <si>
    <t>Step-Up</t>
  </si>
  <si>
    <t>ODNY9</t>
  </si>
  <si>
    <t>Arcor 23</t>
  </si>
  <si>
    <t>Capex24</t>
  </si>
  <si>
    <t>CGC 25</t>
  </si>
  <si>
    <t>Cresud 23</t>
  </si>
  <si>
    <t>Genneia 22</t>
  </si>
  <si>
    <t>IRCP 23</t>
  </si>
  <si>
    <t>IRSA 23</t>
  </si>
  <si>
    <t>PAE 23</t>
  </si>
  <si>
    <t>PAE 27</t>
  </si>
  <si>
    <t>Pampa 23</t>
  </si>
  <si>
    <t>PCR 23</t>
  </si>
  <si>
    <t>Vista 22</t>
  </si>
  <si>
    <t>Vista 24</t>
  </si>
  <si>
    <t>YPF 24</t>
  </si>
  <si>
    <t>YPF 25</t>
  </si>
  <si>
    <t>Bono</t>
  </si>
  <si>
    <t>Legislación</t>
  </si>
  <si>
    <t>NY</t>
  </si>
  <si>
    <t>RA31O</t>
  </si>
  <si>
    <t>Datos ON Ragsha 2024</t>
  </si>
  <si>
    <t>Datos ON Ragsha 2027</t>
  </si>
  <si>
    <t>Flujo de fondos RAC4O</t>
  </si>
  <si>
    <t>Datos ON Celulosa 2025</t>
  </si>
  <si>
    <t>Trimestrales</t>
  </si>
  <si>
    <t>Flujo de fondos CRCEO</t>
  </si>
  <si>
    <t>Raghsa 27</t>
  </si>
  <si>
    <t>Raghsa 23</t>
  </si>
  <si>
    <t>Flujo de fondos TLC1O</t>
  </si>
  <si>
    <t>Datos ON Telecom 2026</t>
  </si>
  <si>
    <t>CP21O</t>
  </si>
  <si>
    <t>Datos ON CGC 2023</t>
  </si>
  <si>
    <t>CGC 23</t>
  </si>
  <si>
    <t>Celulosa 25</t>
  </si>
  <si>
    <t>Datos ON Cresud 2022</t>
  </si>
  <si>
    <t>Flujo de fondos CSJYO</t>
  </si>
  <si>
    <t>Cresud 22</t>
  </si>
  <si>
    <t>OTRY9</t>
  </si>
  <si>
    <t>Telecom 25</t>
  </si>
  <si>
    <t>Current Yield</t>
  </si>
  <si>
    <t>Intereses corridos</t>
  </si>
  <si>
    <t>Clean Price</t>
  </si>
  <si>
    <t>Periodicidad de pago</t>
  </si>
  <si>
    <t>VN Mínimo</t>
  </si>
  <si>
    <t>Valor Técnico</t>
  </si>
  <si>
    <t>Compañía General de Combustibles - ON Clase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</si>
</sst>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-* #,##0.00_-;\-* #,##0.00_-;_-* &quot;-&quot;??_-;_-@_-"/>
    <numFmt numFmtId="164" formatCode="dd/mm/yyyy;@"/>
    <numFmt numFmtId="165" formatCode="0.000"/>
    <numFmt numFmtId="166" formatCode="_(* #,##0_);_(* \(#,##0\);_(* &quot;-&quot;_);_(@_)"/>
    <numFmt numFmtId="167" formatCode="_(* #,##0.00_);_(* \(#,##0.00\);_(* &quot;-&quot;??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_(* #,##0.0000000_);_(* \(#,##0.0000000\);_(* &quot;-&quot;??_);_(@_)"/>
    <numFmt numFmtId="171" formatCode="#,##0,;\-\ #,##0,;&quot;--- &quot;"/>
    <numFmt numFmtId="172" formatCode="#,##0,,;\-\ #,##0,,;&quot;--- &quot;"/>
    <numFmt numFmtId="173" formatCode="_-* #,##0.00\ [$€]_-;\-* #,##0.00\ [$€]_-;_-* &quot;-&quot;??\ [$€]_-;_-@_-"/>
    <numFmt numFmtId="174" formatCode="_-* #,##0\ _P_t_s_-;\-* #,##0\ _P_t_s_-;_-* &quot;-&quot;\ _P_t_s_-;_-@_-"/>
    <numFmt numFmtId="175" formatCode="_-* #,##0\ _€_-;\-* #,##0\ _€_-;_-* &quot;-&quot;\ _€_-;_-@_-"/>
    <numFmt numFmtId="176" formatCode="_-* #,##0\ _P_t_a_-;\-* #,##0\ _P_t_a_-;_-* &quot;-&quot;\ _P_t_a_-;_-@_-"/>
    <numFmt numFmtId="177" formatCode="_-* #,##0\ _$_-;\-* #,##0\ _$_-;_-* &quot;-&quot;\ _$_-;_-@_-"/>
    <numFmt numFmtId="178" formatCode="_ * #,##0.00_ ;_ * \-#,##0.00_ ;_ * &quot;-&quot;????_ ;_ @_ "/>
    <numFmt numFmtId="179" formatCode="_ * #,##0.0000_ ;_ * \-#,##0.0000_ ;_ * &quot;-&quot;????_ ;_ @_ "/>
    <numFmt numFmtId="180" formatCode="_-* #,##0.00\ _P_t_s_-;\-* #,##0.00\ _P_t_s_-;_-* &quot;-&quot;??\ _P_t_s_-;_-@_-"/>
    <numFmt numFmtId="181" formatCode="_-* #,##0.00\ _€_-;\-* #,##0.00\ _€_-;_-* &quot;-&quot;??\ _€_-;_-@_-"/>
    <numFmt numFmtId="182" formatCode="_-* #,##0.00\ _P_t_a_-;\-* #,##0.00\ _P_t_a_-;_-* &quot;-&quot;??\ _P_t_a_-;_-@_-"/>
    <numFmt numFmtId="183" formatCode="#,##0.00_);\(#,##0.00\);&quot; --- &quot;"/>
    <numFmt numFmtId="184" formatCode="#,"/>
    <numFmt numFmtId="185" formatCode="0.0000"/>
    <numFmt numFmtId="186" formatCode="0.000%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color indexed="22"/>
      <name val="MS Sans Serif"/>
      <family val="2"/>
    </font>
    <font>
      <sz val="11"/>
      <name val="Book Antiqua"/>
      <family val="1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7.5"/>
      <color indexed="12"/>
      <name val="Arial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sz val="11"/>
      <color indexed="60"/>
      <name val="Calibri"/>
      <family val="2"/>
    </font>
    <font>
      <i/>
      <sz val="10"/>
      <name val="Arial"/>
      <family val="2"/>
    </font>
    <font>
      <b/>
      <sz val="1"/>
      <color indexed="8"/>
      <name val="Courier"/>
      <family val="3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9">
    <xf numFmtId="0" fontId="0" fillId="0" borderId="0"/>
    <xf numFmtId="9" fontId="1" fillId="0" borderId="0" applyFont="0" applyFill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5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24" borderId="1" applyNumberFormat="0" applyAlignment="0" applyProtection="0"/>
    <xf numFmtId="0" fontId="8" fillId="25" borderId="1" applyNumberFormat="0" applyAlignment="0" applyProtection="0"/>
    <xf numFmtId="0" fontId="8" fillId="25" borderId="1" applyNumberFormat="0" applyAlignment="0" applyProtection="0"/>
    <xf numFmtId="0" fontId="8" fillId="25" borderId="1" applyNumberFormat="0" applyAlignment="0" applyProtection="0"/>
    <xf numFmtId="0" fontId="8" fillId="25" borderId="1" applyNumberFormat="0" applyAlignment="0" applyProtection="0"/>
    <xf numFmtId="0" fontId="8" fillId="25" borderId="1" applyNumberFormat="0" applyAlignment="0" applyProtection="0"/>
    <xf numFmtId="0" fontId="9" fillId="26" borderId="2" applyNumberFormat="0" applyAlignment="0" applyProtection="0"/>
    <xf numFmtId="0" fontId="9" fillId="26" borderId="2" applyNumberFormat="0" applyAlignment="0" applyProtection="0"/>
    <xf numFmtId="0" fontId="9" fillId="26" borderId="2" applyNumberFormat="0" applyAlignment="0" applyProtection="0"/>
    <xf numFmtId="0" fontId="9" fillId="26" borderId="2" applyNumberFormat="0" applyAlignment="0" applyProtection="0"/>
    <xf numFmtId="0" fontId="9" fillId="26" borderId="2" applyNumberFormat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9" fillId="26" borderId="2" applyNumberFormat="0" applyAlignment="0" applyProtection="0"/>
    <xf numFmtId="0" fontId="9" fillId="26" borderId="2" applyNumberFormat="0" applyAlignment="0" applyProtection="0"/>
    <xf numFmtId="0" fontId="9" fillId="26" borderId="2" applyNumberFormat="0" applyAlignment="0" applyProtection="0"/>
    <xf numFmtId="0" fontId="9" fillId="26" borderId="2" applyNumberFormat="0" applyAlignment="0" applyProtection="0"/>
    <xf numFmtId="0" fontId="9" fillId="26" borderId="2" applyNumberFormat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3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4" fillId="13" borderId="1" applyNumberFormat="0" applyAlignment="0" applyProtection="0"/>
    <xf numFmtId="0" fontId="14" fillId="13" borderId="1" applyNumberFormat="0" applyAlignment="0" applyProtection="0"/>
    <xf numFmtId="0" fontId="14" fillId="13" borderId="1" applyNumberFormat="0" applyAlignment="0" applyProtection="0"/>
    <xf numFmtId="0" fontId="14" fillId="13" borderId="1" applyNumberFormat="0" applyAlignment="0" applyProtection="0"/>
    <xf numFmtId="0" fontId="14" fillId="13" borderId="1" applyNumberFormat="0" applyAlignment="0" applyProtection="0"/>
    <xf numFmtId="15" fontId="4" fillId="0" borderId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4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4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4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82" fontId="4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4" fillId="0" borderId="0" applyFont="0" applyFill="0" applyBorder="0" applyAlignment="0" applyProtection="0"/>
    <xf numFmtId="181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4" fillId="6" borderId="8" applyNumberFormat="0" applyFont="0" applyAlignment="0" applyProtection="0"/>
    <xf numFmtId="183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84" fontId="26" fillId="0" borderId="0">
      <protection locked="0"/>
    </xf>
    <xf numFmtId="0" fontId="27" fillId="24" borderId="9" applyNumberFormat="0" applyAlignment="0" applyProtection="0"/>
    <xf numFmtId="0" fontId="27" fillId="24" borderId="9" applyNumberFormat="0" applyAlignment="0" applyProtection="0"/>
    <xf numFmtId="0" fontId="27" fillId="24" borderId="9" applyNumberFormat="0" applyAlignment="0" applyProtection="0"/>
    <xf numFmtId="0" fontId="27" fillId="24" borderId="9" applyNumberFormat="0" applyAlignment="0" applyProtection="0"/>
    <xf numFmtId="0" fontId="27" fillId="24" borderId="9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25" borderId="9" applyNumberFormat="0" applyAlignment="0" applyProtection="0"/>
    <xf numFmtId="0" fontId="27" fillId="25" borderId="9" applyNumberFormat="0" applyAlignment="0" applyProtection="0"/>
    <xf numFmtId="0" fontId="27" fillId="25" borderId="9" applyNumberFormat="0" applyAlignment="0" applyProtection="0"/>
    <xf numFmtId="0" fontId="27" fillId="25" borderId="9" applyNumberFormat="0" applyAlignment="0" applyProtection="0"/>
    <xf numFmtId="0" fontId="27" fillId="25" borderId="9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7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59">
    <xf numFmtId="0" fontId="0" fillId="0" borderId="0" xfId="0"/>
    <xf numFmtId="0" fontId="33" fillId="0" borderId="0" xfId="0" applyFont="1"/>
    <xf numFmtId="14" fontId="33" fillId="0" borderId="0" xfId="0" applyNumberFormat="1" applyFont="1" applyAlignment="1">
      <alignment horizontal="right"/>
    </xf>
    <xf numFmtId="0" fontId="35" fillId="2" borderId="0" xfId="0" applyFont="1" applyFill="1" applyBorder="1" applyAlignment="1">
      <alignment horizontal="center"/>
    </xf>
    <xf numFmtId="14" fontId="33" fillId="0" borderId="0" xfId="0" applyNumberFormat="1" applyFont="1"/>
    <xf numFmtId="164" fontId="33" fillId="0" borderId="0" xfId="0" applyNumberFormat="1" applyFont="1"/>
    <xf numFmtId="2" fontId="33" fillId="0" borderId="0" xfId="0" applyNumberFormat="1" applyFont="1"/>
    <xf numFmtId="165" fontId="33" fillId="0" borderId="0" xfId="0" applyNumberFormat="1" applyFont="1"/>
    <xf numFmtId="0" fontId="33" fillId="0" borderId="0" xfId="0" applyFont="1" applyAlignment="1">
      <alignment horizontal="right"/>
    </xf>
    <xf numFmtId="3" fontId="33" fillId="0" borderId="0" xfId="0" applyNumberFormat="1" applyFont="1"/>
    <xf numFmtId="10" fontId="33" fillId="0" borderId="0" xfId="1" applyNumberFormat="1" applyFont="1"/>
    <xf numFmtId="2" fontId="33" fillId="0" borderId="0" xfId="0" applyNumberFormat="1" applyFont="1" applyAlignment="1">
      <alignment horizontal="right"/>
    </xf>
    <xf numFmtId="0" fontId="35" fillId="0" borderId="14" xfId="0" applyFont="1" applyBorder="1" applyAlignment="1">
      <alignment horizontal="center"/>
    </xf>
    <xf numFmtId="10" fontId="35" fillId="0" borderId="14" xfId="1" applyNumberFormat="1" applyFont="1" applyBorder="1" applyAlignment="1">
      <alignment horizontal="center"/>
    </xf>
    <xf numFmtId="0" fontId="35" fillId="0" borderId="15" xfId="0" applyFont="1" applyBorder="1" applyAlignment="1">
      <alignment horizontal="center"/>
    </xf>
    <xf numFmtId="2" fontId="35" fillId="0" borderId="15" xfId="0" applyNumberFormat="1" applyFont="1" applyBorder="1" applyAlignment="1">
      <alignment horizontal="center"/>
    </xf>
    <xf numFmtId="3" fontId="33" fillId="0" borderId="0" xfId="0" applyNumberFormat="1" applyFont="1" applyAlignment="1">
      <alignment horizontal="right"/>
    </xf>
    <xf numFmtId="185" fontId="33" fillId="0" borderId="0" xfId="0" applyNumberFormat="1" applyFont="1"/>
    <xf numFmtId="0" fontId="34" fillId="29" borderId="0" xfId="0" applyFont="1" applyFill="1" applyAlignment="1">
      <alignment horizontal="center"/>
    </xf>
    <xf numFmtId="0" fontId="35" fillId="0" borderId="0" xfId="0" applyFont="1"/>
    <xf numFmtId="0" fontId="33" fillId="0" borderId="0" xfId="0" applyFont="1" applyAlignment="1">
      <alignment horizontal="center"/>
    </xf>
    <xf numFmtId="10" fontId="33" fillId="0" borderId="0" xfId="0" applyNumberFormat="1" applyFont="1" applyAlignment="1">
      <alignment horizontal="center"/>
    </xf>
    <xf numFmtId="2" fontId="33" fillId="0" borderId="0" xfId="0" applyNumberFormat="1" applyFont="1" applyAlignment="1">
      <alignment horizontal="center"/>
    </xf>
    <xf numFmtId="0" fontId="34" fillId="29" borderId="0" xfId="0" applyFont="1" applyFill="1" applyAlignment="1">
      <alignment horizontal="center"/>
    </xf>
    <xf numFmtId="0" fontId="34" fillId="29" borderId="0" xfId="0" applyFont="1" applyFill="1" applyAlignment="1">
      <alignment horizontal="center"/>
    </xf>
    <xf numFmtId="10" fontId="33" fillId="0" borderId="0" xfId="1" applyNumberFormat="1" applyFont="1" applyAlignment="1">
      <alignment horizontal="center"/>
    </xf>
    <xf numFmtId="0" fontId="34" fillId="29" borderId="0" xfId="0" applyFont="1" applyFill="1" applyAlignment="1">
      <alignment horizontal="center"/>
    </xf>
    <xf numFmtId="0" fontId="33" fillId="0" borderId="0" xfId="0" applyFont="1" applyFill="1" applyAlignment="1">
      <alignment horizontal="center"/>
    </xf>
    <xf numFmtId="164" fontId="33" fillId="0" borderId="0" xfId="0" applyNumberFormat="1" applyFont="1" applyFill="1"/>
    <xf numFmtId="3" fontId="33" fillId="0" borderId="0" xfId="0" applyNumberFormat="1" applyFont="1" applyFill="1"/>
    <xf numFmtId="10" fontId="33" fillId="0" borderId="0" xfId="1" applyNumberFormat="1" applyFont="1" applyFill="1" applyAlignment="1">
      <alignment horizontal="center"/>
    </xf>
    <xf numFmtId="10" fontId="33" fillId="0" borderId="0" xfId="0" applyNumberFormat="1" applyFont="1" applyFill="1" applyAlignment="1">
      <alignment horizontal="center"/>
    </xf>
    <xf numFmtId="2" fontId="33" fillId="0" borderId="0" xfId="0" applyNumberFormat="1" applyFont="1" applyFill="1" applyAlignment="1">
      <alignment horizontal="center"/>
    </xf>
    <xf numFmtId="0" fontId="33" fillId="30" borderId="0" xfId="0" applyFont="1" applyFill="1" applyAlignment="1">
      <alignment horizontal="center"/>
    </xf>
    <xf numFmtId="164" fontId="33" fillId="30" borderId="0" xfId="0" applyNumberFormat="1" applyFont="1" applyFill="1"/>
    <xf numFmtId="3" fontId="33" fillId="30" borderId="0" xfId="0" applyNumberFormat="1" applyFont="1" applyFill="1"/>
    <xf numFmtId="10" fontId="33" fillId="30" borderId="0" xfId="1" applyNumberFormat="1" applyFont="1" applyFill="1" applyAlignment="1">
      <alignment horizontal="center"/>
    </xf>
    <xf numFmtId="0" fontId="33" fillId="0" borderId="0" xfId="0" applyFont="1" applyFill="1"/>
    <xf numFmtId="0" fontId="34" fillId="29" borderId="0" xfId="0" applyFont="1" applyFill="1" applyAlignment="1">
      <alignment horizontal="center"/>
    </xf>
    <xf numFmtId="186" fontId="33" fillId="0" borderId="0" xfId="1" applyNumberFormat="1" applyFont="1"/>
    <xf numFmtId="16" fontId="33" fillId="0" borderId="0" xfId="0" applyNumberFormat="1" applyFont="1"/>
    <xf numFmtId="3" fontId="33" fillId="0" borderId="0" xfId="0" applyNumberFormat="1" applyFont="1" applyAlignment="1">
      <alignment horizontal="center"/>
    </xf>
    <xf numFmtId="3" fontId="33" fillId="0" borderId="0" xfId="0" applyNumberFormat="1" applyFont="1" applyFill="1" applyAlignment="1">
      <alignment horizontal="center"/>
    </xf>
    <xf numFmtId="3" fontId="33" fillId="30" borderId="0" xfId="0" applyNumberFormat="1" applyFont="1" applyFill="1" applyAlignment="1">
      <alignment horizontal="center"/>
    </xf>
    <xf numFmtId="0" fontId="33" fillId="30" borderId="0" xfId="0" applyFont="1" applyFill="1"/>
    <xf numFmtId="0" fontId="35" fillId="0" borderId="15" xfId="0" applyFont="1" applyFill="1" applyBorder="1" applyAlignment="1">
      <alignment horizontal="center"/>
    </xf>
    <xf numFmtId="4" fontId="33" fillId="0" borderId="0" xfId="0" applyNumberFormat="1" applyFont="1" applyFill="1" applyAlignment="1">
      <alignment horizontal="center"/>
    </xf>
    <xf numFmtId="0" fontId="34" fillId="29" borderId="0" xfId="0" applyFont="1" applyFill="1" applyAlignment="1">
      <alignment horizontal="center"/>
    </xf>
    <xf numFmtId="4" fontId="33" fillId="30" borderId="0" xfId="0" applyNumberFormat="1" applyFont="1" applyFill="1" applyAlignment="1">
      <alignment horizontal="center"/>
    </xf>
    <xf numFmtId="0" fontId="35" fillId="0" borderId="0" xfId="0" applyFont="1" applyAlignment="1">
      <alignment horizontal="center"/>
    </xf>
    <xf numFmtId="0" fontId="34" fillId="29" borderId="0" xfId="0" applyFont="1" applyFill="1" applyAlignment="1">
      <alignment horizontal="center"/>
    </xf>
    <xf numFmtId="4" fontId="33" fillId="31" borderId="0" xfId="0" applyNumberFormat="1" applyFont="1" applyFill="1" applyAlignment="1">
      <alignment horizontal="center"/>
    </xf>
    <xf numFmtId="0" fontId="33" fillId="0" borderId="16" xfId="0" applyFont="1" applyBorder="1"/>
    <xf numFmtId="164" fontId="33" fillId="0" borderId="16" xfId="0" applyNumberFormat="1" applyFont="1" applyBorder="1"/>
    <xf numFmtId="14" fontId="33" fillId="0" borderId="0" xfId="0" applyNumberFormat="1" applyFont="1" applyFill="1"/>
    <xf numFmtId="4" fontId="33" fillId="0" borderId="0" xfId="0" applyNumberFormat="1" applyFont="1"/>
    <xf numFmtId="0" fontId="34" fillId="3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0" fontId="34" fillId="29" borderId="0" xfId="0" applyFont="1" applyFill="1" applyAlignment="1">
      <alignment horizontal="center"/>
    </xf>
  </cellXfs>
  <cellStyles count="499">
    <cellStyle name="20% - Accent1" xfId="2" xr:uid="{00000000-0005-0000-0000-000000000000}"/>
    <cellStyle name="20% - Accent2" xfId="3" xr:uid="{00000000-0005-0000-0000-000001000000}"/>
    <cellStyle name="20% - Accent3" xfId="4" xr:uid="{00000000-0005-0000-0000-000002000000}"/>
    <cellStyle name="20% - Accent4" xfId="5" xr:uid="{00000000-0005-0000-0000-000003000000}"/>
    <cellStyle name="20% - Accent5" xfId="6" xr:uid="{00000000-0005-0000-0000-000004000000}"/>
    <cellStyle name="20% - Accent6" xfId="7" xr:uid="{00000000-0005-0000-0000-000005000000}"/>
    <cellStyle name="20% - Énfasis1 2" xfId="8" xr:uid="{00000000-0005-0000-0000-000006000000}"/>
    <cellStyle name="20% - Énfasis1 2 2" xfId="9" xr:uid="{00000000-0005-0000-0000-000007000000}"/>
    <cellStyle name="20% - Énfasis1 3" xfId="10" xr:uid="{00000000-0005-0000-0000-000008000000}"/>
    <cellStyle name="20% - Énfasis1 3 2" xfId="11" xr:uid="{00000000-0005-0000-0000-000009000000}"/>
    <cellStyle name="20% - Énfasis1 4" xfId="12" xr:uid="{00000000-0005-0000-0000-00000A000000}"/>
    <cellStyle name="20% - Énfasis2 2" xfId="13" xr:uid="{00000000-0005-0000-0000-00000B000000}"/>
    <cellStyle name="20% - Énfasis2 2 2" xfId="14" xr:uid="{00000000-0005-0000-0000-00000C000000}"/>
    <cellStyle name="20% - Énfasis2 3" xfId="15" xr:uid="{00000000-0005-0000-0000-00000D000000}"/>
    <cellStyle name="20% - Énfasis2 3 2" xfId="16" xr:uid="{00000000-0005-0000-0000-00000E000000}"/>
    <cellStyle name="20% - Énfasis2 4" xfId="17" xr:uid="{00000000-0005-0000-0000-00000F000000}"/>
    <cellStyle name="20% - Énfasis3 2" xfId="18" xr:uid="{00000000-0005-0000-0000-000010000000}"/>
    <cellStyle name="20% - Énfasis3 2 2" xfId="19" xr:uid="{00000000-0005-0000-0000-000011000000}"/>
    <cellStyle name="20% - Énfasis3 3" xfId="20" xr:uid="{00000000-0005-0000-0000-000012000000}"/>
    <cellStyle name="20% - Énfasis3 3 2" xfId="21" xr:uid="{00000000-0005-0000-0000-000013000000}"/>
    <cellStyle name="20% - Énfasis3 4" xfId="22" xr:uid="{00000000-0005-0000-0000-000014000000}"/>
    <cellStyle name="20% - Énfasis4 2" xfId="23" xr:uid="{00000000-0005-0000-0000-000015000000}"/>
    <cellStyle name="20% - Énfasis4 2 2" xfId="24" xr:uid="{00000000-0005-0000-0000-000016000000}"/>
    <cellStyle name="20% - Énfasis4 3" xfId="25" xr:uid="{00000000-0005-0000-0000-000017000000}"/>
    <cellStyle name="20% - Énfasis4 3 2" xfId="26" xr:uid="{00000000-0005-0000-0000-000018000000}"/>
    <cellStyle name="20% - Énfasis4 4" xfId="27" xr:uid="{00000000-0005-0000-0000-000019000000}"/>
    <cellStyle name="20% - Énfasis5 2" xfId="28" xr:uid="{00000000-0005-0000-0000-00001A000000}"/>
    <cellStyle name="20% - Énfasis5 2 2" xfId="29" xr:uid="{00000000-0005-0000-0000-00001B000000}"/>
    <cellStyle name="20% - Énfasis5 3" xfId="30" xr:uid="{00000000-0005-0000-0000-00001C000000}"/>
    <cellStyle name="20% - Énfasis5 3 2" xfId="31" xr:uid="{00000000-0005-0000-0000-00001D000000}"/>
    <cellStyle name="20% - Énfasis5 4" xfId="32" xr:uid="{00000000-0005-0000-0000-00001E000000}"/>
    <cellStyle name="20% - Énfasis6 2" xfId="33" xr:uid="{00000000-0005-0000-0000-00001F000000}"/>
    <cellStyle name="20% - Énfasis6 2 2" xfId="34" xr:uid="{00000000-0005-0000-0000-000020000000}"/>
    <cellStyle name="20% - Énfasis6 3" xfId="35" xr:uid="{00000000-0005-0000-0000-000021000000}"/>
    <cellStyle name="20% - Énfasis6 3 2" xfId="36" xr:uid="{00000000-0005-0000-0000-000022000000}"/>
    <cellStyle name="20% - Énfasis6 4" xfId="37" xr:uid="{00000000-0005-0000-0000-000023000000}"/>
    <cellStyle name="40% - Accent1" xfId="38" xr:uid="{00000000-0005-0000-0000-000024000000}"/>
    <cellStyle name="40% - Accent2" xfId="39" xr:uid="{00000000-0005-0000-0000-000025000000}"/>
    <cellStyle name="40% - Accent3" xfId="40" xr:uid="{00000000-0005-0000-0000-000026000000}"/>
    <cellStyle name="40% - Accent4" xfId="41" xr:uid="{00000000-0005-0000-0000-000027000000}"/>
    <cellStyle name="40% - Accent5" xfId="42" xr:uid="{00000000-0005-0000-0000-000028000000}"/>
    <cellStyle name="40% - Accent6" xfId="43" xr:uid="{00000000-0005-0000-0000-000029000000}"/>
    <cellStyle name="40% - Énfasis1 2" xfId="44" xr:uid="{00000000-0005-0000-0000-00002A000000}"/>
    <cellStyle name="40% - Énfasis1 2 2" xfId="45" xr:uid="{00000000-0005-0000-0000-00002B000000}"/>
    <cellStyle name="40% - Énfasis1 3" xfId="46" xr:uid="{00000000-0005-0000-0000-00002C000000}"/>
    <cellStyle name="40% - Énfasis1 3 2" xfId="47" xr:uid="{00000000-0005-0000-0000-00002D000000}"/>
    <cellStyle name="40% - Énfasis1 4" xfId="48" xr:uid="{00000000-0005-0000-0000-00002E000000}"/>
    <cellStyle name="40% - Énfasis2 2" xfId="49" xr:uid="{00000000-0005-0000-0000-00002F000000}"/>
    <cellStyle name="40% - Énfasis2 2 2" xfId="50" xr:uid="{00000000-0005-0000-0000-000030000000}"/>
    <cellStyle name="40% - Énfasis2 3" xfId="51" xr:uid="{00000000-0005-0000-0000-000031000000}"/>
    <cellStyle name="40% - Énfasis2 3 2" xfId="52" xr:uid="{00000000-0005-0000-0000-000032000000}"/>
    <cellStyle name="40% - Énfasis2 4" xfId="53" xr:uid="{00000000-0005-0000-0000-000033000000}"/>
    <cellStyle name="40% - Énfasis3 2" xfId="54" xr:uid="{00000000-0005-0000-0000-000034000000}"/>
    <cellStyle name="40% - Énfasis3 2 2" xfId="55" xr:uid="{00000000-0005-0000-0000-000035000000}"/>
    <cellStyle name="40% - Énfasis3 3" xfId="56" xr:uid="{00000000-0005-0000-0000-000036000000}"/>
    <cellStyle name="40% - Énfasis3 3 2" xfId="57" xr:uid="{00000000-0005-0000-0000-000037000000}"/>
    <cellStyle name="40% - Énfasis3 4" xfId="58" xr:uid="{00000000-0005-0000-0000-000038000000}"/>
    <cellStyle name="40% - Énfasis4 2" xfId="59" xr:uid="{00000000-0005-0000-0000-000039000000}"/>
    <cellStyle name="40% - Énfasis4 2 2" xfId="60" xr:uid="{00000000-0005-0000-0000-00003A000000}"/>
    <cellStyle name="40% - Énfasis4 3" xfId="61" xr:uid="{00000000-0005-0000-0000-00003B000000}"/>
    <cellStyle name="40% - Énfasis4 3 2" xfId="62" xr:uid="{00000000-0005-0000-0000-00003C000000}"/>
    <cellStyle name="40% - Énfasis4 4" xfId="63" xr:uid="{00000000-0005-0000-0000-00003D000000}"/>
    <cellStyle name="40% - Énfasis5 2" xfId="64" xr:uid="{00000000-0005-0000-0000-00003E000000}"/>
    <cellStyle name="40% - Énfasis5 2 2" xfId="65" xr:uid="{00000000-0005-0000-0000-00003F000000}"/>
    <cellStyle name="40% - Énfasis5 3" xfId="66" xr:uid="{00000000-0005-0000-0000-000040000000}"/>
    <cellStyle name="40% - Énfasis5 3 2" xfId="67" xr:uid="{00000000-0005-0000-0000-000041000000}"/>
    <cellStyle name="40% - Énfasis5 4" xfId="68" xr:uid="{00000000-0005-0000-0000-000042000000}"/>
    <cellStyle name="40% - Énfasis6 2" xfId="69" xr:uid="{00000000-0005-0000-0000-000043000000}"/>
    <cellStyle name="40% - Énfasis6 2 2" xfId="70" xr:uid="{00000000-0005-0000-0000-000044000000}"/>
    <cellStyle name="40% - Énfasis6 3" xfId="71" xr:uid="{00000000-0005-0000-0000-000045000000}"/>
    <cellStyle name="40% - Énfasis6 3 2" xfId="72" xr:uid="{00000000-0005-0000-0000-000046000000}"/>
    <cellStyle name="40% - Énfasis6 4" xfId="73" xr:uid="{00000000-0005-0000-0000-000047000000}"/>
    <cellStyle name="60% - Accent1" xfId="74" xr:uid="{00000000-0005-0000-0000-000048000000}"/>
    <cellStyle name="60% - Accent1 2" xfId="75" xr:uid="{00000000-0005-0000-0000-000049000000}"/>
    <cellStyle name="60% - Accent1 3" xfId="76" xr:uid="{00000000-0005-0000-0000-00004A000000}"/>
    <cellStyle name="60% - Accent1 4" xfId="77" xr:uid="{00000000-0005-0000-0000-00004B000000}"/>
    <cellStyle name="60% - Accent1 5" xfId="78" xr:uid="{00000000-0005-0000-0000-00004C000000}"/>
    <cellStyle name="60% - Accent2" xfId="79" xr:uid="{00000000-0005-0000-0000-00004D000000}"/>
    <cellStyle name="60% - Accent2 2" xfId="80" xr:uid="{00000000-0005-0000-0000-00004E000000}"/>
    <cellStyle name="60% - Accent2 3" xfId="81" xr:uid="{00000000-0005-0000-0000-00004F000000}"/>
    <cellStyle name="60% - Accent2 4" xfId="82" xr:uid="{00000000-0005-0000-0000-000050000000}"/>
    <cellStyle name="60% - Accent2 5" xfId="83" xr:uid="{00000000-0005-0000-0000-000051000000}"/>
    <cellStyle name="60% - Accent3" xfId="84" xr:uid="{00000000-0005-0000-0000-000052000000}"/>
    <cellStyle name="60% - Accent3 2" xfId="85" xr:uid="{00000000-0005-0000-0000-000053000000}"/>
    <cellStyle name="60% - Accent3 3" xfId="86" xr:uid="{00000000-0005-0000-0000-000054000000}"/>
    <cellStyle name="60% - Accent3 4" xfId="87" xr:uid="{00000000-0005-0000-0000-000055000000}"/>
    <cellStyle name="60% - Accent3 5" xfId="88" xr:uid="{00000000-0005-0000-0000-000056000000}"/>
    <cellStyle name="60% - Accent4" xfId="89" xr:uid="{00000000-0005-0000-0000-000057000000}"/>
    <cellStyle name="60% - Accent4 2" xfId="90" xr:uid="{00000000-0005-0000-0000-000058000000}"/>
    <cellStyle name="60% - Accent4 3" xfId="91" xr:uid="{00000000-0005-0000-0000-000059000000}"/>
    <cellStyle name="60% - Accent4 4" xfId="92" xr:uid="{00000000-0005-0000-0000-00005A000000}"/>
    <cellStyle name="60% - Accent4 5" xfId="93" xr:uid="{00000000-0005-0000-0000-00005B000000}"/>
    <cellStyle name="60% - Accent5" xfId="94" xr:uid="{00000000-0005-0000-0000-00005C000000}"/>
    <cellStyle name="60% - Accent5 2" xfId="95" xr:uid="{00000000-0005-0000-0000-00005D000000}"/>
    <cellStyle name="60% - Accent5 3" xfId="96" xr:uid="{00000000-0005-0000-0000-00005E000000}"/>
    <cellStyle name="60% - Accent5 4" xfId="97" xr:uid="{00000000-0005-0000-0000-00005F000000}"/>
    <cellStyle name="60% - Accent5 5" xfId="98" xr:uid="{00000000-0005-0000-0000-000060000000}"/>
    <cellStyle name="60% - Accent6" xfId="99" xr:uid="{00000000-0005-0000-0000-000061000000}"/>
    <cellStyle name="60% - Accent6 2" xfId="100" xr:uid="{00000000-0005-0000-0000-000062000000}"/>
    <cellStyle name="60% - Accent6 3" xfId="101" xr:uid="{00000000-0005-0000-0000-000063000000}"/>
    <cellStyle name="60% - Accent6 4" xfId="102" xr:uid="{00000000-0005-0000-0000-000064000000}"/>
    <cellStyle name="60% - Accent6 5" xfId="103" xr:uid="{00000000-0005-0000-0000-000065000000}"/>
    <cellStyle name="60% - Énfasis1 2" xfId="104" xr:uid="{00000000-0005-0000-0000-000066000000}"/>
    <cellStyle name="60% - Énfasis1 2 2" xfId="105" xr:uid="{00000000-0005-0000-0000-000067000000}"/>
    <cellStyle name="60% - Énfasis1 3" xfId="106" xr:uid="{00000000-0005-0000-0000-000068000000}"/>
    <cellStyle name="60% - Énfasis1 3 2" xfId="107" xr:uid="{00000000-0005-0000-0000-000069000000}"/>
    <cellStyle name="60% - Énfasis1 4" xfId="108" xr:uid="{00000000-0005-0000-0000-00006A000000}"/>
    <cellStyle name="60% - Énfasis2 2" xfId="109" xr:uid="{00000000-0005-0000-0000-00006B000000}"/>
    <cellStyle name="60% - Énfasis2 2 2" xfId="110" xr:uid="{00000000-0005-0000-0000-00006C000000}"/>
    <cellStyle name="60% - Énfasis2 3" xfId="111" xr:uid="{00000000-0005-0000-0000-00006D000000}"/>
    <cellStyle name="60% - Énfasis2 3 2" xfId="112" xr:uid="{00000000-0005-0000-0000-00006E000000}"/>
    <cellStyle name="60% - Énfasis2 4" xfId="113" xr:uid="{00000000-0005-0000-0000-00006F000000}"/>
    <cellStyle name="60% - Énfasis3 2" xfId="114" xr:uid="{00000000-0005-0000-0000-000070000000}"/>
    <cellStyle name="60% - Énfasis3 2 2" xfId="115" xr:uid="{00000000-0005-0000-0000-000071000000}"/>
    <cellStyle name="60% - Énfasis3 3" xfId="116" xr:uid="{00000000-0005-0000-0000-000072000000}"/>
    <cellStyle name="60% - Énfasis3 3 2" xfId="117" xr:uid="{00000000-0005-0000-0000-000073000000}"/>
    <cellStyle name="60% - Énfasis3 4" xfId="118" xr:uid="{00000000-0005-0000-0000-000074000000}"/>
    <cellStyle name="60% - Énfasis4 2" xfId="119" xr:uid="{00000000-0005-0000-0000-000075000000}"/>
    <cellStyle name="60% - Énfasis4 2 2" xfId="120" xr:uid="{00000000-0005-0000-0000-000076000000}"/>
    <cellStyle name="60% - Énfasis4 3" xfId="121" xr:uid="{00000000-0005-0000-0000-000077000000}"/>
    <cellStyle name="60% - Énfasis4 3 2" xfId="122" xr:uid="{00000000-0005-0000-0000-000078000000}"/>
    <cellStyle name="60% - Énfasis4 4" xfId="123" xr:uid="{00000000-0005-0000-0000-000079000000}"/>
    <cellStyle name="60% - Énfasis5 2" xfId="124" xr:uid="{00000000-0005-0000-0000-00007A000000}"/>
    <cellStyle name="60% - Énfasis5 2 2" xfId="125" xr:uid="{00000000-0005-0000-0000-00007B000000}"/>
    <cellStyle name="60% - Énfasis5 3" xfId="126" xr:uid="{00000000-0005-0000-0000-00007C000000}"/>
    <cellStyle name="60% - Énfasis5 3 2" xfId="127" xr:uid="{00000000-0005-0000-0000-00007D000000}"/>
    <cellStyle name="60% - Énfasis5 4" xfId="128" xr:uid="{00000000-0005-0000-0000-00007E000000}"/>
    <cellStyle name="60% - Énfasis6 2" xfId="129" xr:uid="{00000000-0005-0000-0000-00007F000000}"/>
    <cellStyle name="60% - Énfasis6 2 2" xfId="130" xr:uid="{00000000-0005-0000-0000-000080000000}"/>
    <cellStyle name="60% - Énfasis6 3" xfId="131" xr:uid="{00000000-0005-0000-0000-000081000000}"/>
    <cellStyle name="60% - Énfasis6 3 2" xfId="132" xr:uid="{00000000-0005-0000-0000-000082000000}"/>
    <cellStyle name="60% - Énfasis6 4" xfId="133" xr:uid="{00000000-0005-0000-0000-000083000000}"/>
    <cellStyle name="Accent1" xfId="134" xr:uid="{00000000-0005-0000-0000-000084000000}"/>
    <cellStyle name="Accent1 2" xfId="135" xr:uid="{00000000-0005-0000-0000-000085000000}"/>
    <cellStyle name="Accent1 3" xfId="136" xr:uid="{00000000-0005-0000-0000-000086000000}"/>
    <cellStyle name="Accent1 4" xfId="137" xr:uid="{00000000-0005-0000-0000-000087000000}"/>
    <cellStyle name="Accent1 5" xfId="138" xr:uid="{00000000-0005-0000-0000-000088000000}"/>
    <cellStyle name="Accent2" xfId="139" xr:uid="{00000000-0005-0000-0000-000089000000}"/>
    <cellStyle name="Accent2 2" xfId="140" xr:uid="{00000000-0005-0000-0000-00008A000000}"/>
    <cellStyle name="Accent2 3" xfId="141" xr:uid="{00000000-0005-0000-0000-00008B000000}"/>
    <cellStyle name="Accent2 4" xfId="142" xr:uid="{00000000-0005-0000-0000-00008C000000}"/>
    <cellStyle name="Accent2 5" xfId="143" xr:uid="{00000000-0005-0000-0000-00008D000000}"/>
    <cellStyle name="Accent3" xfId="144" xr:uid="{00000000-0005-0000-0000-00008E000000}"/>
    <cellStyle name="Accent3 2" xfId="145" xr:uid="{00000000-0005-0000-0000-00008F000000}"/>
    <cellStyle name="Accent3 3" xfId="146" xr:uid="{00000000-0005-0000-0000-000090000000}"/>
    <cellStyle name="Accent3 4" xfId="147" xr:uid="{00000000-0005-0000-0000-000091000000}"/>
    <cellStyle name="Accent3 5" xfId="148" xr:uid="{00000000-0005-0000-0000-000092000000}"/>
    <cellStyle name="Accent4" xfId="149" xr:uid="{00000000-0005-0000-0000-000093000000}"/>
    <cellStyle name="Accent4 2" xfId="150" xr:uid="{00000000-0005-0000-0000-000094000000}"/>
    <cellStyle name="Accent4 3" xfId="151" xr:uid="{00000000-0005-0000-0000-000095000000}"/>
    <cellStyle name="Accent4 4" xfId="152" xr:uid="{00000000-0005-0000-0000-000096000000}"/>
    <cellStyle name="Accent4 5" xfId="153" xr:uid="{00000000-0005-0000-0000-000097000000}"/>
    <cellStyle name="Accent5" xfId="154" xr:uid="{00000000-0005-0000-0000-000098000000}"/>
    <cellStyle name="Accent5 2" xfId="155" xr:uid="{00000000-0005-0000-0000-000099000000}"/>
    <cellStyle name="Accent5 3" xfId="156" xr:uid="{00000000-0005-0000-0000-00009A000000}"/>
    <cellStyle name="Accent5 4" xfId="157" xr:uid="{00000000-0005-0000-0000-00009B000000}"/>
    <cellStyle name="Accent5 5" xfId="158" xr:uid="{00000000-0005-0000-0000-00009C000000}"/>
    <cellStyle name="Accent6" xfId="159" xr:uid="{00000000-0005-0000-0000-00009D000000}"/>
    <cellStyle name="Accent6 2" xfId="160" xr:uid="{00000000-0005-0000-0000-00009E000000}"/>
    <cellStyle name="Accent6 3" xfId="161" xr:uid="{00000000-0005-0000-0000-00009F000000}"/>
    <cellStyle name="Accent6 4" xfId="162" xr:uid="{00000000-0005-0000-0000-0000A0000000}"/>
    <cellStyle name="Accent6 5" xfId="163" xr:uid="{00000000-0005-0000-0000-0000A1000000}"/>
    <cellStyle name="ANCLAS,REZONES Y SUS PARTES,DE FUNDICION,DE HIERRO O DE ACERO" xfId="164" xr:uid="{00000000-0005-0000-0000-0000A2000000}"/>
    <cellStyle name="ANCLAS,REZONES Y SUS PARTES,DE FUNDICION,DE HIERRO O DE ACERO 2" xfId="165" xr:uid="{00000000-0005-0000-0000-0000A3000000}"/>
    <cellStyle name="ANCLAS,REZONES Y SUS PARTES,DE FUNDICION,DE HIERRO O DE ACERO 2 2" xfId="166" xr:uid="{00000000-0005-0000-0000-0000A4000000}"/>
    <cellStyle name="Bad" xfId="167" xr:uid="{00000000-0005-0000-0000-0000A5000000}"/>
    <cellStyle name="Bad 2" xfId="168" xr:uid="{00000000-0005-0000-0000-0000A6000000}"/>
    <cellStyle name="Bad 3" xfId="169" xr:uid="{00000000-0005-0000-0000-0000A7000000}"/>
    <cellStyle name="Bad 4" xfId="170" xr:uid="{00000000-0005-0000-0000-0000A8000000}"/>
    <cellStyle name="Bad 5" xfId="171" xr:uid="{00000000-0005-0000-0000-0000A9000000}"/>
    <cellStyle name="Buena 2" xfId="172" xr:uid="{00000000-0005-0000-0000-0000AA000000}"/>
    <cellStyle name="Buena 2 2" xfId="173" xr:uid="{00000000-0005-0000-0000-0000AB000000}"/>
    <cellStyle name="Buena 3" xfId="174" xr:uid="{00000000-0005-0000-0000-0000AC000000}"/>
    <cellStyle name="Buena 3 2" xfId="175" xr:uid="{00000000-0005-0000-0000-0000AD000000}"/>
    <cellStyle name="Buena 4" xfId="176" xr:uid="{00000000-0005-0000-0000-0000AE000000}"/>
    <cellStyle name="Calculation" xfId="177" xr:uid="{00000000-0005-0000-0000-0000AF000000}"/>
    <cellStyle name="Cálculo 2" xfId="178" xr:uid="{00000000-0005-0000-0000-0000B0000000}"/>
    <cellStyle name="Cálculo 2 2" xfId="179" xr:uid="{00000000-0005-0000-0000-0000B1000000}"/>
    <cellStyle name="Cálculo 3" xfId="180" xr:uid="{00000000-0005-0000-0000-0000B2000000}"/>
    <cellStyle name="Cálculo 3 2" xfId="181" xr:uid="{00000000-0005-0000-0000-0000B3000000}"/>
    <cellStyle name="Cálculo 4" xfId="182" xr:uid="{00000000-0005-0000-0000-0000B4000000}"/>
    <cellStyle name="Celda de comprobación 2" xfId="183" xr:uid="{00000000-0005-0000-0000-0000B5000000}"/>
    <cellStyle name="Celda de comprobación 2 2" xfId="184" xr:uid="{00000000-0005-0000-0000-0000B6000000}"/>
    <cellStyle name="Celda de comprobación 3" xfId="185" xr:uid="{00000000-0005-0000-0000-0000B7000000}"/>
    <cellStyle name="Celda de comprobación 3 2" xfId="186" xr:uid="{00000000-0005-0000-0000-0000B8000000}"/>
    <cellStyle name="Celda de comprobación 4" xfId="187" xr:uid="{00000000-0005-0000-0000-0000B9000000}"/>
    <cellStyle name="Celda vinculada 2" xfId="188" xr:uid="{00000000-0005-0000-0000-0000BA000000}"/>
    <cellStyle name="Celda vinculada 2 2" xfId="189" xr:uid="{00000000-0005-0000-0000-0000BB000000}"/>
    <cellStyle name="Celda vinculada 3" xfId="190" xr:uid="{00000000-0005-0000-0000-0000BC000000}"/>
    <cellStyle name="Celda vinculada 3 2" xfId="191" xr:uid="{00000000-0005-0000-0000-0000BD000000}"/>
    <cellStyle name="Celda vinculada 4" xfId="192" xr:uid="{00000000-0005-0000-0000-0000BE000000}"/>
    <cellStyle name="Check Cell" xfId="193" xr:uid="{00000000-0005-0000-0000-0000BF000000}"/>
    <cellStyle name="Check Cell 2" xfId="194" xr:uid="{00000000-0005-0000-0000-0000C0000000}"/>
    <cellStyle name="Check Cell 3" xfId="195" xr:uid="{00000000-0005-0000-0000-0000C1000000}"/>
    <cellStyle name="Check Cell 4" xfId="196" xr:uid="{00000000-0005-0000-0000-0000C2000000}"/>
    <cellStyle name="Check Cell 5" xfId="197" xr:uid="{00000000-0005-0000-0000-0000C3000000}"/>
    <cellStyle name="Comma [0]_hojas adicionales" xfId="198" xr:uid="{00000000-0005-0000-0000-0000C4000000}"/>
    <cellStyle name="Comma_aaa Stock Deuda Provincias I 2006" xfId="199" xr:uid="{00000000-0005-0000-0000-0000C5000000}"/>
    <cellStyle name="Comma0" xfId="200" xr:uid="{00000000-0005-0000-0000-0000C6000000}"/>
    <cellStyle name="Currency [0]_aaa Stock Deuda Provincias I 2006" xfId="201" xr:uid="{00000000-0005-0000-0000-0000C7000000}"/>
    <cellStyle name="Currency_aaa Stock Deuda Provincias I 2006" xfId="202" xr:uid="{00000000-0005-0000-0000-0000C8000000}"/>
    <cellStyle name="Currency0" xfId="203" xr:uid="{00000000-0005-0000-0000-0000C9000000}"/>
    <cellStyle name="En miles" xfId="204" xr:uid="{00000000-0005-0000-0000-0000CA000000}"/>
    <cellStyle name="En millones" xfId="205" xr:uid="{00000000-0005-0000-0000-0000CB000000}"/>
    <cellStyle name="Encabezado 4 2" xfId="206" xr:uid="{00000000-0005-0000-0000-0000CC000000}"/>
    <cellStyle name="Encabezado 4 2 2" xfId="207" xr:uid="{00000000-0005-0000-0000-0000CD000000}"/>
    <cellStyle name="Encabezado 4 3" xfId="208" xr:uid="{00000000-0005-0000-0000-0000CE000000}"/>
    <cellStyle name="Encabezado 4 3 2" xfId="209" xr:uid="{00000000-0005-0000-0000-0000CF000000}"/>
    <cellStyle name="Encabezado 4 4" xfId="210" xr:uid="{00000000-0005-0000-0000-0000D0000000}"/>
    <cellStyle name="Énfasis1 2" xfId="211" xr:uid="{00000000-0005-0000-0000-0000D1000000}"/>
    <cellStyle name="Énfasis1 2 2" xfId="212" xr:uid="{00000000-0005-0000-0000-0000D2000000}"/>
    <cellStyle name="Énfasis1 3" xfId="213" xr:uid="{00000000-0005-0000-0000-0000D3000000}"/>
    <cellStyle name="Énfasis1 3 2" xfId="214" xr:uid="{00000000-0005-0000-0000-0000D4000000}"/>
    <cellStyle name="Énfasis1 4" xfId="215" xr:uid="{00000000-0005-0000-0000-0000D5000000}"/>
    <cellStyle name="Énfasis2 2" xfId="216" xr:uid="{00000000-0005-0000-0000-0000D6000000}"/>
    <cellStyle name="Énfasis2 2 2" xfId="217" xr:uid="{00000000-0005-0000-0000-0000D7000000}"/>
    <cellStyle name="Énfasis2 3" xfId="218" xr:uid="{00000000-0005-0000-0000-0000D8000000}"/>
    <cellStyle name="Énfasis2 3 2" xfId="219" xr:uid="{00000000-0005-0000-0000-0000D9000000}"/>
    <cellStyle name="Énfasis2 4" xfId="220" xr:uid="{00000000-0005-0000-0000-0000DA000000}"/>
    <cellStyle name="Énfasis3 2" xfId="221" xr:uid="{00000000-0005-0000-0000-0000DB000000}"/>
    <cellStyle name="Énfasis3 2 2" xfId="222" xr:uid="{00000000-0005-0000-0000-0000DC000000}"/>
    <cellStyle name="Énfasis3 3" xfId="223" xr:uid="{00000000-0005-0000-0000-0000DD000000}"/>
    <cellStyle name="Énfasis3 3 2" xfId="224" xr:uid="{00000000-0005-0000-0000-0000DE000000}"/>
    <cellStyle name="Énfasis3 4" xfId="225" xr:uid="{00000000-0005-0000-0000-0000DF000000}"/>
    <cellStyle name="Énfasis4 2" xfId="226" xr:uid="{00000000-0005-0000-0000-0000E0000000}"/>
    <cellStyle name="Énfasis4 2 2" xfId="227" xr:uid="{00000000-0005-0000-0000-0000E1000000}"/>
    <cellStyle name="Énfasis4 3" xfId="228" xr:uid="{00000000-0005-0000-0000-0000E2000000}"/>
    <cellStyle name="Énfasis4 3 2" xfId="229" xr:uid="{00000000-0005-0000-0000-0000E3000000}"/>
    <cellStyle name="Énfasis4 4" xfId="230" xr:uid="{00000000-0005-0000-0000-0000E4000000}"/>
    <cellStyle name="Énfasis5 2" xfId="231" xr:uid="{00000000-0005-0000-0000-0000E5000000}"/>
    <cellStyle name="Énfasis5 2 2" xfId="232" xr:uid="{00000000-0005-0000-0000-0000E6000000}"/>
    <cellStyle name="Énfasis5 3" xfId="233" xr:uid="{00000000-0005-0000-0000-0000E7000000}"/>
    <cellStyle name="Énfasis5 3 2" xfId="234" xr:uid="{00000000-0005-0000-0000-0000E8000000}"/>
    <cellStyle name="Énfasis5 4" xfId="235" xr:uid="{00000000-0005-0000-0000-0000E9000000}"/>
    <cellStyle name="Énfasis6 2" xfId="236" xr:uid="{00000000-0005-0000-0000-0000EA000000}"/>
    <cellStyle name="Énfasis6 2 2" xfId="237" xr:uid="{00000000-0005-0000-0000-0000EB000000}"/>
    <cellStyle name="Énfasis6 3" xfId="238" xr:uid="{00000000-0005-0000-0000-0000EC000000}"/>
    <cellStyle name="Énfasis6 3 2" xfId="239" xr:uid="{00000000-0005-0000-0000-0000ED000000}"/>
    <cellStyle name="Énfasis6 4" xfId="240" xr:uid="{00000000-0005-0000-0000-0000EE000000}"/>
    <cellStyle name="Entrada 2" xfId="241" xr:uid="{00000000-0005-0000-0000-0000EF000000}"/>
    <cellStyle name="Entrada 2 2" xfId="242" xr:uid="{00000000-0005-0000-0000-0000F0000000}"/>
    <cellStyle name="Entrada 3" xfId="243" xr:uid="{00000000-0005-0000-0000-0000F1000000}"/>
    <cellStyle name="Entrada 3 2" xfId="244" xr:uid="{00000000-0005-0000-0000-0000F2000000}"/>
    <cellStyle name="Entrada 4" xfId="245" xr:uid="{00000000-0005-0000-0000-0000F3000000}"/>
    <cellStyle name="Euro" xfId="246" xr:uid="{00000000-0005-0000-0000-0000F4000000}"/>
    <cellStyle name="Euro 2" xfId="247" xr:uid="{00000000-0005-0000-0000-0000F5000000}"/>
    <cellStyle name="Euro 2 2" xfId="248" xr:uid="{00000000-0005-0000-0000-0000F6000000}"/>
    <cellStyle name="Euro 2 2 2" xfId="249" xr:uid="{00000000-0005-0000-0000-0000F7000000}"/>
    <cellStyle name="Euro 3" xfId="250" xr:uid="{00000000-0005-0000-0000-0000F8000000}"/>
    <cellStyle name="Explanatory Text" xfId="251" xr:uid="{00000000-0005-0000-0000-0000F9000000}"/>
    <cellStyle name="Explanatory Text 2" xfId="252" xr:uid="{00000000-0005-0000-0000-0000FA000000}"/>
    <cellStyle name="Explanatory Text 3" xfId="253" xr:uid="{00000000-0005-0000-0000-0000FB000000}"/>
    <cellStyle name="Explanatory Text 4" xfId="254" xr:uid="{00000000-0005-0000-0000-0000FC000000}"/>
    <cellStyle name="Explanatory Text 5" xfId="255" xr:uid="{00000000-0005-0000-0000-0000FD000000}"/>
    <cellStyle name="F2" xfId="256" xr:uid="{00000000-0005-0000-0000-0000FE000000}"/>
    <cellStyle name="F3" xfId="257" xr:uid="{00000000-0005-0000-0000-0000FF000000}"/>
    <cellStyle name="F4" xfId="258" xr:uid="{00000000-0005-0000-0000-000000010000}"/>
    <cellStyle name="F5" xfId="259" xr:uid="{00000000-0005-0000-0000-000001010000}"/>
    <cellStyle name="F6" xfId="260" xr:uid="{00000000-0005-0000-0000-000002010000}"/>
    <cellStyle name="F7" xfId="261" xr:uid="{00000000-0005-0000-0000-000003010000}"/>
    <cellStyle name="F8" xfId="262" xr:uid="{00000000-0005-0000-0000-000004010000}"/>
    <cellStyle name="facha" xfId="263" xr:uid="{00000000-0005-0000-0000-000005010000}"/>
    <cellStyle name="Followed Hyperlink_aaa Stock Deuda Provincias I 2006" xfId="264" xr:uid="{00000000-0005-0000-0000-000006010000}"/>
    <cellStyle name="Good" xfId="265" xr:uid="{00000000-0005-0000-0000-000007010000}"/>
    <cellStyle name="Good 2" xfId="266" xr:uid="{00000000-0005-0000-0000-000008010000}"/>
    <cellStyle name="Good 3" xfId="267" xr:uid="{00000000-0005-0000-0000-000009010000}"/>
    <cellStyle name="Good 4" xfId="268" xr:uid="{00000000-0005-0000-0000-00000A010000}"/>
    <cellStyle name="Good 5" xfId="269" xr:uid="{00000000-0005-0000-0000-00000B010000}"/>
    <cellStyle name="Heading 1" xfId="270" xr:uid="{00000000-0005-0000-0000-00000C010000}"/>
    <cellStyle name="Heading 2" xfId="271" xr:uid="{00000000-0005-0000-0000-00000D010000}"/>
    <cellStyle name="Heading 3" xfId="272" xr:uid="{00000000-0005-0000-0000-00000E010000}"/>
    <cellStyle name="Heading 4" xfId="273" xr:uid="{00000000-0005-0000-0000-00000F010000}"/>
    <cellStyle name="Hyperlink_aaa Stock Deuda Provincias I 2006" xfId="274" xr:uid="{00000000-0005-0000-0000-000010010000}"/>
    <cellStyle name="Incorrecto 2" xfId="275" xr:uid="{00000000-0005-0000-0000-000011010000}"/>
    <cellStyle name="Incorrecto 2 2" xfId="276" xr:uid="{00000000-0005-0000-0000-000012010000}"/>
    <cellStyle name="Incorrecto 3" xfId="277" xr:uid="{00000000-0005-0000-0000-000013010000}"/>
    <cellStyle name="Incorrecto 3 2" xfId="278" xr:uid="{00000000-0005-0000-0000-000014010000}"/>
    <cellStyle name="Incorrecto 4" xfId="279" xr:uid="{00000000-0005-0000-0000-000015010000}"/>
    <cellStyle name="Input" xfId="280" xr:uid="{00000000-0005-0000-0000-000016010000}"/>
    <cellStyle name="Input 2" xfId="281" xr:uid="{00000000-0005-0000-0000-000017010000}"/>
    <cellStyle name="Input 3" xfId="282" xr:uid="{00000000-0005-0000-0000-000018010000}"/>
    <cellStyle name="Input 4" xfId="283" xr:uid="{00000000-0005-0000-0000-000019010000}"/>
    <cellStyle name="Input 5" xfId="284" xr:uid="{00000000-0005-0000-0000-00001A010000}"/>
    <cellStyle name="jo[" xfId="285" xr:uid="{00000000-0005-0000-0000-00001B010000}"/>
    <cellStyle name="Linked Cell" xfId="286" xr:uid="{00000000-0005-0000-0000-00001C010000}"/>
    <cellStyle name="Linked Cell 2" xfId="287" xr:uid="{00000000-0005-0000-0000-00001D010000}"/>
    <cellStyle name="Linked Cell 3" xfId="288" xr:uid="{00000000-0005-0000-0000-00001E010000}"/>
    <cellStyle name="Linked Cell 4" xfId="289" xr:uid="{00000000-0005-0000-0000-00001F010000}"/>
    <cellStyle name="Linked Cell 5" xfId="290" xr:uid="{00000000-0005-0000-0000-000020010000}"/>
    <cellStyle name="Millares [0] 2" xfId="291" xr:uid="{00000000-0005-0000-0000-000021010000}"/>
    <cellStyle name="Millares [0] 2 2" xfId="292" xr:uid="{00000000-0005-0000-0000-000022010000}"/>
    <cellStyle name="Millares [0] 2 2 2" xfId="293" xr:uid="{00000000-0005-0000-0000-000023010000}"/>
    <cellStyle name="Millares [0] 2 2 2 2" xfId="294" xr:uid="{00000000-0005-0000-0000-000024010000}"/>
    <cellStyle name="Millares [0] 2 2 3" xfId="295" xr:uid="{00000000-0005-0000-0000-000025010000}"/>
    <cellStyle name="Millares [0] 2 2 4" xfId="296" xr:uid="{00000000-0005-0000-0000-000026010000}"/>
    <cellStyle name="Millares [0] 2 3" xfId="297" xr:uid="{00000000-0005-0000-0000-000027010000}"/>
    <cellStyle name="Millares [0] 3" xfId="298" xr:uid="{00000000-0005-0000-0000-000028010000}"/>
    <cellStyle name="Millares [0] 3 2" xfId="299" xr:uid="{00000000-0005-0000-0000-000029010000}"/>
    <cellStyle name="Millares [0] 4" xfId="300" xr:uid="{00000000-0005-0000-0000-00002A010000}"/>
    <cellStyle name="Millares [0] 4 2" xfId="301" xr:uid="{00000000-0005-0000-0000-00002B010000}"/>
    <cellStyle name="Millares [0] 5" xfId="302" xr:uid="{00000000-0005-0000-0000-00002C010000}"/>
    <cellStyle name="Millares [0] 5 2" xfId="303" xr:uid="{00000000-0005-0000-0000-00002D010000}"/>
    <cellStyle name="Millares [0] 6" xfId="304" xr:uid="{00000000-0005-0000-0000-00002E010000}"/>
    <cellStyle name="Millares [0] 8" xfId="305" xr:uid="{00000000-0005-0000-0000-00002F010000}"/>
    <cellStyle name="Millares [2]" xfId="306" xr:uid="{00000000-0005-0000-0000-000030010000}"/>
    <cellStyle name="Millares [2] 2" xfId="307" xr:uid="{00000000-0005-0000-0000-000031010000}"/>
    <cellStyle name="Millares [2] 3" xfId="308" xr:uid="{00000000-0005-0000-0000-000032010000}"/>
    <cellStyle name="Millares [2] 4" xfId="309" xr:uid="{00000000-0005-0000-0000-000033010000}"/>
    <cellStyle name="Millares [2] 5" xfId="310" xr:uid="{00000000-0005-0000-0000-000034010000}"/>
    <cellStyle name="Millares 10" xfId="311" xr:uid="{00000000-0005-0000-0000-000035010000}"/>
    <cellStyle name="Millares 10 2" xfId="312" xr:uid="{00000000-0005-0000-0000-000036010000}"/>
    <cellStyle name="Millares 11" xfId="313" xr:uid="{00000000-0005-0000-0000-000037010000}"/>
    <cellStyle name="Millares 11 2" xfId="314" xr:uid="{00000000-0005-0000-0000-000038010000}"/>
    <cellStyle name="Millares 12" xfId="315" xr:uid="{00000000-0005-0000-0000-000039010000}"/>
    <cellStyle name="Millares 12 2" xfId="316" xr:uid="{00000000-0005-0000-0000-00003A010000}"/>
    <cellStyle name="Millares 13" xfId="317" xr:uid="{00000000-0005-0000-0000-00003B010000}"/>
    <cellStyle name="Millares 13 2" xfId="318" xr:uid="{00000000-0005-0000-0000-00003C010000}"/>
    <cellStyle name="Millares 14" xfId="319" xr:uid="{00000000-0005-0000-0000-00003D010000}"/>
    <cellStyle name="Millares 15" xfId="320" xr:uid="{00000000-0005-0000-0000-00003E010000}"/>
    <cellStyle name="Millares 16" xfId="321" xr:uid="{00000000-0005-0000-0000-00003F010000}"/>
    <cellStyle name="Millares 16 2" xfId="322" xr:uid="{00000000-0005-0000-0000-000040010000}"/>
    <cellStyle name="Millares 17" xfId="323" xr:uid="{00000000-0005-0000-0000-000041010000}"/>
    <cellStyle name="Millares 18" xfId="324" xr:uid="{00000000-0005-0000-0000-000042010000}"/>
    <cellStyle name="Millares 18 2" xfId="325" xr:uid="{00000000-0005-0000-0000-000043010000}"/>
    <cellStyle name="Millares 19" xfId="326" xr:uid="{00000000-0005-0000-0000-000044010000}"/>
    <cellStyle name="Millares 2" xfId="327" xr:uid="{00000000-0005-0000-0000-000045010000}"/>
    <cellStyle name="Millares 2 2" xfId="328" xr:uid="{00000000-0005-0000-0000-000046010000}"/>
    <cellStyle name="Millares 2 2 2" xfId="329" xr:uid="{00000000-0005-0000-0000-000047010000}"/>
    <cellStyle name="Millares 2 2 2 2" xfId="330" xr:uid="{00000000-0005-0000-0000-000048010000}"/>
    <cellStyle name="Millares 2 2 2 2 2" xfId="331" xr:uid="{00000000-0005-0000-0000-000049010000}"/>
    <cellStyle name="Millares 2 2 3" xfId="332" xr:uid="{00000000-0005-0000-0000-00004A010000}"/>
    <cellStyle name="Millares 2 2 4" xfId="333" xr:uid="{00000000-0005-0000-0000-00004B010000}"/>
    <cellStyle name="Millares 2 3" xfId="334" xr:uid="{00000000-0005-0000-0000-00004C010000}"/>
    <cellStyle name="Millares 2 4" xfId="335" xr:uid="{00000000-0005-0000-0000-00004D010000}"/>
    <cellStyle name="Millares 2 5" xfId="336" xr:uid="{00000000-0005-0000-0000-00004E010000}"/>
    <cellStyle name="Millares 2 6" xfId="337" xr:uid="{00000000-0005-0000-0000-00004F010000}"/>
    <cellStyle name="Millares 3" xfId="338" xr:uid="{00000000-0005-0000-0000-000050010000}"/>
    <cellStyle name="Millares 3 2" xfId="339" xr:uid="{00000000-0005-0000-0000-000051010000}"/>
    <cellStyle name="Millares 3 2 2" xfId="340" xr:uid="{00000000-0005-0000-0000-000052010000}"/>
    <cellStyle name="Millares 3 3" xfId="341" xr:uid="{00000000-0005-0000-0000-000053010000}"/>
    <cellStyle name="Millares 3 3 2" xfId="342" xr:uid="{00000000-0005-0000-0000-000054010000}"/>
    <cellStyle name="Millares 3 4" xfId="343" xr:uid="{00000000-0005-0000-0000-000055010000}"/>
    <cellStyle name="Millares 3 4 2" xfId="344" xr:uid="{00000000-0005-0000-0000-000056010000}"/>
    <cellStyle name="Millares 3 5" xfId="345" xr:uid="{00000000-0005-0000-0000-000057010000}"/>
    <cellStyle name="Millares 4" xfId="346" xr:uid="{00000000-0005-0000-0000-000058010000}"/>
    <cellStyle name="Millares 4 2" xfId="347" xr:uid="{00000000-0005-0000-0000-000059010000}"/>
    <cellStyle name="Millares 4 2 2" xfId="348" xr:uid="{00000000-0005-0000-0000-00005A010000}"/>
    <cellStyle name="Millares 4 2 2 2" xfId="349" xr:uid="{00000000-0005-0000-0000-00005B010000}"/>
    <cellStyle name="Millares 4 3" xfId="350" xr:uid="{00000000-0005-0000-0000-00005C010000}"/>
    <cellStyle name="Millares 5" xfId="351" xr:uid="{00000000-0005-0000-0000-00005D010000}"/>
    <cellStyle name="Millares 5 2" xfId="352" xr:uid="{00000000-0005-0000-0000-00005E010000}"/>
    <cellStyle name="Millares 5 2 2" xfId="353" xr:uid="{00000000-0005-0000-0000-00005F010000}"/>
    <cellStyle name="Millares 5 2 2 2" xfId="354" xr:uid="{00000000-0005-0000-0000-000060010000}"/>
    <cellStyle name="Millares 5 3" xfId="355" xr:uid="{00000000-0005-0000-0000-000061010000}"/>
    <cellStyle name="Millares 5 4" xfId="356" xr:uid="{00000000-0005-0000-0000-000062010000}"/>
    <cellStyle name="Millares 5 5" xfId="357" xr:uid="{00000000-0005-0000-0000-000063010000}"/>
    <cellStyle name="Millares 5 5 2" xfId="358" xr:uid="{00000000-0005-0000-0000-000064010000}"/>
    <cellStyle name="Millares 5 6" xfId="359" xr:uid="{00000000-0005-0000-0000-000065010000}"/>
    <cellStyle name="Millares 6" xfId="360" xr:uid="{00000000-0005-0000-0000-000066010000}"/>
    <cellStyle name="Millares 6 2" xfId="361" xr:uid="{00000000-0005-0000-0000-000067010000}"/>
    <cellStyle name="Millares 7" xfId="362" xr:uid="{00000000-0005-0000-0000-000068010000}"/>
    <cellStyle name="Millares 7 2" xfId="363" xr:uid="{00000000-0005-0000-0000-000069010000}"/>
    <cellStyle name="Millares 7 3" xfId="364" xr:uid="{00000000-0005-0000-0000-00006A010000}"/>
    <cellStyle name="Millares 7 3 2" xfId="365" xr:uid="{00000000-0005-0000-0000-00006B010000}"/>
    <cellStyle name="Millares 7 3 2 2" xfId="366" xr:uid="{00000000-0005-0000-0000-00006C010000}"/>
    <cellStyle name="Millares 7 3 3" xfId="367" xr:uid="{00000000-0005-0000-0000-00006D010000}"/>
    <cellStyle name="Millares 8" xfId="368" xr:uid="{00000000-0005-0000-0000-00006E010000}"/>
    <cellStyle name="Millares 9" xfId="369" xr:uid="{00000000-0005-0000-0000-00006F010000}"/>
    <cellStyle name="Neutral 2" xfId="370" xr:uid="{00000000-0005-0000-0000-000070010000}"/>
    <cellStyle name="Neutral 2 2" xfId="371" xr:uid="{00000000-0005-0000-0000-000071010000}"/>
    <cellStyle name="Neutral 3" xfId="372" xr:uid="{00000000-0005-0000-0000-000072010000}"/>
    <cellStyle name="Neutral 3 2" xfId="373" xr:uid="{00000000-0005-0000-0000-000073010000}"/>
    <cellStyle name="Neutral 4" xfId="374" xr:uid="{00000000-0005-0000-0000-000074010000}"/>
    <cellStyle name="Normal" xfId="0" builtinId="0"/>
    <cellStyle name="Normal 10" xfId="375" xr:uid="{00000000-0005-0000-0000-000076010000}"/>
    <cellStyle name="Normal 10 2" xfId="376" xr:uid="{00000000-0005-0000-0000-000077010000}"/>
    <cellStyle name="Normal 10 3" xfId="377" xr:uid="{00000000-0005-0000-0000-000078010000}"/>
    <cellStyle name="Normal 11" xfId="378" xr:uid="{00000000-0005-0000-0000-000079010000}"/>
    <cellStyle name="Normal 12" xfId="379" xr:uid="{00000000-0005-0000-0000-00007A010000}"/>
    <cellStyle name="Normal 12 2" xfId="380" xr:uid="{00000000-0005-0000-0000-00007B010000}"/>
    <cellStyle name="Normal 13" xfId="381" xr:uid="{00000000-0005-0000-0000-00007C010000}"/>
    <cellStyle name="Normal 13 2" xfId="382" xr:uid="{00000000-0005-0000-0000-00007D010000}"/>
    <cellStyle name="Normal 14" xfId="383" xr:uid="{00000000-0005-0000-0000-00007E010000}"/>
    <cellStyle name="Normal 2" xfId="384" xr:uid="{00000000-0005-0000-0000-00007F010000}"/>
    <cellStyle name="Normal 2 2" xfId="385" xr:uid="{00000000-0005-0000-0000-000080010000}"/>
    <cellStyle name="Normal 2 2 2" xfId="386" xr:uid="{00000000-0005-0000-0000-000081010000}"/>
    <cellStyle name="Normal 2 2 3" xfId="387" xr:uid="{00000000-0005-0000-0000-000082010000}"/>
    <cellStyle name="Normal 2 2 3 2" xfId="388" xr:uid="{00000000-0005-0000-0000-000083010000}"/>
    <cellStyle name="Normal 2 2 4" xfId="389" xr:uid="{00000000-0005-0000-0000-000084010000}"/>
    <cellStyle name="Normal 2 3" xfId="390" xr:uid="{00000000-0005-0000-0000-000085010000}"/>
    <cellStyle name="Normal 2 3 2" xfId="391" xr:uid="{00000000-0005-0000-0000-000086010000}"/>
    <cellStyle name="Normal 2 3 2 2" xfId="392" xr:uid="{00000000-0005-0000-0000-000087010000}"/>
    <cellStyle name="Normal 2 3 3" xfId="393" xr:uid="{00000000-0005-0000-0000-000088010000}"/>
    <cellStyle name="Normal 3" xfId="394" xr:uid="{00000000-0005-0000-0000-000089010000}"/>
    <cellStyle name="Normal 3 2" xfId="395" xr:uid="{00000000-0005-0000-0000-00008A010000}"/>
    <cellStyle name="Normal 4" xfId="396" xr:uid="{00000000-0005-0000-0000-00008B010000}"/>
    <cellStyle name="Normal 5" xfId="397" xr:uid="{00000000-0005-0000-0000-00008C010000}"/>
    <cellStyle name="Normal 5 2" xfId="398" xr:uid="{00000000-0005-0000-0000-00008D010000}"/>
    <cellStyle name="Normal 5 2 2" xfId="399" xr:uid="{00000000-0005-0000-0000-00008E010000}"/>
    <cellStyle name="Normal 5 2 2 2" xfId="400" xr:uid="{00000000-0005-0000-0000-00008F010000}"/>
    <cellStyle name="Normal 5 3" xfId="401" xr:uid="{00000000-0005-0000-0000-000090010000}"/>
    <cellStyle name="Normal 5 4" xfId="402" xr:uid="{00000000-0005-0000-0000-000091010000}"/>
    <cellStyle name="Normal 5 4 2" xfId="403" xr:uid="{00000000-0005-0000-0000-000092010000}"/>
    <cellStyle name="Normal 5 5" xfId="404" xr:uid="{00000000-0005-0000-0000-000093010000}"/>
    <cellStyle name="Normal 5 5 2" xfId="405" xr:uid="{00000000-0005-0000-0000-000094010000}"/>
    <cellStyle name="Normal 5 6" xfId="406" xr:uid="{00000000-0005-0000-0000-000095010000}"/>
    <cellStyle name="Normal 5 6 2" xfId="407" xr:uid="{00000000-0005-0000-0000-000096010000}"/>
    <cellStyle name="Normal 5 7" xfId="408" xr:uid="{00000000-0005-0000-0000-000097010000}"/>
    <cellStyle name="Normal 5_CUADRO 8 - Bonos y Prestamos Garantizados en Pesos 2do. Trim-15 (A 1.8) Mari en construcción" xfId="409" xr:uid="{00000000-0005-0000-0000-000098010000}"/>
    <cellStyle name="Normal 6" xfId="410" xr:uid="{00000000-0005-0000-0000-000099010000}"/>
    <cellStyle name="Normal 7" xfId="411" xr:uid="{00000000-0005-0000-0000-00009A010000}"/>
    <cellStyle name="Normal 7 2" xfId="412" xr:uid="{00000000-0005-0000-0000-00009B010000}"/>
    <cellStyle name="Normal 7 2 2" xfId="413" xr:uid="{00000000-0005-0000-0000-00009C010000}"/>
    <cellStyle name="Normal 7 3" xfId="414" xr:uid="{00000000-0005-0000-0000-00009D010000}"/>
    <cellStyle name="Normal 7 3 2" xfId="415" xr:uid="{00000000-0005-0000-0000-00009E010000}"/>
    <cellStyle name="Normal 7 4" xfId="416" xr:uid="{00000000-0005-0000-0000-00009F010000}"/>
    <cellStyle name="Normal 7 4 2" xfId="417" xr:uid="{00000000-0005-0000-0000-0000A0010000}"/>
    <cellStyle name="Normal 7 5" xfId="418" xr:uid="{00000000-0005-0000-0000-0000A1010000}"/>
    <cellStyle name="Normal 8" xfId="419" xr:uid="{00000000-0005-0000-0000-0000A2010000}"/>
    <cellStyle name="Normal 8 2" xfId="420" xr:uid="{00000000-0005-0000-0000-0000A3010000}"/>
    <cellStyle name="Normal 9" xfId="421" xr:uid="{00000000-0005-0000-0000-0000A4010000}"/>
    <cellStyle name="Normal 9 2" xfId="422" xr:uid="{00000000-0005-0000-0000-0000A5010000}"/>
    <cellStyle name="Normal 9 2 2" xfId="423" xr:uid="{00000000-0005-0000-0000-0000A6010000}"/>
    <cellStyle name="Normal 9 3" xfId="424" xr:uid="{00000000-0005-0000-0000-0000A7010000}"/>
    <cellStyle name="Notas 2" xfId="425" xr:uid="{00000000-0005-0000-0000-0000A8010000}"/>
    <cellStyle name="Notas 2 2" xfId="426" xr:uid="{00000000-0005-0000-0000-0000A9010000}"/>
    <cellStyle name="Notas 3" xfId="427" xr:uid="{00000000-0005-0000-0000-0000AA010000}"/>
    <cellStyle name="Notas 3 2" xfId="428" xr:uid="{00000000-0005-0000-0000-0000AB010000}"/>
    <cellStyle name="Notas 4" xfId="429" xr:uid="{00000000-0005-0000-0000-0000AC010000}"/>
    <cellStyle name="Note" xfId="430" xr:uid="{00000000-0005-0000-0000-0000AD010000}"/>
    <cellStyle name="Nulos" xfId="431" xr:uid="{00000000-0005-0000-0000-0000AE010000}"/>
    <cellStyle name="Nulos 2" xfId="432" xr:uid="{00000000-0005-0000-0000-0000AF010000}"/>
    <cellStyle name="Nulos 2 2" xfId="433" xr:uid="{00000000-0005-0000-0000-0000B0010000}"/>
    <cellStyle name="Nulos 3" xfId="434" xr:uid="{00000000-0005-0000-0000-0000B1010000}"/>
    <cellStyle name="Nulos 4" xfId="435" xr:uid="{00000000-0005-0000-0000-0000B2010000}"/>
    <cellStyle name="Oficio" xfId="436" xr:uid="{00000000-0005-0000-0000-0000B3010000}"/>
    <cellStyle name="Output" xfId="437" xr:uid="{00000000-0005-0000-0000-0000B4010000}"/>
    <cellStyle name="Output 2" xfId="438" xr:uid="{00000000-0005-0000-0000-0000B5010000}"/>
    <cellStyle name="Output 3" xfId="439" xr:uid="{00000000-0005-0000-0000-0000B6010000}"/>
    <cellStyle name="Output 4" xfId="440" xr:uid="{00000000-0005-0000-0000-0000B7010000}"/>
    <cellStyle name="Output 5" xfId="441" xr:uid="{00000000-0005-0000-0000-0000B8010000}"/>
    <cellStyle name="Porcentaje" xfId="1" builtinId="5"/>
    <cellStyle name="Porcentaje 2" xfId="442" xr:uid="{00000000-0005-0000-0000-0000BA010000}"/>
    <cellStyle name="Porcentaje 2 2" xfId="443" xr:uid="{00000000-0005-0000-0000-0000BB010000}"/>
    <cellStyle name="Porcentaje 2 2 2" xfId="444" xr:uid="{00000000-0005-0000-0000-0000BC010000}"/>
    <cellStyle name="Porcentaje 2 2 2 2" xfId="445" xr:uid="{00000000-0005-0000-0000-0000BD010000}"/>
    <cellStyle name="Porcentaje 2 3" xfId="446" xr:uid="{00000000-0005-0000-0000-0000BE010000}"/>
    <cellStyle name="Porcentaje 3" xfId="447" xr:uid="{00000000-0005-0000-0000-0000BF010000}"/>
    <cellStyle name="Porcentaje 3 2" xfId="448" xr:uid="{00000000-0005-0000-0000-0000C0010000}"/>
    <cellStyle name="Porcentaje 4" xfId="449" xr:uid="{00000000-0005-0000-0000-0000C1010000}"/>
    <cellStyle name="Porcentaje 4 2" xfId="450" xr:uid="{00000000-0005-0000-0000-0000C2010000}"/>
    <cellStyle name="Porcentaje 5" xfId="451" xr:uid="{00000000-0005-0000-0000-0000C3010000}"/>
    <cellStyle name="Salida 2" xfId="452" xr:uid="{00000000-0005-0000-0000-0000C4010000}"/>
    <cellStyle name="Salida 2 2" xfId="453" xr:uid="{00000000-0005-0000-0000-0000C5010000}"/>
    <cellStyle name="Salida 3" xfId="454" xr:uid="{00000000-0005-0000-0000-0000C6010000}"/>
    <cellStyle name="Salida 3 2" xfId="455" xr:uid="{00000000-0005-0000-0000-0000C7010000}"/>
    <cellStyle name="Salida 4" xfId="456" xr:uid="{00000000-0005-0000-0000-0000C8010000}"/>
    <cellStyle name="Texto de advertencia 2" xfId="457" xr:uid="{00000000-0005-0000-0000-0000C9010000}"/>
    <cellStyle name="Texto de advertencia 2 2" xfId="458" xr:uid="{00000000-0005-0000-0000-0000CA010000}"/>
    <cellStyle name="Texto de advertencia 3" xfId="459" xr:uid="{00000000-0005-0000-0000-0000CB010000}"/>
    <cellStyle name="Texto de advertencia 3 2" xfId="460" xr:uid="{00000000-0005-0000-0000-0000CC010000}"/>
    <cellStyle name="Texto de advertencia 4" xfId="461" xr:uid="{00000000-0005-0000-0000-0000CD010000}"/>
    <cellStyle name="Texto explicativo 2" xfId="462" xr:uid="{00000000-0005-0000-0000-0000CE010000}"/>
    <cellStyle name="Texto explicativo 2 2" xfId="463" xr:uid="{00000000-0005-0000-0000-0000CF010000}"/>
    <cellStyle name="Texto explicativo 3" xfId="464" xr:uid="{00000000-0005-0000-0000-0000D0010000}"/>
    <cellStyle name="Texto explicativo 3 2" xfId="465" xr:uid="{00000000-0005-0000-0000-0000D1010000}"/>
    <cellStyle name="Texto explicativo 4" xfId="466" xr:uid="{00000000-0005-0000-0000-0000D2010000}"/>
    <cellStyle name="Title" xfId="467" xr:uid="{00000000-0005-0000-0000-0000D3010000}"/>
    <cellStyle name="Título 1 2" xfId="468" xr:uid="{00000000-0005-0000-0000-0000D4010000}"/>
    <cellStyle name="Título 1 2 2" xfId="469" xr:uid="{00000000-0005-0000-0000-0000D5010000}"/>
    <cellStyle name="Título 1 3" xfId="470" xr:uid="{00000000-0005-0000-0000-0000D6010000}"/>
    <cellStyle name="Título 1 3 2" xfId="471" xr:uid="{00000000-0005-0000-0000-0000D7010000}"/>
    <cellStyle name="Título 1 4" xfId="472" xr:uid="{00000000-0005-0000-0000-0000D8010000}"/>
    <cellStyle name="Título 2 2" xfId="473" xr:uid="{00000000-0005-0000-0000-0000D9010000}"/>
    <cellStyle name="Título 2 2 2" xfId="474" xr:uid="{00000000-0005-0000-0000-0000DA010000}"/>
    <cellStyle name="Título 2 3" xfId="475" xr:uid="{00000000-0005-0000-0000-0000DB010000}"/>
    <cellStyle name="Título 2 3 2" xfId="476" xr:uid="{00000000-0005-0000-0000-0000DC010000}"/>
    <cellStyle name="Título 2 4" xfId="477" xr:uid="{00000000-0005-0000-0000-0000DD010000}"/>
    <cellStyle name="Título 3 2" xfId="478" xr:uid="{00000000-0005-0000-0000-0000DE010000}"/>
    <cellStyle name="Título 3 2 2" xfId="479" xr:uid="{00000000-0005-0000-0000-0000DF010000}"/>
    <cellStyle name="Título 3 3" xfId="480" xr:uid="{00000000-0005-0000-0000-0000E0010000}"/>
    <cellStyle name="Título 3 3 2" xfId="481" xr:uid="{00000000-0005-0000-0000-0000E1010000}"/>
    <cellStyle name="Título 3 4" xfId="482" xr:uid="{00000000-0005-0000-0000-0000E2010000}"/>
    <cellStyle name="Título 4" xfId="483" xr:uid="{00000000-0005-0000-0000-0000E3010000}"/>
    <cellStyle name="Título 4 2" xfId="484" xr:uid="{00000000-0005-0000-0000-0000E4010000}"/>
    <cellStyle name="Título 5" xfId="485" xr:uid="{00000000-0005-0000-0000-0000E5010000}"/>
    <cellStyle name="Título 5 2" xfId="486" xr:uid="{00000000-0005-0000-0000-0000E6010000}"/>
    <cellStyle name="Título 6" xfId="487" xr:uid="{00000000-0005-0000-0000-0000E7010000}"/>
    <cellStyle name="Total 2" xfId="488" xr:uid="{00000000-0005-0000-0000-0000E8010000}"/>
    <cellStyle name="Total 2 2" xfId="489" xr:uid="{00000000-0005-0000-0000-0000E9010000}"/>
    <cellStyle name="Total 3" xfId="490" xr:uid="{00000000-0005-0000-0000-0000EA010000}"/>
    <cellStyle name="Total 3 2" xfId="491" xr:uid="{00000000-0005-0000-0000-0000EB010000}"/>
    <cellStyle name="Total 4" xfId="492" xr:uid="{00000000-0005-0000-0000-0000EC010000}"/>
    <cellStyle name="vaca" xfId="493" xr:uid="{00000000-0005-0000-0000-0000ED010000}"/>
    <cellStyle name="Warning Text" xfId="494" xr:uid="{00000000-0005-0000-0000-0000EE010000}"/>
    <cellStyle name="Warning Text 2" xfId="495" xr:uid="{00000000-0005-0000-0000-0000EF010000}"/>
    <cellStyle name="Warning Text 3" xfId="496" xr:uid="{00000000-0005-0000-0000-0000F0010000}"/>
    <cellStyle name="Warning Text 4" xfId="497" xr:uid="{00000000-0005-0000-0000-0000F1010000}"/>
    <cellStyle name="Warning Text 5" xfId="498" xr:uid="{00000000-0005-0000-0000-0000F2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MX" sz="14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Rendimientos de obligaciones negociables Hard Dollar</a:t>
            </a:r>
            <a:endParaRPr lang="es-AR" sz="1400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3413649585000379"/>
          <c:y val="5.739803012479723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53485098507007"/>
          <c:y val="0.17485264416912649"/>
          <c:w val="0.82709667132557763"/>
          <c:h val="0.6664432109747381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685A3D-F886-49C4-ACA8-577871BD0022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F13-43BA-8992-11EBE464B0CF}"/>
                </c:ext>
              </c:extLst>
            </c:dLbl>
            <c:dLbl>
              <c:idx val="1"/>
              <c:layout>
                <c:manualLayout>
                  <c:x val="-8.2644617343057669E-2"/>
                  <c:y val="-2.2990987549489587E-3"/>
                </c:manualLayout>
              </c:layout>
              <c:tx>
                <c:rich>
                  <a:bodyPr/>
                  <a:lstStyle/>
                  <a:p>
                    <a:fld id="{5408765F-7DF6-49C0-BFD8-B48416729B34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F13-43BA-8992-11EBE464B0CF}"/>
                </c:ext>
              </c:extLst>
            </c:dLbl>
            <c:dLbl>
              <c:idx val="2"/>
              <c:layout>
                <c:manualLayout>
                  <c:x val="-8.2644617343058755E-3"/>
                  <c:y val="2.6366774708159249E-3"/>
                </c:manualLayout>
              </c:layout>
              <c:tx>
                <c:rich>
                  <a:bodyPr/>
                  <a:lstStyle/>
                  <a:p>
                    <a:fld id="{4ED1CBA5-A6DB-424F-99B0-45267AD48A90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F13-43BA-8992-11EBE464B0CF}"/>
                </c:ext>
              </c:extLst>
            </c:dLbl>
            <c:dLbl>
              <c:idx val="3"/>
              <c:layout>
                <c:manualLayout>
                  <c:x val="-6.6115693874446643E-3"/>
                  <c:y val="-1.0546705504010032E-2"/>
                </c:manualLayout>
              </c:layout>
              <c:tx>
                <c:rich>
                  <a:bodyPr/>
                  <a:lstStyle/>
                  <a:p>
                    <a:fld id="{EC377FDB-EDD6-4AF4-B240-5B39B92E3E81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F13-43BA-8992-11EBE464B0CF}"/>
                </c:ext>
              </c:extLst>
            </c:dLbl>
            <c:dLbl>
              <c:idx val="4"/>
              <c:layout>
                <c:manualLayout>
                  <c:x val="-4.9586770405834531E-3"/>
                  <c:y val="2.4678875654756847E-3"/>
                </c:manualLayout>
              </c:layout>
              <c:tx>
                <c:rich>
                  <a:bodyPr/>
                  <a:lstStyle/>
                  <a:p>
                    <a:fld id="{EC169A05-95D4-4549-8765-0C770068C0DF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F13-43BA-8992-11EBE464B0C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C4BCB55-CFD5-46ED-8BC7-CD82D61D5CC4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F13-43BA-8992-11EBE464B0CF}"/>
                </c:ext>
              </c:extLst>
            </c:dLbl>
            <c:dLbl>
              <c:idx val="6"/>
              <c:layout>
                <c:manualLayout>
                  <c:x val="-8.2644617343057541E-3"/>
                  <c:y val="-9.6677057108303764E-17"/>
                </c:manualLayout>
              </c:layout>
              <c:tx>
                <c:rich>
                  <a:bodyPr/>
                  <a:lstStyle/>
                  <a:p>
                    <a:fld id="{5C563ECF-E175-423C-9062-35751D83E9AC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F13-43BA-8992-11EBE464B0CF}"/>
                </c:ext>
              </c:extLst>
            </c:dLbl>
            <c:dLbl>
              <c:idx val="7"/>
              <c:layout>
                <c:manualLayout>
                  <c:x val="-8.2644617343057541E-3"/>
                  <c:y val="-2.6366774708159249E-3"/>
                </c:manualLayout>
              </c:layout>
              <c:tx>
                <c:rich>
                  <a:bodyPr/>
                  <a:lstStyle/>
                  <a:p>
                    <a:fld id="{BE6CFE68-47DA-40A7-A846-B1966A3092A4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F13-43BA-8992-11EBE464B0CF}"/>
                </c:ext>
              </c:extLst>
            </c:dLbl>
            <c:dLbl>
              <c:idx val="8"/>
              <c:layout>
                <c:manualLayout>
                  <c:x val="-4.958677040583513E-3"/>
                  <c:y val="0"/>
                </c:manualLayout>
              </c:layout>
              <c:tx>
                <c:rich>
                  <a:bodyPr/>
                  <a:lstStyle/>
                  <a:p>
                    <a:fld id="{A757E016-3BC8-40BD-8420-9DFBB52E06EE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F13-43BA-8992-11EBE464B0CF}"/>
                </c:ext>
              </c:extLst>
            </c:dLbl>
            <c:dLbl>
              <c:idx val="9"/>
              <c:layout>
                <c:manualLayout>
                  <c:x val="-6.6115693874446643E-3"/>
                  <c:y val="-2.6366763760025079E-3"/>
                </c:manualLayout>
              </c:layout>
              <c:tx>
                <c:rich>
                  <a:bodyPr/>
                  <a:lstStyle/>
                  <a:p>
                    <a:fld id="{D3815CBE-6755-46A0-8FBC-A48F52983A61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F13-43BA-8992-11EBE464B0CF}"/>
                </c:ext>
              </c:extLst>
            </c:dLbl>
            <c:dLbl>
              <c:idx val="10"/>
              <c:layout>
                <c:manualLayout>
                  <c:x val="-8.2644617343057246E-3"/>
                  <c:y val="7.9100324124477747E-3"/>
                </c:manualLayout>
              </c:layout>
              <c:tx>
                <c:rich>
                  <a:bodyPr/>
                  <a:lstStyle/>
                  <a:p>
                    <a:fld id="{647CE3F7-91E2-49DA-9AF9-2CC6FB72AD82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F13-43BA-8992-11EBE464B0CF}"/>
                </c:ext>
              </c:extLst>
            </c:dLbl>
            <c:dLbl>
              <c:idx val="11"/>
              <c:layout>
                <c:manualLayout>
                  <c:x val="-6.6115693874446036E-3"/>
                  <c:y val="0"/>
                </c:manualLayout>
              </c:layout>
              <c:tx>
                <c:rich>
                  <a:bodyPr/>
                  <a:lstStyle/>
                  <a:p>
                    <a:fld id="{180FE9DF-3464-4D4F-8E6B-A5128DB163CE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F13-43BA-8992-11EBE464B0C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46EB08C-5E00-4696-A5D9-ECAC80ED025C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F13-43BA-8992-11EBE464B0C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6B41AD0-E903-43DC-9850-B2B7EA7D93CA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F13-43BA-8992-11EBE464B0CF}"/>
                </c:ext>
              </c:extLst>
            </c:dLbl>
            <c:dLbl>
              <c:idx val="14"/>
              <c:layout>
                <c:manualLayout>
                  <c:x val="-4.9586770405834531E-3"/>
                  <c:y val="0"/>
                </c:manualLayout>
              </c:layout>
              <c:tx>
                <c:rich>
                  <a:bodyPr/>
                  <a:lstStyle/>
                  <a:p>
                    <a:fld id="{E48E6A44-745D-44B7-A744-369C2047E2B4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F13-43BA-8992-11EBE464B0CF}"/>
                </c:ext>
              </c:extLst>
            </c:dLbl>
            <c:dLbl>
              <c:idx val="15"/>
              <c:layout>
                <c:manualLayout>
                  <c:x val="-6.9421478568168341E-2"/>
                  <c:y val="-9.6677057108303764E-17"/>
                </c:manualLayout>
              </c:layout>
              <c:tx>
                <c:rich>
                  <a:bodyPr/>
                  <a:lstStyle/>
                  <a:p>
                    <a:fld id="{67F4B624-0889-4CA2-8FE8-0838D4A77FF8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F13-43BA-8992-11EBE464B0C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480ECCC-CFD8-4902-8618-9AF2BE28BB85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F13-43BA-8992-11EBE464B0CF}"/>
                </c:ext>
              </c:extLst>
            </c:dLbl>
            <c:dLbl>
              <c:idx val="17"/>
              <c:layout>
                <c:manualLayout>
                  <c:x val="-4.9586770405835737E-3"/>
                  <c:y val="-9.6677057108303764E-17"/>
                </c:manualLayout>
              </c:layout>
              <c:tx>
                <c:rich>
                  <a:bodyPr/>
                  <a:lstStyle/>
                  <a:p>
                    <a:fld id="{35BD907C-14BE-49E7-A821-8443BD6FA56C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655-4857-BD96-9A053950FA6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6AEFF1E-ADF4-43CA-A388-AE67171F331D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9D-41DB-A8BB-F38243F374DD}"/>
                </c:ext>
              </c:extLst>
            </c:dLbl>
            <c:dLbl>
              <c:idx val="19"/>
              <c:layout>
                <c:manualLayout>
                  <c:x val="-8.2644617343057541E-3"/>
                  <c:y val="-2.6366763760025079E-3"/>
                </c:manualLayout>
              </c:layout>
              <c:tx>
                <c:rich>
                  <a:bodyPr/>
                  <a:lstStyle/>
                  <a:p>
                    <a:fld id="{A975332B-B717-4929-B938-979ED1106C51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59D-41DB-A8BB-F38243F374DD}"/>
                </c:ext>
              </c:extLst>
            </c:dLbl>
            <c:dLbl>
              <c:idx val="20"/>
              <c:layout>
                <c:manualLayout>
                  <c:x val="-8.2644617343057541E-3"/>
                  <c:y val="5.273354941631947E-3"/>
                </c:manualLayout>
              </c:layout>
              <c:tx>
                <c:rich>
                  <a:bodyPr/>
                  <a:lstStyle/>
                  <a:p>
                    <a:fld id="{350CC513-455E-4B01-AB32-DA9FE923F38F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59D-41DB-A8BB-F38243F374DD}"/>
                </c:ext>
              </c:extLst>
            </c:dLbl>
            <c:dLbl>
              <c:idx val="21"/>
              <c:layout>
                <c:manualLayout>
                  <c:x val="-3.3057846937223322E-3"/>
                  <c:y val="-2.4169264277075941E-17"/>
                </c:manualLayout>
              </c:layout>
              <c:tx>
                <c:rich>
                  <a:bodyPr/>
                  <a:lstStyle/>
                  <a:p>
                    <a:fld id="{91E88F7D-476D-4E18-8C4F-9E681010A392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59D-41DB-A8BB-F38243F374D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E3E2032-EE9B-4B72-BA46-A0D17CAEA0B0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59D-41DB-A8BB-F38243F374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Emisiones!$Y$33:$Y$55</c:f>
              <c:numCache>
                <c:formatCode>0.00</c:formatCode>
                <c:ptCount val="23"/>
                <c:pt idx="0">
                  <c:v>1.4254262170729766</c:v>
                </c:pt>
                <c:pt idx="1">
                  <c:v>2.5182999774536126</c:v>
                </c:pt>
                <c:pt idx="2">
                  <c:v>1.9196260542727119</c:v>
                </c:pt>
                <c:pt idx="3">
                  <c:v>1.779246696930451</c:v>
                </c:pt>
                <c:pt idx="4">
                  <c:v>2.1953934318525321</c:v>
                </c:pt>
                <c:pt idx="5">
                  <c:v>1.0093300807896353</c:v>
                </c:pt>
                <c:pt idx="6">
                  <c:v>1.4518948538539542</c:v>
                </c:pt>
                <c:pt idx="7">
                  <c:v>1.2594260411530964</c:v>
                </c:pt>
                <c:pt idx="8">
                  <c:v>1.5078143612287369</c:v>
                </c:pt>
                <c:pt idx="9">
                  <c:v>1.5055739533484456</c:v>
                </c:pt>
                <c:pt idx="10">
                  <c:v>1.2436867462140788</c:v>
                </c:pt>
                <c:pt idx="11">
                  <c:v>1.5015412700667869</c:v>
                </c:pt>
                <c:pt idx="12">
                  <c:v>2.2003726240320112</c:v>
                </c:pt>
                <c:pt idx="13">
                  <c:v>3.951958073690867</c:v>
                </c:pt>
                <c:pt idx="14">
                  <c:v>1.8117726230936981</c:v>
                </c:pt>
                <c:pt idx="15">
                  <c:v>1.3887991701128259</c:v>
                </c:pt>
                <c:pt idx="16">
                  <c:v>4.3963134398745485</c:v>
                </c:pt>
                <c:pt idx="17">
                  <c:v>2.3323928824209035</c:v>
                </c:pt>
                <c:pt idx="18">
                  <c:v>2.6549053862680108</c:v>
                </c:pt>
                <c:pt idx="19">
                  <c:v>1.0203662043698369</c:v>
                </c:pt>
                <c:pt idx="20">
                  <c:v>1.3201146851889958</c:v>
                </c:pt>
                <c:pt idx="21">
                  <c:v>1.0917500149885411</c:v>
                </c:pt>
                <c:pt idx="22">
                  <c:v>3.0790993607637289</c:v>
                </c:pt>
              </c:numCache>
            </c:numRef>
          </c:xVal>
          <c:yVal>
            <c:numRef>
              <c:f>Emisiones!$X$33:$X$55</c:f>
              <c:numCache>
                <c:formatCode>0.00%</c:formatCode>
                <c:ptCount val="23"/>
                <c:pt idx="0">
                  <c:v>4.4645034179687501E-2</c:v>
                </c:pt>
                <c:pt idx="1">
                  <c:v>7.7922788085937514E-2</c:v>
                </c:pt>
                <c:pt idx="2">
                  <c:v>0.1358825732421875</c:v>
                </c:pt>
                <c:pt idx="3">
                  <c:v>7.1830864257812502E-2</c:v>
                </c:pt>
                <c:pt idx="4">
                  <c:v>0.10735604980468752</c:v>
                </c:pt>
                <c:pt idx="5">
                  <c:v>5.6615756835937517E-2</c:v>
                </c:pt>
                <c:pt idx="6">
                  <c:v>8.8754379882812526E-2</c:v>
                </c:pt>
                <c:pt idx="7">
                  <c:v>6.9242856445312514E-2</c:v>
                </c:pt>
                <c:pt idx="8">
                  <c:v>0.10780747558593752</c:v>
                </c:pt>
                <c:pt idx="9">
                  <c:v>7.2760668945312496E-2</c:v>
                </c:pt>
                <c:pt idx="10">
                  <c:v>6.6003002929687499E-2</c:v>
                </c:pt>
                <c:pt idx="11">
                  <c:v>8.113540527343753E-2</c:v>
                </c:pt>
                <c:pt idx="12">
                  <c:v>3.7262895507812505E-2</c:v>
                </c:pt>
                <c:pt idx="13">
                  <c:v>5.6122778320312511E-2</c:v>
                </c:pt>
                <c:pt idx="14">
                  <c:v>6.6196118164062526E-2</c:v>
                </c:pt>
                <c:pt idx="15">
                  <c:v>7.424617675781249E-2</c:v>
                </c:pt>
                <c:pt idx="16">
                  <c:v>9.7305336914062526E-2</c:v>
                </c:pt>
                <c:pt idx="17">
                  <c:v>9.8735776367187486E-2</c:v>
                </c:pt>
                <c:pt idx="18">
                  <c:v>7.8066694335937506E-2</c:v>
                </c:pt>
                <c:pt idx="19">
                  <c:v>6.1256440429687503E-2</c:v>
                </c:pt>
                <c:pt idx="20">
                  <c:v>5.7755766601562522E-2</c:v>
                </c:pt>
                <c:pt idx="21">
                  <c:v>0.1331277001953125</c:v>
                </c:pt>
                <c:pt idx="22">
                  <c:v>0.14523339355468751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Curva implícita actual</c:v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Emisiones!$V$33:$V$55</c15:f>
                <c15:dlblRangeCache>
                  <c:ptCount val="23"/>
                  <c:pt idx="0">
                    <c:v>Arcor 23</c:v>
                  </c:pt>
                  <c:pt idx="1">
                    <c:v>Capex24</c:v>
                  </c:pt>
                  <c:pt idx="2">
                    <c:v>Celulosa 25</c:v>
                  </c:pt>
                  <c:pt idx="3">
                    <c:v>CGC 23</c:v>
                  </c:pt>
                  <c:pt idx="4">
                    <c:v>CGC 25</c:v>
                  </c:pt>
                  <c:pt idx="5">
                    <c:v>Cresud 22</c:v>
                  </c:pt>
                  <c:pt idx="6">
                    <c:v>Cresud 23</c:v>
                  </c:pt>
                  <c:pt idx="7">
                    <c:v>Genneia 22</c:v>
                  </c:pt>
                  <c:pt idx="8">
                    <c:v>IRCP 23</c:v>
                  </c:pt>
                  <c:pt idx="9">
                    <c:v>IRSA 23</c:v>
                  </c:pt>
                  <c:pt idx="10">
                    <c:v>IRSA 23</c:v>
                  </c:pt>
                  <c:pt idx="11">
                    <c:v>IRSA 23</c:v>
                  </c:pt>
                  <c:pt idx="12">
                    <c:v>PAE 23</c:v>
                  </c:pt>
                  <c:pt idx="13">
                    <c:v>PAE 27</c:v>
                  </c:pt>
                  <c:pt idx="14">
                    <c:v>Pampa 23</c:v>
                  </c:pt>
                  <c:pt idx="15">
                    <c:v>PCR 23</c:v>
                  </c:pt>
                  <c:pt idx="16">
                    <c:v>Raghsa 27</c:v>
                  </c:pt>
                  <c:pt idx="17">
                    <c:v>Raghsa 23</c:v>
                  </c:pt>
                  <c:pt idx="18">
                    <c:v>Telecom 25</c:v>
                  </c:pt>
                  <c:pt idx="19">
                    <c:v>Vista 22</c:v>
                  </c:pt>
                  <c:pt idx="20">
                    <c:v>Vista 24</c:v>
                  </c:pt>
                  <c:pt idx="21">
                    <c:v>YPF 24</c:v>
                  </c:pt>
                  <c:pt idx="22">
                    <c:v>YPF 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FF13-43BA-8992-11EBE464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44896"/>
        <c:axId val="135751168"/>
      </c:scatterChart>
      <c:valAx>
        <c:axId val="135744896"/>
        <c:scaling>
          <c:orientation val="minMax"/>
          <c:max val="3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s-AR" sz="700">
                    <a:latin typeface="Bahnschrift SemiBold" panose="020B0502040204020203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49924869253563164"/>
              <c:y val="0.87072102703064003"/>
            </c:manualLayout>
          </c:layout>
          <c:overlay val="0"/>
        </c:title>
        <c:numFmt formatCode="0.0;[Red]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ea typeface="Microsoft JhengHei" panose="020B0604030504040204" pitchFamily="34" charset="-120"/>
                <a:cs typeface="Calibri" panose="020F0502020204030204" pitchFamily="34" charset="0"/>
              </a:defRPr>
            </a:pPr>
            <a:endParaRPr lang="es-AR"/>
          </a:p>
        </c:txPr>
        <c:crossAx val="135751168"/>
        <c:crosses val="autoZero"/>
        <c:crossBetween val="midCat"/>
        <c:minorUnit val="0.5"/>
      </c:valAx>
      <c:valAx>
        <c:axId val="135751168"/>
        <c:scaling>
          <c:orientation val="minMax"/>
          <c:max val="0.13"/>
          <c:min val="4.0000000000000008E-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700"/>
                </a:pPr>
                <a:r>
                  <a:rPr lang="en-US" sz="700" b="1">
                    <a:latin typeface="Bahnschrift SemiBold" panose="020B0502040204020203" pitchFamily="34" charset="0"/>
                    <a:cs typeface="Arial" panose="020B0604020202020204" pitchFamily="34" charset="0"/>
                  </a:rPr>
                  <a:t>TIR</a:t>
                </a:r>
              </a:p>
            </c:rich>
          </c:tx>
          <c:layout>
            <c:manualLayout>
              <c:xMode val="edge"/>
              <c:yMode val="edge"/>
              <c:x val="3.816328700418585E-2"/>
              <c:y val="0.47145586222904656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ea typeface="Microsoft JhengHei" panose="020B0604030504040204" pitchFamily="34" charset="-120"/>
                <a:cs typeface="Calibri" panose="020F0502020204030204" pitchFamily="34" charset="0"/>
              </a:defRPr>
            </a:pPr>
            <a:endParaRPr lang="es-AR"/>
          </a:p>
        </c:txPr>
        <c:crossAx val="135744896"/>
        <c:crossesAt val="0"/>
        <c:crossBetween val="midCat"/>
        <c:majorUnit val="1.0000000000000002E-2"/>
      </c:valAx>
      <c:spPr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571498</xdr:colOff>
      <xdr:row>2</xdr:row>
      <xdr:rowOff>101863</xdr:rowOff>
    </xdr:from>
    <xdr:to>
      <xdr:col>28</xdr:col>
      <xdr:colOff>634999</xdr:colOff>
      <xdr:row>29</xdr:row>
      <xdr:rowOff>101863</xdr:rowOff>
    </xdr:to>
    <xdr:grpSp>
      <xdr:nvGrpSpPr>
        <xdr:cNvPr id="2" name="Grupo 5">
          <a:extLst>
            <a:ext uri="{FF2B5EF4-FFF2-40B4-BE49-F238E27FC236}">
              <a16:creationId xmlns:a16="http://schemas.microsoft.com/office/drawing/2014/main" id="{F2CFA44C-FECE-40D0-8527-A8AF5C1740DF}"/>
            </a:ext>
          </a:extLst>
        </xdr:cNvPr>
        <xdr:cNvGrpSpPr/>
      </xdr:nvGrpSpPr>
      <xdr:grpSpPr>
        <a:xfrm>
          <a:off x="9334498" y="461696"/>
          <a:ext cx="7683501" cy="4868334"/>
          <a:chOff x="9515477" y="585921"/>
          <a:chExt cx="4562474" cy="3128831"/>
        </a:xfrm>
      </xdr:grpSpPr>
      <xdr:grpSp>
        <xdr:nvGrpSpPr>
          <xdr:cNvPr id="3" name="Grupo 3">
            <a:extLst>
              <a:ext uri="{FF2B5EF4-FFF2-40B4-BE49-F238E27FC236}">
                <a16:creationId xmlns:a16="http://schemas.microsoft.com/office/drawing/2014/main" id="{DACD4B72-116E-41DD-BD97-1B43118DD589}"/>
              </a:ext>
            </a:extLst>
          </xdr:cNvPr>
          <xdr:cNvGrpSpPr/>
        </xdr:nvGrpSpPr>
        <xdr:grpSpPr>
          <a:xfrm>
            <a:off x="9515477" y="619125"/>
            <a:ext cx="4562474" cy="3095627"/>
            <a:chOff x="1524000" y="571500"/>
            <a:chExt cx="4562474" cy="3095625"/>
          </a:xfrm>
        </xdr:grpSpPr>
        <xdr:graphicFrame macro="">
          <xdr:nvGraphicFramePr>
            <xdr:cNvPr id="5" name="4 Gráfico">
              <a:extLst>
                <a:ext uri="{FF2B5EF4-FFF2-40B4-BE49-F238E27FC236}">
                  <a16:creationId xmlns:a16="http://schemas.microsoft.com/office/drawing/2014/main" id="{4AF70609-3D5A-4F4B-A27F-F09606315E5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1524000" y="571500"/>
            <a:ext cx="4562474" cy="30956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6" name="CuadroTexto 2">
              <a:extLst>
                <a:ext uri="{FF2B5EF4-FFF2-40B4-BE49-F238E27FC236}">
                  <a16:creationId xmlns:a16="http://schemas.microsoft.com/office/drawing/2014/main" id="{63F8AB9B-AE5B-487E-A9D5-4A4C0A809383}"/>
                </a:ext>
              </a:extLst>
            </xdr:cNvPr>
            <xdr:cNvSpPr txBox="1"/>
          </xdr:nvSpPr>
          <xdr:spPr>
            <a:xfrm>
              <a:off x="2085158" y="918056"/>
              <a:ext cx="3816206" cy="1541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AR" sz="1050" i="1">
                  <a:latin typeface="Arial Nova Light" panose="020B0304020202020204" pitchFamily="34" charset="0"/>
                </a:rPr>
                <a:t>Tasas calculadas con</a:t>
              </a:r>
              <a:r>
                <a:rPr lang="es-AR" sz="1050" i="1" baseline="0">
                  <a:latin typeface="Arial Nova Light" panose="020B0304020202020204" pitchFamily="34" charset="0"/>
                </a:rPr>
                <a:t> px. en dólar MEP BYMA 48hs</a:t>
              </a:r>
              <a:endParaRPr lang="es-AR" sz="1050" i="1">
                <a:latin typeface="Arial Nova Light" panose="020B0304020202020204" pitchFamily="34" charset="0"/>
              </a:endParaRPr>
            </a:p>
          </xdr:txBody>
        </xdr:sp>
      </xdr:grpSp>
      <xdr:sp macro="" textlink="">
        <xdr:nvSpPr>
          <xdr:cNvPr id="4" name="CuadroTexto 4">
            <a:extLst>
              <a:ext uri="{FF2B5EF4-FFF2-40B4-BE49-F238E27FC236}">
                <a16:creationId xmlns:a16="http://schemas.microsoft.com/office/drawing/2014/main" id="{8584EA86-7BF7-4333-9B60-87A6AF91CC5B}"/>
              </a:ext>
            </a:extLst>
          </xdr:cNvPr>
          <xdr:cNvSpPr txBox="1"/>
        </xdr:nvSpPr>
        <xdr:spPr>
          <a:xfrm>
            <a:off x="9731435" y="585921"/>
            <a:ext cx="720094" cy="2090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AR" sz="1100">
                <a:solidFill>
                  <a:schemeClr val="bg1"/>
                </a:solidFill>
                <a:latin typeface="Bahnschrift SemiBold" panose="020B0502040204020203" pitchFamily="34" charset="0"/>
              </a:rPr>
              <a:t>Cuadro</a:t>
            </a:r>
            <a:r>
              <a:rPr lang="es-AR" sz="1100" baseline="0">
                <a:solidFill>
                  <a:schemeClr val="bg1"/>
                </a:solidFill>
                <a:latin typeface="Bahnschrift SemiBold" panose="020B0502040204020203" pitchFamily="34" charset="0"/>
              </a:rPr>
              <a:t> VII</a:t>
            </a:r>
            <a:endParaRPr lang="es-AR" sz="1100">
              <a:solidFill>
                <a:schemeClr val="bg1"/>
              </a:solidFill>
              <a:latin typeface="Bahnschrift SemiBold" panose="020B0502040204020203" pitchFamily="34" charset="0"/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0.15658</cdr:x>
      <cdr:y>0.90462</cdr:y>
    </cdr:from>
    <cdr:to>
      <cdr:x>0.91858</cdr:x>
      <cdr:y>0.95692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218F723-54E8-4DF8-8A69-6FB9438A645D}"/>
            </a:ext>
          </a:extLst>
        </cdr:cNvPr>
        <cdr:cNvSpPr txBox="1"/>
      </cdr:nvSpPr>
      <cdr:spPr>
        <a:xfrm xmlns:a="http://schemas.openxmlformats.org/drawingml/2006/main">
          <a:off x="714375" y="2800351"/>
          <a:ext cx="3476625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0.15031</cdr:x>
      <cdr:y>0.89538</cdr:y>
    </cdr:from>
    <cdr:to>
      <cdr:x>0.92902</cdr:x>
      <cdr:y>0.96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FE387DE7-7F37-4136-8494-5FAFA9866E88}"/>
            </a:ext>
          </a:extLst>
        </cdr:cNvPr>
        <cdr:cNvSpPr txBox="1"/>
      </cdr:nvSpPr>
      <cdr:spPr>
        <a:xfrm xmlns:a="http://schemas.openxmlformats.org/drawingml/2006/main">
          <a:off x="685800" y="2771776"/>
          <a:ext cx="35528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0.09083</cdr:x>
      <cdr:y>0.92245</cdr:y>
    </cdr:from>
    <cdr:to>
      <cdr:x>0.97109</cdr:x>
      <cdr:y>0.97211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8B8D3250-B281-413D-8A46-BA8110802784}"/>
            </a:ext>
          </a:extLst>
        </cdr:cNvPr>
        <cdr:cNvSpPr txBox="1"/>
      </cdr:nvSpPr>
      <cdr:spPr>
        <a:xfrm xmlns:a="http://schemas.openxmlformats.org/drawingml/2006/main">
          <a:off x="697892" y="4443136"/>
          <a:ext cx="6763479" cy="2391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r"/>
          <a:r>
            <a:rPr lang="es-AR" sz="700" i="1">
              <a:solidFill>
                <a:sysClr val="windowText" lastClr="000000"/>
              </a:solidFill>
              <a:latin typeface="Arial Nova Light" panose="020B0304020202090204" pitchFamily="34" charset="0"/>
              <a:cs typeface="Arial" panose="020B0604020202020204" pitchFamily="34" charset="0"/>
            </a:rPr>
            <a:t>Fuente: BAVSA Research en base a BYMA y cálculos propios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2E5B-F1A5-4BA5-8867-97FD4C30C11A}">
  <dimension ref="B2:Y71"/>
  <sheetViews>
    <sheetView showGridLines="0" tabSelected="1" zoomScale="90" zoomScaleNormal="90" workbookViewId="0">
      <selection activeCell="P12" sqref="P12"/>
    </sheetView>
  </sheetViews>
  <sheetFormatPr baseColWidth="10" defaultRowHeight="14.25" x14ac:dyDescent="0.2"/>
  <cols>
    <col min="1" max="1" width="2.7109375" style="1" customWidth="1"/>
    <col min="2" max="2" width="23.42578125" style="1" hidden="1" customWidth="1"/>
    <col min="3" max="3" width="14.140625" style="1" hidden="1" customWidth="1"/>
    <col min="4" max="4" width="11.28515625" style="1" hidden="1" customWidth="1"/>
    <col min="5" max="5" width="16.85546875" style="1" hidden="1" customWidth="1"/>
    <col min="6" max="6" width="11" style="1" hidden="1" customWidth="1"/>
    <col min="7" max="7" width="13.42578125" style="1" hidden="1" customWidth="1"/>
    <col min="8" max="8" width="2.7109375" style="1" customWidth="1"/>
    <col min="9" max="9" width="11.42578125" style="1"/>
    <col min="10" max="10" width="21.7109375" style="1" bestFit="1" customWidth="1"/>
    <col min="11" max="12" width="12.28515625" style="1" bestFit="1" customWidth="1"/>
    <col min="13" max="13" width="9.42578125" style="1" customWidth="1"/>
    <col min="14" max="14" width="14.140625" style="1" customWidth="1"/>
    <col min="15" max="15" width="10.5703125" style="1" customWidth="1"/>
    <col min="16" max="16" width="11.42578125" style="37"/>
    <col min="17" max="16384" width="11.42578125" style="1"/>
  </cols>
  <sheetData>
    <row r="2" spans="2:18" x14ac:dyDescent="0.2">
      <c r="J2" s="52" t="s">
        <v>135</v>
      </c>
      <c r="K2" s="53">
        <v>44383</v>
      </c>
    </row>
    <row r="3" spans="2:18" x14ac:dyDescent="0.2">
      <c r="K3" s="40"/>
    </row>
    <row r="5" spans="2:18" ht="15" x14ac:dyDescent="0.25">
      <c r="B5" s="19" t="s">
        <v>77</v>
      </c>
      <c r="C5" s="19" t="s">
        <v>76</v>
      </c>
      <c r="D5" s="19" t="s">
        <v>49</v>
      </c>
      <c r="E5" s="19" t="s">
        <v>75</v>
      </c>
      <c r="F5" s="19" t="s">
        <v>78</v>
      </c>
      <c r="G5" s="19" t="s">
        <v>83</v>
      </c>
      <c r="J5" s="14" t="s">
        <v>77</v>
      </c>
      <c r="K5" s="14" t="s">
        <v>11</v>
      </c>
      <c r="L5" s="14" t="s">
        <v>82</v>
      </c>
      <c r="M5" s="14" t="s">
        <v>19</v>
      </c>
      <c r="N5" s="14" t="s">
        <v>83</v>
      </c>
      <c r="O5" s="14" t="s">
        <v>149</v>
      </c>
      <c r="P5" s="45" t="s">
        <v>129</v>
      </c>
      <c r="Q5" s="14" t="s">
        <v>14</v>
      </c>
      <c r="R5" s="14" t="s">
        <v>130</v>
      </c>
    </row>
    <row r="6" spans="2:18" x14ac:dyDescent="0.2">
      <c r="B6" s="1" t="s">
        <v>50</v>
      </c>
      <c r="C6" s="20" t="s">
        <v>109</v>
      </c>
      <c r="D6" s="5">
        <v>46419</v>
      </c>
      <c r="E6" s="1" t="s">
        <v>62</v>
      </c>
      <c r="F6" s="41">
        <v>150000</v>
      </c>
      <c r="G6" s="9">
        <v>53066000</v>
      </c>
      <c r="J6" s="20" t="s">
        <v>86</v>
      </c>
      <c r="K6" s="20" t="s">
        <v>87</v>
      </c>
      <c r="L6" s="5">
        <v>45391</v>
      </c>
      <c r="M6" s="41">
        <v>500</v>
      </c>
      <c r="N6" s="9">
        <v>150000000</v>
      </c>
      <c r="O6" s="25">
        <v>6.7000000000000004E-2</v>
      </c>
      <c r="P6" s="51">
        <v>106.5</v>
      </c>
      <c r="Q6" s="21">
        <f>+LMS1O!I20</f>
        <v>3.084691894531251E-2</v>
      </c>
      <c r="R6" s="22">
        <f>+LMS1O!I21</f>
        <v>2.499907403996521</v>
      </c>
    </row>
    <row r="7" spans="2:18" x14ac:dyDescent="0.2">
      <c r="B7" s="1" t="s">
        <v>50</v>
      </c>
      <c r="C7" s="20" t="s">
        <v>107</v>
      </c>
      <c r="D7" s="5">
        <v>46419</v>
      </c>
      <c r="E7" s="5" t="s">
        <v>108</v>
      </c>
      <c r="F7" s="41">
        <v>130000</v>
      </c>
      <c r="G7" s="9">
        <v>306000066</v>
      </c>
      <c r="J7" s="20" t="s">
        <v>99</v>
      </c>
      <c r="K7" s="20" t="s">
        <v>30</v>
      </c>
      <c r="L7" s="5">
        <v>45113</v>
      </c>
      <c r="M7" s="41">
        <v>1000</v>
      </c>
      <c r="N7" s="9">
        <v>500000000</v>
      </c>
      <c r="O7" s="25">
        <v>0.06</v>
      </c>
      <c r="P7" s="51">
        <v>106</v>
      </c>
      <c r="Q7" s="21">
        <f>+RCC9O!I13</f>
        <v>4.4645034179687501E-2</v>
      </c>
      <c r="R7" s="22">
        <f>+RCC9O!I14</f>
        <v>1.4254262170729766</v>
      </c>
    </row>
    <row r="8" spans="2:18" x14ac:dyDescent="0.2">
      <c r="B8" s="1" t="s">
        <v>51</v>
      </c>
      <c r="C8" s="20"/>
      <c r="D8" s="5">
        <v>44958</v>
      </c>
      <c r="E8" s="1" t="s">
        <v>63</v>
      </c>
      <c r="F8" s="41">
        <v>150000</v>
      </c>
      <c r="G8" s="9"/>
      <c r="J8" s="20" t="s">
        <v>131</v>
      </c>
      <c r="K8" s="20" t="s">
        <v>132</v>
      </c>
      <c r="L8" s="5">
        <v>45427</v>
      </c>
      <c r="M8" s="41">
        <v>1000</v>
      </c>
      <c r="N8" s="9">
        <v>300000000</v>
      </c>
      <c r="O8" s="25">
        <v>6.8750000000000006E-2</v>
      </c>
      <c r="P8" s="51">
        <v>99</v>
      </c>
      <c r="Q8" s="21">
        <f>+CAC2O!I14</f>
        <v>7.7922788085937514E-2</v>
      </c>
      <c r="R8" s="22">
        <f>+CAC2O!I15</f>
        <v>2.5182999774536126</v>
      </c>
    </row>
    <row r="9" spans="2:18" x14ac:dyDescent="0.2">
      <c r="B9" s="1" t="s">
        <v>52</v>
      </c>
      <c r="C9" s="20"/>
      <c r="D9" s="5">
        <v>45134</v>
      </c>
      <c r="E9" s="1" t="s">
        <v>64</v>
      </c>
      <c r="F9" s="41">
        <v>150000</v>
      </c>
      <c r="G9" s="9"/>
      <c r="J9" s="27" t="s">
        <v>120</v>
      </c>
      <c r="K9" s="27" t="s">
        <v>121</v>
      </c>
      <c r="L9" s="28">
        <v>45812</v>
      </c>
      <c r="M9" s="42">
        <v>1</v>
      </c>
      <c r="N9" s="29">
        <v>63101501</v>
      </c>
      <c r="O9" s="30">
        <v>0.1</v>
      </c>
      <c r="P9" s="51">
        <v>85.7</v>
      </c>
      <c r="Q9" s="31">
        <f>+CRCEO!I25</f>
        <v>0.1358825732421875</v>
      </c>
      <c r="R9" s="32">
        <f>+CRCEO!I26</f>
        <v>1.9196260542727119</v>
      </c>
    </row>
    <row r="10" spans="2:18" x14ac:dyDescent="0.2">
      <c r="B10" s="1" t="s">
        <v>53</v>
      </c>
      <c r="C10" s="20"/>
      <c r="D10" s="5">
        <v>46481</v>
      </c>
      <c r="E10" s="1" t="s">
        <v>65</v>
      </c>
      <c r="F10" s="41">
        <v>100000</v>
      </c>
      <c r="G10" s="9"/>
      <c r="J10" s="20" t="s">
        <v>61</v>
      </c>
      <c r="K10" s="20" t="s">
        <v>204</v>
      </c>
      <c r="L10" s="5">
        <v>45087</v>
      </c>
      <c r="M10" s="41">
        <v>1</v>
      </c>
      <c r="N10" s="9">
        <v>14037140</v>
      </c>
      <c r="O10" s="25">
        <f>+CP21O!C10</f>
        <v>7.0000000000000007E-2</v>
      </c>
      <c r="P10" s="51">
        <v>100.5</v>
      </c>
      <c r="Q10" s="21">
        <f>+CP21O!I16</f>
        <v>7.1830864257812502E-2</v>
      </c>
      <c r="R10" s="22">
        <f>+CP21O!I17</f>
        <v>1.779246696930451</v>
      </c>
    </row>
    <row r="11" spans="2:18" x14ac:dyDescent="0.2">
      <c r="B11" s="1" t="s">
        <v>54</v>
      </c>
      <c r="C11" s="20" t="s">
        <v>110</v>
      </c>
      <c r="D11" s="5">
        <v>46330</v>
      </c>
      <c r="E11" s="1" t="s">
        <v>66</v>
      </c>
      <c r="F11" s="41">
        <v>150000</v>
      </c>
      <c r="G11" s="9">
        <v>400000000</v>
      </c>
      <c r="J11" s="27" t="s">
        <v>61</v>
      </c>
      <c r="K11" s="27" t="s">
        <v>150</v>
      </c>
      <c r="L11" s="28">
        <v>45724</v>
      </c>
      <c r="M11" s="42">
        <v>1000</v>
      </c>
      <c r="N11" s="29">
        <v>196110000</v>
      </c>
      <c r="O11" s="30">
        <v>9.5000000000000001E-2</v>
      </c>
      <c r="P11" s="51">
        <v>100.9</v>
      </c>
      <c r="Q11" s="31">
        <f>+CP17O!I16</f>
        <v>0.10735604980468752</v>
      </c>
      <c r="R11" s="32">
        <f>+CP17O!I17</f>
        <v>2.1953934318525321</v>
      </c>
    </row>
    <row r="12" spans="2:18" x14ac:dyDescent="0.2">
      <c r="B12" s="1" t="s">
        <v>56</v>
      </c>
      <c r="C12" s="20"/>
      <c r="D12" s="5">
        <v>46222</v>
      </c>
      <c r="E12" s="1" t="s">
        <v>67</v>
      </c>
      <c r="F12" s="41">
        <v>200000</v>
      </c>
      <c r="G12" s="9"/>
      <c r="J12" s="33" t="s">
        <v>80</v>
      </c>
      <c r="K12" s="33" t="s">
        <v>81</v>
      </c>
      <c r="L12" s="34">
        <v>44388</v>
      </c>
      <c r="M12" s="43">
        <v>1</v>
      </c>
      <c r="N12" s="35">
        <v>59561897</v>
      </c>
      <c r="O12" s="36"/>
      <c r="P12" s="48"/>
      <c r="Q12" s="33"/>
      <c r="R12" s="33"/>
    </row>
    <row r="13" spans="2:18" x14ac:dyDescent="0.2">
      <c r="B13" s="1" t="s">
        <v>57</v>
      </c>
      <c r="C13" s="20"/>
      <c r="D13" s="5">
        <v>46589</v>
      </c>
      <c r="E13" s="1" t="s">
        <v>68</v>
      </c>
      <c r="F13" s="41">
        <v>10000</v>
      </c>
      <c r="G13" s="9"/>
      <c r="J13" s="27" t="s">
        <v>80</v>
      </c>
      <c r="K13" s="27" t="s">
        <v>118</v>
      </c>
      <c r="L13" s="54">
        <v>44877</v>
      </c>
      <c r="M13" s="42">
        <v>1</v>
      </c>
      <c r="N13" s="29">
        <f>+CSJYO!C9</f>
        <v>34234106</v>
      </c>
      <c r="O13" s="30">
        <f>+CSJYO!C10</f>
        <v>0.09</v>
      </c>
      <c r="P13" s="51">
        <v>105</v>
      </c>
      <c r="Q13" s="31">
        <f>+CSJYO!I14</f>
        <v>5.6615756835937517E-2</v>
      </c>
      <c r="R13" s="32">
        <f>+CSJYO!I15</f>
        <v>1.0093300807896353</v>
      </c>
    </row>
    <row r="14" spans="2:18" x14ac:dyDescent="0.2">
      <c r="B14" s="1" t="s">
        <v>57</v>
      </c>
      <c r="C14" s="20"/>
      <c r="D14" s="5">
        <v>47296</v>
      </c>
      <c r="E14" s="1" t="s">
        <v>69</v>
      </c>
      <c r="F14" s="41">
        <v>10000</v>
      </c>
      <c r="G14" s="9"/>
      <c r="J14" s="20" t="s">
        <v>80</v>
      </c>
      <c r="K14" s="20" t="s">
        <v>89</v>
      </c>
      <c r="L14" s="5">
        <v>44973</v>
      </c>
      <c r="M14" s="41">
        <v>1</v>
      </c>
      <c r="N14" s="9">
        <v>113158632</v>
      </c>
      <c r="O14" s="25">
        <v>6.5000000000000002E-2</v>
      </c>
      <c r="P14" s="51">
        <v>99.25</v>
      </c>
      <c r="Q14" s="21">
        <f>+CSDOO!I14</f>
        <v>8.8754379882812526E-2</v>
      </c>
      <c r="R14" s="22">
        <f>+CSDOO!I15</f>
        <v>1.4518948538539542</v>
      </c>
    </row>
    <row r="15" spans="2:18" x14ac:dyDescent="0.2">
      <c r="B15" s="1" t="s">
        <v>57</v>
      </c>
      <c r="C15" s="20"/>
      <c r="D15" s="5">
        <v>54041</v>
      </c>
      <c r="E15" s="1" t="s">
        <v>70</v>
      </c>
      <c r="F15" s="41">
        <v>10000</v>
      </c>
      <c r="G15" s="9"/>
      <c r="J15" s="33" t="s">
        <v>88</v>
      </c>
      <c r="K15" s="33" t="s">
        <v>174</v>
      </c>
      <c r="L15" s="34">
        <v>44859</v>
      </c>
      <c r="M15" s="43">
        <v>2000</v>
      </c>
      <c r="N15" s="35">
        <v>98281000</v>
      </c>
      <c r="O15" s="36"/>
      <c r="P15" s="48"/>
      <c r="Q15" s="33"/>
      <c r="R15" s="33"/>
    </row>
    <row r="16" spans="2:18" x14ac:dyDescent="0.2">
      <c r="B16" s="1" t="s">
        <v>58</v>
      </c>
      <c r="C16" s="20"/>
      <c r="D16" s="5">
        <v>45689</v>
      </c>
      <c r="E16" s="1" t="s">
        <v>71</v>
      </c>
      <c r="F16" s="41">
        <v>150000</v>
      </c>
      <c r="G16" s="9"/>
      <c r="I16" s="37"/>
      <c r="J16" s="27" t="s">
        <v>93</v>
      </c>
      <c r="K16" s="27" t="s">
        <v>124</v>
      </c>
      <c r="L16" s="28">
        <v>44581</v>
      </c>
      <c r="M16" s="42">
        <v>1000</v>
      </c>
      <c r="N16" s="29">
        <v>500000000</v>
      </c>
      <c r="O16" s="30">
        <v>8.7499999999999994E-2</v>
      </c>
      <c r="P16" s="51">
        <v>104.2</v>
      </c>
      <c r="Q16" s="31">
        <f>+GNCLO!I10</f>
        <v>8.5359506835937474E-2</v>
      </c>
      <c r="R16" s="32">
        <f>+GNCLO!I11</f>
        <v>0.49675021844877815</v>
      </c>
    </row>
    <row r="17" spans="2:25" x14ac:dyDescent="0.2">
      <c r="B17" s="1" t="s">
        <v>59</v>
      </c>
      <c r="C17" s="20"/>
      <c r="D17" s="5">
        <v>46411</v>
      </c>
      <c r="E17" s="1" t="s">
        <v>72</v>
      </c>
      <c r="F17" s="41">
        <v>150000</v>
      </c>
      <c r="G17" s="9"/>
      <c r="J17" s="27" t="s">
        <v>93</v>
      </c>
      <c r="K17" s="27" t="s">
        <v>114</v>
      </c>
      <c r="L17" s="28">
        <v>44889</v>
      </c>
      <c r="M17" s="42">
        <v>100</v>
      </c>
      <c r="N17" s="29">
        <v>30902366</v>
      </c>
      <c r="O17" s="30">
        <v>0.12</v>
      </c>
      <c r="P17" s="51">
        <v>108.25</v>
      </c>
      <c r="Q17" s="31">
        <f>+GNCWO!I14</f>
        <v>6.9242856445312514E-2</v>
      </c>
      <c r="R17" s="32">
        <f>+GNCWO!I15</f>
        <v>1.2594260411530964</v>
      </c>
    </row>
    <row r="18" spans="2:25" x14ac:dyDescent="0.2">
      <c r="B18" s="1" t="s">
        <v>59</v>
      </c>
      <c r="C18" s="20"/>
      <c r="D18" s="5">
        <v>47223</v>
      </c>
      <c r="E18" s="1" t="s">
        <v>73</v>
      </c>
      <c r="F18" s="41">
        <v>150000</v>
      </c>
      <c r="G18" s="9"/>
      <c r="J18" s="20" t="s">
        <v>153</v>
      </c>
      <c r="K18" s="20" t="s">
        <v>112</v>
      </c>
      <c r="L18" s="5">
        <v>45008</v>
      </c>
      <c r="M18" s="41">
        <v>500</v>
      </c>
      <c r="N18" s="9">
        <v>360000000</v>
      </c>
      <c r="O18" s="25">
        <f>+RPC2O!C10</f>
        <v>8.7499999999999994E-2</v>
      </c>
      <c r="P18" s="51">
        <v>99.8</v>
      </c>
      <c r="Q18" s="21">
        <f>+RPC2O!I14</f>
        <v>0.10780747558593752</v>
      </c>
      <c r="R18" s="22">
        <f>+RPC2O!I15</f>
        <v>1.5078143612287369</v>
      </c>
    </row>
    <row r="19" spans="2:25" x14ac:dyDescent="0.2">
      <c r="B19" s="1" t="s">
        <v>60</v>
      </c>
      <c r="C19" s="20"/>
      <c r="D19" s="5">
        <v>46228</v>
      </c>
      <c r="E19" s="1" t="s">
        <v>74</v>
      </c>
      <c r="F19" s="41">
        <v>1000</v>
      </c>
      <c r="G19" s="9"/>
      <c r="J19" s="20" t="s">
        <v>111</v>
      </c>
      <c r="K19" s="20" t="s">
        <v>119</v>
      </c>
      <c r="L19" s="5">
        <v>44986</v>
      </c>
      <c r="M19" s="41">
        <v>1</v>
      </c>
      <c r="N19" s="9">
        <v>3060519</v>
      </c>
      <c r="O19" s="25">
        <v>0.1</v>
      </c>
      <c r="P19" s="51">
        <v>106</v>
      </c>
      <c r="Q19" s="21">
        <f>+IRC1O!J14</f>
        <v>7.2760668945312496E-2</v>
      </c>
      <c r="R19" s="22">
        <f>+IRC1O!J15</f>
        <v>1.5055739533484456</v>
      </c>
    </row>
    <row r="20" spans="2:25" x14ac:dyDescent="0.2">
      <c r="G20" s="9"/>
      <c r="J20" s="20" t="s">
        <v>111</v>
      </c>
      <c r="K20" s="20" t="s">
        <v>113</v>
      </c>
      <c r="L20" s="5">
        <v>45242</v>
      </c>
      <c r="M20" s="41">
        <v>1</v>
      </c>
      <c r="N20" s="9">
        <v>31679760</v>
      </c>
      <c r="O20" s="25">
        <v>0.1</v>
      </c>
      <c r="P20" s="51">
        <v>106</v>
      </c>
      <c r="Q20" s="21">
        <f>+IRC8O!J17</f>
        <v>6.6003002929687499E-2</v>
      </c>
      <c r="R20" s="22">
        <f>+IRC8O!J18</f>
        <v>1.2436867462140788</v>
      </c>
    </row>
    <row r="21" spans="2:25" x14ac:dyDescent="0.2">
      <c r="G21" s="9"/>
      <c r="J21" s="20" t="s">
        <v>111</v>
      </c>
      <c r="K21" s="20" t="s">
        <v>115</v>
      </c>
      <c r="L21" s="5">
        <v>44986</v>
      </c>
      <c r="M21" s="41">
        <v>1</v>
      </c>
      <c r="N21" s="9">
        <v>80676505</v>
      </c>
      <c r="O21" s="25">
        <v>0.1</v>
      </c>
      <c r="P21" s="51">
        <v>104.75</v>
      </c>
      <c r="Q21" s="21">
        <f>+IRC9O!J17</f>
        <v>8.113540527343753E-2</v>
      </c>
      <c r="R21" s="22">
        <f>+IRC9O!J18</f>
        <v>1.5015412700667869</v>
      </c>
    </row>
    <row r="22" spans="2:25" x14ac:dyDescent="0.2">
      <c r="G22" s="9"/>
      <c r="J22" s="20" t="s">
        <v>116</v>
      </c>
      <c r="K22" s="20" t="s">
        <v>117</v>
      </c>
      <c r="L22" s="5">
        <v>44380</v>
      </c>
      <c r="M22" s="41">
        <v>1</v>
      </c>
      <c r="N22" s="9">
        <v>199693422</v>
      </c>
      <c r="O22" s="25">
        <v>0.12625</v>
      </c>
      <c r="P22" s="51">
        <v>108</v>
      </c>
      <c r="Q22" s="21" t="e">
        <f>+MTCFO!I10</f>
        <v>#NUM!</v>
      </c>
      <c r="R22" s="22" t="e">
        <f>+MTCFO!I11</f>
        <v>#NUM!</v>
      </c>
    </row>
    <row r="23" spans="2:25" x14ac:dyDescent="0.2">
      <c r="G23" s="9"/>
      <c r="J23" s="20" t="s">
        <v>104</v>
      </c>
      <c r="K23" s="27" t="s">
        <v>127</v>
      </c>
      <c r="L23" s="5">
        <v>45245</v>
      </c>
      <c r="M23" s="41">
        <v>1</v>
      </c>
      <c r="N23" s="9">
        <v>120000000</v>
      </c>
      <c r="O23" s="25">
        <v>0.05</v>
      </c>
      <c r="P23" s="51">
        <v>106</v>
      </c>
      <c r="Q23" s="21">
        <f>+PNC9O!I13</f>
        <v>3.7262895507812505E-2</v>
      </c>
      <c r="R23" s="22">
        <f>+PNC9O!I14</f>
        <v>2.2003726240320112</v>
      </c>
    </row>
    <row r="24" spans="2:25" x14ac:dyDescent="0.2">
      <c r="G24" s="9"/>
      <c r="J24" s="20" t="s">
        <v>104</v>
      </c>
      <c r="K24" s="20" t="s">
        <v>165</v>
      </c>
      <c r="L24" s="5">
        <f>+PNDCO!C6</f>
        <v>46507</v>
      </c>
      <c r="M24" s="41">
        <v>1000</v>
      </c>
      <c r="N24" s="9">
        <v>300000000</v>
      </c>
      <c r="O24" s="25">
        <v>9.1249999999999998E-2</v>
      </c>
      <c r="P24" s="51">
        <v>116.6</v>
      </c>
      <c r="Q24" s="21">
        <f>+PNDCO!J20</f>
        <v>5.6122778320312511E-2</v>
      </c>
      <c r="R24" s="22">
        <f>+PNDCO!J21</f>
        <v>3.951958073690867</v>
      </c>
    </row>
    <row r="25" spans="2:25" x14ac:dyDescent="0.2">
      <c r="J25" s="20" t="s">
        <v>96</v>
      </c>
      <c r="K25" s="20" t="s">
        <v>98</v>
      </c>
      <c r="L25" s="5">
        <v>45128</v>
      </c>
      <c r="M25" s="41">
        <v>1000</v>
      </c>
      <c r="N25" s="9">
        <v>500000000</v>
      </c>
      <c r="O25" s="25">
        <v>7.3749999999999996E-2</v>
      </c>
      <c r="P25" s="51">
        <v>105</v>
      </c>
      <c r="Q25" s="21">
        <f>+PTSTO!I13</f>
        <v>6.6196118164062526E-2</v>
      </c>
      <c r="R25" s="22">
        <f>+PTSTO!I14</f>
        <v>1.8117726230936981</v>
      </c>
    </row>
    <row r="26" spans="2:25" x14ac:dyDescent="0.2">
      <c r="J26" s="27" t="s">
        <v>146</v>
      </c>
      <c r="K26" s="27" t="s">
        <v>157</v>
      </c>
      <c r="L26" s="28">
        <v>44955</v>
      </c>
      <c r="M26" s="42">
        <v>1</v>
      </c>
      <c r="N26" s="29">
        <v>30119338</v>
      </c>
      <c r="O26" s="30">
        <v>0.09</v>
      </c>
      <c r="P26" s="51">
        <v>104.25</v>
      </c>
      <c r="Q26" s="31">
        <f>+PQCDO!I15</f>
        <v>7.424617675781249E-2</v>
      </c>
      <c r="R26" s="32">
        <f>+PQCDO!I16</f>
        <v>1.3887991701128259</v>
      </c>
    </row>
    <row r="27" spans="2:25" x14ac:dyDescent="0.2">
      <c r="J27" s="27" t="s">
        <v>167</v>
      </c>
      <c r="K27" s="27" t="s">
        <v>166</v>
      </c>
      <c r="L27" s="28">
        <v>46511</v>
      </c>
      <c r="M27" s="42">
        <v>1000</v>
      </c>
      <c r="N27" s="29">
        <v>58342000</v>
      </c>
      <c r="O27" s="30">
        <v>8.5000000000000006E-2</v>
      </c>
      <c r="P27" s="51">
        <v>97</v>
      </c>
      <c r="Q27" s="31">
        <f>+RAC4O!I21</f>
        <v>9.7305336914062526E-2</v>
      </c>
      <c r="R27" s="32">
        <f>+RAC4O!I22</f>
        <v>4.3963134398745485</v>
      </c>
    </row>
    <row r="28" spans="2:25" x14ac:dyDescent="0.2">
      <c r="J28" s="27" t="s">
        <v>167</v>
      </c>
      <c r="K28" s="20" t="s">
        <v>193</v>
      </c>
      <c r="L28" s="5">
        <v>45372</v>
      </c>
      <c r="M28" s="41">
        <v>1000</v>
      </c>
      <c r="N28" s="9">
        <v>91891840</v>
      </c>
      <c r="O28" s="25">
        <v>7.2499999999999995E-2</v>
      </c>
      <c r="P28" s="51">
        <v>96.5</v>
      </c>
      <c r="Q28" s="21">
        <f>+RA31O!I14</f>
        <v>9.8735776367187486E-2</v>
      </c>
      <c r="R28" s="22">
        <f>+RA31O!I15</f>
        <v>2.3323928824209035</v>
      </c>
    </row>
    <row r="29" spans="2:25" x14ac:dyDescent="0.2">
      <c r="J29" s="20" t="s">
        <v>84</v>
      </c>
      <c r="K29" s="20" t="s">
        <v>85</v>
      </c>
      <c r="L29" s="5">
        <v>44907</v>
      </c>
      <c r="M29" s="41">
        <v>1000</v>
      </c>
      <c r="N29" s="9">
        <v>500000000</v>
      </c>
      <c r="O29" s="25">
        <v>4.8750000000000002E-2</v>
      </c>
      <c r="P29" s="51">
        <v>102</v>
      </c>
      <c r="Q29" s="21">
        <f>+TTC1O!I13</f>
        <v>5.5035766601562508E-2</v>
      </c>
      <c r="R29" s="22">
        <f>+TTC1O!I14</f>
        <v>1.3603167713206419</v>
      </c>
    </row>
    <row r="30" spans="2:25" x14ac:dyDescent="0.2">
      <c r="J30" s="27" t="s">
        <v>84</v>
      </c>
      <c r="K30" s="27" t="s">
        <v>154</v>
      </c>
      <c r="L30" s="28">
        <v>44966</v>
      </c>
      <c r="M30" s="42">
        <v>100</v>
      </c>
      <c r="N30" s="29">
        <v>6509905</v>
      </c>
      <c r="O30" s="30">
        <v>0.04</v>
      </c>
      <c r="P30" s="51">
        <v>100</v>
      </c>
      <c r="Q30" s="31">
        <f>+TTC4O!I15</f>
        <v>4.4709194335937508E-2</v>
      </c>
      <c r="R30" s="32">
        <f>+TTC4O!I16</f>
        <v>1.4997821810440299</v>
      </c>
    </row>
    <row r="31" spans="2:25" x14ac:dyDescent="0.2">
      <c r="J31" s="20" t="s">
        <v>100</v>
      </c>
      <c r="K31" s="20" t="s">
        <v>101</v>
      </c>
      <c r="L31" s="5">
        <v>45875</v>
      </c>
      <c r="M31" s="41">
        <v>1000</v>
      </c>
      <c r="N31" s="9">
        <v>388871000</v>
      </c>
      <c r="O31" s="25">
        <v>8.5000000000000006E-2</v>
      </c>
      <c r="P31" s="51">
        <v>105.75</v>
      </c>
      <c r="Q31" s="21">
        <f>+TLC5O!I21</f>
        <v>7.8066694335937506E-2</v>
      </c>
      <c r="R31" s="22">
        <f>+TLC5O!I22</f>
        <v>2.6549053862680108</v>
      </c>
      <c r="X31" s="10"/>
      <c r="Y31" s="6"/>
    </row>
    <row r="32" spans="2:25" ht="15" x14ac:dyDescent="0.25">
      <c r="J32" s="27" t="s">
        <v>100</v>
      </c>
      <c r="K32" s="27" t="s">
        <v>102</v>
      </c>
      <c r="L32" s="28">
        <v>46221</v>
      </c>
      <c r="M32" s="42">
        <v>1</v>
      </c>
      <c r="N32" s="29">
        <v>400000000</v>
      </c>
      <c r="O32" s="30">
        <f>+TLC1O!C10</f>
        <v>0.08</v>
      </c>
      <c r="P32" s="51">
        <v>100</v>
      </c>
      <c r="Q32" s="31">
        <f>+TLC1O!I21</f>
        <v>9.1298842773437514E-2</v>
      </c>
      <c r="R32" s="32">
        <f>+TLC1O!I22</f>
        <v>3.883829520312172</v>
      </c>
      <c r="V32" s="49" t="s">
        <v>190</v>
      </c>
      <c r="W32" s="49" t="s">
        <v>11</v>
      </c>
      <c r="X32" s="49" t="s">
        <v>14</v>
      </c>
      <c r="Y32" s="49" t="s">
        <v>22</v>
      </c>
    </row>
    <row r="33" spans="10:25" x14ac:dyDescent="0.2">
      <c r="J33" s="33" t="s">
        <v>103</v>
      </c>
      <c r="K33" s="33" t="s">
        <v>211</v>
      </c>
      <c r="L33" s="34">
        <v>44423</v>
      </c>
      <c r="M33" s="43">
        <v>2000</v>
      </c>
      <c r="N33" s="35">
        <v>98535000</v>
      </c>
      <c r="O33" s="36"/>
      <c r="P33" s="48"/>
      <c r="Q33" s="33"/>
      <c r="R33" s="33"/>
      <c r="V33" s="20" t="s">
        <v>175</v>
      </c>
      <c r="W33" s="20" t="s">
        <v>30</v>
      </c>
      <c r="X33" s="25">
        <f t="shared" ref="X33:Y37" si="0">+Q7</f>
        <v>4.4645034179687501E-2</v>
      </c>
      <c r="Y33" s="22">
        <f t="shared" si="0"/>
        <v>1.4254262170729766</v>
      </c>
    </row>
    <row r="34" spans="10:25" x14ac:dyDescent="0.2">
      <c r="J34" s="20" t="s">
        <v>97</v>
      </c>
      <c r="K34" s="20" t="s">
        <v>90</v>
      </c>
      <c r="L34" s="5">
        <v>44408</v>
      </c>
      <c r="M34" s="41">
        <v>1</v>
      </c>
      <c r="N34" s="9">
        <v>50000000</v>
      </c>
      <c r="O34" s="25">
        <f>+VSC1O!C9</f>
        <v>7.8799999999999995E-2</v>
      </c>
      <c r="P34" s="51">
        <v>103.8</v>
      </c>
      <c r="Q34" s="21">
        <f>+VSC1O!I9</f>
        <v>-0.22871309305813164</v>
      </c>
      <c r="R34" s="22" t="e">
        <f>+VSC1O!I10</f>
        <v>#NUM!</v>
      </c>
      <c r="V34" s="20" t="s">
        <v>176</v>
      </c>
      <c r="W34" s="20" t="s">
        <v>132</v>
      </c>
      <c r="X34" s="25">
        <f t="shared" si="0"/>
        <v>7.7922788085937514E-2</v>
      </c>
      <c r="Y34" s="22">
        <f t="shared" si="0"/>
        <v>2.5182999774536126</v>
      </c>
    </row>
    <row r="35" spans="10:25" x14ac:dyDescent="0.2">
      <c r="J35" s="20" t="s">
        <v>97</v>
      </c>
      <c r="K35" s="20" t="s">
        <v>91</v>
      </c>
      <c r="L35" s="5">
        <v>44780</v>
      </c>
      <c r="M35" s="41">
        <v>1</v>
      </c>
      <c r="N35" s="9">
        <v>50000000</v>
      </c>
      <c r="O35" s="25">
        <f>+VSC2D!C9</f>
        <v>8.5000000000000006E-2</v>
      </c>
      <c r="P35" s="51">
        <v>104</v>
      </c>
      <c r="Q35" s="21">
        <f>+VSC2D!I12</f>
        <v>6.1256440429687503E-2</v>
      </c>
      <c r="R35" s="22">
        <f>+VSC2D!I13</f>
        <v>1.0203662043698369</v>
      </c>
      <c r="V35" s="20" t="s">
        <v>207</v>
      </c>
      <c r="W35" s="20" t="str">
        <f>+K9</f>
        <v>CRCEO</v>
      </c>
      <c r="X35" s="25">
        <f t="shared" si="0"/>
        <v>0.1358825732421875</v>
      </c>
      <c r="Y35" s="22">
        <f t="shared" si="0"/>
        <v>1.9196260542727119</v>
      </c>
    </row>
    <row r="36" spans="10:25" x14ac:dyDescent="0.2">
      <c r="J36" s="20" t="s">
        <v>97</v>
      </c>
      <c r="K36" s="20" t="s">
        <v>92</v>
      </c>
      <c r="L36" s="5">
        <v>45343</v>
      </c>
      <c r="M36" s="41">
        <v>1</v>
      </c>
      <c r="N36" s="9">
        <v>50000000</v>
      </c>
      <c r="O36" s="25">
        <f>+VSC3O!C9</f>
        <v>3.5000000000000003E-2</v>
      </c>
      <c r="P36" s="51">
        <v>96</v>
      </c>
      <c r="Q36" s="21">
        <f>+VSC3O!I13</f>
        <v>5.7755766601562522E-2</v>
      </c>
      <c r="R36" s="22">
        <f>+VSC3O!I14</f>
        <v>1.3201146851889958</v>
      </c>
      <c r="V36" s="20" t="s">
        <v>206</v>
      </c>
      <c r="W36" s="20" t="str">
        <f>+K10</f>
        <v>CP21O</v>
      </c>
      <c r="X36" s="25">
        <f t="shared" si="0"/>
        <v>7.1830864257812502E-2</v>
      </c>
      <c r="Y36" s="22">
        <f t="shared" si="0"/>
        <v>1.779246696930451</v>
      </c>
    </row>
    <row r="37" spans="10:25" x14ac:dyDescent="0.2">
      <c r="J37" s="20" t="s">
        <v>57</v>
      </c>
      <c r="K37" s="20" t="s">
        <v>94</v>
      </c>
      <c r="L37" s="5">
        <v>45386</v>
      </c>
      <c r="M37" s="41">
        <v>1000</v>
      </c>
      <c r="N37" s="9">
        <f>+YPCUD!C8</f>
        <v>865782620</v>
      </c>
      <c r="O37" s="25">
        <f>+YPCUD!C9</f>
        <v>8.7499999999999994E-2</v>
      </c>
      <c r="P37" s="51">
        <v>95.7</v>
      </c>
      <c r="Q37" s="21">
        <f>+YPCUD!I13</f>
        <v>0.1331277001953125</v>
      </c>
      <c r="R37" s="22">
        <f>+YPCUD!I14</f>
        <v>1.0917500149885411</v>
      </c>
      <c r="V37" s="20" t="s">
        <v>177</v>
      </c>
      <c r="W37" s="20" t="s">
        <v>150</v>
      </c>
      <c r="X37" s="25">
        <f t="shared" si="0"/>
        <v>0.10735604980468752</v>
      </c>
      <c r="Y37" s="22">
        <f t="shared" si="0"/>
        <v>2.1953934318525321</v>
      </c>
    </row>
    <row r="38" spans="10:25" x14ac:dyDescent="0.2">
      <c r="J38" s="20" t="s">
        <v>57</v>
      </c>
      <c r="K38" s="20" t="s">
        <v>95</v>
      </c>
      <c r="L38" s="5">
        <v>45866</v>
      </c>
      <c r="M38" s="41">
        <v>1000</v>
      </c>
      <c r="N38" s="9">
        <f>+YCA6P!C9</f>
        <v>1131771000</v>
      </c>
      <c r="O38" s="25">
        <f>+YCA6P!C10</f>
        <v>8.5000000000000006E-2</v>
      </c>
      <c r="P38" s="51">
        <v>87</v>
      </c>
      <c r="Q38" s="21">
        <f>+YCA6P!I17</f>
        <v>0.14523339355468751</v>
      </c>
      <c r="R38" s="22">
        <f>+YCA6P!I18</f>
        <v>3.0790993607637289</v>
      </c>
      <c r="V38" s="20" t="s">
        <v>210</v>
      </c>
      <c r="W38" s="20" t="str">
        <f>+K13</f>
        <v>CSJYO</v>
      </c>
      <c r="X38" s="25">
        <f>+Q13</f>
        <v>5.6615756835937517E-2</v>
      </c>
      <c r="Y38" s="22">
        <f>+R13</f>
        <v>1.0093300807896353</v>
      </c>
    </row>
    <row r="39" spans="10:25" x14ac:dyDescent="0.2">
      <c r="J39" s="33" t="s">
        <v>57</v>
      </c>
      <c r="K39" s="33" t="s">
        <v>163</v>
      </c>
      <c r="L39" s="34">
        <v>46065</v>
      </c>
      <c r="M39" s="44"/>
      <c r="N39" s="35">
        <v>775312599</v>
      </c>
      <c r="O39" s="36">
        <v>0.04</v>
      </c>
      <c r="P39" s="48"/>
      <c r="Q39" s="44"/>
      <c r="R39" s="44"/>
      <c r="V39" s="20" t="s">
        <v>178</v>
      </c>
      <c r="W39" s="20" t="s">
        <v>89</v>
      </c>
      <c r="X39" s="25">
        <f>+Q14</f>
        <v>8.8754379882812526E-2</v>
      </c>
      <c r="Y39" s="22">
        <f>+R14</f>
        <v>1.4518948538539542</v>
      </c>
    </row>
    <row r="40" spans="10:25" x14ac:dyDescent="0.2">
      <c r="J40" s="33" t="s">
        <v>57</v>
      </c>
      <c r="K40" s="33" t="s">
        <v>159</v>
      </c>
      <c r="L40" s="34">
        <v>47299</v>
      </c>
      <c r="M40" s="44"/>
      <c r="N40" s="35">
        <v>747833257</v>
      </c>
      <c r="O40" s="36"/>
      <c r="P40" s="48"/>
      <c r="Q40" s="44"/>
      <c r="R40" s="44"/>
      <c r="V40" s="20" t="s">
        <v>179</v>
      </c>
      <c r="W40" s="20" t="s">
        <v>114</v>
      </c>
      <c r="X40" s="25">
        <f t="shared" ref="X40:Y44" si="1">+Q17</f>
        <v>6.9242856445312514E-2</v>
      </c>
      <c r="Y40" s="22">
        <f t="shared" si="1"/>
        <v>1.2594260411530964</v>
      </c>
    </row>
    <row r="41" spans="10:25" x14ac:dyDescent="0.2">
      <c r="J41" s="33" t="s">
        <v>57</v>
      </c>
      <c r="K41" s="33" t="s">
        <v>164</v>
      </c>
      <c r="L41" s="34">
        <v>48852</v>
      </c>
      <c r="M41" s="44"/>
      <c r="N41" s="35">
        <v>575619021</v>
      </c>
      <c r="O41" s="36"/>
      <c r="P41" s="48"/>
      <c r="Q41" s="44"/>
      <c r="R41" s="44"/>
      <c r="V41" s="20" t="s">
        <v>180</v>
      </c>
      <c r="W41" s="20" t="s">
        <v>112</v>
      </c>
      <c r="X41" s="25">
        <f t="shared" si="1"/>
        <v>0.10780747558593752</v>
      </c>
      <c r="Y41" s="22">
        <f t="shared" si="1"/>
        <v>1.5078143612287369</v>
      </c>
    </row>
    <row r="42" spans="10:25" x14ac:dyDescent="0.2">
      <c r="V42" s="20" t="s">
        <v>181</v>
      </c>
      <c r="W42" s="20" t="s">
        <v>119</v>
      </c>
      <c r="X42" s="25">
        <f t="shared" si="1"/>
        <v>7.2760668945312496E-2</v>
      </c>
      <c r="Y42" s="22">
        <f t="shared" si="1"/>
        <v>1.5055739533484456</v>
      </c>
    </row>
    <row r="43" spans="10:25" x14ac:dyDescent="0.2">
      <c r="V43" s="20" t="s">
        <v>181</v>
      </c>
      <c r="W43" s="20" t="s">
        <v>113</v>
      </c>
      <c r="X43" s="25">
        <f t="shared" si="1"/>
        <v>6.6003002929687499E-2</v>
      </c>
      <c r="Y43" s="22">
        <f t="shared" si="1"/>
        <v>1.2436867462140788</v>
      </c>
    </row>
    <row r="44" spans="10:25" x14ac:dyDescent="0.2">
      <c r="L44" s="5"/>
      <c r="N44" s="9"/>
      <c r="O44" s="25"/>
      <c r="V44" s="20" t="s">
        <v>181</v>
      </c>
      <c r="W44" s="20" t="s">
        <v>115</v>
      </c>
      <c r="X44" s="25">
        <f t="shared" si="1"/>
        <v>8.113540527343753E-2</v>
      </c>
      <c r="Y44" s="22">
        <f t="shared" si="1"/>
        <v>1.5015412700667869</v>
      </c>
    </row>
    <row r="45" spans="10:25" x14ac:dyDescent="0.2">
      <c r="L45" s="5"/>
      <c r="N45" s="9"/>
      <c r="O45" s="9"/>
      <c r="V45" s="20" t="s">
        <v>182</v>
      </c>
      <c r="W45" s="20" t="s">
        <v>127</v>
      </c>
      <c r="X45" s="25">
        <f t="shared" ref="X45:Y50" si="2">+Q23</f>
        <v>3.7262895507812505E-2</v>
      </c>
      <c r="Y45" s="22">
        <f t="shared" si="2"/>
        <v>2.2003726240320112</v>
      </c>
    </row>
    <row r="46" spans="10:25" x14ac:dyDescent="0.2">
      <c r="J46" s="20" t="s">
        <v>55</v>
      </c>
      <c r="K46" s="20" t="s">
        <v>105</v>
      </c>
      <c r="L46" s="5">
        <v>45127</v>
      </c>
      <c r="M46" s="9">
        <v>1000</v>
      </c>
      <c r="N46" s="9">
        <v>29960000</v>
      </c>
      <c r="O46" s="25"/>
      <c r="P46" s="46"/>
      <c r="Q46" s="20"/>
      <c r="R46" s="20"/>
      <c r="V46" s="20" t="s">
        <v>183</v>
      </c>
      <c r="W46" s="20" t="s">
        <v>165</v>
      </c>
      <c r="X46" s="25">
        <f t="shared" si="2"/>
        <v>5.6122778320312511E-2</v>
      </c>
      <c r="Y46" s="22">
        <f t="shared" si="2"/>
        <v>3.951958073690867</v>
      </c>
    </row>
    <row r="47" spans="10:25" x14ac:dyDescent="0.2">
      <c r="J47" s="20" t="s">
        <v>55</v>
      </c>
      <c r="K47" s="20" t="s">
        <v>106</v>
      </c>
      <c r="L47" s="5">
        <v>45127</v>
      </c>
      <c r="M47" s="9">
        <v>100</v>
      </c>
      <c r="N47" s="9">
        <v>270040000</v>
      </c>
      <c r="O47" s="25"/>
      <c r="P47" s="46"/>
      <c r="Q47" s="20"/>
      <c r="R47" s="20"/>
      <c r="V47" s="20" t="s">
        <v>184</v>
      </c>
      <c r="W47" s="20" t="s">
        <v>98</v>
      </c>
      <c r="X47" s="25">
        <f t="shared" si="2"/>
        <v>6.6196118164062526E-2</v>
      </c>
      <c r="Y47" s="22">
        <f t="shared" si="2"/>
        <v>1.8117726230936981</v>
      </c>
    </row>
    <row r="48" spans="10:25" x14ac:dyDescent="0.2">
      <c r="L48" s="5"/>
      <c r="V48" s="20" t="s">
        <v>185</v>
      </c>
      <c r="W48" s="20" t="s">
        <v>157</v>
      </c>
      <c r="X48" s="25">
        <f t="shared" si="2"/>
        <v>7.424617675781249E-2</v>
      </c>
      <c r="Y48" s="22">
        <f t="shared" si="2"/>
        <v>1.3887991701128259</v>
      </c>
    </row>
    <row r="49" spans="10:25" x14ac:dyDescent="0.2">
      <c r="L49" s="5"/>
      <c r="V49" s="20" t="s">
        <v>200</v>
      </c>
      <c r="W49" s="20" t="str">
        <f>+K27</f>
        <v>RAC4O</v>
      </c>
      <c r="X49" s="25">
        <f t="shared" si="2"/>
        <v>9.7305336914062526E-2</v>
      </c>
      <c r="Y49" s="22">
        <f t="shared" si="2"/>
        <v>4.3963134398745485</v>
      </c>
    </row>
    <row r="50" spans="10:25" x14ac:dyDescent="0.2">
      <c r="V50" s="20" t="s">
        <v>201</v>
      </c>
      <c r="W50" s="20" t="str">
        <f>+K28</f>
        <v>RA31O</v>
      </c>
      <c r="X50" s="25">
        <f t="shared" si="2"/>
        <v>9.8735776367187486E-2</v>
      </c>
      <c r="Y50" s="22">
        <f t="shared" si="2"/>
        <v>2.3323928824209035</v>
      </c>
    </row>
    <row r="51" spans="10:25" x14ac:dyDescent="0.2">
      <c r="V51" s="20" t="s">
        <v>212</v>
      </c>
      <c r="W51" s="20" t="s">
        <v>101</v>
      </c>
      <c r="X51" s="21">
        <f>+Q31</f>
        <v>7.8066694335937506E-2</v>
      </c>
      <c r="Y51" s="22">
        <f>+R31</f>
        <v>2.6549053862680108</v>
      </c>
    </row>
    <row r="52" spans="10:25" x14ac:dyDescent="0.2">
      <c r="K52" s="1" t="s">
        <v>168</v>
      </c>
      <c r="V52" s="20" t="s">
        <v>186</v>
      </c>
      <c r="W52" s="20" t="s">
        <v>91</v>
      </c>
      <c r="X52" s="25">
        <f t="shared" ref="X52:Y55" si="3">+Q35</f>
        <v>6.1256440429687503E-2</v>
      </c>
      <c r="Y52" s="22">
        <f t="shared" si="3"/>
        <v>1.0203662043698369</v>
      </c>
    </row>
    <row r="53" spans="10:25" x14ac:dyDescent="0.2">
      <c r="J53" s="1" t="s">
        <v>170</v>
      </c>
      <c r="K53" s="1" t="s">
        <v>169</v>
      </c>
      <c r="V53" s="20" t="s">
        <v>187</v>
      </c>
      <c r="W53" s="20" t="s">
        <v>92</v>
      </c>
      <c r="X53" s="25">
        <f t="shared" si="3"/>
        <v>5.7755766601562522E-2</v>
      </c>
      <c r="Y53" s="22">
        <f t="shared" si="3"/>
        <v>1.3201146851889958</v>
      </c>
    </row>
    <row r="54" spans="10:25" x14ac:dyDescent="0.2">
      <c r="V54" s="20" t="s">
        <v>188</v>
      </c>
      <c r="W54" s="20" t="s">
        <v>94</v>
      </c>
      <c r="X54" s="25">
        <f t="shared" si="3"/>
        <v>0.1331277001953125</v>
      </c>
      <c r="Y54" s="22">
        <f t="shared" si="3"/>
        <v>1.0917500149885411</v>
      </c>
    </row>
    <row r="55" spans="10:25" x14ac:dyDescent="0.2">
      <c r="V55" s="20" t="s">
        <v>189</v>
      </c>
      <c r="W55" s="20" t="s">
        <v>95</v>
      </c>
      <c r="X55" s="25">
        <f t="shared" si="3"/>
        <v>0.14523339355468751</v>
      </c>
      <c r="Y55" s="22">
        <f t="shared" si="3"/>
        <v>3.0790993607637289</v>
      </c>
    </row>
    <row r="56" spans="10:25" x14ac:dyDescent="0.2">
      <c r="V56" s="20"/>
      <c r="W56" s="20"/>
      <c r="X56" s="25"/>
      <c r="Y56" s="22"/>
    </row>
    <row r="57" spans="10:25" x14ac:dyDescent="0.2">
      <c r="V57" s="20"/>
      <c r="W57" s="20"/>
      <c r="X57" s="25"/>
      <c r="Y57" s="22"/>
    </row>
    <row r="58" spans="10:25" x14ac:dyDescent="0.2">
      <c r="V58" s="20"/>
      <c r="W58" s="20"/>
      <c r="X58" s="25"/>
      <c r="Y58" s="22"/>
    </row>
    <row r="59" spans="10:25" x14ac:dyDescent="0.2">
      <c r="V59" s="20"/>
      <c r="W59" s="20"/>
      <c r="X59" s="25"/>
      <c r="Y59" s="22"/>
    </row>
    <row r="60" spans="10:25" x14ac:dyDescent="0.2">
      <c r="J60" s="33" t="s">
        <v>61</v>
      </c>
      <c r="K60" s="33" t="s">
        <v>79</v>
      </c>
      <c r="L60" s="34">
        <v>44507</v>
      </c>
      <c r="M60" s="43">
        <v>1000</v>
      </c>
      <c r="N60" s="35">
        <v>93383000</v>
      </c>
      <c r="O60" s="36">
        <v>9.5000000000000001E-2</v>
      </c>
      <c r="P60" s="48"/>
      <c r="Q60" s="33"/>
      <c r="R60" s="33"/>
      <c r="V60" s="20"/>
      <c r="W60" s="20"/>
      <c r="X60" s="25"/>
      <c r="Y60" s="22"/>
    </row>
    <row r="61" spans="10:25" x14ac:dyDescent="0.2">
      <c r="V61" s="20"/>
      <c r="W61" s="20"/>
      <c r="X61" s="25"/>
      <c r="Y61" s="22"/>
    </row>
    <row r="62" spans="10:25" x14ac:dyDescent="0.2">
      <c r="V62" s="20"/>
      <c r="W62" s="20"/>
      <c r="X62" s="25"/>
      <c r="Y62" s="22"/>
    </row>
    <row r="63" spans="10:25" x14ac:dyDescent="0.2">
      <c r="V63" s="20"/>
      <c r="W63" s="20"/>
      <c r="X63" s="25"/>
      <c r="Y63" s="22"/>
    </row>
    <row r="64" spans="10:25" x14ac:dyDescent="0.2">
      <c r="V64" s="20"/>
      <c r="W64" s="20"/>
      <c r="X64" s="25"/>
      <c r="Y64" s="22"/>
    </row>
    <row r="65" spans="22:25" x14ac:dyDescent="0.2">
      <c r="V65" s="20"/>
      <c r="W65" s="20"/>
      <c r="X65" s="25"/>
      <c r="Y65" s="22"/>
    </row>
    <row r="66" spans="22:25" x14ac:dyDescent="0.2">
      <c r="V66" s="20"/>
      <c r="W66" s="20"/>
      <c r="X66" s="21"/>
      <c r="Y66" s="22"/>
    </row>
    <row r="67" spans="22:25" x14ac:dyDescent="0.2">
      <c r="V67" s="20"/>
      <c r="W67" s="20"/>
      <c r="X67" s="25"/>
      <c r="Y67" s="22"/>
    </row>
    <row r="68" spans="22:25" x14ac:dyDescent="0.2">
      <c r="V68" s="20"/>
      <c r="W68" s="20"/>
      <c r="X68" s="25"/>
      <c r="Y68" s="22"/>
    </row>
    <row r="69" spans="22:25" x14ac:dyDescent="0.2">
      <c r="V69" s="20"/>
      <c r="W69" s="20"/>
      <c r="X69" s="25"/>
      <c r="Y69" s="22"/>
    </row>
    <row r="70" spans="22:25" x14ac:dyDescent="0.2">
      <c r="V70" s="20"/>
      <c r="W70" s="20"/>
      <c r="X70" s="25"/>
      <c r="Y70" s="22"/>
    </row>
    <row r="71" spans="22:25" x14ac:dyDescent="0.2">
      <c r="V71" s="20"/>
      <c r="W71" s="20"/>
      <c r="X71" s="25"/>
      <c r="Y71" s="22"/>
    </row>
  </sheetData>
  <sortState xmlns:xlrd2="http://schemas.microsoft.com/office/spreadsheetml/2017/richdata2" ref="V54:Y71">
    <sortCondition ref="X54:X71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692D-F31A-4F2D-B909-CD904D3BF574}">
  <dimension ref="B3:J16"/>
  <sheetViews>
    <sheetView showGridLines="0" zoomScale="90" zoomScaleNormal="90" workbookViewId="0">
      <selection activeCell="H7" sqref="H7"/>
    </sheetView>
  </sheetViews>
  <sheetFormatPr baseColWidth="10" defaultRowHeight="14.25" x14ac:dyDescent="0.2"/>
  <cols>
    <col min="1" max="1" width="11.42578125" style="1"/>
    <col min="2" max="2" width="24.42578125" style="1" customWidth="1"/>
    <col min="3" max="3" width="17.140625" style="1" bestFit="1" customWidth="1"/>
    <col min="4" max="4" width="5.7109375" style="1" customWidth="1"/>
    <col min="5" max="5" width="12.28515625" style="1" bestFit="1" customWidth="1"/>
    <col min="6" max="8" width="11.42578125" style="1"/>
    <col min="9" max="9" width="13" style="1" customWidth="1"/>
    <col min="10" max="16384" width="11.42578125" style="1"/>
  </cols>
  <sheetData>
    <row r="3" spans="2:10" ht="15" x14ac:dyDescent="0.25">
      <c r="B3" s="56" t="s">
        <v>139</v>
      </c>
      <c r="C3" s="56"/>
      <c r="E3" s="56" t="s">
        <v>141</v>
      </c>
      <c r="F3" s="56"/>
      <c r="G3" s="56"/>
      <c r="H3" s="56"/>
      <c r="I3" s="56"/>
      <c r="J3" s="56"/>
    </row>
    <row r="4" spans="2:10" ht="15" x14ac:dyDescent="0.25">
      <c r="B4" s="1" t="s">
        <v>11</v>
      </c>
      <c r="C4" s="2" t="s">
        <v>119</v>
      </c>
      <c r="E4" s="3" t="s">
        <v>6</v>
      </c>
      <c r="F4" s="3" t="s">
        <v>7</v>
      </c>
      <c r="G4" s="3" t="s">
        <v>140</v>
      </c>
      <c r="H4" s="3" t="s">
        <v>8</v>
      </c>
      <c r="I4" s="3" t="s">
        <v>9</v>
      </c>
      <c r="J4" s="3" t="s">
        <v>10</v>
      </c>
    </row>
    <row r="5" spans="2:10" x14ac:dyDescent="0.2">
      <c r="B5" s="1" t="s">
        <v>0</v>
      </c>
      <c r="C5" s="5">
        <v>43600</v>
      </c>
      <c r="E5" s="5">
        <f>+Emisiones!K2</f>
        <v>44383</v>
      </c>
      <c r="F5" s="6">
        <v>100</v>
      </c>
      <c r="G5" s="6"/>
      <c r="H5" s="7"/>
      <c r="J5" s="6">
        <f>-Emisiones!P19</f>
        <v>-106</v>
      </c>
    </row>
    <row r="6" spans="2:10" x14ac:dyDescent="0.2">
      <c r="B6" s="1" t="s">
        <v>1</v>
      </c>
      <c r="C6" s="5">
        <v>44986</v>
      </c>
      <c r="E6" s="5">
        <v>44420</v>
      </c>
      <c r="F6" s="6">
        <v>100</v>
      </c>
      <c r="G6" s="6"/>
      <c r="H6" s="6">
        <f t="shared" ref="H6:H11" si="0">F5*($C$9/360*90)</f>
        <v>2.5</v>
      </c>
      <c r="J6" s="6">
        <f t="shared" ref="J6:J12" si="1">SUM(H6:I6)</f>
        <v>2.5</v>
      </c>
    </row>
    <row r="7" spans="2:10" x14ac:dyDescent="0.2">
      <c r="B7" s="1" t="s">
        <v>15</v>
      </c>
      <c r="C7" s="8" t="s">
        <v>16</v>
      </c>
      <c r="E7" s="5">
        <v>44512</v>
      </c>
      <c r="F7" s="6">
        <f>F6-I7</f>
        <v>100</v>
      </c>
      <c r="G7" s="6"/>
      <c r="H7" s="6">
        <f t="shared" si="0"/>
        <v>2.5</v>
      </c>
      <c r="I7" s="11"/>
      <c r="J7" s="6">
        <f t="shared" si="1"/>
        <v>2.5</v>
      </c>
    </row>
    <row r="8" spans="2:10" x14ac:dyDescent="0.2">
      <c r="B8" s="1" t="s">
        <v>2</v>
      </c>
      <c r="C8" s="9">
        <v>3060519</v>
      </c>
      <c r="E8" s="5">
        <v>44604</v>
      </c>
      <c r="F8" s="6">
        <f>F7-I8</f>
        <v>100</v>
      </c>
      <c r="G8" s="6"/>
      <c r="H8" s="6">
        <f t="shared" si="0"/>
        <v>2.5</v>
      </c>
      <c r="I8" s="11"/>
      <c r="J8" s="6">
        <f t="shared" si="1"/>
        <v>2.5</v>
      </c>
    </row>
    <row r="9" spans="2:10" x14ac:dyDescent="0.2">
      <c r="B9" s="1" t="s">
        <v>3</v>
      </c>
      <c r="C9" s="10">
        <v>0.1</v>
      </c>
      <c r="E9" s="5">
        <v>44693</v>
      </c>
      <c r="F9" s="6">
        <f>F8-I9</f>
        <v>100</v>
      </c>
      <c r="G9" s="6"/>
      <c r="H9" s="6">
        <f t="shared" si="0"/>
        <v>2.5</v>
      </c>
      <c r="I9" s="11"/>
      <c r="J9" s="6">
        <f t="shared" si="1"/>
        <v>2.5</v>
      </c>
    </row>
    <row r="10" spans="2:10" x14ac:dyDescent="0.2">
      <c r="B10" s="1" t="s">
        <v>4</v>
      </c>
      <c r="C10" s="8" t="s">
        <v>34</v>
      </c>
      <c r="E10" s="5">
        <v>44785</v>
      </c>
      <c r="F10" s="6">
        <f>F9-I10</f>
        <v>100</v>
      </c>
      <c r="G10" s="6"/>
      <c r="H10" s="6">
        <f t="shared" si="0"/>
        <v>2.5</v>
      </c>
      <c r="I10" s="11"/>
      <c r="J10" s="6">
        <f t="shared" si="1"/>
        <v>2.5</v>
      </c>
    </row>
    <row r="11" spans="2:10" x14ac:dyDescent="0.2">
      <c r="B11" s="1" t="s">
        <v>19</v>
      </c>
      <c r="C11" s="1">
        <v>1</v>
      </c>
      <c r="E11" s="5">
        <v>44877</v>
      </c>
      <c r="F11" s="6">
        <f>+F10</f>
        <v>100</v>
      </c>
      <c r="G11" s="6"/>
      <c r="H11" s="6">
        <f t="shared" si="0"/>
        <v>2.5</v>
      </c>
      <c r="I11" s="11"/>
      <c r="J11" s="6">
        <f t="shared" si="1"/>
        <v>2.5</v>
      </c>
    </row>
    <row r="12" spans="2:10" x14ac:dyDescent="0.2">
      <c r="E12" s="5">
        <v>44986</v>
      </c>
      <c r="F12" s="6">
        <f>+F11</f>
        <v>100</v>
      </c>
      <c r="G12" s="6">
        <f>E12-E11</f>
        <v>109</v>
      </c>
      <c r="H12" s="6">
        <f>F11*($C$9/360*109)</f>
        <v>3.0277777777777777</v>
      </c>
      <c r="I12" s="6">
        <v>100</v>
      </c>
      <c r="J12" s="6">
        <f t="shared" si="1"/>
        <v>103.02777777777777</v>
      </c>
    </row>
    <row r="13" spans="2:10" x14ac:dyDescent="0.2">
      <c r="E13" s="5"/>
    </row>
    <row r="14" spans="2:10" ht="15" x14ac:dyDescent="0.25">
      <c r="E14" s="5"/>
      <c r="F14" s="5"/>
      <c r="G14" s="5"/>
      <c r="I14" s="12" t="s">
        <v>14</v>
      </c>
      <c r="J14" s="13">
        <f>XIRR(J5:J12,E5:E12,0)</f>
        <v>7.2760668945312496E-2</v>
      </c>
    </row>
    <row r="15" spans="2:10" ht="15" x14ac:dyDescent="0.25">
      <c r="F15" s="5"/>
      <c r="G15" s="5"/>
      <c r="I15" s="14" t="s">
        <v>22</v>
      </c>
      <c r="J15" s="15">
        <f>MDURATION(E5,E12,C9,J14,4)</f>
        <v>1.5055739533484456</v>
      </c>
    </row>
    <row r="16" spans="2:10" x14ac:dyDescent="0.2">
      <c r="E16" s="5"/>
      <c r="F16" s="5"/>
      <c r="G16" s="5"/>
    </row>
  </sheetData>
  <mergeCells count="2">
    <mergeCell ref="B3:C3"/>
    <mergeCell ref="E3:J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E828A-D240-4547-921E-79A8A3D5B600}">
  <dimension ref="B3:N18"/>
  <sheetViews>
    <sheetView showGridLines="0" zoomScale="90" zoomScaleNormal="90" workbookViewId="0">
      <selection activeCell="J28" sqref="J28"/>
    </sheetView>
  </sheetViews>
  <sheetFormatPr baseColWidth="10" defaultRowHeight="14.25" x14ac:dyDescent="0.2"/>
  <cols>
    <col min="1" max="1" width="11.42578125" style="1"/>
    <col min="2" max="2" width="24.42578125" style="1" customWidth="1"/>
    <col min="3" max="3" width="17.140625" style="1" bestFit="1" customWidth="1"/>
    <col min="4" max="4" width="5.7109375" style="1" customWidth="1"/>
    <col min="5" max="5" width="12.28515625" style="1" bestFit="1" customWidth="1"/>
    <col min="6" max="8" width="11.42578125" style="1"/>
    <col min="9" max="9" width="13" style="1" customWidth="1"/>
    <col min="10" max="16384" width="11.42578125" style="1"/>
  </cols>
  <sheetData>
    <row r="3" spans="2:14" ht="15" x14ac:dyDescent="0.25">
      <c r="B3" s="56" t="s">
        <v>139</v>
      </c>
      <c r="C3" s="56"/>
      <c r="E3" s="56" t="s">
        <v>141</v>
      </c>
      <c r="F3" s="56"/>
      <c r="G3" s="56"/>
      <c r="H3" s="56"/>
      <c r="I3" s="56"/>
      <c r="J3" s="56"/>
      <c r="L3" s="23" t="s">
        <v>45</v>
      </c>
      <c r="M3" s="23" t="s">
        <v>46</v>
      </c>
      <c r="N3" s="23" t="s">
        <v>47</v>
      </c>
    </row>
    <row r="4" spans="2:14" ht="15" x14ac:dyDescent="0.25">
      <c r="B4" s="1" t="s">
        <v>11</v>
      </c>
      <c r="C4" s="2" t="s">
        <v>113</v>
      </c>
      <c r="E4" s="3" t="s">
        <v>6</v>
      </c>
      <c r="F4" s="3" t="s">
        <v>7</v>
      </c>
      <c r="G4" s="3" t="s">
        <v>140</v>
      </c>
      <c r="H4" s="3" t="s">
        <v>8</v>
      </c>
      <c r="I4" s="3" t="s">
        <v>9</v>
      </c>
      <c r="J4" s="3" t="s">
        <v>10</v>
      </c>
    </row>
    <row r="5" spans="2:14" x14ac:dyDescent="0.2">
      <c r="B5" s="1" t="s">
        <v>0</v>
      </c>
      <c r="C5" s="5">
        <v>44147</v>
      </c>
      <c r="E5" s="5">
        <f>+Emisiones!K2</f>
        <v>44383</v>
      </c>
      <c r="F5" s="6">
        <v>100</v>
      </c>
      <c r="G5" s="6"/>
      <c r="H5" s="7"/>
      <c r="J5" s="6">
        <f>-Emisiones!P20</f>
        <v>-106</v>
      </c>
    </row>
    <row r="6" spans="2:14" x14ac:dyDescent="0.2">
      <c r="B6" s="1" t="s">
        <v>1</v>
      </c>
      <c r="C6" s="5">
        <v>45242</v>
      </c>
      <c r="E6" s="5">
        <v>44420</v>
      </c>
      <c r="F6" s="6">
        <v>100</v>
      </c>
      <c r="G6" s="6"/>
      <c r="H6" s="6">
        <f t="shared" ref="H6:H12" si="0">F5*($C$9/360*90)</f>
        <v>2.5</v>
      </c>
      <c r="J6" s="6">
        <f t="shared" ref="J6:J12" si="1">SUM(H6:I6)</f>
        <v>2.5</v>
      </c>
      <c r="L6" s="1">
        <f t="shared" ref="L6:L15" si="2">DAYS360($E$5,E6)</f>
        <v>36</v>
      </c>
      <c r="M6" s="17">
        <f>J6/(1+$J$17)^(L6/360)</f>
        <v>2.484071921605318</v>
      </c>
      <c r="N6" s="17">
        <f>M6*(L6/360)</f>
        <v>0.24840719216053181</v>
      </c>
    </row>
    <row r="7" spans="2:14" x14ac:dyDescent="0.2">
      <c r="B7" s="1" t="s">
        <v>15</v>
      </c>
      <c r="C7" s="8" t="s">
        <v>16</v>
      </c>
      <c r="E7" s="5">
        <v>44512</v>
      </c>
      <c r="F7" s="6">
        <f>F6-I7</f>
        <v>67</v>
      </c>
      <c r="G7" s="6"/>
      <c r="H7" s="6">
        <f t="shared" si="0"/>
        <v>2.5</v>
      </c>
      <c r="I7" s="11">
        <v>33</v>
      </c>
      <c r="J7" s="6">
        <f t="shared" si="1"/>
        <v>35.5</v>
      </c>
      <c r="L7" s="1">
        <f t="shared" si="2"/>
        <v>126</v>
      </c>
      <c r="M7" s="17">
        <f t="shared" ref="M7:M15" si="3">J7/(1+$J$17)^(L7/360)</f>
        <v>34.714658972440574</v>
      </c>
      <c r="N7" s="17">
        <f t="shared" ref="N7:N15" si="4">M7*(L7/360)</f>
        <v>12.150130640354201</v>
      </c>
    </row>
    <row r="8" spans="2:14" x14ac:dyDescent="0.2">
      <c r="B8" s="1" t="s">
        <v>2</v>
      </c>
      <c r="C8" s="9">
        <v>31679760</v>
      </c>
      <c r="E8" s="5">
        <v>44604</v>
      </c>
      <c r="F8" s="6">
        <f>F7-I8</f>
        <v>67</v>
      </c>
      <c r="G8" s="6"/>
      <c r="H8" s="6">
        <f t="shared" si="0"/>
        <v>1.675</v>
      </c>
      <c r="I8" s="11"/>
      <c r="J8" s="6">
        <f t="shared" si="1"/>
        <v>1.675</v>
      </c>
      <c r="L8" s="1">
        <f t="shared" si="2"/>
        <v>216</v>
      </c>
      <c r="M8" s="17">
        <f t="shared" si="3"/>
        <v>1.6119803910169284</v>
      </c>
      <c r="N8" s="17">
        <f t="shared" si="4"/>
        <v>0.96718823461015702</v>
      </c>
    </row>
    <row r="9" spans="2:14" x14ac:dyDescent="0.2">
      <c r="B9" s="1" t="s">
        <v>3</v>
      </c>
      <c r="C9" s="10">
        <v>0.1</v>
      </c>
      <c r="E9" s="5">
        <v>44693</v>
      </c>
      <c r="F9" s="6">
        <f t="shared" ref="F9:F15" si="5">F8-I9</f>
        <v>67</v>
      </c>
      <c r="G9" s="6"/>
      <c r="H9" s="6">
        <f t="shared" si="0"/>
        <v>1.675</v>
      </c>
      <c r="I9" s="11"/>
      <c r="J9" s="6">
        <f t="shared" si="1"/>
        <v>1.675</v>
      </c>
      <c r="L9" s="1">
        <f t="shared" si="2"/>
        <v>306</v>
      </c>
      <c r="M9" s="17">
        <f t="shared" si="3"/>
        <v>1.586427200201358</v>
      </c>
      <c r="N9" s="17">
        <f t="shared" si="4"/>
        <v>1.3484631201711543</v>
      </c>
    </row>
    <row r="10" spans="2:14" x14ac:dyDescent="0.2">
      <c r="B10" s="1" t="s">
        <v>4</v>
      </c>
      <c r="C10" s="8" t="s">
        <v>34</v>
      </c>
      <c r="E10" s="5">
        <v>44785</v>
      </c>
      <c r="F10" s="6">
        <f t="shared" si="5"/>
        <v>67</v>
      </c>
      <c r="G10" s="6"/>
      <c r="H10" s="6">
        <f t="shared" si="0"/>
        <v>1.675</v>
      </c>
      <c r="I10" s="11"/>
      <c r="J10" s="6">
        <f t="shared" si="1"/>
        <v>1.675</v>
      </c>
      <c r="L10" s="1">
        <f t="shared" si="2"/>
        <v>396</v>
      </c>
      <c r="M10" s="17">
        <f t="shared" si="3"/>
        <v>1.561279079797621</v>
      </c>
      <c r="N10" s="17">
        <f t="shared" si="4"/>
        <v>1.7174069877773832</v>
      </c>
    </row>
    <row r="11" spans="2:14" x14ac:dyDescent="0.2">
      <c r="B11" s="1" t="s">
        <v>19</v>
      </c>
      <c r="C11" s="1">
        <v>1</v>
      </c>
      <c r="E11" s="5">
        <v>44877</v>
      </c>
      <c r="F11" s="6">
        <f t="shared" si="5"/>
        <v>34</v>
      </c>
      <c r="G11" s="6"/>
      <c r="H11" s="6">
        <f t="shared" si="0"/>
        <v>1.675</v>
      </c>
      <c r="I11" s="11">
        <v>33</v>
      </c>
      <c r="J11" s="6">
        <f t="shared" si="1"/>
        <v>34.674999999999997</v>
      </c>
      <c r="L11" s="1">
        <f t="shared" si="2"/>
        <v>486</v>
      </c>
      <c r="M11" s="17">
        <f t="shared" si="3"/>
        <v>31.80845622600177</v>
      </c>
      <c r="N11" s="17">
        <f t="shared" si="4"/>
        <v>42.941415905102389</v>
      </c>
    </row>
    <row r="12" spans="2:14" x14ac:dyDescent="0.2">
      <c r="E12" s="5">
        <v>44969</v>
      </c>
      <c r="F12" s="6">
        <f t="shared" si="5"/>
        <v>34</v>
      </c>
      <c r="G12" s="6"/>
      <c r="H12" s="6">
        <f t="shared" si="0"/>
        <v>0.85000000000000009</v>
      </c>
      <c r="I12" s="6"/>
      <c r="J12" s="6">
        <f t="shared" si="1"/>
        <v>0.85000000000000009</v>
      </c>
      <c r="L12" s="1">
        <f t="shared" si="2"/>
        <v>576</v>
      </c>
      <c r="M12" s="17">
        <f t="shared" si="3"/>
        <v>0.76737110277445841</v>
      </c>
      <c r="N12" s="17">
        <f t="shared" si="4"/>
        <v>1.2277937644391335</v>
      </c>
    </row>
    <row r="13" spans="2:14" x14ac:dyDescent="0.2">
      <c r="E13" s="5">
        <v>45058</v>
      </c>
      <c r="F13" s="6">
        <f t="shared" si="5"/>
        <v>34</v>
      </c>
      <c r="G13" s="6"/>
      <c r="H13" s="6">
        <f t="shared" ref="H13:H15" si="6">F12*($C$9/360*90)</f>
        <v>0.85000000000000009</v>
      </c>
      <c r="I13" s="6"/>
      <c r="J13" s="6">
        <f t="shared" ref="J13:J15" si="7">SUM(H13:I13)</f>
        <v>0.85000000000000009</v>
      </c>
      <c r="L13" s="1">
        <f t="shared" si="2"/>
        <v>666</v>
      </c>
      <c r="M13" s="17">
        <f t="shared" si="3"/>
        <v>0.75520669908516769</v>
      </c>
      <c r="N13" s="17">
        <f t="shared" si="4"/>
        <v>1.3971323933075603</v>
      </c>
    </row>
    <row r="14" spans="2:14" x14ac:dyDescent="0.2">
      <c r="E14" s="5">
        <v>45150</v>
      </c>
      <c r="F14" s="6">
        <f t="shared" si="5"/>
        <v>34</v>
      </c>
      <c r="G14" s="6"/>
      <c r="H14" s="6">
        <f t="shared" si="6"/>
        <v>0.85000000000000009</v>
      </c>
      <c r="I14" s="6"/>
      <c r="J14" s="6">
        <f t="shared" si="7"/>
        <v>0.85000000000000009</v>
      </c>
      <c r="L14" s="1">
        <f t="shared" si="2"/>
        <v>756</v>
      </c>
      <c r="M14" s="17">
        <f t="shared" si="3"/>
        <v>0.74323512610917997</v>
      </c>
      <c r="N14" s="17">
        <f t="shared" si="4"/>
        <v>1.560793764829278</v>
      </c>
    </row>
    <row r="15" spans="2:14" x14ac:dyDescent="0.2">
      <c r="E15" s="5">
        <v>45242</v>
      </c>
      <c r="F15" s="6">
        <f t="shared" si="5"/>
        <v>0</v>
      </c>
      <c r="H15" s="6">
        <f t="shared" si="6"/>
        <v>0.85000000000000009</v>
      </c>
      <c r="I15" s="11">
        <v>34</v>
      </c>
      <c r="J15" s="6">
        <f t="shared" si="7"/>
        <v>34.85</v>
      </c>
      <c r="L15" s="1">
        <f t="shared" si="2"/>
        <v>846</v>
      </c>
      <c r="M15" s="17">
        <f t="shared" si="3"/>
        <v>29.989586410474264</v>
      </c>
      <c r="N15" s="17">
        <f t="shared" si="4"/>
        <v>70.475528064614522</v>
      </c>
    </row>
    <row r="16" spans="2:14" x14ac:dyDescent="0.2">
      <c r="M16" s="17">
        <f>SUM(M6:M15)</f>
        <v>106.02227312950664</v>
      </c>
      <c r="N16" s="17">
        <f>SUM(N6:N15)</f>
        <v>134.03426006736629</v>
      </c>
    </row>
    <row r="17" spans="5:14" ht="15" x14ac:dyDescent="0.25">
      <c r="E17" s="5"/>
      <c r="F17" s="5"/>
      <c r="G17" s="5"/>
      <c r="I17" s="12" t="s">
        <v>14</v>
      </c>
      <c r="J17" s="13">
        <f>XIRR(J5:J15,E5:E15,0)</f>
        <v>6.6003002929687499E-2</v>
      </c>
    </row>
    <row r="18" spans="5:14" ht="15" x14ac:dyDescent="0.25">
      <c r="F18" s="5"/>
      <c r="G18" s="5"/>
      <c r="I18" s="14" t="s">
        <v>22</v>
      </c>
      <c r="J18" s="15">
        <f>N18/(1+(J17/4))</f>
        <v>1.2436867462140788</v>
      </c>
      <c r="M18" s="1" t="s">
        <v>48</v>
      </c>
      <c r="N18" s="6">
        <f>N16/M16</f>
        <v>1.2642085112025743</v>
      </c>
    </row>
  </sheetData>
  <mergeCells count="2">
    <mergeCell ref="B3:C3"/>
    <mergeCell ref="E3:J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3177-61D5-4C2E-BBB5-E75AFBBF1507}">
  <dimension ref="B3:J18"/>
  <sheetViews>
    <sheetView showGridLines="0" zoomScale="90" zoomScaleNormal="90" workbookViewId="0">
      <selection activeCell="H7" sqref="H7"/>
    </sheetView>
  </sheetViews>
  <sheetFormatPr baseColWidth="10" defaultRowHeight="14.25" x14ac:dyDescent="0.2"/>
  <cols>
    <col min="1" max="1" width="11.42578125" style="1"/>
    <col min="2" max="2" width="24.42578125" style="1" customWidth="1"/>
    <col min="3" max="3" width="17.140625" style="1" bestFit="1" customWidth="1"/>
    <col min="4" max="4" width="5.7109375" style="1" customWidth="1"/>
    <col min="5" max="5" width="12.28515625" style="1" bestFit="1" customWidth="1"/>
    <col min="6" max="8" width="11.42578125" style="1"/>
    <col min="9" max="9" width="13" style="1" customWidth="1"/>
    <col min="10" max="16384" width="11.42578125" style="1"/>
  </cols>
  <sheetData>
    <row r="3" spans="2:10" ht="15" x14ac:dyDescent="0.25">
      <c r="B3" s="56" t="s">
        <v>139</v>
      </c>
      <c r="C3" s="56"/>
      <c r="E3" s="56" t="s">
        <v>141</v>
      </c>
      <c r="F3" s="56"/>
      <c r="G3" s="56"/>
      <c r="H3" s="56"/>
      <c r="I3" s="56"/>
      <c r="J3" s="56"/>
    </row>
    <row r="4" spans="2:10" ht="15" x14ac:dyDescent="0.25">
      <c r="B4" s="1" t="s">
        <v>11</v>
      </c>
      <c r="C4" s="2" t="s">
        <v>115</v>
      </c>
      <c r="E4" s="3" t="s">
        <v>6</v>
      </c>
      <c r="F4" s="3" t="s">
        <v>7</v>
      </c>
      <c r="G4" s="3" t="s">
        <v>140</v>
      </c>
      <c r="H4" s="3" t="s">
        <v>8</v>
      </c>
      <c r="I4" s="3" t="s">
        <v>9</v>
      </c>
      <c r="J4" s="3" t="s">
        <v>10</v>
      </c>
    </row>
    <row r="5" spans="2:10" x14ac:dyDescent="0.2">
      <c r="B5" s="1" t="s">
        <v>0</v>
      </c>
      <c r="C5" s="5">
        <v>44147</v>
      </c>
      <c r="E5" s="5">
        <f>+Emisiones!K2</f>
        <v>44383</v>
      </c>
      <c r="F5" s="6">
        <v>100</v>
      </c>
      <c r="G5" s="6"/>
      <c r="H5" s="7"/>
      <c r="J5" s="6">
        <f>-Emisiones!P21</f>
        <v>-104.75</v>
      </c>
    </row>
    <row r="6" spans="2:10" x14ac:dyDescent="0.2">
      <c r="B6" s="1" t="s">
        <v>1</v>
      </c>
      <c r="C6" s="5">
        <v>44986</v>
      </c>
      <c r="E6" s="5">
        <v>44420</v>
      </c>
      <c r="F6" s="6">
        <v>100</v>
      </c>
      <c r="G6" s="6"/>
      <c r="H6" s="6">
        <f t="shared" ref="H6:H11" si="0">F5*($C$9/360*90)</f>
        <v>2.5</v>
      </c>
      <c r="J6" s="6">
        <f t="shared" ref="J6:J12" si="1">SUM(H6:I6)</f>
        <v>2.5</v>
      </c>
    </row>
    <row r="7" spans="2:10" x14ac:dyDescent="0.2">
      <c r="B7" s="1" t="s">
        <v>15</v>
      </c>
      <c r="C7" s="8" t="s">
        <v>16</v>
      </c>
      <c r="E7" s="5">
        <v>44512</v>
      </c>
      <c r="F7" s="6">
        <f>F6-I7</f>
        <v>100</v>
      </c>
      <c r="G7" s="6"/>
      <c r="H7" s="6">
        <f t="shared" si="0"/>
        <v>2.5</v>
      </c>
      <c r="I7" s="11"/>
      <c r="J7" s="6">
        <f t="shared" si="1"/>
        <v>2.5</v>
      </c>
    </row>
    <row r="8" spans="2:10" x14ac:dyDescent="0.2">
      <c r="B8" s="1" t="s">
        <v>2</v>
      </c>
      <c r="C8" s="9">
        <v>80676505</v>
      </c>
      <c r="E8" s="5">
        <v>44604</v>
      </c>
      <c r="F8" s="6">
        <f>F7-I8</f>
        <v>100</v>
      </c>
      <c r="G8" s="6"/>
      <c r="H8" s="6">
        <f t="shared" si="0"/>
        <v>2.5</v>
      </c>
      <c r="I8" s="11"/>
      <c r="J8" s="6">
        <f t="shared" si="1"/>
        <v>2.5</v>
      </c>
    </row>
    <row r="9" spans="2:10" x14ac:dyDescent="0.2">
      <c r="B9" s="1" t="s">
        <v>3</v>
      </c>
      <c r="C9" s="10">
        <v>0.1</v>
      </c>
      <c r="E9" s="5">
        <v>44693</v>
      </c>
      <c r="F9" s="6">
        <f t="shared" ref="F9:F12" si="2">F8-I9</f>
        <v>100</v>
      </c>
      <c r="G9" s="6"/>
      <c r="H9" s="6">
        <f t="shared" si="0"/>
        <v>2.5</v>
      </c>
      <c r="I9" s="11"/>
      <c r="J9" s="6">
        <f t="shared" si="1"/>
        <v>2.5</v>
      </c>
    </row>
    <row r="10" spans="2:10" x14ac:dyDescent="0.2">
      <c r="B10" s="1" t="s">
        <v>4</v>
      </c>
      <c r="C10" s="8" t="s">
        <v>34</v>
      </c>
      <c r="E10" s="5">
        <v>44785</v>
      </c>
      <c r="F10" s="6">
        <f t="shared" si="2"/>
        <v>100</v>
      </c>
      <c r="G10" s="6"/>
      <c r="H10" s="6">
        <f t="shared" si="0"/>
        <v>2.5</v>
      </c>
      <c r="I10" s="11"/>
      <c r="J10" s="6">
        <f t="shared" si="1"/>
        <v>2.5</v>
      </c>
    </row>
    <row r="11" spans="2:10" x14ac:dyDescent="0.2">
      <c r="B11" s="1" t="s">
        <v>19</v>
      </c>
      <c r="C11" s="1">
        <v>1</v>
      </c>
      <c r="E11" s="5">
        <v>44877</v>
      </c>
      <c r="F11" s="6">
        <f t="shared" si="2"/>
        <v>100</v>
      </c>
      <c r="G11" s="6"/>
      <c r="H11" s="6">
        <f t="shared" si="0"/>
        <v>2.5</v>
      </c>
      <c r="I11" s="11"/>
      <c r="J11" s="6">
        <f t="shared" si="1"/>
        <v>2.5</v>
      </c>
    </row>
    <row r="12" spans="2:10" x14ac:dyDescent="0.2">
      <c r="E12" s="5">
        <v>44986</v>
      </c>
      <c r="F12" s="6">
        <f t="shared" si="2"/>
        <v>0</v>
      </c>
      <c r="G12" s="6">
        <f>E12-E11</f>
        <v>109</v>
      </c>
      <c r="H12" s="6">
        <f>F11*($C$9/360*G12)</f>
        <v>3.0277777777777777</v>
      </c>
      <c r="I12" s="6">
        <v>100</v>
      </c>
      <c r="J12" s="6">
        <f t="shared" si="1"/>
        <v>103.02777777777777</v>
      </c>
    </row>
    <row r="13" spans="2:10" x14ac:dyDescent="0.2">
      <c r="E13" s="5"/>
      <c r="F13" s="6"/>
      <c r="G13" s="6"/>
      <c r="H13" s="6"/>
      <c r="I13" s="6"/>
      <c r="J13" s="6"/>
    </row>
    <row r="14" spans="2:10" x14ac:dyDescent="0.2">
      <c r="E14" s="5"/>
      <c r="F14" s="6"/>
      <c r="G14" s="6"/>
      <c r="H14" s="6"/>
      <c r="I14" s="6"/>
      <c r="J14" s="6"/>
    </row>
    <row r="15" spans="2:10" x14ac:dyDescent="0.2">
      <c r="E15" s="5"/>
      <c r="F15" s="6"/>
      <c r="H15" s="6"/>
      <c r="I15" s="11"/>
      <c r="J15" s="6"/>
    </row>
    <row r="17" spans="5:10" ht="15" x14ac:dyDescent="0.25">
      <c r="E17" s="5"/>
      <c r="F17" s="5"/>
      <c r="G17" s="5"/>
      <c r="I17" s="12" t="s">
        <v>14</v>
      </c>
      <c r="J17" s="13">
        <f>XIRR(J5:J12,E5:E12,0)</f>
        <v>8.113540527343753E-2</v>
      </c>
    </row>
    <row r="18" spans="5:10" ht="15" x14ac:dyDescent="0.25">
      <c r="F18" s="5"/>
      <c r="G18" s="5"/>
      <c r="I18" s="14" t="s">
        <v>22</v>
      </c>
      <c r="J18" s="15">
        <f>MDURATION(E5,E12,C9,J17,4)</f>
        <v>1.5015412700667869</v>
      </c>
    </row>
  </sheetData>
  <mergeCells count="2">
    <mergeCell ref="B3:C3"/>
    <mergeCell ref="E3:J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12"/>
  <sheetViews>
    <sheetView showGridLines="0" topLeftCell="B1" zoomScale="90" zoomScaleNormal="90" workbookViewId="0">
      <selection activeCell="I7" sqref="I7"/>
    </sheetView>
  </sheetViews>
  <sheetFormatPr baseColWidth="10" defaultRowHeight="14.25" x14ac:dyDescent="0.2"/>
  <cols>
    <col min="1" max="1" width="11.42578125" style="1"/>
    <col min="2" max="2" width="23.42578125" style="1" bestFit="1" customWidth="1"/>
    <col min="3" max="3" width="17.7109375" style="1" bestFit="1" customWidth="1"/>
    <col min="4" max="4" width="11.42578125" style="1"/>
    <col min="5" max="5" width="12.28515625" style="1" bestFit="1" customWidth="1"/>
    <col min="6" max="16384" width="11.42578125" style="1"/>
  </cols>
  <sheetData>
    <row r="4" spans="2:9" ht="15" x14ac:dyDescent="0.25">
      <c r="B4" s="56" t="s">
        <v>32</v>
      </c>
      <c r="C4" s="56"/>
      <c r="E4" s="56" t="s">
        <v>35</v>
      </c>
      <c r="F4" s="56"/>
      <c r="G4" s="56"/>
      <c r="H4" s="56"/>
      <c r="I4" s="56"/>
    </row>
    <row r="5" spans="2:9" ht="15" x14ac:dyDescent="0.25">
      <c r="B5" s="1" t="s">
        <v>11</v>
      </c>
      <c r="C5" s="2" t="s">
        <v>33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</row>
    <row r="6" spans="2:9" x14ac:dyDescent="0.2">
      <c r="B6" s="1" t="s">
        <v>0</v>
      </c>
      <c r="C6" s="5">
        <v>43004</v>
      </c>
      <c r="E6" s="5">
        <f>+Emisiones!K2</f>
        <v>44383</v>
      </c>
      <c r="F6" s="6">
        <v>100</v>
      </c>
      <c r="G6" s="7"/>
      <c r="I6" s="6">
        <v>-98</v>
      </c>
    </row>
    <row r="7" spans="2:9" x14ac:dyDescent="0.2">
      <c r="B7" s="1" t="s">
        <v>1</v>
      </c>
      <c r="C7" s="5">
        <v>44376</v>
      </c>
      <c r="E7" s="5">
        <v>44373</v>
      </c>
      <c r="F7" s="6">
        <v>100</v>
      </c>
      <c r="G7" s="7">
        <f>($C$10*F7)/360*90</f>
        <v>1.5</v>
      </c>
      <c r="H7" s="1">
        <v>100</v>
      </c>
      <c r="I7" s="6">
        <f>SUM(G7:H7)</f>
        <v>101.5</v>
      </c>
    </row>
    <row r="8" spans="2:9" x14ac:dyDescent="0.2">
      <c r="B8" s="1" t="s">
        <v>15</v>
      </c>
      <c r="C8" s="8" t="s">
        <v>16</v>
      </c>
      <c r="E8" s="5"/>
      <c r="F8" s="6"/>
      <c r="G8" s="7"/>
      <c r="I8" s="6"/>
    </row>
    <row r="9" spans="2:9" ht="15" x14ac:dyDescent="0.25">
      <c r="B9" s="1" t="s">
        <v>2</v>
      </c>
      <c r="C9" s="9">
        <v>28731000</v>
      </c>
      <c r="H9" s="12" t="s">
        <v>14</v>
      </c>
      <c r="I9" s="13" t="e">
        <f>XIRR(I6:I7,E6:E7,0)</f>
        <v>#NUM!</v>
      </c>
    </row>
    <row r="10" spans="2:9" ht="15" x14ac:dyDescent="0.25">
      <c r="B10" s="1" t="s">
        <v>3</v>
      </c>
      <c r="C10" s="10">
        <v>0.06</v>
      </c>
      <c r="E10" s="5"/>
      <c r="F10" s="6"/>
      <c r="G10" s="7"/>
      <c r="H10" s="14" t="s">
        <v>22</v>
      </c>
      <c r="I10" s="15" t="e">
        <f>MDURATION(E6,E7,C10,I9,2)</f>
        <v>#NUM!</v>
      </c>
    </row>
    <row r="11" spans="2:9" x14ac:dyDescent="0.2">
      <c r="B11" s="1" t="s">
        <v>4</v>
      </c>
      <c r="C11" s="8" t="s">
        <v>34</v>
      </c>
      <c r="E11" s="5"/>
      <c r="F11" s="6"/>
      <c r="G11" s="7"/>
      <c r="I11" s="6"/>
    </row>
    <row r="12" spans="2:9" x14ac:dyDescent="0.2">
      <c r="B12" s="1" t="s">
        <v>19</v>
      </c>
      <c r="C12" s="9">
        <v>62000</v>
      </c>
      <c r="E12" s="5"/>
      <c r="F12" s="6"/>
      <c r="G12" s="7"/>
      <c r="I12" s="6"/>
    </row>
  </sheetData>
  <mergeCells count="2">
    <mergeCell ref="B4:C4"/>
    <mergeCell ref="E4:I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860A6-280C-4848-8123-B0BBD29973EB}">
  <dimension ref="B4:O21"/>
  <sheetViews>
    <sheetView showGridLines="0" zoomScale="90" zoomScaleNormal="90" workbookViewId="0">
      <selection activeCell="I38" sqref="I38"/>
    </sheetView>
  </sheetViews>
  <sheetFormatPr baseColWidth="10" defaultRowHeight="14.25" x14ac:dyDescent="0.2"/>
  <cols>
    <col min="1" max="1" width="11.42578125" style="1"/>
    <col min="2" max="2" width="22" style="1" bestFit="1" customWidth="1"/>
    <col min="3" max="3" width="15.5703125" style="1" bestFit="1" customWidth="1"/>
    <col min="4" max="4" width="11.42578125" style="1"/>
    <col min="5" max="5" width="12.28515625" style="1" bestFit="1" customWidth="1"/>
    <col min="6" max="16384" width="11.42578125" style="1"/>
  </cols>
  <sheetData>
    <row r="4" spans="2:15" ht="15" x14ac:dyDescent="0.25">
      <c r="B4" s="56" t="s">
        <v>125</v>
      </c>
      <c r="C4" s="56"/>
      <c r="E4" s="56" t="s">
        <v>126</v>
      </c>
      <c r="F4" s="56"/>
      <c r="G4" s="56"/>
      <c r="H4" s="56"/>
      <c r="I4" s="56"/>
    </row>
    <row r="5" spans="2:15" ht="15" x14ac:dyDescent="0.25">
      <c r="B5" s="1" t="s">
        <v>11</v>
      </c>
      <c r="C5" s="2" t="s">
        <v>87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</row>
    <row r="6" spans="2:15" x14ac:dyDescent="0.2">
      <c r="B6" s="1" t="s">
        <v>0</v>
      </c>
      <c r="C6" s="5">
        <v>43564</v>
      </c>
      <c r="E6" s="5">
        <f>+Emisiones!K2</f>
        <v>44383</v>
      </c>
      <c r="F6" s="6">
        <v>100</v>
      </c>
      <c r="G6" s="7"/>
      <c r="I6" s="6">
        <f>-Emisiones!P6</f>
        <v>-106.5</v>
      </c>
    </row>
    <row r="7" spans="2:15" x14ac:dyDescent="0.2">
      <c r="B7" s="1" t="s">
        <v>1</v>
      </c>
      <c r="C7" s="5">
        <v>45391</v>
      </c>
      <c r="E7" s="5">
        <v>44386</v>
      </c>
      <c r="F7" s="6">
        <v>100</v>
      </c>
      <c r="G7" s="7">
        <f t="shared" ref="G7:G18" si="0">($C$10*F7)/360*90</f>
        <v>1.6750000000000003</v>
      </c>
      <c r="H7" s="6">
        <f>100/12</f>
        <v>8.3333333333333339</v>
      </c>
      <c r="I7" s="6">
        <f t="shared" ref="I7:I18" si="1">SUM(G7:H7)</f>
        <v>10.008333333333335</v>
      </c>
    </row>
    <row r="8" spans="2:15" x14ac:dyDescent="0.2">
      <c r="B8" s="1" t="s">
        <v>15</v>
      </c>
      <c r="C8" s="8" t="s">
        <v>16</v>
      </c>
      <c r="E8" s="5">
        <v>44478</v>
      </c>
      <c r="F8" s="6">
        <f>F7-H7</f>
        <v>91.666666666666671</v>
      </c>
      <c r="G8" s="7">
        <f t="shared" si="0"/>
        <v>1.5354166666666669</v>
      </c>
      <c r="H8" s="6">
        <f t="shared" ref="H8:H18" si="2">100/12</f>
        <v>8.3333333333333339</v>
      </c>
      <c r="I8" s="6">
        <f t="shared" si="1"/>
        <v>9.8687500000000004</v>
      </c>
    </row>
    <row r="9" spans="2:15" x14ac:dyDescent="0.2">
      <c r="B9" s="1" t="s">
        <v>2</v>
      </c>
      <c r="C9" s="9">
        <v>150000000</v>
      </c>
      <c r="E9" s="5">
        <v>44570</v>
      </c>
      <c r="F9" s="6">
        <f t="shared" ref="F9:F18" si="3">F8-H8</f>
        <v>83.333333333333343</v>
      </c>
      <c r="G9" s="7">
        <f t="shared" si="0"/>
        <v>1.3958333333333335</v>
      </c>
      <c r="H9" s="6">
        <f t="shared" si="2"/>
        <v>8.3333333333333339</v>
      </c>
      <c r="I9" s="6">
        <f t="shared" si="1"/>
        <v>9.7291666666666679</v>
      </c>
    </row>
    <row r="10" spans="2:15" x14ac:dyDescent="0.2">
      <c r="B10" s="1" t="s">
        <v>3</v>
      </c>
      <c r="C10" s="10">
        <v>6.7000000000000004E-2</v>
      </c>
      <c r="E10" s="5">
        <v>44660</v>
      </c>
      <c r="F10" s="6">
        <f t="shared" si="3"/>
        <v>75.000000000000014</v>
      </c>
      <c r="G10" s="7">
        <f t="shared" si="0"/>
        <v>1.2562500000000003</v>
      </c>
      <c r="H10" s="6">
        <f t="shared" si="2"/>
        <v>8.3333333333333339</v>
      </c>
      <c r="I10" s="6">
        <f t="shared" si="1"/>
        <v>9.5895833333333336</v>
      </c>
    </row>
    <row r="11" spans="2:15" x14ac:dyDescent="0.2">
      <c r="B11" s="1" t="s">
        <v>4</v>
      </c>
      <c r="C11" s="8" t="s">
        <v>34</v>
      </c>
      <c r="E11" s="5">
        <v>44751</v>
      </c>
      <c r="F11" s="6">
        <f t="shared" si="3"/>
        <v>66.666666666666686</v>
      </c>
      <c r="G11" s="7">
        <f t="shared" si="0"/>
        <v>1.1166666666666671</v>
      </c>
      <c r="H11" s="6">
        <f t="shared" si="2"/>
        <v>8.3333333333333339</v>
      </c>
      <c r="I11" s="6">
        <f t="shared" si="1"/>
        <v>9.4500000000000011</v>
      </c>
    </row>
    <row r="12" spans="2:15" x14ac:dyDescent="0.2">
      <c r="B12" s="1" t="s">
        <v>19</v>
      </c>
      <c r="C12" s="9">
        <v>500</v>
      </c>
      <c r="E12" s="5">
        <v>44843</v>
      </c>
      <c r="F12" s="6">
        <f t="shared" si="3"/>
        <v>58.33333333333335</v>
      </c>
      <c r="G12" s="7">
        <f t="shared" si="0"/>
        <v>0.97708333333333364</v>
      </c>
      <c r="H12" s="6">
        <f t="shared" si="2"/>
        <v>8.3333333333333339</v>
      </c>
      <c r="I12" s="6">
        <f t="shared" si="1"/>
        <v>9.3104166666666668</v>
      </c>
      <c r="N12" s="1">
        <v>0.15</v>
      </c>
      <c r="O12" s="1">
        <f>XNPV(N12,O14:O20,K14:K20)</f>
        <v>48.364546817681209</v>
      </c>
    </row>
    <row r="13" spans="2:15" x14ac:dyDescent="0.2">
      <c r="E13" s="5">
        <v>44935</v>
      </c>
      <c r="F13" s="6">
        <f t="shared" si="3"/>
        <v>50.000000000000014</v>
      </c>
      <c r="G13" s="7">
        <f t="shared" si="0"/>
        <v>0.83750000000000024</v>
      </c>
      <c r="H13" s="6">
        <f t="shared" si="2"/>
        <v>8.3333333333333339</v>
      </c>
      <c r="I13" s="6">
        <f t="shared" si="1"/>
        <v>9.1708333333333343</v>
      </c>
    </row>
    <row r="14" spans="2:15" x14ac:dyDescent="0.2">
      <c r="E14" s="5">
        <v>45025</v>
      </c>
      <c r="F14" s="6">
        <f t="shared" si="3"/>
        <v>41.666666666666679</v>
      </c>
      <c r="G14" s="7">
        <f t="shared" si="0"/>
        <v>0.69791666666666685</v>
      </c>
      <c r="H14" s="6">
        <f t="shared" si="2"/>
        <v>8.3333333333333339</v>
      </c>
      <c r="I14" s="6">
        <f t="shared" si="1"/>
        <v>9.03125</v>
      </c>
      <c r="K14" s="4">
        <v>44918</v>
      </c>
      <c r="O14" s="1">
        <v>0</v>
      </c>
    </row>
    <row r="15" spans="2:15" x14ac:dyDescent="0.2">
      <c r="E15" s="5">
        <v>45116</v>
      </c>
      <c r="F15" s="6">
        <f t="shared" si="3"/>
        <v>33.333333333333343</v>
      </c>
      <c r="G15" s="7">
        <f t="shared" si="0"/>
        <v>0.55833333333333357</v>
      </c>
      <c r="H15" s="6">
        <f t="shared" si="2"/>
        <v>8.3333333333333339</v>
      </c>
      <c r="I15" s="6">
        <f t="shared" si="1"/>
        <v>8.8916666666666675</v>
      </c>
      <c r="K15" s="5">
        <v>44935</v>
      </c>
      <c r="L15" s="6">
        <v>50.000000000000014</v>
      </c>
      <c r="M15" s="7">
        <v>0.83750000000000024</v>
      </c>
      <c r="N15" s="6">
        <v>8.3333333333333339</v>
      </c>
      <c r="O15" s="6">
        <v>9.1708333333333343</v>
      </c>
    </row>
    <row r="16" spans="2:15" x14ac:dyDescent="0.2">
      <c r="E16" s="5">
        <v>45208</v>
      </c>
      <c r="F16" s="6">
        <f t="shared" si="3"/>
        <v>25.000000000000007</v>
      </c>
      <c r="G16" s="7">
        <f t="shared" si="0"/>
        <v>0.41875000000000012</v>
      </c>
      <c r="H16" s="6">
        <f t="shared" si="2"/>
        <v>8.3333333333333339</v>
      </c>
      <c r="I16" s="6">
        <f t="shared" si="1"/>
        <v>8.7520833333333332</v>
      </c>
      <c r="K16" s="5">
        <v>45025</v>
      </c>
      <c r="L16" s="6">
        <v>41.666666666666679</v>
      </c>
      <c r="M16" s="7">
        <v>0.69791666666666685</v>
      </c>
      <c r="N16" s="6">
        <v>8.3333333333333339</v>
      </c>
      <c r="O16" s="6">
        <v>9.03125</v>
      </c>
    </row>
    <row r="17" spans="5:15" x14ac:dyDescent="0.2">
      <c r="E17" s="5">
        <v>45300</v>
      </c>
      <c r="F17" s="6">
        <f t="shared" si="3"/>
        <v>16.666666666666671</v>
      </c>
      <c r="G17" s="7">
        <f t="shared" si="0"/>
        <v>0.27916666666666679</v>
      </c>
      <c r="H17" s="6">
        <f t="shared" si="2"/>
        <v>8.3333333333333339</v>
      </c>
      <c r="I17" s="6">
        <f t="shared" si="1"/>
        <v>8.6125000000000007</v>
      </c>
      <c r="K17" s="5">
        <v>45116</v>
      </c>
      <c r="L17" s="6">
        <v>33.333333333333343</v>
      </c>
      <c r="M17" s="7">
        <v>0.55833333333333357</v>
      </c>
      <c r="N17" s="6">
        <v>8.3333333333333339</v>
      </c>
      <c r="O17" s="6">
        <v>8.8916666666666675</v>
      </c>
    </row>
    <row r="18" spans="5:15" x14ac:dyDescent="0.2">
      <c r="E18" s="5">
        <v>45391</v>
      </c>
      <c r="F18" s="6">
        <f t="shared" si="3"/>
        <v>8.3333333333333375</v>
      </c>
      <c r="G18" s="7">
        <f t="shared" si="0"/>
        <v>0.13958333333333342</v>
      </c>
      <c r="H18" s="6">
        <f t="shared" si="2"/>
        <v>8.3333333333333339</v>
      </c>
      <c r="I18" s="6">
        <f t="shared" si="1"/>
        <v>8.4729166666666682</v>
      </c>
      <c r="K18" s="5">
        <v>45208</v>
      </c>
      <c r="L18" s="6">
        <v>25.000000000000007</v>
      </c>
      <c r="M18" s="7">
        <v>0.41875000000000012</v>
      </c>
      <c r="N18" s="6">
        <v>8.3333333333333339</v>
      </c>
      <c r="O18" s="6">
        <v>8.7520833333333332</v>
      </c>
    </row>
    <row r="19" spans="5:15" x14ac:dyDescent="0.2">
      <c r="I19" s="6"/>
      <c r="K19" s="5">
        <v>45300</v>
      </c>
      <c r="L19" s="6">
        <v>16.666666666666671</v>
      </c>
      <c r="M19" s="7">
        <v>0.27916666666666679</v>
      </c>
      <c r="N19" s="6">
        <v>8.3333333333333339</v>
      </c>
      <c r="O19" s="6">
        <v>8.6125000000000007</v>
      </c>
    </row>
    <row r="20" spans="5:15" ht="15" x14ac:dyDescent="0.25">
      <c r="H20" s="12" t="s">
        <v>14</v>
      </c>
      <c r="I20" s="13">
        <f>XIRR(I6:I18,E6:E18,0)</f>
        <v>3.084691894531251E-2</v>
      </c>
      <c r="K20" s="5">
        <v>45391</v>
      </c>
      <c r="L20" s="6">
        <v>8.3333333333333375</v>
      </c>
      <c r="M20" s="7">
        <v>0.13958333333333342</v>
      </c>
      <c r="N20" s="6">
        <v>8.3333333333333339</v>
      </c>
      <c r="O20" s="6">
        <v>8.4729166666666682</v>
      </c>
    </row>
    <row r="21" spans="5:15" ht="15" x14ac:dyDescent="0.25">
      <c r="H21" s="14" t="s">
        <v>22</v>
      </c>
      <c r="I21" s="15">
        <f>MDURATION(E6,E18,C10,I20,2)</f>
        <v>2.499907403996521</v>
      </c>
    </row>
  </sheetData>
  <mergeCells count="2">
    <mergeCell ref="B4:C4"/>
    <mergeCell ref="E4:I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8A02-B19F-4104-A2CA-9D303EECFE42}">
  <dimension ref="B3:I22"/>
  <sheetViews>
    <sheetView showGridLines="0" zoomScale="90" zoomScaleNormal="90" workbookViewId="0">
      <selection activeCell="G19" sqref="G19"/>
    </sheetView>
  </sheetViews>
  <sheetFormatPr baseColWidth="10" defaultRowHeight="14.25" x14ac:dyDescent="0.2"/>
  <cols>
    <col min="1" max="1" width="11.42578125" style="1"/>
    <col min="2" max="2" width="24.42578125" style="1" customWidth="1"/>
    <col min="3" max="3" width="17.140625" style="1" bestFit="1" customWidth="1"/>
    <col min="4" max="4" width="5.7109375" style="1" customWidth="1"/>
    <col min="5" max="5" width="12.28515625" style="1" bestFit="1" customWidth="1"/>
    <col min="6" max="7" width="11.42578125" style="1"/>
    <col min="8" max="8" width="13" style="1" customWidth="1"/>
    <col min="9" max="9" width="13" style="1" bestFit="1" customWidth="1"/>
    <col min="10" max="16384" width="11.42578125" style="1"/>
  </cols>
  <sheetData>
    <row r="3" spans="2:9" ht="15" x14ac:dyDescent="0.25">
      <c r="B3" s="56" t="s">
        <v>122</v>
      </c>
      <c r="C3" s="56"/>
      <c r="E3" s="56" t="s">
        <v>128</v>
      </c>
      <c r="F3" s="56"/>
      <c r="G3" s="56"/>
      <c r="H3" s="56"/>
      <c r="I3" s="56"/>
    </row>
    <row r="4" spans="2:9" ht="15" x14ac:dyDescent="0.25">
      <c r="B4" s="1" t="s">
        <v>11</v>
      </c>
      <c r="C4" s="2" t="s">
        <v>117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</row>
    <row r="5" spans="2:9" x14ac:dyDescent="0.2">
      <c r="B5" s="1" t="s">
        <v>0</v>
      </c>
      <c r="C5" s="5">
        <v>41823</v>
      </c>
      <c r="E5" s="5">
        <f>+Emisiones!K2</f>
        <v>44383</v>
      </c>
      <c r="F5" s="6">
        <v>100</v>
      </c>
      <c r="G5" s="7"/>
      <c r="I5" s="6">
        <f>-Emisiones!P22</f>
        <v>-108</v>
      </c>
    </row>
    <row r="6" spans="2:9" x14ac:dyDescent="0.2">
      <c r="B6" s="1" t="s">
        <v>1</v>
      </c>
      <c r="C6" s="5">
        <v>44380</v>
      </c>
      <c r="E6" s="5">
        <v>44380</v>
      </c>
      <c r="F6" s="6">
        <f>F5-H6</f>
        <v>0</v>
      </c>
      <c r="G6" s="6">
        <f>F5*($C$9/360*180)</f>
        <v>6.3125</v>
      </c>
      <c r="H6" s="11">
        <v>100</v>
      </c>
      <c r="I6" s="6">
        <f>SUM(G6:H6)</f>
        <v>106.3125</v>
      </c>
    </row>
    <row r="7" spans="2:9" x14ac:dyDescent="0.2">
      <c r="B7" s="1" t="s">
        <v>15</v>
      </c>
      <c r="C7" s="8" t="s">
        <v>16</v>
      </c>
      <c r="E7" s="5"/>
      <c r="F7" s="6"/>
      <c r="G7" s="6"/>
      <c r="H7" s="11"/>
      <c r="I7" s="6"/>
    </row>
    <row r="8" spans="2:9" x14ac:dyDescent="0.2">
      <c r="B8" s="1" t="s">
        <v>2</v>
      </c>
      <c r="C8" s="9">
        <v>199693422</v>
      </c>
    </row>
    <row r="9" spans="2:9" x14ac:dyDescent="0.2">
      <c r="B9" s="1" t="s">
        <v>3</v>
      </c>
      <c r="C9" s="10">
        <v>0.12625</v>
      </c>
      <c r="E9" s="5"/>
      <c r="F9" s="6"/>
      <c r="G9" s="6"/>
      <c r="H9" s="11"/>
      <c r="I9" s="6"/>
    </row>
    <row r="10" spans="2:9" ht="15" x14ac:dyDescent="0.25">
      <c r="B10" s="1" t="s">
        <v>4</v>
      </c>
      <c r="C10" s="8" t="s">
        <v>5</v>
      </c>
      <c r="E10" s="5"/>
      <c r="F10" s="6"/>
      <c r="G10" s="6"/>
      <c r="H10" s="12" t="s">
        <v>14</v>
      </c>
      <c r="I10" s="13" t="e">
        <f>XIRR(I5:I6,E5:E6,0)</f>
        <v>#NUM!</v>
      </c>
    </row>
    <row r="11" spans="2:9" ht="15" x14ac:dyDescent="0.25">
      <c r="B11" s="1" t="s">
        <v>19</v>
      </c>
      <c r="C11" s="1">
        <v>1</v>
      </c>
      <c r="E11" s="5"/>
      <c r="F11" s="6"/>
      <c r="G11" s="6"/>
      <c r="H11" s="14" t="s">
        <v>22</v>
      </c>
      <c r="I11" s="15" t="e">
        <f>MDURATION(E5,E6,C9,I10,4)</f>
        <v>#NUM!</v>
      </c>
    </row>
    <row r="12" spans="2:9" x14ac:dyDescent="0.2">
      <c r="B12" s="1" t="s">
        <v>123</v>
      </c>
      <c r="C12" s="4">
        <v>44015</v>
      </c>
    </row>
    <row r="14" spans="2:9" x14ac:dyDescent="0.2">
      <c r="E14" s="5"/>
      <c r="F14" s="6"/>
      <c r="G14" s="6"/>
      <c r="I14" s="6"/>
    </row>
    <row r="15" spans="2:9" x14ac:dyDescent="0.2">
      <c r="E15" s="5"/>
      <c r="F15" s="5"/>
    </row>
    <row r="16" spans="2:9" x14ac:dyDescent="0.2">
      <c r="E16" s="5"/>
      <c r="F16" s="5"/>
    </row>
    <row r="17" spans="5:6" x14ac:dyDescent="0.2">
      <c r="E17" s="5"/>
      <c r="F17" s="5"/>
    </row>
    <row r="20" spans="5:6" x14ac:dyDescent="0.2">
      <c r="E20" s="5"/>
    </row>
    <row r="22" spans="5:6" x14ac:dyDescent="0.2">
      <c r="E22" s="5"/>
    </row>
  </sheetData>
  <mergeCells count="2">
    <mergeCell ref="B3:C3"/>
    <mergeCell ref="E3:I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9178-707E-47E5-8858-F94C7538A6CD}">
  <dimension ref="B3:I29"/>
  <sheetViews>
    <sheetView showGridLines="0" zoomScale="90" zoomScaleNormal="90" workbookViewId="0">
      <selection activeCell="I27" sqref="I27"/>
    </sheetView>
  </sheetViews>
  <sheetFormatPr baseColWidth="10" defaultRowHeight="14.25" x14ac:dyDescent="0.2"/>
  <cols>
    <col min="1" max="1" width="11.42578125" style="1"/>
    <col min="2" max="2" width="24.42578125" style="1" customWidth="1"/>
    <col min="3" max="3" width="17.140625" style="1" bestFit="1" customWidth="1"/>
    <col min="4" max="4" width="5.7109375" style="1" customWidth="1"/>
    <col min="5" max="5" width="12.28515625" style="1" bestFit="1" customWidth="1"/>
    <col min="6" max="7" width="11.42578125" style="1"/>
    <col min="8" max="8" width="13" style="1" customWidth="1"/>
    <col min="9" max="9" width="13" style="1" bestFit="1" customWidth="1"/>
    <col min="10" max="16384" width="11.42578125" style="1"/>
  </cols>
  <sheetData>
    <row r="3" spans="2:9" ht="15" x14ac:dyDescent="0.25">
      <c r="B3" s="56" t="s">
        <v>122</v>
      </c>
      <c r="C3" s="56"/>
      <c r="E3" s="56" t="s">
        <v>128</v>
      </c>
      <c r="F3" s="56"/>
      <c r="G3" s="56"/>
      <c r="H3" s="56"/>
      <c r="I3" s="56"/>
    </row>
    <row r="4" spans="2:9" ht="15" x14ac:dyDescent="0.25">
      <c r="B4" s="1" t="s">
        <v>11</v>
      </c>
      <c r="C4" s="2" t="s">
        <v>117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</row>
    <row r="5" spans="2:9" x14ac:dyDescent="0.2">
      <c r="B5" s="1" t="s">
        <v>0</v>
      </c>
      <c r="C5" s="5">
        <v>41823</v>
      </c>
      <c r="E5" s="5">
        <v>44380</v>
      </c>
      <c r="F5" s="6">
        <v>100</v>
      </c>
      <c r="G5" s="7"/>
      <c r="I5" s="6">
        <v>-100</v>
      </c>
    </row>
    <row r="6" spans="2:9" x14ac:dyDescent="0.2">
      <c r="B6" s="1" t="s">
        <v>1</v>
      </c>
      <c r="C6" s="5">
        <v>44380</v>
      </c>
      <c r="E6" s="5">
        <v>44564</v>
      </c>
      <c r="F6" s="6">
        <f>F5-H6</f>
        <v>100</v>
      </c>
      <c r="G6" s="6">
        <f>F5*($C$9/360*180)</f>
        <v>5.4749999999999996</v>
      </c>
      <c r="H6" s="11"/>
      <c r="I6" s="6">
        <f>SUM(G6:H6)</f>
        <v>5.4749999999999996</v>
      </c>
    </row>
    <row r="7" spans="2:9" x14ac:dyDescent="0.2">
      <c r="B7" s="1" t="s">
        <v>15</v>
      </c>
      <c r="C7" s="8" t="s">
        <v>16</v>
      </c>
      <c r="E7" s="5">
        <v>44745</v>
      </c>
      <c r="F7" s="6">
        <f t="shared" ref="F7:F15" si="0">F6-H7</f>
        <v>100</v>
      </c>
      <c r="G7" s="6">
        <f t="shared" ref="G7:G15" si="1">F6*($C$9/360*180)</f>
        <v>5.4749999999999996</v>
      </c>
      <c r="H7" s="11"/>
      <c r="I7" s="6">
        <f t="shared" ref="I7:I15" si="2">SUM(G7:H7)</f>
        <v>5.4749999999999996</v>
      </c>
    </row>
    <row r="8" spans="2:9" x14ac:dyDescent="0.2">
      <c r="B8" s="1" t="s">
        <v>2</v>
      </c>
      <c r="C8" s="9">
        <v>199693422</v>
      </c>
      <c r="E8" s="5">
        <v>44929</v>
      </c>
      <c r="F8" s="6">
        <f t="shared" si="0"/>
        <v>100</v>
      </c>
      <c r="G8" s="6">
        <f t="shared" si="1"/>
        <v>5.4749999999999996</v>
      </c>
      <c r="I8" s="6">
        <f t="shared" si="2"/>
        <v>5.4749999999999996</v>
      </c>
    </row>
    <row r="9" spans="2:9" x14ac:dyDescent="0.2">
      <c r="B9" s="1" t="s">
        <v>3</v>
      </c>
      <c r="C9" s="10">
        <v>0.1095</v>
      </c>
      <c r="E9" s="5">
        <v>45110</v>
      </c>
      <c r="F9" s="6">
        <f t="shared" si="0"/>
        <v>100</v>
      </c>
      <c r="G9" s="6">
        <f t="shared" si="1"/>
        <v>5.4749999999999996</v>
      </c>
      <c r="H9" s="11"/>
      <c r="I9" s="6">
        <f t="shared" si="2"/>
        <v>5.4749999999999996</v>
      </c>
    </row>
    <row r="10" spans="2:9" x14ac:dyDescent="0.2">
      <c r="B10" s="1" t="s">
        <v>4</v>
      </c>
      <c r="C10" s="8" t="s">
        <v>5</v>
      </c>
      <c r="E10" s="5">
        <v>45294</v>
      </c>
      <c r="F10" s="6">
        <f t="shared" si="0"/>
        <v>100</v>
      </c>
      <c r="G10" s="6">
        <f t="shared" si="1"/>
        <v>5.4749999999999996</v>
      </c>
      <c r="I10" s="6">
        <f t="shared" si="2"/>
        <v>5.4749999999999996</v>
      </c>
    </row>
    <row r="11" spans="2:9" x14ac:dyDescent="0.2">
      <c r="B11" s="1" t="s">
        <v>19</v>
      </c>
      <c r="C11" s="1">
        <v>1</v>
      </c>
      <c r="E11" s="5">
        <v>45476</v>
      </c>
      <c r="F11" s="6">
        <f t="shared" si="0"/>
        <v>100</v>
      </c>
      <c r="G11" s="6">
        <f t="shared" si="1"/>
        <v>5.4749999999999996</v>
      </c>
      <c r="I11" s="6">
        <f t="shared" si="2"/>
        <v>5.4749999999999996</v>
      </c>
    </row>
    <row r="12" spans="2:9" x14ac:dyDescent="0.2">
      <c r="B12" s="1" t="s">
        <v>123</v>
      </c>
      <c r="C12" s="4">
        <v>44015</v>
      </c>
      <c r="E12" s="5">
        <v>45660</v>
      </c>
      <c r="F12" s="6">
        <f t="shared" si="0"/>
        <v>100</v>
      </c>
      <c r="G12" s="6">
        <f t="shared" si="1"/>
        <v>5.4749999999999996</v>
      </c>
      <c r="I12" s="6">
        <f t="shared" si="2"/>
        <v>5.4749999999999996</v>
      </c>
    </row>
    <row r="13" spans="2:9" x14ac:dyDescent="0.2">
      <c r="E13" s="5">
        <v>45841</v>
      </c>
      <c r="F13" s="6">
        <f t="shared" si="0"/>
        <v>100</v>
      </c>
      <c r="G13" s="6">
        <f t="shared" si="1"/>
        <v>5.4749999999999996</v>
      </c>
      <c r="I13" s="6">
        <f t="shared" si="2"/>
        <v>5.4749999999999996</v>
      </c>
    </row>
    <row r="14" spans="2:9" x14ac:dyDescent="0.2">
      <c r="E14" s="5">
        <v>46025</v>
      </c>
      <c r="F14" s="6">
        <f t="shared" si="0"/>
        <v>100</v>
      </c>
      <c r="G14" s="6">
        <f t="shared" si="1"/>
        <v>5.4749999999999996</v>
      </c>
      <c r="I14" s="6">
        <f t="shared" si="2"/>
        <v>5.4749999999999996</v>
      </c>
    </row>
    <row r="15" spans="2:9" x14ac:dyDescent="0.2">
      <c r="E15" s="5">
        <v>46206</v>
      </c>
      <c r="F15" s="6">
        <f t="shared" si="0"/>
        <v>0</v>
      </c>
      <c r="G15" s="6">
        <f t="shared" si="1"/>
        <v>5.4749999999999996</v>
      </c>
      <c r="H15" s="1">
        <v>100</v>
      </c>
      <c r="I15" s="6">
        <f t="shared" si="2"/>
        <v>105.47499999999999</v>
      </c>
    </row>
    <row r="16" spans="2:9" x14ac:dyDescent="0.2">
      <c r="E16" s="5"/>
      <c r="F16" s="5"/>
    </row>
    <row r="17" spans="5:9" x14ac:dyDescent="0.2">
      <c r="E17" s="5"/>
      <c r="F17" s="5"/>
    </row>
    <row r="18" spans="5:9" ht="15" x14ac:dyDescent="0.25">
      <c r="H18" s="12" t="s">
        <v>14</v>
      </c>
      <c r="I18" s="13">
        <f>XIRR(I5:I15,E5:E15,0)</f>
        <v>0.11240911621093753</v>
      </c>
    </row>
    <row r="19" spans="5:9" ht="15" x14ac:dyDescent="0.25">
      <c r="H19" s="14" t="s">
        <v>22</v>
      </c>
      <c r="I19" s="15">
        <f>MDURATION(E5,E15,C9,I18,4)</f>
        <v>3.8016772777834205</v>
      </c>
    </row>
    <row r="20" spans="5:9" x14ac:dyDescent="0.2">
      <c r="E20" s="5"/>
    </row>
    <row r="22" spans="5:9" x14ac:dyDescent="0.2">
      <c r="E22" s="5"/>
    </row>
    <row r="25" spans="5:9" x14ac:dyDescent="0.2">
      <c r="E25" s="5"/>
      <c r="F25" s="6"/>
      <c r="G25" s="6"/>
    </row>
    <row r="26" spans="5:9" x14ac:dyDescent="0.2">
      <c r="E26" s="5"/>
      <c r="F26" s="6"/>
      <c r="G26" s="6"/>
      <c r="I26" s="1">
        <f>100*0.675</f>
        <v>67.5</v>
      </c>
    </row>
    <row r="27" spans="5:9" x14ac:dyDescent="0.2">
      <c r="I27" s="1">
        <v>32.5</v>
      </c>
    </row>
    <row r="28" spans="5:9" x14ac:dyDescent="0.2">
      <c r="I28" s="1">
        <v>0.8</v>
      </c>
    </row>
    <row r="29" spans="5:9" x14ac:dyDescent="0.2">
      <c r="I29" s="1">
        <f>+I28+I27+I26</f>
        <v>100.8</v>
      </c>
    </row>
  </sheetData>
  <mergeCells count="2">
    <mergeCell ref="B3:C3"/>
    <mergeCell ref="E3:I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76412-4A5E-4F9A-944E-4F0A2A8491A8}">
  <dimension ref="B4:I14"/>
  <sheetViews>
    <sheetView showGridLines="0" zoomScale="90" zoomScaleNormal="90" workbookViewId="0">
      <selection activeCell="I15" sqref="I15"/>
    </sheetView>
  </sheetViews>
  <sheetFormatPr baseColWidth="10" defaultRowHeight="14.25" x14ac:dyDescent="0.2"/>
  <cols>
    <col min="1" max="1" width="11.42578125" style="1"/>
    <col min="2" max="2" width="23" style="1" customWidth="1"/>
    <col min="3" max="3" width="15.140625" style="1" customWidth="1"/>
    <col min="4" max="4" width="11.42578125" style="1"/>
    <col min="5" max="5" width="12.28515625" style="1" bestFit="1" customWidth="1"/>
    <col min="6" max="10" width="11.42578125" style="1"/>
    <col min="11" max="11" width="15.5703125" style="1" bestFit="1" customWidth="1"/>
    <col min="12" max="12" width="12.28515625" style="1" customWidth="1"/>
    <col min="13" max="13" width="16.85546875" style="1" bestFit="1" customWidth="1"/>
    <col min="14" max="16384" width="11.42578125" style="1"/>
  </cols>
  <sheetData>
    <row r="4" spans="2:9" ht="15" x14ac:dyDescent="0.25">
      <c r="B4" s="56" t="s">
        <v>136</v>
      </c>
      <c r="C4" s="56"/>
      <c r="E4" s="56" t="s">
        <v>137</v>
      </c>
      <c r="F4" s="56"/>
      <c r="G4" s="56"/>
      <c r="H4" s="56"/>
      <c r="I4" s="56"/>
    </row>
    <row r="5" spans="2:9" ht="15" x14ac:dyDescent="0.25">
      <c r="B5" s="1" t="s">
        <v>11</v>
      </c>
      <c r="C5" s="2" t="s">
        <v>127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</row>
    <row r="6" spans="2:9" x14ac:dyDescent="0.2">
      <c r="B6" s="1" t="s">
        <v>0</v>
      </c>
      <c r="C6" s="5">
        <v>43784</v>
      </c>
      <c r="E6" s="5">
        <f>+Emisiones!K2</f>
        <v>44383</v>
      </c>
      <c r="F6" s="6">
        <v>100</v>
      </c>
      <c r="G6" s="7"/>
      <c r="I6" s="6">
        <f>-Emisiones!P23</f>
        <v>-106</v>
      </c>
    </row>
    <row r="7" spans="2:9" x14ac:dyDescent="0.2">
      <c r="B7" s="1" t="s">
        <v>1</v>
      </c>
      <c r="C7" s="5">
        <v>45245</v>
      </c>
      <c r="E7" s="5">
        <v>44515</v>
      </c>
      <c r="F7" s="6">
        <v>100</v>
      </c>
      <c r="G7" s="7">
        <f>($C$10*F7)/360*360</f>
        <v>5</v>
      </c>
      <c r="I7" s="6">
        <f>SUM(G7:H7)</f>
        <v>5</v>
      </c>
    </row>
    <row r="8" spans="2:9" x14ac:dyDescent="0.2">
      <c r="B8" s="1" t="s">
        <v>15</v>
      </c>
      <c r="C8" s="8" t="s">
        <v>16</v>
      </c>
      <c r="E8" s="5">
        <v>44880</v>
      </c>
      <c r="F8" s="6">
        <v>100</v>
      </c>
      <c r="G8" s="7">
        <f t="shared" ref="G8:G9" si="0">($C$10*F8)/360*360</f>
        <v>5</v>
      </c>
      <c r="I8" s="6">
        <f>SUM(G8:H8)</f>
        <v>5</v>
      </c>
    </row>
    <row r="9" spans="2:9" x14ac:dyDescent="0.2">
      <c r="B9" s="1" t="s">
        <v>2</v>
      </c>
      <c r="C9" s="9">
        <v>120000000</v>
      </c>
      <c r="E9" s="5">
        <v>45245</v>
      </c>
      <c r="F9" s="6">
        <v>100</v>
      </c>
      <c r="G9" s="7">
        <f t="shared" si="0"/>
        <v>5</v>
      </c>
      <c r="H9" s="1">
        <v>100</v>
      </c>
      <c r="I9" s="6">
        <f>SUM(G9:H9)</f>
        <v>105</v>
      </c>
    </row>
    <row r="10" spans="2:9" x14ac:dyDescent="0.2">
      <c r="B10" s="1" t="s">
        <v>3</v>
      </c>
      <c r="C10" s="10">
        <v>0.05</v>
      </c>
      <c r="E10" s="5"/>
      <c r="F10" s="6"/>
      <c r="G10" s="7"/>
      <c r="I10" s="6"/>
    </row>
    <row r="11" spans="2:9" x14ac:dyDescent="0.2">
      <c r="B11" s="1" t="s">
        <v>4</v>
      </c>
      <c r="C11" s="8" t="s">
        <v>138</v>
      </c>
      <c r="E11" s="5"/>
      <c r="F11" s="6"/>
      <c r="G11" s="7"/>
      <c r="I11" s="6"/>
    </row>
    <row r="12" spans="2:9" x14ac:dyDescent="0.2">
      <c r="B12" s="1" t="s">
        <v>19</v>
      </c>
      <c r="C12" s="9">
        <v>1000</v>
      </c>
      <c r="E12" s="5"/>
      <c r="F12" s="6"/>
      <c r="G12" s="7"/>
      <c r="I12" s="6"/>
    </row>
    <row r="13" spans="2:9" ht="15" x14ac:dyDescent="0.25">
      <c r="H13" s="12" t="s">
        <v>14</v>
      </c>
      <c r="I13" s="13">
        <f>XIRR(I6:I9,E6:E9,0)</f>
        <v>3.7262895507812505E-2</v>
      </c>
    </row>
    <row r="14" spans="2:9" ht="15" x14ac:dyDescent="0.25">
      <c r="H14" s="14" t="s">
        <v>22</v>
      </c>
      <c r="I14" s="15">
        <f>MDURATION(E6,E9,C10,I13,2)</f>
        <v>2.2003726240320112</v>
      </c>
    </row>
  </sheetData>
  <mergeCells count="2">
    <mergeCell ref="B4:C4"/>
    <mergeCell ref="E4:I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0684-B3BB-4CF9-8749-7D55ABE926DF}">
  <dimension ref="B3:N23"/>
  <sheetViews>
    <sheetView showGridLines="0" zoomScale="90" zoomScaleNormal="90" workbookViewId="0">
      <selection activeCell="U27" sqref="U27"/>
    </sheetView>
  </sheetViews>
  <sheetFormatPr baseColWidth="10" defaultRowHeight="14.25" x14ac:dyDescent="0.2"/>
  <cols>
    <col min="1" max="1" width="11.42578125" style="1"/>
    <col min="2" max="2" width="24.42578125" style="1" customWidth="1"/>
    <col min="3" max="3" width="17.140625" style="1" bestFit="1" customWidth="1"/>
    <col min="4" max="4" width="5.7109375" style="1" customWidth="1"/>
    <col min="5" max="5" width="12.28515625" style="1" bestFit="1" customWidth="1"/>
    <col min="6" max="6" width="11.42578125" style="1"/>
    <col min="7" max="7" width="8.5703125" style="1" customWidth="1"/>
    <col min="8" max="8" width="9.5703125" style="1" customWidth="1"/>
    <col min="9" max="9" width="11.42578125" style="1" customWidth="1"/>
    <col min="10" max="16384" width="11.42578125" style="1"/>
  </cols>
  <sheetData>
    <row r="3" spans="2:14" ht="15" x14ac:dyDescent="0.25">
      <c r="B3" s="56" t="s">
        <v>161</v>
      </c>
      <c r="C3" s="56"/>
      <c r="E3" s="56" t="s">
        <v>162</v>
      </c>
      <c r="F3" s="56"/>
      <c r="G3" s="56"/>
      <c r="H3" s="56"/>
      <c r="I3" s="56"/>
      <c r="J3" s="56"/>
      <c r="L3" s="38" t="s">
        <v>45</v>
      </c>
      <c r="M3" s="38" t="s">
        <v>46</v>
      </c>
      <c r="N3" s="38" t="s">
        <v>47</v>
      </c>
    </row>
    <row r="4" spans="2:14" ht="15" x14ac:dyDescent="0.25">
      <c r="B4" s="1" t="s">
        <v>11</v>
      </c>
      <c r="C4" s="2"/>
      <c r="E4" s="3" t="s">
        <v>6</v>
      </c>
      <c r="F4" s="3" t="s">
        <v>7</v>
      </c>
      <c r="G4" s="3" t="s">
        <v>140</v>
      </c>
      <c r="H4" s="3" t="s">
        <v>8</v>
      </c>
      <c r="I4" s="3" t="s">
        <v>9</v>
      </c>
      <c r="J4" s="3" t="s">
        <v>10</v>
      </c>
    </row>
    <row r="5" spans="2:14" x14ac:dyDescent="0.2">
      <c r="B5" s="1" t="s">
        <v>0</v>
      </c>
      <c r="C5" s="5">
        <v>44316</v>
      </c>
      <c r="E5" s="5">
        <f>+Emisiones!K2</f>
        <v>44383</v>
      </c>
      <c r="F5" s="6">
        <v>100</v>
      </c>
      <c r="G5" s="6"/>
      <c r="H5" s="7"/>
      <c r="J5" s="6">
        <f>-Emisiones!P24</f>
        <v>-116.6</v>
      </c>
    </row>
    <row r="6" spans="2:14" x14ac:dyDescent="0.2">
      <c r="B6" s="1" t="s">
        <v>1</v>
      </c>
      <c r="C6" s="5">
        <v>46507</v>
      </c>
      <c r="E6" s="5">
        <v>44499</v>
      </c>
      <c r="F6" s="6">
        <v>100</v>
      </c>
      <c r="G6" s="6"/>
      <c r="H6" s="22">
        <f>F5*($C$9/360*180)</f>
        <v>4.5625</v>
      </c>
      <c r="J6" s="6">
        <f t="shared" ref="J6:J15" si="0">SUM(H6:I6)</f>
        <v>4.5625</v>
      </c>
      <c r="L6" s="1">
        <f>DAYS360($E$5,E6)</f>
        <v>114</v>
      </c>
      <c r="M6" s="17">
        <f t="shared" ref="M6:M17" si="1">J6/(1+$J$20)^(L6/360)</f>
        <v>4.4842861145075945</v>
      </c>
      <c r="N6" s="17">
        <f t="shared" ref="N6:N17" si="2">M6*(L6/360)</f>
        <v>1.4200239362607383</v>
      </c>
    </row>
    <row r="7" spans="2:14" x14ac:dyDescent="0.2">
      <c r="B7" s="1" t="s">
        <v>15</v>
      </c>
      <c r="C7" s="8" t="s">
        <v>16</v>
      </c>
      <c r="E7" s="5">
        <v>44681</v>
      </c>
      <c r="F7" s="6">
        <v>100</v>
      </c>
      <c r="G7" s="6"/>
      <c r="H7" s="22">
        <f t="shared" ref="H7:H15" si="3">F6*($C$9/360*180)</f>
        <v>4.5625</v>
      </c>
      <c r="J7" s="6">
        <f t="shared" si="0"/>
        <v>4.5625</v>
      </c>
      <c r="L7" s="1">
        <f t="shared" ref="L7:L17" si="4">DAYS360($E$5,E7)</f>
        <v>294</v>
      </c>
      <c r="M7" s="17">
        <f t="shared" si="1"/>
        <v>4.363511347252933</v>
      </c>
      <c r="N7" s="17">
        <f t="shared" si="2"/>
        <v>3.5635342669232286</v>
      </c>
    </row>
    <row r="8" spans="2:14" x14ac:dyDescent="0.2">
      <c r="B8" s="1" t="s">
        <v>2</v>
      </c>
      <c r="C8" s="9"/>
      <c r="E8" s="5">
        <v>44864</v>
      </c>
      <c r="F8" s="6">
        <f>F7-I8</f>
        <v>100</v>
      </c>
      <c r="G8" s="6"/>
      <c r="H8" s="22">
        <f t="shared" si="3"/>
        <v>4.5625</v>
      </c>
      <c r="I8" s="11"/>
      <c r="J8" s="6">
        <f t="shared" si="0"/>
        <v>4.5625</v>
      </c>
      <c r="L8" s="1">
        <f t="shared" si="4"/>
        <v>474</v>
      </c>
      <c r="M8" s="17">
        <f t="shared" si="1"/>
        <v>4.2459893930509951</v>
      </c>
      <c r="N8" s="17">
        <f t="shared" si="2"/>
        <v>5.590552700850477</v>
      </c>
    </row>
    <row r="9" spans="2:14" x14ac:dyDescent="0.2">
      <c r="B9" s="1" t="s">
        <v>3</v>
      </c>
      <c r="C9" s="39">
        <v>9.1249999999999998E-2</v>
      </c>
      <c r="E9" s="5">
        <v>45046</v>
      </c>
      <c r="F9" s="6">
        <f>F8-I9</f>
        <v>100</v>
      </c>
      <c r="G9" s="6"/>
      <c r="H9" s="22">
        <f t="shared" si="3"/>
        <v>4.5625</v>
      </c>
      <c r="I9" s="11"/>
      <c r="J9" s="6">
        <f t="shared" si="0"/>
        <v>4.5625</v>
      </c>
      <c r="L9" s="1">
        <f t="shared" si="4"/>
        <v>654</v>
      </c>
      <c r="M9" s="17">
        <f t="shared" si="1"/>
        <v>4.1316326442582607</v>
      </c>
      <c r="N9" s="17">
        <f t="shared" si="2"/>
        <v>7.5057993037358406</v>
      </c>
    </row>
    <row r="10" spans="2:14" x14ac:dyDescent="0.2">
      <c r="B10" s="1" t="s">
        <v>4</v>
      </c>
      <c r="C10" s="8" t="s">
        <v>5</v>
      </c>
      <c r="E10" s="5">
        <v>45229</v>
      </c>
      <c r="F10" s="6">
        <f t="shared" ref="F10:F15" si="5">F9-I10</f>
        <v>100</v>
      </c>
      <c r="G10" s="6"/>
      <c r="H10" s="22">
        <f t="shared" si="3"/>
        <v>4.5625</v>
      </c>
      <c r="I10" s="11"/>
      <c r="J10" s="6">
        <f t="shared" si="0"/>
        <v>4.5625</v>
      </c>
      <c r="L10" s="1">
        <f t="shared" si="4"/>
        <v>834</v>
      </c>
      <c r="M10" s="17">
        <f t="shared" si="1"/>
        <v>4.020355852757894</v>
      </c>
      <c r="N10" s="17">
        <f t="shared" si="2"/>
        <v>9.3138243922224557</v>
      </c>
    </row>
    <row r="11" spans="2:14" x14ac:dyDescent="0.2">
      <c r="B11" s="1" t="s">
        <v>19</v>
      </c>
      <c r="C11" s="1">
        <v>1000</v>
      </c>
      <c r="E11" s="5">
        <v>45412</v>
      </c>
      <c r="F11" s="6">
        <f t="shared" si="5"/>
        <v>100</v>
      </c>
      <c r="G11" s="6"/>
      <c r="H11" s="22">
        <f t="shared" si="3"/>
        <v>4.5625</v>
      </c>
      <c r="I11" s="11"/>
      <c r="J11" s="6">
        <f t="shared" si="0"/>
        <v>4.5625</v>
      </c>
      <c r="L11" s="1">
        <f t="shared" si="4"/>
        <v>1014</v>
      </c>
      <c r="M11" s="17">
        <f t="shared" si="1"/>
        <v>3.9120760664108825</v>
      </c>
      <c r="N11" s="17">
        <f t="shared" si="2"/>
        <v>11.019014253723986</v>
      </c>
    </row>
    <row r="12" spans="2:14" x14ac:dyDescent="0.2">
      <c r="E12" s="5">
        <v>45595</v>
      </c>
      <c r="F12" s="6">
        <f t="shared" si="5"/>
        <v>100</v>
      </c>
      <c r="G12" s="6"/>
      <c r="H12" s="22">
        <f t="shared" si="3"/>
        <v>4.5625</v>
      </c>
      <c r="I12" s="11"/>
      <c r="J12" s="6">
        <f t="shared" si="0"/>
        <v>4.5625</v>
      </c>
      <c r="L12" s="1">
        <f t="shared" si="4"/>
        <v>1194</v>
      </c>
      <c r="M12" s="17">
        <f t="shared" si="1"/>
        <v>3.806712567218729</v>
      </c>
      <c r="N12" s="17">
        <f t="shared" si="2"/>
        <v>12.625596681275452</v>
      </c>
    </row>
    <row r="13" spans="2:14" x14ac:dyDescent="0.2">
      <c r="E13" s="5">
        <v>45777</v>
      </c>
      <c r="F13" s="6">
        <f t="shared" si="5"/>
        <v>80</v>
      </c>
      <c r="G13" s="6"/>
      <c r="H13" s="22">
        <f t="shared" si="3"/>
        <v>4.5625</v>
      </c>
      <c r="I13" s="6">
        <f>$F$5/5</f>
        <v>20</v>
      </c>
      <c r="J13" s="6">
        <f t="shared" si="0"/>
        <v>24.5625</v>
      </c>
      <c r="L13" s="1">
        <f t="shared" si="4"/>
        <v>1374</v>
      </c>
      <c r="M13" s="17">
        <f t="shared" si="1"/>
        <v>19.9417180381175</v>
      </c>
      <c r="N13" s="17">
        <f t="shared" si="2"/>
        <v>76.110890512148458</v>
      </c>
    </row>
    <row r="14" spans="2:14" x14ac:dyDescent="0.2">
      <c r="E14" s="5">
        <v>45960</v>
      </c>
      <c r="F14" s="6">
        <f t="shared" si="5"/>
        <v>60</v>
      </c>
      <c r="G14" s="6"/>
      <c r="H14" s="22">
        <f t="shared" si="3"/>
        <v>3.65</v>
      </c>
      <c r="I14" s="6">
        <f t="shared" ref="I14:I17" si="6">$F$5/5</f>
        <v>20</v>
      </c>
      <c r="J14" s="6">
        <f t="shared" si="0"/>
        <v>23.65</v>
      </c>
      <c r="L14" s="1">
        <f t="shared" si="4"/>
        <v>1554</v>
      </c>
      <c r="M14" s="17">
        <f t="shared" si="1"/>
        <v>18.683745543226394</v>
      </c>
      <c r="N14" s="17">
        <f t="shared" si="2"/>
        <v>80.651501594927268</v>
      </c>
    </row>
    <row r="15" spans="2:14" x14ac:dyDescent="0.2">
      <c r="E15" s="5">
        <v>46142</v>
      </c>
      <c r="F15" s="6">
        <f t="shared" si="5"/>
        <v>40</v>
      </c>
      <c r="G15" s="6"/>
      <c r="H15" s="22">
        <f t="shared" si="3"/>
        <v>2.7374999999999998</v>
      </c>
      <c r="I15" s="6">
        <f t="shared" si="6"/>
        <v>20</v>
      </c>
      <c r="J15" s="6">
        <f t="shared" si="0"/>
        <v>22.737500000000001</v>
      </c>
      <c r="L15" s="1">
        <f t="shared" si="4"/>
        <v>1734</v>
      </c>
      <c r="M15" s="17">
        <f t="shared" si="1"/>
        <v>17.479069377725416</v>
      </c>
      <c r="N15" s="17">
        <f t="shared" si="2"/>
        <v>84.190850836044078</v>
      </c>
    </row>
    <row r="16" spans="2:14" x14ac:dyDescent="0.2">
      <c r="E16" s="5">
        <v>46325</v>
      </c>
      <c r="F16" s="6">
        <f t="shared" ref="F16:F17" si="7">F15-I16</f>
        <v>20</v>
      </c>
      <c r="G16" s="6"/>
      <c r="H16" s="22">
        <f t="shared" ref="H16:H17" si="8">F15*($C$9/360*180)</f>
        <v>1.825</v>
      </c>
      <c r="I16" s="6">
        <f t="shared" si="6"/>
        <v>20</v>
      </c>
      <c r="J16" s="6">
        <f t="shared" ref="J16:J17" si="9">SUM(H16:I16)</f>
        <v>21.824999999999999</v>
      </c>
      <c r="L16" s="1">
        <f t="shared" si="4"/>
        <v>1914</v>
      </c>
      <c r="M16" s="17">
        <f t="shared" si="1"/>
        <v>16.325731202208988</v>
      </c>
      <c r="N16" s="17">
        <f t="shared" si="2"/>
        <v>86.798470891744458</v>
      </c>
    </row>
    <row r="17" spans="5:14" x14ac:dyDescent="0.2">
      <c r="E17" s="5">
        <v>46507</v>
      </c>
      <c r="F17" s="6">
        <f t="shared" si="7"/>
        <v>0</v>
      </c>
      <c r="G17" s="6"/>
      <c r="H17" s="22">
        <f t="shared" si="8"/>
        <v>0.91249999999999998</v>
      </c>
      <c r="I17" s="6">
        <f t="shared" si="6"/>
        <v>20</v>
      </c>
      <c r="J17" s="6">
        <f t="shared" si="9"/>
        <v>20.912500000000001</v>
      </c>
      <c r="L17" s="1">
        <f t="shared" si="4"/>
        <v>2094</v>
      </c>
      <c r="M17" s="17">
        <f t="shared" si="1"/>
        <v>15.221839504625619</v>
      </c>
      <c r="N17" s="17">
        <f t="shared" si="2"/>
        <v>88.540366451905683</v>
      </c>
    </row>
    <row r="18" spans="5:14" x14ac:dyDescent="0.2">
      <c r="E18" s="5"/>
      <c r="F18" s="5"/>
      <c r="G18" s="5"/>
      <c r="M18" s="17">
        <f>SUM(M6:M17)</f>
        <v>116.6166676513612</v>
      </c>
      <c r="N18" s="17">
        <f>SUM(N6:N17)</f>
        <v>467.33042582176216</v>
      </c>
    </row>
    <row r="19" spans="5:14" x14ac:dyDescent="0.2">
      <c r="F19" s="5"/>
      <c r="G19" s="5"/>
    </row>
    <row r="20" spans="5:14" ht="15" x14ac:dyDescent="0.25">
      <c r="I20" s="12" t="s">
        <v>14</v>
      </c>
      <c r="J20" s="13">
        <f>XIRR(J5:J17,E5:E17,0)</f>
        <v>5.6122778320312511E-2</v>
      </c>
      <c r="M20" s="1" t="s">
        <v>48</v>
      </c>
      <c r="N20" s="6">
        <f>N18/M18</f>
        <v>4.0074067904160975</v>
      </c>
    </row>
    <row r="21" spans="5:14" ht="15" x14ac:dyDescent="0.25">
      <c r="I21" s="14" t="s">
        <v>22</v>
      </c>
      <c r="J21" s="15">
        <f>N20/(1+(J20/4))</f>
        <v>3.951958073690867</v>
      </c>
    </row>
    <row r="23" spans="5:14" x14ac:dyDescent="0.2">
      <c r="E23" s="5"/>
    </row>
  </sheetData>
  <mergeCells count="2">
    <mergeCell ref="B3:C3"/>
    <mergeCell ref="E3:J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DA50-E51D-44B2-8665-7E9110C04992}">
  <dimension ref="B4:I16"/>
  <sheetViews>
    <sheetView showGridLines="0" zoomScale="90" zoomScaleNormal="90" workbookViewId="0">
      <selection activeCell="I16" sqref="I16"/>
    </sheetView>
  </sheetViews>
  <sheetFormatPr baseColWidth="10" defaultRowHeight="14.25" x14ac:dyDescent="0.2"/>
  <cols>
    <col min="1" max="1" width="11.42578125" style="1"/>
    <col min="2" max="2" width="23" style="1" customWidth="1"/>
    <col min="3" max="3" width="15.140625" style="1" customWidth="1"/>
    <col min="4" max="4" width="11.42578125" style="1"/>
    <col min="5" max="5" width="12.28515625" style="1" bestFit="1" customWidth="1"/>
    <col min="6" max="10" width="11.42578125" style="1"/>
    <col min="11" max="11" width="15.5703125" style="1" bestFit="1" customWidth="1"/>
    <col min="12" max="12" width="12.28515625" style="1" customWidth="1"/>
    <col min="13" max="13" width="16.85546875" style="1" bestFit="1" customWidth="1"/>
    <col min="14" max="16384" width="11.42578125" style="1"/>
  </cols>
  <sheetData>
    <row r="4" spans="2:9" ht="15" x14ac:dyDescent="0.25">
      <c r="B4" s="56" t="s">
        <v>158</v>
      </c>
      <c r="C4" s="56"/>
      <c r="E4" s="56" t="s">
        <v>171</v>
      </c>
      <c r="F4" s="56"/>
      <c r="G4" s="56"/>
      <c r="H4" s="56"/>
      <c r="I4" s="56"/>
    </row>
    <row r="5" spans="2:9" ht="15" x14ac:dyDescent="0.25">
      <c r="B5" s="1" t="s">
        <v>11</v>
      </c>
      <c r="C5" s="2" t="s">
        <v>157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</row>
    <row r="6" spans="2:9" x14ac:dyDescent="0.2">
      <c r="B6" s="1" t="s">
        <v>0</v>
      </c>
      <c r="C6" s="5">
        <v>44225</v>
      </c>
      <c r="E6" s="5">
        <f>+Emisiones!K2</f>
        <v>44383</v>
      </c>
      <c r="F6" s="6">
        <v>100</v>
      </c>
      <c r="G6" s="7"/>
      <c r="I6" s="6">
        <f>-Emisiones!P26</f>
        <v>-104.25</v>
      </c>
    </row>
    <row r="7" spans="2:9" x14ac:dyDescent="0.2">
      <c r="B7" s="1" t="s">
        <v>1</v>
      </c>
      <c r="C7" s="5">
        <v>44955</v>
      </c>
      <c r="E7" s="5">
        <v>44406</v>
      </c>
      <c r="F7" s="6">
        <v>100</v>
      </c>
      <c r="G7" s="7">
        <f t="shared" ref="G7:G13" si="0">($C$10*F7)/360*90</f>
        <v>2.25</v>
      </c>
      <c r="I7" s="6">
        <f>SUM(G7:H7)</f>
        <v>2.25</v>
      </c>
    </row>
    <row r="8" spans="2:9" x14ac:dyDescent="0.2">
      <c r="B8" s="1" t="s">
        <v>15</v>
      </c>
      <c r="C8" s="8" t="s">
        <v>16</v>
      </c>
      <c r="E8" s="5">
        <v>44498</v>
      </c>
      <c r="F8" s="6">
        <v>100</v>
      </c>
      <c r="G8" s="7">
        <f t="shared" si="0"/>
        <v>2.25</v>
      </c>
      <c r="I8" s="6">
        <f>SUM(G8:H8)</f>
        <v>2.25</v>
      </c>
    </row>
    <row r="9" spans="2:9" x14ac:dyDescent="0.2">
      <c r="B9" s="1" t="s">
        <v>2</v>
      </c>
      <c r="C9" s="9">
        <v>30119338</v>
      </c>
      <c r="E9" s="5">
        <v>44590</v>
      </c>
      <c r="F9" s="6">
        <v>100</v>
      </c>
      <c r="G9" s="7">
        <f t="shared" si="0"/>
        <v>2.25</v>
      </c>
      <c r="I9" s="6">
        <f>SUM(G9:H9)</f>
        <v>2.25</v>
      </c>
    </row>
    <row r="10" spans="2:9" x14ac:dyDescent="0.2">
      <c r="B10" s="1" t="s">
        <v>3</v>
      </c>
      <c r="C10" s="10">
        <v>0.09</v>
      </c>
      <c r="E10" s="5">
        <v>44680</v>
      </c>
      <c r="F10" s="6">
        <v>100</v>
      </c>
      <c r="G10" s="7">
        <f t="shared" si="0"/>
        <v>2.25</v>
      </c>
      <c r="I10" s="6">
        <f>SUM(G10:H10)</f>
        <v>2.25</v>
      </c>
    </row>
    <row r="11" spans="2:9" x14ac:dyDescent="0.2">
      <c r="B11" s="1" t="s">
        <v>4</v>
      </c>
      <c r="C11" s="8" t="s">
        <v>34</v>
      </c>
      <c r="E11" s="5">
        <v>44771</v>
      </c>
      <c r="F11" s="6">
        <v>100</v>
      </c>
      <c r="G11" s="7">
        <f t="shared" si="0"/>
        <v>2.25</v>
      </c>
      <c r="I11" s="6">
        <f t="shared" ref="I11:I13" si="1">SUM(G11:H11)</f>
        <v>2.25</v>
      </c>
    </row>
    <row r="12" spans="2:9" x14ac:dyDescent="0.2">
      <c r="B12" s="1" t="s">
        <v>19</v>
      </c>
      <c r="C12" s="9">
        <v>1</v>
      </c>
      <c r="E12" s="5">
        <v>44863</v>
      </c>
      <c r="F12" s="6">
        <v>100</v>
      </c>
      <c r="G12" s="7">
        <f t="shared" si="0"/>
        <v>2.25</v>
      </c>
      <c r="I12" s="6">
        <f t="shared" si="1"/>
        <v>2.25</v>
      </c>
    </row>
    <row r="13" spans="2:9" x14ac:dyDescent="0.2">
      <c r="E13" s="5">
        <v>44955</v>
      </c>
      <c r="F13" s="6">
        <v>100</v>
      </c>
      <c r="G13" s="7">
        <f t="shared" si="0"/>
        <v>2.25</v>
      </c>
      <c r="H13" s="1">
        <v>100</v>
      </c>
      <c r="I13" s="6">
        <f t="shared" si="1"/>
        <v>102.25</v>
      </c>
    </row>
    <row r="15" spans="2:9" ht="15" x14ac:dyDescent="0.25">
      <c r="H15" s="12" t="s">
        <v>14</v>
      </c>
      <c r="I15" s="13">
        <f>XIRR(I6:I13,E6:E13,0)</f>
        <v>7.424617675781249E-2</v>
      </c>
    </row>
    <row r="16" spans="2:9" ht="15" x14ac:dyDescent="0.25">
      <c r="H16" s="14" t="s">
        <v>22</v>
      </c>
      <c r="I16" s="15">
        <f>MDURATION(E6,E13,C10,I15,2)</f>
        <v>1.3887991701128259</v>
      </c>
    </row>
  </sheetData>
  <mergeCells count="2">
    <mergeCell ref="B4:C4"/>
    <mergeCell ref="E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C35E3-737C-4507-BF60-EF018E3334AD}">
  <dimension ref="B4:I15"/>
  <sheetViews>
    <sheetView showGridLines="0" zoomScale="90" zoomScaleNormal="90" workbookViewId="0">
      <selection activeCell="C34" sqref="C34"/>
    </sheetView>
  </sheetViews>
  <sheetFormatPr baseColWidth="10" defaultRowHeight="14.25" x14ac:dyDescent="0.2"/>
  <cols>
    <col min="1" max="1" width="11.42578125" style="1"/>
    <col min="2" max="2" width="23" style="1" customWidth="1"/>
    <col min="3" max="3" width="15.140625" style="1" customWidth="1"/>
    <col min="4" max="4" width="11.42578125" style="1"/>
    <col min="5" max="5" width="12.28515625" style="1" bestFit="1" customWidth="1"/>
    <col min="6" max="10" width="11.42578125" style="1"/>
    <col min="11" max="11" width="15.5703125" style="1" bestFit="1" customWidth="1"/>
    <col min="12" max="12" width="12.28515625" style="1" customWidth="1"/>
    <col min="13" max="13" width="16.85546875" style="1" bestFit="1" customWidth="1"/>
    <col min="14" max="16384" width="11.42578125" style="1"/>
  </cols>
  <sheetData>
    <row r="4" spans="2:9" ht="15" x14ac:dyDescent="0.25">
      <c r="B4" s="56" t="s">
        <v>133</v>
      </c>
      <c r="C4" s="56"/>
      <c r="E4" s="56" t="s">
        <v>134</v>
      </c>
      <c r="F4" s="56"/>
      <c r="G4" s="56"/>
      <c r="H4" s="56"/>
      <c r="I4" s="56"/>
    </row>
    <row r="5" spans="2:9" ht="15" x14ac:dyDescent="0.25">
      <c r="B5" s="1" t="s">
        <v>11</v>
      </c>
      <c r="C5" s="2" t="s">
        <v>132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</row>
    <row r="6" spans="2:9" x14ac:dyDescent="0.2">
      <c r="B6" s="1" t="s">
        <v>0</v>
      </c>
      <c r="C6" s="5">
        <v>42870</v>
      </c>
      <c r="E6" s="5">
        <f>+Emisiones!K2</f>
        <v>44383</v>
      </c>
      <c r="F6" s="6">
        <v>100</v>
      </c>
      <c r="G6" s="7"/>
      <c r="I6" s="6">
        <f>-Emisiones!P8</f>
        <v>-99</v>
      </c>
    </row>
    <row r="7" spans="2:9" x14ac:dyDescent="0.2">
      <c r="B7" s="1" t="s">
        <v>1</v>
      </c>
      <c r="C7" s="5">
        <v>45427</v>
      </c>
      <c r="E7" s="5">
        <v>44515</v>
      </c>
      <c r="F7" s="6">
        <v>100</v>
      </c>
      <c r="G7" s="7">
        <f>($C$10*F7)/360*180</f>
        <v>3.4375000000000004</v>
      </c>
      <c r="I7" s="6">
        <f>SUM(G7:H7)</f>
        <v>3.4375000000000004</v>
      </c>
    </row>
    <row r="8" spans="2:9" x14ac:dyDescent="0.2">
      <c r="B8" s="1" t="s">
        <v>15</v>
      </c>
      <c r="C8" s="8" t="s">
        <v>16</v>
      </c>
      <c r="E8" s="5">
        <v>44696</v>
      </c>
      <c r="F8" s="6">
        <v>100</v>
      </c>
      <c r="G8" s="7">
        <f>($C$10*F8)/360*180</f>
        <v>3.4375000000000004</v>
      </c>
      <c r="I8" s="6">
        <f>SUM(G8:H8)</f>
        <v>3.4375000000000004</v>
      </c>
    </row>
    <row r="9" spans="2:9" x14ac:dyDescent="0.2">
      <c r="B9" s="1" t="s">
        <v>2</v>
      </c>
      <c r="C9" s="9">
        <v>300000000</v>
      </c>
      <c r="E9" s="5">
        <v>44880</v>
      </c>
      <c r="F9" s="6">
        <v>100</v>
      </c>
      <c r="G9" s="7">
        <f>($C$10*F9)/360*180</f>
        <v>3.4375000000000004</v>
      </c>
      <c r="I9" s="6">
        <f>SUM(G9:H9)</f>
        <v>3.4375000000000004</v>
      </c>
    </row>
    <row r="10" spans="2:9" x14ac:dyDescent="0.2">
      <c r="B10" s="1" t="s">
        <v>3</v>
      </c>
      <c r="C10" s="10">
        <v>6.8750000000000006E-2</v>
      </c>
      <c r="E10" s="5">
        <v>45061</v>
      </c>
      <c r="F10" s="6">
        <v>100</v>
      </c>
      <c r="G10" s="7">
        <f>($C$10*F10)/360*180</f>
        <v>3.4375000000000004</v>
      </c>
      <c r="I10" s="6">
        <f>SUM(G10:H10)</f>
        <v>3.4375000000000004</v>
      </c>
    </row>
    <row r="11" spans="2:9" x14ac:dyDescent="0.2">
      <c r="B11" s="1" t="s">
        <v>4</v>
      </c>
      <c r="C11" s="8" t="s">
        <v>5</v>
      </c>
      <c r="E11" s="5">
        <v>45245</v>
      </c>
      <c r="F11" s="6">
        <v>100</v>
      </c>
      <c r="G11" s="7">
        <f t="shared" ref="G11:G12" si="0">($C$10*F11)/360*180</f>
        <v>3.4375000000000004</v>
      </c>
      <c r="I11" s="6">
        <f t="shared" ref="I11:I12" si="1">SUM(G11:H11)</f>
        <v>3.4375000000000004</v>
      </c>
    </row>
    <row r="12" spans="2:9" x14ac:dyDescent="0.2">
      <c r="B12" s="1" t="s">
        <v>19</v>
      </c>
      <c r="C12" s="9">
        <v>1000</v>
      </c>
      <c r="E12" s="5">
        <v>45427</v>
      </c>
      <c r="F12" s="6">
        <v>100</v>
      </c>
      <c r="G12" s="7">
        <f t="shared" si="0"/>
        <v>3.4375000000000004</v>
      </c>
      <c r="H12" s="1">
        <v>100</v>
      </c>
      <c r="I12" s="6">
        <f t="shared" si="1"/>
        <v>103.4375</v>
      </c>
    </row>
    <row r="14" spans="2:9" ht="15" x14ac:dyDescent="0.25">
      <c r="H14" s="12" t="s">
        <v>14</v>
      </c>
      <c r="I14" s="13">
        <f>XIRR(I6:I12,E6:E12,0)</f>
        <v>7.7922788085937514E-2</v>
      </c>
    </row>
    <row r="15" spans="2:9" ht="15" x14ac:dyDescent="0.25">
      <c r="H15" s="14" t="s">
        <v>22</v>
      </c>
      <c r="I15" s="15">
        <f>MDURATION(E6,E12,C10,I14,2)</f>
        <v>2.5182999774536126</v>
      </c>
    </row>
  </sheetData>
  <mergeCells count="2">
    <mergeCell ref="B4:C4"/>
    <mergeCell ref="E4:I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DBC4-DB74-476E-8A3D-EFBBFBCE220A}">
  <dimension ref="B4:I14"/>
  <sheetViews>
    <sheetView showGridLines="0" zoomScale="90" zoomScaleNormal="90" workbookViewId="0">
      <selection activeCell="I24" sqref="I24"/>
    </sheetView>
  </sheetViews>
  <sheetFormatPr baseColWidth="10" defaultRowHeight="14.25" x14ac:dyDescent="0.2"/>
  <cols>
    <col min="1" max="1" width="11.42578125" style="1"/>
    <col min="2" max="2" width="23" style="1" customWidth="1"/>
    <col min="3" max="3" width="15.140625" style="1" customWidth="1"/>
    <col min="4" max="4" width="11.42578125" style="1"/>
    <col min="5" max="5" width="12.28515625" style="1" bestFit="1" customWidth="1"/>
    <col min="6" max="10" width="11.42578125" style="1"/>
    <col min="11" max="11" width="15.5703125" style="1" bestFit="1" customWidth="1"/>
    <col min="12" max="12" width="12.28515625" style="1" customWidth="1"/>
    <col min="13" max="13" width="16.85546875" style="1" bestFit="1" customWidth="1"/>
    <col min="14" max="16384" width="11.42578125" style="1"/>
  </cols>
  <sheetData>
    <row r="4" spans="2:9" ht="15" x14ac:dyDescent="0.25">
      <c r="B4" s="56" t="s">
        <v>142</v>
      </c>
      <c r="C4" s="56"/>
      <c r="E4" s="56" t="s">
        <v>143</v>
      </c>
      <c r="F4" s="56"/>
      <c r="G4" s="56"/>
      <c r="H4" s="56"/>
      <c r="I4" s="56"/>
    </row>
    <row r="5" spans="2:9" ht="15" x14ac:dyDescent="0.25">
      <c r="B5" s="1" t="s">
        <v>11</v>
      </c>
      <c r="C5" s="2" t="s">
        <v>98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</row>
    <row r="6" spans="2:9" x14ac:dyDescent="0.2">
      <c r="B6" s="1" t="s">
        <v>0</v>
      </c>
      <c r="C6" s="5">
        <v>42572</v>
      </c>
      <c r="E6" s="5">
        <f>+Emisiones!K2</f>
        <v>44383</v>
      </c>
      <c r="F6" s="6">
        <v>100</v>
      </c>
      <c r="G6" s="7"/>
      <c r="I6" s="6">
        <f>-Emisiones!P25</f>
        <v>-105</v>
      </c>
    </row>
    <row r="7" spans="2:9" x14ac:dyDescent="0.2">
      <c r="B7" s="1" t="s">
        <v>1</v>
      </c>
      <c r="C7" s="5">
        <v>45128</v>
      </c>
      <c r="E7" s="5">
        <v>44398</v>
      </c>
      <c r="F7" s="6">
        <v>100</v>
      </c>
      <c r="G7" s="7">
        <f>($C$10*F7)/360*180</f>
        <v>3.6875</v>
      </c>
      <c r="I7" s="6">
        <f>SUM(G7:H7)</f>
        <v>3.6875</v>
      </c>
    </row>
    <row r="8" spans="2:9" x14ac:dyDescent="0.2">
      <c r="B8" s="1" t="s">
        <v>15</v>
      </c>
      <c r="C8" s="8" t="s">
        <v>16</v>
      </c>
      <c r="E8" s="5">
        <v>44582</v>
      </c>
      <c r="F8" s="6">
        <v>100</v>
      </c>
      <c r="G8" s="7">
        <f>($C$10*F8)/360*180</f>
        <v>3.6875</v>
      </c>
      <c r="I8" s="6">
        <f>SUM(G8:H8)</f>
        <v>3.6875</v>
      </c>
    </row>
    <row r="9" spans="2:9" x14ac:dyDescent="0.2">
      <c r="B9" s="1" t="s">
        <v>2</v>
      </c>
      <c r="C9" s="9">
        <v>500000000</v>
      </c>
      <c r="E9" s="5">
        <v>44763</v>
      </c>
      <c r="F9" s="6">
        <v>100</v>
      </c>
      <c r="G9" s="7">
        <f>($C$10*F9)/360*180</f>
        <v>3.6875</v>
      </c>
      <c r="I9" s="6">
        <f>SUM(G9:H9)</f>
        <v>3.6875</v>
      </c>
    </row>
    <row r="10" spans="2:9" x14ac:dyDescent="0.2">
      <c r="B10" s="1" t="s">
        <v>3</v>
      </c>
      <c r="C10" s="10">
        <v>7.3749999999999996E-2</v>
      </c>
      <c r="E10" s="5">
        <v>44947</v>
      </c>
      <c r="F10" s="6">
        <v>100</v>
      </c>
      <c r="G10" s="7">
        <f>($C$10*F10)/360*180</f>
        <v>3.6875</v>
      </c>
      <c r="I10" s="6">
        <f>SUM(G10:H10)</f>
        <v>3.6875</v>
      </c>
    </row>
    <row r="11" spans="2:9" x14ac:dyDescent="0.2">
      <c r="B11" s="1" t="s">
        <v>4</v>
      </c>
      <c r="C11" s="8" t="s">
        <v>5</v>
      </c>
      <c r="E11" s="5">
        <v>45128</v>
      </c>
      <c r="F11" s="6">
        <v>100</v>
      </c>
      <c r="G11" s="7">
        <f>($C$10*F11)/360*180</f>
        <v>3.6875</v>
      </c>
      <c r="H11" s="1">
        <v>100</v>
      </c>
      <c r="I11" s="6">
        <f>SUM(G11:H11)</f>
        <v>103.6875</v>
      </c>
    </row>
    <row r="12" spans="2:9" x14ac:dyDescent="0.2">
      <c r="B12" s="1" t="s">
        <v>19</v>
      </c>
      <c r="C12" s="9">
        <v>1000</v>
      </c>
      <c r="E12" s="5"/>
      <c r="F12" s="6"/>
      <c r="G12" s="7"/>
      <c r="I12" s="6"/>
    </row>
    <row r="13" spans="2:9" ht="15" x14ac:dyDescent="0.25">
      <c r="B13" s="1" t="s">
        <v>191</v>
      </c>
      <c r="C13" s="20" t="s">
        <v>192</v>
      </c>
      <c r="H13" s="12" t="s">
        <v>14</v>
      </c>
      <c r="I13" s="13">
        <f>XIRR(I6:I11,E6:E11,0)</f>
        <v>6.6196118164062526E-2</v>
      </c>
    </row>
    <row r="14" spans="2:9" ht="15" x14ac:dyDescent="0.25">
      <c r="H14" s="14" t="s">
        <v>22</v>
      </c>
      <c r="I14" s="15">
        <f>MDURATION(E6,E11,C10,I13,2)</f>
        <v>1.8117726230936981</v>
      </c>
    </row>
  </sheetData>
  <mergeCells count="2">
    <mergeCell ref="B4:C4"/>
    <mergeCell ref="E4:I4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6F0EC-1AEB-4D9E-B9FA-F3D74F25FBD6}">
  <dimension ref="B4:I15"/>
  <sheetViews>
    <sheetView showGridLines="0" zoomScale="90" zoomScaleNormal="90" workbookViewId="0">
      <selection activeCell="G36" sqref="G36"/>
    </sheetView>
  </sheetViews>
  <sheetFormatPr baseColWidth="10" defaultRowHeight="14.25" x14ac:dyDescent="0.2"/>
  <cols>
    <col min="1" max="1" width="11.42578125" style="1"/>
    <col min="2" max="2" width="21.5703125" style="1" customWidth="1"/>
    <col min="3" max="3" width="15.7109375" style="1" customWidth="1"/>
    <col min="4" max="4" width="11.42578125" style="1"/>
    <col min="5" max="5" width="12.28515625" style="1" bestFit="1" customWidth="1"/>
    <col min="6" max="6" width="8.7109375" style="1" customWidth="1"/>
    <col min="7" max="7" width="9.42578125" style="1" customWidth="1"/>
    <col min="8" max="8" width="9" style="1" customWidth="1"/>
    <col min="9" max="9" width="9.5703125" style="1" customWidth="1"/>
    <col min="10" max="16384" width="11.42578125" style="1"/>
  </cols>
  <sheetData>
    <row r="4" spans="2:9" ht="15" x14ac:dyDescent="0.25">
      <c r="B4" s="56" t="s">
        <v>194</v>
      </c>
      <c r="C4" s="56"/>
      <c r="E4" s="56" t="s">
        <v>145</v>
      </c>
      <c r="F4" s="56"/>
      <c r="G4" s="56"/>
      <c r="H4" s="56"/>
      <c r="I4" s="56"/>
    </row>
    <row r="5" spans="2:9" ht="15" x14ac:dyDescent="0.25">
      <c r="B5" s="1" t="s">
        <v>11</v>
      </c>
      <c r="C5" s="2" t="s">
        <v>193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</row>
    <row r="6" spans="2:9" x14ac:dyDescent="0.2">
      <c r="B6" s="1" t="s">
        <v>0</v>
      </c>
      <c r="C6" s="5">
        <v>42824</v>
      </c>
      <c r="E6" s="5">
        <f>+Emisiones!K2</f>
        <v>44383</v>
      </c>
      <c r="F6" s="6">
        <v>100</v>
      </c>
      <c r="G6" s="7"/>
      <c r="I6" s="6">
        <f>-Emisiones!P28</f>
        <v>-96.5</v>
      </c>
    </row>
    <row r="7" spans="2:9" x14ac:dyDescent="0.2">
      <c r="B7" s="1" t="s">
        <v>1</v>
      </c>
      <c r="C7" s="5">
        <v>42815</v>
      </c>
      <c r="E7" s="5">
        <v>44460</v>
      </c>
      <c r="F7" s="6">
        <v>100</v>
      </c>
      <c r="G7" s="7">
        <f>($C$10*F7)/360*180</f>
        <v>3.6249999999999996</v>
      </c>
      <c r="I7" s="6">
        <f>SUM(G7:H7)</f>
        <v>3.6249999999999996</v>
      </c>
    </row>
    <row r="8" spans="2:9" x14ac:dyDescent="0.2">
      <c r="B8" s="1" t="s">
        <v>15</v>
      </c>
      <c r="C8" s="8" t="s">
        <v>16</v>
      </c>
      <c r="E8" s="5">
        <v>44641</v>
      </c>
      <c r="F8" s="6">
        <v>100</v>
      </c>
      <c r="G8" s="7">
        <f>($C$10*F8)/360*180</f>
        <v>3.6249999999999996</v>
      </c>
      <c r="I8" s="6">
        <f>SUM(G8:H8)</f>
        <v>3.6249999999999996</v>
      </c>
    </row>
    <row r="9" spans="2:9" x14ac:dyDescent="0.2">
      <c r="B9" s="1" t="s">
        <v>2</v>
      </c>
      <c r="C9" s="9">
        <v>19729840</v>
      </c>
      <c r="E9" s="5">
        <v>44825</v>
      </c>
      <c r="F9" s="6">
        <v>100</v>
      </c>
      <c r="G9" s="7">
        <f>($C$10*F9)/360*180</f>
        <v>3.6249999999999996</v>
      </c>
      <c r="I9" s="6">
        <f>SUM(G9:H9)</f>
        <v>3.6249999999999996</v>
      </c>
    </row>
    <row r="10" spans="2:9" x14ac:dyDescent="0.2">
      <c r="B10" s="1" t="s">
        <v>3</v>
      </c>
      <c r="C10" s="10">
        <v>7.2499999999999995E-2</v>
      </c>
      <c r="E10" s="5">
        <v>45006</v>
      </c>
      <c r="F10" s="6">
        <v>100</v>
      </c>
      <c r="G10" s="7">
        <f>($C$10*F10)/360*180</f>
        <v>3.6249999999999996</v>
      </c>
      <c r="I10" s="6">
        <f>SUM(G10:H10)</f>
        <v>3.6249999999999996</v>
      </c>
    </row>
    <row r="11" spans="2:9" x14ac:dyDescent="0.2">
      <c r="B11" s="1" t="s">
        <v>4</v>
      </c>
      <c r="C11" s="8" t="s">
        <v>5</v>
      </c>
      <c r="E11" s="5">
        <v>45190</v>
      </c>
      <c r="F11" s="6">
        <v>100</v>
      </c>
      <c r="G11" s="7">
        <f t="shared" ref="G11:G12" si="0">($C$10*F11)/360*180</f>
        <v>3.6249999999999996</v>
      </c>
      <c r="I11" s="6">
        <f t="shared" ref="I11:I12" si="1">SUM(G11:H11)</f>
        <v>3.6249999999999996</v>
      </c>
    </row>
    <row r="12" spans="2:9" x14ac:dyDescent="0.2">
      <c r="B12" s="1" t="s">
        <v>19</v>
      </c>
      <c r="C12" s="9">
        <v>500</v>
      </c>
      <c r="E12" s="5">
        <v>45372</v>
      </c>
      <c r="F12" s="6">
        <v>100</v>
      </c>
      <c r="G12" s="7">
        <f t="shared" si="0"/>
        <v>3.6249999999999996</v>
      </c>
      <c r="H12" s="6">
        <v>100</v>
      </c>
      <c r="I12" s="6">
        <f t="shared" si="1"/>
        <v>103.625</v>
      </c>
    </row>
    <row r="14" spans="2:9" ht="15" x14ac:dyDescent="0.25">
      <c r="H14" s="12" t="s">
        <v>14</v>
      </c>
      <c r="I14" s="13">
        <f>XIRR(I6:I12,E6:E12,0)</f>
        <v>9.8735776367187486E-2</v>
      </c>
    </row>
    <row r="15" spans="2:9" ht="15" x14ac:dyDescent="0.25">
      <c r="H15" s="14" t="s">
        <v>22</v>
      </c>
      <c r="I15" s="15">
        <f>MDURATION(E6,E12,C10,I14,2)</f>
        <v>2.3323928824209035</v>
      </c>
    </row>
  </sheetData>
  <mergeCells count="2">
    <mergeCell ref="B4:C4"/>
    <mergeCell ref="E4:I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72BE-FAB4-4EB7-85AF-213DCFBA1C64}">
  <dimension ref="B4:I22"/>
  <sheetViews>
    <sheetView showGridLines="0" zoomScale="90" zoomScaleNormal="90" workbookViewId="0">
      <selection activeCell="I7" sqref="I7"/>
    </sheetView>
  </sheetViews>
  <sheetFormatPr baseColWidth="10" defaultRowHeight="14.25" x14ac:dyDescent="0.2"/>
  <cols>
    <col min="1" max="1" width="11.42578125" style="1"/>
    <col min="2" max="2" width="21.5703125" style="1" customWidth="1"/>
    <col min="3" max="3" width="15.7109375" style="1" customWidth="1"/>
    <col min="4" max="4" width="11.42578125" style="1"/>
    <col min="5" max="5" width="12.28515625" style="1" bestFit="1" customWidth="1"/>
    <col min="6" max="6" width="8.7109375" style="1" customWidth="1"/>
    <col min="7" max="7" width="9.42578125" style="1" customWidth="1"/>
    <col min="8" max="8" width="9" style="1" customWidth="1"/>
    <col min="9" max="9" width="9.5703125" style="1" customWidth="1"/>
    <col min="10" max="16384" width="11.42578125" style="1"/>
  </cols>
  <sheetData>
    <row r="4" spans="2:9" ht="15" x14ac:dyDescent="0.25">
      <c r="B4" s="56" t="s">
        <v>195</v>
      </c>
      <c r="C4" s="56"/>
      <c r="E4" s="56" t="s">
        <v>196</v>
      </c>
      <c r="F4" s="56"/>
      <c r="G4" s="56"/>
      <c r="H4" s="56"/>
      <c r="I4" s="56"/>
    </row>
    <row r="5" spans="2:9" ht="15" x14ac:dyDescent="0.25">
      <c r="B5" s="1" t="s">
        <v>11</v>
      </c>
      <c r="C5" s="2" t="s">
        <v>166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</row>
    <row r="6" spans="2:9" x14ac:dyDescent="0.2">
      <c r="B6" s="1" t="s">
        <v>0</v>
      </c>
      <c r="C6" s="5">
        <v>43962</v>
      </c>
      <c r="E6" s="5">
        <f>+Emisiones!K2</f>
        <v>44383</v>
      </c>
      <c r="F6" s="6">
        <v>100</v>
      </c>
      <c r="G6" s="7"/>
      <c r="I6" s="6">
        <f>-Emisiones!P27</f>
        <v>-97</v>
      </c>
    </row>
    <row r="7" spans="2:9" x14ac:dyDescent="0.2">
      <c r="B7" s="1" t="s">
        <v>1</v>
      </c>
      <c r="C7" s="5">
        <v>46511</v>
      </c>
      <c r="E7" s="5">
        <v>44504</v>
      </c>
      <c r="F7" s="6">
        <v>100</v>
      </c>
      <c r="G7" s="7">
        <f>($C$10*F7)/360*180</f>
        <v>4.25</v>
      </c>
      <c r="I7" s="6">
        <f>SUM(G7:H7)</f>
        <v>4.25</v>
      </c>
    </row>
    <row r="8" spans="2:9" x14ac:dyDescent="0.2">
      <c r="B8" s="1" t="s">
        <v>15</v>
      </c>
      <c r="C8" s="8" t="s">
        <v>16</v>
      </c>
      <c r="E8" s="5">
        <v>44685</v>
      </c>
      <c r="F8" s="6">
        <v>100</v>
      </c>
      <c r="G8" s="7">
        <f>($C$10*F8)/360*180</f>
        <v>4.25</v>
      </c>
      <c r="I8" s="6">
        <f>SUM(G8:H8)</f>
        <v>4.25</v>
      </c>
    </row>
    <row r="9" spans="2:9" x14ac:dyDescent="0.2">
      <c r="B9" s="1" t="s">
        <v>2</v>
      </c>
      <c r="C9" s="9">
        <v>58342000</v>
      </c>
      <c r="E9" s="5">
        <v>44869</v>
      </c>
      <c r="F9" s="6">
        <v>100</v>
      </c>
      <c r="G9" s="7">
        <f>($C$10*F9)/360*180</f>
        <v>4.25</v>
      </c>
      <c r="I9" s="6">
        <f>SUM(G9:H9)</f>
        <v>4.25</v>
      </c>
    </row>
    <row r="10" spans="2:9" x14ac:dyDescent="0.2">
      <c r="B10" s="1" t="s">
        <v>3</v>
      </c>
      <c r="C10" s="10">
        <v>8.5000000000000006E-2</v>
      </c>
      <c r="E10" s="5">
        <v>45050</v>
      </c>
      <c r="F10" s="6">
        <v>100</v>
      </c>
      <c r="G10" s="7">
        <f>($C$10*F10)/360*180</f>
        <v>4.25</v>
      </c>
      <c r="I10" s="6">
        <f>SUM(G10:H10)</f>
        <v>4.25</v>
      </c>
    </row>
    <row r="11" spans="2:9" x14ac:dyDescent="0.2">
      <c r="B11" s="1" t="s">
        <v>4</v>
      </c>
      <c r="C11" s="8" t="s">
        <v>5</v>
      </c>
      <c r="E11" s="5">
        <v>45234</v>
      </c>
      <c r="F11" s="6">
        <v>100</v>
      </c>
      <c r="G11" s="7">
        <f t="shared" ref="G11:G18" si="0">($C$10*F11)/360*180</f>
        <v>4.25</v>
      </c>
      <c r="I11" s="6">
        <f t="shared" ref="I11:I18" si="1">SUM(G11:H11)</f>
        <v>4.25</v>
      </c>
    </row>
    <row r="12" spans="2:9" x14ac:dyDescent="0.2">
      <c r="B12" s="1" t="s">
        <v>19</v>
      </c>
      <c r="C12" s="9">
        <v>1000</v>
      </c>
      <c r="E12" s="5">
        <v>45416</v>
      </c>
      <c r="F12" s="6">
        <v>100</v>
      </c>
      <c r="G12" s="7">
        <f t="shared" si="0"/>
        <v>4.25</v>
      </c>
      <c r="H12" s="6"/>
      <c r="I12" s="6">
        <f t="shared" si="1"/>
        <v>4.25</v>
      </c>
    </row>
    <row r="13" spans="2:9" x14ac:dyDescent="0.2">
      <c r="E13" s="5">
        <v>45600</v>
      </c>
      <c r="F13" s="6">
        <v>100</v>
      </c>
      <c r="G13" s="7">
        <f t="shared" si="0"/>
        <v>4.25</v>
      </c>
      <c r="I13" s="6">
        <f t="shared" si="1"/>
        <v>4.25</v>
      </c>
    </row>
    <row r="14" spans="2:9" x14ac:dyDescent="0.2">
      <c r="E14" s="5">
        <v>45781</v>
      </c>
      <c r="F14" s="6">
        <v>100</v>
      </c>
      <c r="G14" s="7">
        <f t="shared" si="0"/>
        <v>4.25</v>
      </c>
      <c r="I14" s="6">
        <f t="shared" si="1"/>
        <v>4.25</v>
      </c>
    </row>
    <row r="15" spans="2:9" x14ac:dyDescent="0.2">
      <c r="E15" s="5">
        <v>45965</v>
      </c>
      <c r="F15" s="6">
        <v>100</v>
      </c>
      <c r="G15" s="7">
        <f t="shared" si="0"/>
        <v>4.25</v>
      </c>
      <c r="I15" s="6">
        <f t="shared" si="1"/>
        <v>4.25</v>
      </c>
    </row>
    <row r="16" spans="2:9" x14ac:dyDescent="0.2">
      <c r="E16" s="5">
        <v>46146</v>
      </c>
      <c r="F16" s="6">
        <v>100</v>
      </c>
      <c r="G16" s="7">
        <f t="shared" si="0"/>
        <v>4.25</v>
      </c>
      <c r="I16" s="6">
        <f t="shared" si="1"/>
        <v>4.25</v>
      </c>
    </row>
    <row r="17" spans="5:9" x14ac:dyDescent="0.2">
      <c r="E17" s="5">
        <v>46330</v>
      </c>
      <c r="F17" s="6">
        <v>100</v>
      </c>
      <c r="G17" s="7">
        <f t="shared" si="0"/>
        <v>4.25</v>
      </c>
      <c r="I17" s="6">
        <f t="shared" si="1"/>
        <v>4.25</v>
      </c>
    </row>
    <row r="18" spans="5:9" x14ac:dyDescent="0.2">
      <c r="E18" s="5">
        <v>46511</v>
      </c>
      <c r="F18" s="6">
        <v>100</v>
      </c>
      <c r="G18" s="7">
        <f t="shared" si="0"/>
        <v>4.25</v>
      </c>
      <c r="H18" s="6">
        <v>100</v>
      </c>
      <c r="I18" s="6">
        <f t="shared" si="1"/>
        <v>104.25</v>
      </c>
    </row>
    <row r="21" spans="5:9" ht="15" x14ac:dyDescent="0.25">
      <c r="H21" s="12" t="s">
        <v>14</v>
      </c>
      <c r="I21" s="13">
        <f>XIRR(I6:I18,E6:E18,0)</f>
        <v>9.7305336914062526E-2</v>
      </c>
    </row>
    <row r="22" spans="5:9" ht="15" x14ac:dyDescent="0.25">
      <c r="H22" s="14" t="s">
        <v>22</v>
      </c>
      <c r="I22" s="15">
        <f>MDURATION(E6,E18,C10,I21,2)</f>
        <v>4.3963134398745485</v>
      </c>
    </row>
  </sheetData>
  <mergeCells count="2">
    <mergeCell ref="B4:C4"/>
    <mergeCell ref="E4:I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O15"/>
  <sheetViews>
    <sheetView showGridLines="0" zoomScale="90" zoomScaleNormal="90" workbookViewId="0">
      <selection activeCell="E7" sqref="E7"/>
    </sheetView>
  </sheetViews>
  <sheetFormatPr baseColWidth="10" defaultRowHeight="14.25" x14ac:dyDescent="0.2"/>
  <cols>
    <col min="1" max="1" width="11.42578125" style="1"/>
    <col min="2" max="2" width="23" style="1" customWidth="1"/>
    <col min="3" max="3" width="15.140625" style="1" customWidth="1"/>
    <col min="4" max="4" width="11.42578125" style="1"/>
    <col min="5" max="5" width="12.28515625" style="1" bestFit="1" customWidth="1"/>
    <col min="6" max="15" width="11.42578125" style="1"/>
    <col min="16" max="16" width="22.7109375" style="1" customWidth="1"/>
    <col min="17" max="17" width="15.5703125" style="1" bestFit="1" customWidth="1"/>
    <col min="18" max="18" width="12.28515625" style="1" customWidth="1"/>
    <col min="19" max="19" width="16.85546875" style="1" bestFit="1" customWidth="1"/>
    <col min="20" max="16384" width="11.42578125" style="1"/>
  </cols>
  <sheetData>
    <row r="4" spans="2:15" ht="15" x14ac:dyDescent="0.25">
      <c r="B4" s="56" t="s">
        <v>29</v>
      </c>
      <c r="C4" s="56"/>
      <c r="E4" s="56" t="s">
        <v>31</v>
      </c>
      <c r="F4" s="56"/>
      <c r="G4" s="56"/>
      <c r="H4" s="56"/>
      <c r="I4" s="56"/>
    </row>
    <row r="5" spans="2:15" ht="15" x14ac:dyDescent="0.25">
      <c r="B5" s="1" t="s">
        <v>11</v>
      </c>
      <c r="C5" s="2" t="s">
        <v>30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</row>
    <row r="6" spans="2:15" x14ac:dyDescent="0.2">
      <c r="B6" s="1" t="s">
        <v>0</v>
      </c>
      <c r="C6" s="5">
        <v>42557</v>
      </c>
      <c r="E6" s="5">
        <f>+Emisiones!K2</f>
        <v>44383</v>
      </c>
      <c r="F6" s="6">
        <v>100</v>
      </c>
      <c r="G6" s="7"/>
      <c r="I6" s="6">
        <f>-Emisiones!P7</f>
        <v>-106</v>
      </c>
    </row>
    <row r="7" spans="2:15" x14ac:dyDescent="0.2">
      <c r="B7" s="1" t="s">
        <v>1</v>
      </c>
      <c r="C7" s="5">
        <v>45113</v>
      </c>
      <c r="E7" s="5">
        <v>44383</v>
      </c>
      <c r="F7" s="6">
        <v>100</v>
      </c>
      <c r="G7" s="7">
        <f>($C$10*F7)/360*180</f>
        <v>3</v>
      </c>
      <c r="I7" s="6">
        <f>SUM(G7:H7)</f>
        <v>3</v>
      </c>
    </row>
    <row r="8" spans="2:15" x14ac:dyDescent="0.2">
      <c r="B8" s="1" t="s">
        <v>15</v>
      </c>
      <c r="C8" s="8" t="s">
        <v>16</v>
      </c>
      <c r="E8" s="5">
        <v>44567</v>
      </c>
      <c r="F8" s="6">
        <v>100</v>
      </c>
      <c r="G8" s="7">
        <f>($C$10*F8)/360*180</f>
        <v>3</v>
      </c>
      <c r="I8" s="6">
        <f>SUM(G8:H8)</f>
        <v>3</v>
      </c>
    </row>
    <row r="9" spans="2:15" x14ac:dyDescent="0.2">
      <c r="B9" s="1" t="s">
        <v>2</v>
      </c>
      <c r="C9" s="9">
        <v>500000000</v>
      </c>
      <c r="E9" s="5">
        <v>44748</v>
      </c>
      <c r="F9" s="6">
        <v>100</v>
      </c>
      <c r="G9" s="7">
        <f>($C$10*F9)/360*180</f>
        <v>3</v>
      </c>
      <c r="I9" s="6">
        <f>SUM(G9:H9)</f>
        <v>3</v>
      </c>
    </row>
    <row r="10" spans="2:15" x14ac:dyDescent="0.2">
      <c r="B10" s="1" t="s">
        <v>3</v>
      </c>
      <c r="C10" s="10">
        <v>0.06</v>
      </c>
      <c r="E10" s="5">
        <v>44932</v>
      </c>
      <c r="F10" s="6">
        <v>100</v>
      </c>
      <c r="G10" s="7">
        <f>($C$10*F10)/360*180</f>
        <v>3</v>
      </c>
      <c r="I10" s="6">
        <f>SUM(G10:H10)</f>
        <v>3</v>
      </c>
      <c r="K10" s="4">
        <v>44918</v>
      </c>
      <c r="O10" s="1">
        <v>0</v>
      </c>
    </row>
    <row r="11" spans="2:15" x14ac:dyDescent="0.2">
      <c r="B11" s="1" t="s">
        <v>4</v>
      </c>
      <c r="C11" s="8" t="s">
        <v>5</v>
      </c>
      <c r="E11" s="5">
        <v>45113</v>
      </c>
      <c r="F11" s="6">
        <v>100</v>
      </c>
      <c r="G11" s="7">
        <f>($C$10*F11)/360*180</f>
        <v>3</v>
      </c>
      <c r="H11" s="1">
        <v>100</v>
      </c>
      <c r="I11" s="6">
        <f>SUM(G11:H11)</f>
        <v>103</v>
      </c>
      <c r="K11" s="5">
        <v>44932</v>
      </c>
      <c r="L11" s="6">
        <v>100</v>
      </c>
      <c r="M11" s="7">
        <v>3</v>
      </c>
      <c r="O11" s="6">
        <v>3</v>
      </c>
    </row>
    <row r="12" spans="2:15" x14ac:dyDescent="0.2">
      <c r="B12" s="1" t="s">
        <v>19</v>
      </c>
      <c r="C12" s="9">
        <v>1000</v>
      </c>
      <c r="E12" s="5"/>
      <c r="F12" s="6"/>
      <c r="G12" s="7"/>
      <c r="I12" s="6"/>
      <c r="K12" s="5">
        <v>45113</v>
      </c>
      <c r="L12" s="6">
        <v>100</v>
      </c>
      <c r="M12" s="7">
        <v>3</v>
      </c>
      <c r="N12" s="1">
        <v>100</v>
      </c>
      <c r="O12" s="6">
        <v>103</v>
      </c>
    </row>
    <row r="13" spans="2:15" ht="15" x14ac:dyDescent="0.25">
      <c r="H13" s="12" t="s">
        <v>14</v>
      </c>
      <c r="I13" s="13">
        <f>XIRR(I6:I11,E6:E11,0)</f>
        <v>4.4645034179687501E-2</v>
      </c>
    </row>
    <row r="14" spans="2:15" ht="15" x14ac:dyDescent="0.25">
      <c r="H14" s="14" t="s">
        <v>22</v>
      </c>
      <c r="I14" s="15">
        <f>MDURATION(E6,E10,C10,I13,2)</f>
        <v>1.4254262170729766</v>
      </c>
    </row>
    <row r="15" spans="2:15" x14ac:dyDescent="0.2">
      <c r="N15" s="10">
        <v>0.15</v>
      </c>
      <c r="O15" s="1">
        <f>XNPV(N15,O10:O12,K10:K12)</f>
        <v>98.573333485371577</v>
      </c>
    </row>
  </sheetData>
  <mergeCells count="2">
    <mergeCell ref="B4:C4"/>
    <mergeCell ref="E4:I4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ED19-174F-4E85-85DD-0CB146CD5156}">
  <dimension ref="B4:I15"/>
  <sheetViews>
    <sheetView showGridLines="0" zoomScale="90" zoomScaleNormal="90" workbookViewId="0">
      <selection activeCell="L37" sqref="L37"/>
    </sheetView>
  </sheetViews>
  <sheetFormatPr baseColWidth="10" defaultRowHeight="14.25" x14ac:dyDescent="0.2"/>
  <cols>
    <col min="1" max="1" width="11.42578125" style="1"/>
    <col min="2" max="2" width="21.5703125" style="1" customWidth="1"/>
    <col min="3" max="3" width="15.7109375" style="1" customWidth="1"/>
    <col min="4" max="4" width="11.42578125" style="1"/>
    <col min="5" max="5" width="12.28515625" style="1" bestFit="1" customWidth="1"/>
    <col min="6" max="6" width="8.7109375" style="1" customWidth="1"/>
    <col min="7" max="7" width="9.42578125" style="1" customWidth="1"/>
    <col min="8" max="8" width="9" style="1" customWidth="1"/>
    <col min="9" max="9" width="9.5703125" style="1" customWidth="1"/>
    <col min="10" max="16384" width="11.42578125" style="1"/>
  </cols>
  <sheetData>
    <row r="4" spans="2:9" ht="15" x14ac:dyDescent="0.25">
      <c r="B4" s="56" t="s">
        <v>144</v>
      </c>
      <c r="C4" s="56"/>
      <c r="E4" s="56" t="s">
        <v>145</v>
      </c>
      <c r="F4" s="56"/>
      <c r="G4" s="56"/>
      <c r="H4" s="56"/>
      <c r="I4" s="56"/>
    </row>
    <row r="5" spans="2:9" ht="15" x14ac:dyDescent="0.25">
      <c r="B5" s="1" t="s">
        <v>11</v>
      </c>
      <c r="C5" s="2" t="s">
        <v>112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</row>
    <row r="6" spans="2:9" x14ac:dyDescent="0.2">
      <c r="B6" s="1" t="s">
        <v>0</v>
      </c>
      <c r="C6" s="5">
        <v>42452</v>
      </c>
      <c r="E6" s="5">
        <f>+Emisiones!K2</f>
        <v>44383</v>
      </c>
      <c r="F6" s="6">
        <v>100</v>
      </c>
      <c r="G6" s="7"/>
      <c r="I6" s="6">
        <f>-Emisiones!P18</f>
        <v>-99.8</v>
      </c>
    </row>
    <row r="7" spans="2:9" x14ac:dyDescent="0.2">
      <c r="B7" s="1" t="s">
        <v>1</v>
      </c>
      <c r="C7" s="5">
        <v>45008</v>
      </c>
      <c r="E7" s="5">
        <v>44462</v>
      </c>
      <c r="F7" s="6">
        <v>100</v>
      </c>
      <c r="G7" s="7">
        <f>($C$10*F7)/360*180</f>
        <v>4.375</v>
      </c>
      <c r="I7" s="6">
        <f>SUM(G7:H7)</f>
        <v>4.375</v>
      </c>
    </row>
    <row r="8" spans="2:9" x14ac:dyDescent="0.2">
      <c r="B8" s="1" t="s">
        <v>15</v>
      </c>
      <c r="C8" s="8" t="s">
        <v>16</v>
      </c>
      <c r="E8" s="5">
        <v>44643</v>
      </c>
      <c r="F8" s="6">
        <v>100</v>
      </c>
      <c r="G8" s="7">
        <f>($C$10*F8)/360*180</f>
        <v>4.375</v>
      </c>
      <c r="I8" s="6">
        <f>SUM(G8:H8)</f>
        <v>4.375</v>
      </c>
    </row>
    <row r="9" spans="2:9" x14ac:dyDescent="0.2">
      <c r="B9" s="1" t="s">
        <v>2</v>
      </c>
      <c r="C9" s="9">
        <v>360000000</v>
      </c>
      <c r="E9" s="5">
        <v>44827</v>
      </c>
      <c r="F9" s="6">
        <v>100</v>
      </c>
      <c r="G9" s="7">
        <f>($C$10*F9)/360*180</f>
        <v>4.375</v>
      </c>
      <c r="I9" s="6">
        <f>SUM(G9:H9)</f>
        <v>4.375</v>
      </c>
    </row>
    <row r="10" spans="2:9" x14ac:dyDescent="0.2">
      <c r="B10" s="1" t="s">
        <v>3</v>
      </c>
      <c r="C10" s="10">
        <v>8.7499999999999994E-2</v>
      </c>
      <c r="E10" s="5">
        <v>45008</v>
      </c>
      <c r="F10" s="6">
        <v>100</v>
      </c>
      <c r="G10" s="7">
        <f>($C$10*F10)/360*180</f>
        <v>4.375</v>
      </c>
      <c r="H10" s="1">
        <v>100</v>
      </c>
      <c r="I10" s="6">
        <f>SUM(G10:H10)</f>
        <v>104.375</v>
      </c>
    </row>
    <row r="11" spans="2:9" x14ac:dyDescent="0.2">
      <c r="B11" s="1" t="s">
        <v>4</v>
      </c>
      <c r="C11" s="8" t="s">
        <v>5</v>
      </c>
      <c r="E11" s="5"/>
      <c r="F11" s="6"/>
      <c r="G11" s="7"/>
      <c r="I11" s="6"/>
    </row>
    <row r="12" spans="2:9" x14ac:dyDescent="0.2">
      <c r="B12" s="1" t="s">
        <v>19</v>
      </c>
      <c r="C12" s="9">
        <v>500</v>
      </c>
      <c r="E12" s="5"/>
      <c r="F12" s="6"/>
      <c r="G12" s="7"/>
      <c r="I12" s="6"/>
    </row>
    <row r="14" spans="2:9" ht="15" x14ac:dyDescent="0.25">
      <c r="H14" s="12" t="s">
        <v>14</v>
      </c>
      <c r="I14" s="13">
        <f>XIRR(I6:I10,E6:E10,0)</f>
        <v>0.10780747558593752</v>
      </c>
    </row>
    <row r="15" spans="2:9" ht="15" x14ac:dyDescent="0.25">
      <c r="H15" s="14" t="s">
        <v>22</v>
      </c>
      <c r="I15" s="15">
        <f>MDURATION(E6,E10,C10,I14,2)</f>
        <v>1.5078143612287369</v>
      </c>
    </row>
  </sheetData>
  <mergeCells count="2">
    <mergeCell ref="B4:C4"/>
    <mergeCell ref="E4:I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F8C1F-C0DA-4D80-A691-F2FF5FF7B2B6}">
  <dimension ref="B4:I22"/>
  <sheetViews>
    <sheetView showGridLines="0" zoomScale="90" zoomScaleNormal="90" workbookViewId="0">
      <selection activeCell="N15" sqref="N15"/>
    </sheetView>
  </sheetViews>
  <sheetFormatPr baseColWidth="10" defaultRowHeight="14.25" x14ac:dyDescent="0.2"/>
  <cols>
    <col min="1" max="1" width="11.42578125" style="1"/>
    <col min="2" max="2" width="22" style="1" bestFit="1" customWidth="1"/>
    <col min="3" max="3" width="15.5703125" style="1" bestFit="1" customWidth="1"/>
    <col min="4" max="4" width="11.42578125" style="1"/>
    <col min="5" max="5" width="12.28515625" style="1" bestFit="1" customWidth="1"/>
    <col min="6" max="16384" width="11.42578125" style="1"/>
  </cols>
  <sheetData>
    <row r="4" spans="2:9" ht="15" x14ac:dyDescent="0.25">
      <c r="B4" s="56" t="s">
        <v>203</v>
      </c>
      <c r="C4" s="56"/>
      <c r="E4" s="56" t="s">
        <v>202</v>
      </c>
      <c r="F4" s="56"/>
      <c r="G4" s="56"/>
      <c r="H4" s="56"/>
      <c r="I4" s="56"/>
    </row>
    <row r="5" spans="2:9" ht="15" x14ac:dyDescent="0.25">
      <c r="B5" s="1" t="s">
        <v>11</v>
      </c>
      <c r="C5" s="2" t="s">
        <v>102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</row>
    <row r="6" spans="2:9" x14ac:dyDescent="0.2">
      <c r="B6" s="1" t="s">
        <v>0</v>
      </c>
      <c r="C6" s="5">
        <v>43664</v>
      </c>
      <c r="E6" s="5">
        <f>+Emisiones!K2</f>
        <v>44383</v>
      </c>
      <c r="F6" s="6">
        <v>100</v>
      </c>
      <c r="G6" s="7"/>
      <c r="I6" s="6">
        <f>-Emisiones!P32</f>
        <v>-100</v>
      </c>
    </row>
    <row r="7" spans="2:9" x14ac:dyDescent="0.2">
      <c r="B7" s="1" t="s">
        <v>1</v>
      </c>
      <c r="C7" s="5">
        <v>46221</v>
      </c>
      <c r="E7" s="5">
        <v>44395</v>
      </c>
      <c r="F7" s="6">
        <v>100</v>
      </c>
      <c r="G7" s="7">
        <f>($C$10*F7)/360*180</f>
        <v>4</v>
      </c>
      <c r="I7" s="6">
        <f t="shared" ref="I7:I17" si="0">SUM(G7:H7)</f>
        <v>4</v>
      </c>
    </row>
    <row r="8" spans="2:9" x14ac:dyDescent="0.2">
      <c r="B8" s="1" t="s">
        <v>15</v>
      </c>
      <c r="C8" s="8" t="s">
        <v>16</v>
      </c>
      <c r="E8" s="5">
        <v>44579</v>
      </c>
      <c r="F8" s="6">
        <v>100</v>
      </c>
      <c r="G8" s="7">
        <f t="shared" ref="G8:G17" si="1">($C$10*F8)/360*180</f>
        <v>4</v>
      </c>
      <c r="H8" s="6"/>
      <c r="I8" s="6">
        <f t="shared" si="0"/>
        <v>4</v>
      </c>
    </row>
    <row r="9" spans="2:9" x14ac:dyDescent="0.2">
      <c r="B9" s="1" t="s">
        <v>2</v>
      </c>
      <c r="C9" s="9">
        <v>400000000</v>
      </c>
      <c r="E9" s="5">
        <v>44760</v>
      </c>
      <c r="F9" s="6">
        <f>F8-H8</f>
        <v>100</v>
      </c>
      <c r="G9" s="7">
        <f t="shared" si="1"/>
        <v>4</v>
      </c>
      <c r="H9" s="6"/>
      <c r="I9" s="6">
        <f t="shared" si="0"/>
        <v>4</v>
      </c>
    </row>
    <row r="10" spans="2:9" x14ac:dyDescent="0.2">
      <c r="B10" s="1" t="s">
        <v>3</v>
      </c>
      <c r="C10" s="10">
        <v>0.08</v>
      </c>
      <c r="E10" s="5">
        <v>44944</v>
      </c>
      <c r="F10" s="6">
        <f t="shared" ref="F10:F17" si="2">F9-H9</f>
        <v>100</v>
      </c>
      <c r="G10" s="7">
        <f t="shared" si="1"/>
        <v>4</v>
      </c>
      <c r="H10" s="6"/>
      <c r="I10" s="6">
        <f t="shared" si="0"/>
        <v>4</v>
      </c>
    </row>
    <row r="11" spans="2:9" x14ac:dyDescent="0.2">
      <c r="B11" s="1" t="s">
        <v>4</v>
      </c>
      <c r="C11" s="8" t="s">
        <v>5</v>
      </c>
      <c r="E11" s="5">
        <v>45125</v>
      </c>
      <c r="F11" s="6">
        <f t="shared" si="2"/>
        <v>100</v>
      </c>
      <c r="G11" s="7">
        <f t="shared" si="1"/>
        <v>4</v>
      </c>
      <c r="H11" s="6"/>
      <c r="I11" s="6">
        <f t="shared" si="0"/>
        <v>4</v>
      </c>
    </row>
    <row r="12" spans="2:9" x14ac:dyDescent="0.2">
      <c r="B12" s="1" t="s">
        <v>19</v>
      </c>
      <c r="C12" s="9">
        <v>1000</v>
      </c>
      <c r="E12" s="5">
        <v>45309</v>
      </c>
      <c r="F12" s="6">
        <f t="shared" si="2"/>
        <v>100</v>
      </c>
      <c r="G12" s="7">
        <f t="shared" si="1"/>
        <v>4</v>
      </c>
      <c r="H12" s="6"/>
      <c r="I12" s="6">
        <f t="shared" si="0"/>
        <v>4</v>
      </c>
    </row>
    <row r="13" spans="2:9" x14ac:dyDescent="0.2">
      <c r="E13" s="5">
        <v>45491</v>
      </c>
      <c r="F13" s="6">
        <f t="shared" si="2"/>
        <v>100</v>
      </c>
      <c r="G13" s="7">
        <f t="shared" si="1"/>
        <v>4</v>
      </c>
      <c r="H13" s="6"/>
      <c r="I13" s="6">
        <f t="shared" si="0"/>
        <v>4</v>
      </c>
    </row>
    <row r="14" spans="2:9" x14ac:dyDescent="0.2">
      <c r="E14" s="5">
        <v>45675</v>
      </c>
      <c r="F14" s="6">
        <f t="shared" si="2"/>
        <v>100</v>
      </c>
      <c r="G14" s="7">
        <f t="shared" si="1"/>
        <v>4</v>
      </c>
      <c r="H14" s="6"/>
      <c r="I14" s="6">
        <f t="shared" si="0"/>
        <v>4</v>
      </c>
    </row>
    <row r="15" spans="2:9" x14ac:dyDescent="0.2">
      <c r="E15" s="5">
        <v>45856</v>
      </c>
      <c r="F15" s="6">
        <f t="shared" si="2"/>
        <v>100</v>
      </c>
      <c r="G15" s="7">
        <f t="shared" si="1"/>
        <v>4</v>
      </c>
      <c r="H15" s="6"/>
      <c r="I15" s="6">
        <f t="shared" si="0"/>
        <v>4</v>
      </c>
    </row>
    <row r="16" spans="2:9" x14ac:dyDescent="0.2">
      <c r="E16" s="5">
        <v>46040</v>
      </c>
      <c r="F16" s="6">
        <f t="shared" si="2"/>
        <v>100</v>
      </c>
      <c r="G16" s="7">
        <f t="shared" si="1"/>
        <v>4</v>
      </c>
      <c r="H16" s="6"/>
      <c r="I16" s="6">
        <f t="shared" si="0"/>
        <v>4</v>
      </c>
    </row>
    <row r="17" spans="5:9" x14ac:dyDescent="0.2">
      <c r="E17" s="5">
        <v>46221</v>
      </c>
      <c r="F17" s="6">
        <f t="shared" si="2"/>
        <v>100</v>
      </c>
      <c r="G17" s="7">
        <f t="shared" si="1"/>
        <v>4</v>
      </c>
      <c r="H17" s="6">
        <v>100</v>
      </c>
      <c r="I17" s="6">
        <f t="shared" si="0"/>
        <v>104</v>
      </c>
    </row>
    <row r="18" spans="5:9" x14ac:dyDescent="0.2">
      <c r="E18" s="5"/>
      <c r="F18" s="6"/>
      <c r="G18" s="7"/>
      <c r="H18" s="6"/>
      <c r="I18" s="6"/>
    </row>
    <row r="19" spans="5:9" x14ac:dyDescent="0.2">
      <c r="E19" s="5"/>
      <c r="F19" s="6"/>
      <c r="G19" s="7"/>
      <c r="H19" s="6"/>
      <c r="I19" s="6"/>
    </row>
    <row r="20" spans="5:9" x14ac:dyDescent="0.2">
      <c r="I20" s="6"/>
    </row>
    <row r="21" spans="5:9" ht="15" x14ac:dyDescent="0.25">
      <c r="H21" s="12" t="s">
        <v>14</v>
      </c>
      <c r="I21" s="13">
        <f>XIRR(I6:I17,E6:E17,0)</f>
        <v>9.1298842773437514E-2</v>
      </c>
    </row>
    <row r="22" spans="5:9" ht="15" x14ac:dyDescent="0.25">
      <c r="H22" s="14" t="s">
        <v>22</v>
      </c>
      <c r="I22" s="15">
        <f>MDURATION(E6,E17,C10,I21,2)</f>
        <v>3.883829520312172</v>
      </c>
    </row>
  </sheetData>
  <mergeCells count="2">
    <mergeCell ref="B4:C4"/>
    <mergeCell ref="E4:I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F23B-346D-4FDB-BFA9-4D83A57DBF59}">
  <dimension ref="B4:O22"/>
  <sheetViews>
    <sheetView showGridLines="0" zoomScale="90" zoomScaleNormal="90" workbookViewId="0">
      <selection activeCell="O43" sqref="O43"/>
    </sheetView>
  </sheetViews>
  <sheetFormatPr baseColWidth="10" defaultRowHeight="14.25" x14ac:dyDescent="0.2"/>
  <cols>
    <col min="1" max="1" width="11.42578125" style="1"/>
    <col min="2" max="2" width="22" style="1" bestFit="1" customWidth="1"/>
    <col min="3" max="3" width="15.5703125" style="1" bestFit="1" customWidth="1"/>
    <col min="4" max="4" width="11.42578125" style="1"/>
    <col min="5" max="5" width="12.28515625" style="1" bestFit="1" customWidth="1"/>
    <col min="6" max="16384" width="11.42578125" style="1"/>
  </cols>
  <sheetData>
    <row r="4" spans="2:15" ht="15" x14ac:dyDescent="0.25">
      <c r="B4" s="56" t="s">
        <v>147</v>
      </c>
      <c r="C4" s="56"/>
      <c r="E4" s="56" t="s">
        <v>148</v>
      </c>
      <c r="F4" s="56"/>
      <c r="G4" s="56"/>
      <c r="H4" s="56"/>
      <c r="I4" s="56"/>
      <c r="K4" s="24" t="s">
        <v>45</v>
      </c>
      <c r="L4" s="24" t="s">
        <v>46</v>
      </c>
      <c r="M4" s="24" t="s">
        <v>47</v>
      </c>
    </row>
    <row r="5" spans="2:15" ht="15" x14ac:dyDescent="0.25">
      <c r="B5" s="1" t="s">
        <v>11</v>
      </c>
      <c r="C5" s="2" t="s">
        <v>101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</row>
    <row r="6" spans="2:15" x14ac:dyDescent="0.2">
      <c r="B6" s="1" t="s">
        <v>0</v>
      </c>
      <c r="C6" s="5">
        <v>44049</v>
      </c>
      <c r="E6" s="5">
        <f>+Emisiones!K2</f>
        <v>44383</v>
      </c>
      <c r="F6" s="6">
        <v>100</v>
      </c>
      <c r="G6" s="7"/>
      <c r="I6" s="6">
        <f>-Emisiones!P31</f>
        <v>-105.75</v>
      </c>
    </row>
    <row r="7" spans="2:15" x14ac:dyDescent="0.2">
      <c r="B7" s="1" t="s">
        <v>1</v>
      </c>
      <c r="C7" s="5">
        <v>45875</v>
      </c>
      <c r="E7" s="5">
        <v>44414</v>
      </c>
      <c r="F7" s="6">
        <v>100</v>
      </c>
      <c r="G7" s="7">
        <f>($C$10*F7)/360*180</f>
        <v>4.25</v>
      </c>
      <c r="I7" s="6">
        <f t="shared" ref="I7:I15" si="0">SUM(G7:H7)</f>
        <v>4.25</v>
      </c>
      <c r="K7" s="1">
        <f>DAYS360($E$6,E7)</f>
        <v>30</v>
      </c>
      <c r="L7" s="17">
        <f>I7/(1+$J$18)^(K7/360)</f>
        <v>4.25</v>
      </c>
      <c r="M7" s="17">
        <f t="shared" ref="M7:M15" si="1">L7*(K7/360)</f>
        <v>0.35416666666666663</v>
      </c>
    </row>
    <row r="8" spans="2:15" x14ac:dyDescent="0.2">
      <c r="B8" s="1" t="s">
        <v>15</v>
      </c>
      <c r="C8" s="8" t="s">
        <v>16</v>
      </c>
      <c r="E8" s="5">
        <v>44598</v>
      </c>
      <c r="F8" s="6">
        <v>100</v>
      </c>
      <c r="G8" s="7">
        <f t="shared" ref="G8:G15" si="2">($C$10*F8)/360*180</f>
        <v>4.25</v>
      </c>
      <c r="H8" s="6"/>
      <c r="I8" s="6">
        <f t="shared" si="0"/>
        <v>4.25</v>
      </c>
      <c r="K8" s="1">
        <f t="shared" ref="K8:K15" si="3">DAYS360($E$6,E8)</f>
        <v>210</v>
      </c>
      <c r="L8" s="17">
        <f t="shared" ref="L8:L15" si="4">I8/(1+$J$18)^(K8/360)</f>
        <v>4.25</v>
      </c>
      <c r="M8" s="17">
        <f t="shared" si="1"/>
        <v>2.479166666666667</v>
      </c>
    </row>
    <row r="9" spans="2:15" x14ac:dyDescent="0.2">
      <c r="B9" s="1" t="s">
        <v>2</v>
      </c>
      <c r="C9" s="9">
        <v>388871000</v>
      </c>
      <c r="E9" s="5">
        <v>44779</v>
      </c>
      <c r="F9" s="6">
        <f>F8-H8</f>
        <v>100</v>
      </c>
      <c r="G9" s="7">
        <f t="shared" si="2"/>
        <v>4.25</v>
      </c>
      <c r="H9" s="6"/>
      <c r="I9" s="6">
        <f t="shared" si="0"/>
        <v>4.25</v>
      </c>
      <c r="K9" s="1">
        <f t="shared" si="3"/>
        <v>390</v>
      </c>
      <c r="L9" s="17">
        <f t="shared" si="4"/>
        <v>4.25</v>
      </c>
      <c r="M9" s="17">
        <f t="shared" si="1"/>
        <v>4.6041666666666661</v>
      </c>
      <c r="N9" s="6"/>
      <c r="O9" s="6"/>
    </row>
    <row r="10" spans="2:15" x14ac:dyDescent="0.2">
      <c r="B10" s="1" t="s">
        <v>3</v>
      </c>
      <c r="C10" s="10">
        <v>8.5000000000000006E-2</v>
      </c>
      <c r="E10" s="5">
        <v>44963</v>
      </c>
      <c r="F10" s="6">
        <f t="shared" ref="F10:F15" si="5">F9-H9</f>
        <v>100</v>
      </c>
      <c r="G10" s="7">
        <f t="shared" si="2"/>
        <v>4.25</v>
      </c>
      <c r="H10" s="6">
        <f>F6*0.03</f>
        <v>3</v>
      </c>
      <c r="I10" s="6">
        <f t="shared" si="0"/>
        <v>7.25</v>
      </c>
      <c r="K10" s="1">
        <f t="shared" si="3"/>
        <v>570</v>
      </c>
      <c r="L10" s="17">
        <f t="shared" si="4"/>
        <v>7.25</v>
      </c>
      <c r="M10" s="17">
        <f t="shared" si="1"/>
        <v>11.479166666666666</v>
      </c>
      <c r="N10" s="6"/>
      <c r="O10" s="6"/>
    </row>
    <row r="11" spans="2:15" x14ac:dyDescent="0.2">
      <c r="B11" s="1" t="s">
        <v>4</v>
      </c>
      <c r="C11" s="8" t="s">
        <v>5</v>
      </c>
      <c r="E11" s="5">
        <v>45144</v>
      </c>
      <c r="F11" s="6">
        <f t="shared" si="5"/>
        <v>97</v>
      </c>
      <c r="G11" s="7">
        <f t="shared" si="2"/>
        <v>4.1225000000000005</v>
      </c>
      <c r="H11" s="6">
        <f>F6*0.3</f>
        <v>30</v>
      </c>
      <c r="I11" s="6">
        <f t="shared" si="0"/>
        <v>34.122500000000002</v>
      </c>
      <c r="K11" s="1">
        <f t="shared" si="3"/>
        <v>750</v>
      </c>
      <c r="L11" s="17">
        <f t="shared" si="4"/>
        <v>34.122500000000002</v>
      </c>
      <c r="M11" s="17">
        <f t="shared" si="1"/>
        <v>71.088541666666671</v>
      </c>
      <c r="N11" s="6"/>
      <c r="O11" s="6"/>
    </row>
    <row r="12" spans="2:15" x14ac:dyDescent="0.2">
      <c r="B12" s="1" t="s">
        <v>19</v>
      </c>
      <c r="C12" s="9">
        <v>1000</v>
      </c>
      <c r="E12" s="5">
        <v>45328</v>
      </c>
      <c r="F12" s="6">
        <f t="shared" si="5"/>
        <v>67</v>
      </c>
      <c r="G12" s="7">
        <f t="shared" si="2"/>
        <v>2.8475000000000001</v>
      </c>
      <c r="H12" s="6">
        <v>0</v>
      </c>
      <c r="I12" s="6">
        <f t="shared" si="0"/>
        <v>2.8475000000000001</v>
      </c>
      <c r="K12" s="1">
        <f t="shared" si="3"/>
        <v>930</v>
      </c>
      <c r="L12" s="17">
        <f t="shared" si="4"/>
        <v>2.8475000000000001</v>
      </c>
      <c r="M12" s="17">
        <f t="shared" si="1"/>
        <v>7.356041666666667</v>
      </c>
      <c r="N12" s="6"/>
      <c r="O12" s="6"/>
    </row>
    <row r="13" spans="2:15" x14ac:dyDescent="0.2">
      <c r="E13" s="5">
        <v>45510</v>
      </c>
      <c r="F13" s="6">
        <f t="shared" si="5"/>
        <v>67</v>
      </c>
      <c r="G13" s="7">
        <f t="shared" si="2"/>
        <v>2.8475000000000001</v>
      </c>
      <c r="H13" s="6">
        <f>F6*0.33</f>
        <v>33</v>
      </c>
      <c r="I13" s="6">
        <f t="shared" si="0"/>
        <v>35.847499999999997</v>
      </c>
      <c r="K13" s="1">
        <f t="shared" si="3"/>
        <v>1110</v>
      </c>
      <c r="L13" s="17">
        <f t="shared" si="4"/>
        <v>35.847499999999997</v>
      </c>
      <c r="M13" s="17">
        <f t="shared" si="1"/>
        <v>110.52979166666667</v>
      </c>
      <c r="N13" s="6"/>
      <c r="O13" s="6"/>
    </row>
    <row r="14" spans="2:15" x14ac:dyDescent="0.2">
      <c r="E14" s="5">
        <v>45694</v>
      </c>
      <c r="F14" s="6">
        <f t="shared" si="5"/>
        <v>34</v>
      </c>
      <c r="G14" s="7">
        <f t="shared" si="2"/>
        <v>1.4450000000000001</v>
      </c>
      <c r="H14" s="6">
        <v>0</v>
      </c>
      <c r="I14" s="6">
        <f t="shared" si="0"/>
        <v>1.4450000000000001</v>
      </c>
      <c r="K14" s="1">
        <f t="shared" si="3"/>
        <v>1290</v>
      </c>
      <c r="L14" s="17">
        <f t="shared" si="4"/>
        <v>1.4450000000000001</v>
      </c>
      <c r="M14" s="17">
        <f t="shared" si="1"/>
        <v>5.1779166666666674</v>
      </c>
      <c r="N14" s="6"/>
      <c r="O14" s="6"/>
    </row>
    <row r="15" spans="2:15" x14ac:dyDescent="0.2">
      <c r="E15" s="5">
        <v>45875</v>
      </c>
      <c r="F15" s="6">
        <f t="shared" si="5"/>
        <v>34</v>
      </c>
      <c r="G15" s="7">
        <f t="shared" si="2"/>
        <v>1.4450000000000001</v>
      </c>
      <c r="H15" s="6">
        <f>F6*0.34</f>
        <v>34</v>
      </c>
      <c r="I15" s="6">
        <f t="shared" si="0"/>
        <v>35.445</v>
      </c>
      <c r="K15" s="1">
        <f t="shared" si="3"/>
        <v>1470</v>
      </c>
      <c r="L15" s="17">
        <f t="shared" si="4"/>
        <v>35.445</v>
      </c>
      <c r="M15" s="17">
        <f t="shared" si="1"/>
        <v>144.73374999999999</v>
      </c>
    </row>
    <row r="16" spans="2:15" x14ac:dyDescent="0.2">
      <c r="E16" s="5"/>
      <c r="F16" s="6"/>
      <c r="G16" s="7"/>
      <c r="H16" s="6"/>
      <c r="I16" s="6"/>
      <c r="L16" s="17">
        <f>SUM(L7:L15)</f>
        <v>129.70749999999998</v>
      </c>
      <c r="M16" s="17">
        <f>SUM(M7:M15)</f>
        <v>357.80270833333338</v>
      </c>
    </row>
    <row r="17" spans="5:13" x14ac:dyDescent="0.2">
      <c r="E17" s="5"/>
      <c r="F17" s="6"/>
      <c r="G17" s="7"/>
      <c r="H17" s="6"/>
      <c r="I17" s="6"/>
    </row>
    <row r="18" spans="5:13" x14ac:dyDescent="0.2">
      <c r="E18" s="5"/>
      <c r="F18" s="6"/>
      <c r="G18" s="7"/>
      <c r="H18" s="6"/>
      <c r="I18" s="6"/>
      <c r="L18" s="1" t="s">
        <v>48</v>
      </c>
      <c r="M18" s="6">
        <f>M16/L16</f>
        <v>2.7585352299083201</v>
      </c>
    </row>
    <row r="19" spans="5:13" x14ac:dyDescent="0.2">
      <c r="E19" s="5"/>
      <c r="F19" s="6"/>
      <c r="G19" s="7"/>
      <c r="H19" s="6"/>
      <c r="I19" s="6"/>
    </row>
    <row r="20" spans="5:13" x14ac:dyDescent="0.2">
      <c r="I20" s="6"/>
    </row>
    <row r="21" spans="5:13" ht="15" x14ac:dyDescent="0.25">
      <c r="H21" s="12" t="s">
        <v>14</v>
      </c>
      <c r="I21" s="13">
        <f>XIRR(I6:I15,E6:E15,0)</f>
        <v>7.8066694335937506E-2</v>
      </c>
    </row>
    <row r="22" spans="5:13" ht="15" x14ac:dyDescent="0.25">
      <c r="H22" s="14" t="s">
        <v>22</v>
      </c>
      <c r="I22" s="15">
        <f>M18/(1+(I21/2))</f>
        <v>2.6549053862680108</v>
      </c>
    </row>
  </sheetData>
  <mergeCells count="2">
    <mergeCell ref="B4:C4"/>
    <mergeCell ref="E4:I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I14"/>
  <sheetViews>
    <sheetView showGridLines="0" zoomScale="90" zoomScaleNormal="90" workbookViewId="0">
      <selection activeCell="E7" sqref="E7"/>
    </sheetView>
  </sheetViews>
  <sheetFormatPr baseColWidth="10" defaultRowHeight="14.25" x14ac:dyDescent="0.2"/>
  <cols>
    <col min="1" max="1" width="11.42578125" style="1"/>
    <col min="2" max="2" width="23.42578125" style="1" bestFit="1" customWidth="1"/>
    <col min="3" max="3" width="17.7109375" style="1" bestFit="1" customWidth="1"/>
    <col min="4" max="4" width="11.42578125" style="1"/>
    <col min="5" max="5" width="12.28515625" style="1" bestFit="1" customWidth="1"/>
    <col min="6" max="16384" width="11.42578125" style="1"/>
  </cols>
  <sheetData>
    <row r="4" spans="2:9" ht="15" x14ac:dyDescent="0.25">
      <c r="B4" s="56" t="s">
        <v>27</v>
      </c>
      <c r="C4" s="56"/>
      <c r="E4" s="56" t="s">
        <v>28</v>
      </c>
      <c r="F4" s="56"/>
      <c r="G4" s="56"/>
      <c r="H4" s="56"/>
      <c r="I4" s="56"/>
    </row>
    <row r="5" spans="2:9" ht="15" x14ac:dyDescent="0.25">
      <c r="B5" s="1" t="s">
        <v>11</v>
      </c>
      <c r="C5" s="2" t="s">
        <v>26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</row>
    <row r="6" spans="2:9" x14ac:dyDescent="0.2">
      <c r="B6" s="1" t="s">
        <v>0</v>
      </c>
      <c r="C6" s="5">
        <v>43081</v>
      </c>
      <c r="E6" s="5">
        <f>+Emisiones!K2</f>
        <v>44383</v>
      </c>
      <c r="F6" s="6">
        <v>100</v>
      </c>
      <c r="G6" s="7"/>
      <c r="I6" s="6">
        <f>-Emisiones!P29</f>
        <v>-102</v>
      </c>
    </row>
    <row r="7" spans="2:9" x14ac:dyDescent="0.2">
      <c r="B7" s="1" t="s">
        <v>1</v>
      </c>
      <c r="C7" s="5">
        <v>44907</v>
      </c>
      <c r="E7" s="5">
        <v>44359</v>
      </c>
      <c r="F7" s="6">
        <v>100</v>
      </c>
      <c r="G7" s="7">
        <f>($C$10*F7)/360*180</f>
        <v>2.4375</v>
      </c>
      <c r="I7" s="6">
        <f>SUM(G7:H7)</f>
        <v>2.4375</v>
      </c>
    </row>
    <row r="8" spans="2:9" x14ac:dyDescent="0.2">
      <c r="B8" s="1" t="s">
        <v>15</v>
      </c>
      <c r="C8" s="8" t="s">
        <v>16</v>
      </c>
      <c r="E8" s="5">
        <v>44542</v>
      </c>
      <c r="F8" s="6">
        <v>100</v>
      </c>
      <c r="G8" s="7">
        <f>($C$10*F8)/360*180</f>
        <v>2.4375</v>
      </c>
      <c r="I8" s="6">
        <f>SUM(G8:H8)</f>
        <v>2.4375</v>
      </c>
    </row>
    <row r="9" spans="2:9" x14ac:dyDescent="0.2">
      <c r="B9" s="1" t="s">
        <v>2</v>
      </c>
      <c r="C9" s="9">
        <v>500000000</v>
      </c>
      <c r="E9" s="5">
        <v>44724</v>
      </c>
      <c r="F9" s="6">
        <v>100</v>
      </c>
      <c r="G9" s="7">
        <f>($C$10*F9)/360*180</f>
        <v>2.4375</v>
      </c>
      <c r="I9" s="6">
        <f>SUM(G9:H9)</f>
        <v>2.4375</v>
      </c>
    </row>
    <row r="10" spans="2:9" x14ac:dyDescent="0.2">
      <c r="B10" s="1" t="s">
        <v>3</v>
      </c>
      <c r="C10" s="10">
        <v>4.8750000000000002E-2</v>
      </c>
      <c r="E10" s="5">
        <v>44907</v>
      </c>
      <c r="F10" s="6">
        <v>100</v>
      </c>
      <c r="G10" s="7">
        <f>($C$10*F10)/360*180</f>
        <v>2.4375</v>
      </c>
      <c r="H10" s="1">
        <v>100</v>
      </c>
      <c r="I10" s="6">
        <f>SUM(G10:H10)</f>
        <v>102.4375</v>
      </c>
    </row>
    <row r="11" spans="2:9" x14ac:dyDescent="0.2">
      <c r="B11" s="1" t="s">
        <v>4</v>
      </c>
      <c r="C11" s="8" t="s">
        <v>5</v>
      </c>
      <c r="E11" s="5"/>
      <c r="F11" s="6"/>
      <c r="G11" s="7"/>
      <c r="I11" s="6"/>
    </row>
    <row r="12" spans="2:9" x14ac:dyDescent="0.2">
      <c r="B12" s="1" t="s">
        <v>19</v>
      </c>
      <c r="C12" s="9">
        <v>1000</v>
      </c>
      <c r="E12" s="5"/>
      <c r="F12" s="6"/>
      <c r="G12" s="7"/>
      <c r="I12" s="6"/>
    </row>
    <row r="13" spans="2:9" ht="15" x14ac:dyDescent="0.25">
      <c r="H13" s="12" t="s">
        <v>14</v>
      </c>
      <c r="I13" s="13">
        <f>XIRR(I6:I10,E6:E10,0)</f>
        <v>5.5035766601562508E-2</v>
      </c>
    </row>
    <row r="14" spans="2:9" ht="15" x14ac:dyDescent="0.25">
      <c r="H14" s="14" t="s">
        <v>22</v>
      </c>
      <c r="I14" s="15">
        <f>MDURATION(E6,E10,C10,I13,2)</f>
        <v>1.3603167713206419</v>
      </c>
    </row>
  </sheetData>
  <mergeCells count="2">
    <mergeCell ref="B4:C4"/>
    <mergeCell ref="E4:I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L28"/>
  <sheetViews>
    <sheetView showGridLines="0" zoomScale="90" zoomScaleNormal="90" workbookViewId="0">
      <selection activeCell="I16" sqref="I16"/>
    </sheetView>
  </sheetViews>
  <sheetFormatPr baseColWidth="10" defaultRowHeight="14.25" x14ac:dyDescent="0.2"/>
  <cols>
    <col min="1" max="1" width="11.42578125" style="1"/>
    <col min="2" max="2" width="23.42578125" style="1" bestFit="1" customWidth="1"/>
    <col min="3" max="3" width="17.7109375" style="1" bestFit="1" customWidth="1"/>
    <col min="4" max="4" width="4.85546875" style="1" customWidth="1"/>
    <col min="5" max="5" width="12.28515625" style="1" bestFit="1" customWidth="1"/>
    <col min="6" max="16384" width="11.42578125" style="1"/>
  </cols>
  <sheetData>
    <row r="4" spans="2:12" ht="15" x14ac:dyDescent="0.25">
      <c r="B4" s="56" t="s">
        <v>155</v>
      </c>
      <c r="C4" s="56"/>
      <c r="E4" s="56" t="s">
        <v>156</v>
      </c>
      <c r="F4" s="56"/>
      <c r="G4" s="56"/>
      <c r="H4" s="56"/>
      <c r="I4" s="56"/>
    </row>
    <row r="5" spans="2:12" ht="15" x14ac:dyDescent="0.25">
      <c r="B5" s="1" t="s">
        <v>11</v>
      </c>
      <c r="C5" s="2" t="s">
        <v>154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</row>
    <row r="6" spans="2:12" x14ac:dyDescent="0.2">
      <c r="B6" s="1" t="s">
        <v>0</v>
      </c>
      <c r="C6" s="5">
        <v>44236</v>
      </c>
      <c r="E6" s="5">
        <f>+Emisiones!K2</f>
        <v>44383</v>
      </c>
      <c r="F6" s="6">
        <v>100</v>
      </c>
      <c r="G6" s="7"/>
      <c r="I6" s="6">
        <f>-Emisiones!P30</f>
        <v>-100</v>
      </c>
    </row>
    <row r="7" spans="2:12" x14ac:dyDescent="0.2">
      <c r="B7" s="1" t="s">
        <v>1</v>
      </c>
      <c r="C7" s="5">
        <v>44966</v>
      </c>
      <c r="E7" s="5">
        <v>44417</v>
      </c>
      <c r="F7" s="6">
        <v>100</v>
      </c>
      <c r="G7" s="7">
        <f t="shared" ref="G7:G13" si="0">($C$10*F7)/360*90</f>
        <v>1</v>
      </c>
      <c r="I7" s="6">
        <f t="shared" ref="I7:I13" si="1">SUM(G7:H7)</f>
        <v>1</v>
      </c>
    </row>
    <row r="8" spans="2:12" x14ac:dyDescent="0.2">
      <c r="B8" s="1" t="s">
        <v>15</v>
      </c>
      <c r="C8" s="8" t="s">
        <v>16</v>
      </c>
      <c r="E8" s="5">
        <v>44509</v>
      </c>
      <c r="F8" s="6">
        <v>100</v>
      </c>
      <c r="G8" s="7">
        <f t="shared" si="0"/>
        <v>1</v>
      </c>
      <c r="I8" s="6">
        <f t="shared" si="1"/>
        <v>1</v>
      </c>
    </row>
    <row r="9" spans="2:12" x14ac:dyDescent="0.2">
      <c r="B9" s="1" t="s">
        <v>2</v>
      </c>
      <c r="C9" s="9">
        <v>6509905</v>
      </c>
      <c r="E9" s="5">
        <v>44601</v>
      </c>
      <c r="F9" s="6">
        <v>100</v>
      </c>
      <c r="G9" s="7">
        <f t="shared" si="0"/>
        <v>1</v>
      </c>
      <c r="I9" s="6">
        <f t="shared" si="1"/>
        <v>1</v>
      </c>
    </row>
    <row r="10" spans="2:12" x14ac:dyDescent="0.2">
      <c r="B10" s="1" t="s">
        <v>3</v>
      </c>
      <c r="C10" s="10">
        <v>0.04</v>
      </c>
      <c r="E10" s="5">
        <v>44690</v>
      </c>
      <c r="F10" s="6">
        <v>100</v>
      </c>
      <c r="G10" s="7">
        <f t="shared" si="0"/>
        <v>1</v>
      </c>
      <c r="I10" s="6">
        <f t="shared" si="1"/>
        <v>1</v>
      </c>
    </row>
    <row r="11" spans="2:12" x14ac:dyDescent="0.2">
      <c r="B11" s="1" t="s">
        <v>4</v>
      </c>
      <c r="C11" s="8" t="s">
        <v>34</v>
      </c>
      <c r="E11" s="5">
        <v>44782</v>
      </c>
      <c r="F11" s="6">
        <v>100</v>
      </c>
      <c r="G11" s="7">
        <f t="shared" si="0"/>
        <v>1</v>
      </c>
      <c r="I11" s="6">
        <f t="shared" si="1"/>
        <v>1</v>
      </c>
    </row>
    <row r="12" spans="2:12" x14ac:dyDescent="0.2">
      <c r="B12" s="1" t="s">
        <v>19</v>
      </c>
      <c r="C12" s="16">
        <v>1</v>
      </c>
      <c r="E12" s="5">
        <v>44874</v>
      </c>
      <c r="F12" s="6">
        <v>100</v>
      </c>
      <c r="G12" s="7">
        <f t="shared" si="0"/>
        <v>1</v>
      </c>
      <c r="I12" s="6">
        <f t="shared" si="1"/>
        <v>1</v>
      </c>
      <c r="L12" s="6"/>
    </row>
    <row r="13" spans="2:12" x14ac:dyDescent="0.2">
      <c r="E13" s="5">
        <v>44966</v>
      </c>
      <c r="F13" s="6">
        <v>100</v>
      </c>
      <c r="G13" s="7">
        <f t="shared" si="0"/>
        <v>1</v>
      </c>
      <c r="H13" s="1">
        <v>100</v>
      </c>
      <c r="I13" s="6">
        <f t="shared" si="1"/>
        <v>101</v>
      </c>
    </row>
    <row r="15" spans="2:12" ht="15" x14ac:dyDescent="0.25">
      <c r="H15" s="12" t="s">
        <v>14</v>
      </c>
      <c r="I15" s="13">
        <f>XIRR(I6:I13,E6:E13,0)</f>
        <v>4.4709194335937508E-2</v>
      </c>
    </row>
    <row r="16" spans="2:12" ht="15" x14ac:dyDescent="0.25">
      <c r="H16" s="14" t="s">
        <v>22</v>
      </c>
      <c r="I16" s="15">
        <f>MDURATION(E6,E13,C10,I15,2)</f>
        <v>1.4997821810440299</v>
      </c>
    </row>
    <row r="25" spans="3:3" x14ac:dyDescent="0.2">
      <c r="C25" s="4"/>
    </row>
    <row r="26" spans="3:3" x14ac:dyDescent="0.2">
      <c r="C26" s="4"/>
    </row>
    <row r="28" spans="3:3" x14ac:dyDescent="0.2">
      <c r="C28" s="10"/>
    </row>
  </sheetData>
  <mergeCells count="2">
    <mergeCell ref="B4:C4"/>
    <mergeCell ref="E4:I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22"/>
  <sheetViews>
    <sheetView showGridLines="0" zoomScale="90" zoomScaleNormal="90" workbookViewId="0">
      <selection activeCell="K26" sqref="K26"/>
    </sheetView>
  </sheetViews>
  <sheetFormatPr baseColWidth="10" defaultRowHeight="14.25" x14ac:dyDescent="0.2"/>
  <cols>
    <col min="1" max="1" width="11.42578125" style="1"/>
    <col min="2" max="2" width="24.42578125" style="1" customWidth="1"/>
    <col min="3" max="3" width="17.140625" style="1" bestFit="1" customWidth="1"/>
    <col min="4" max="4" width="5.7109375" style="1" customWidth="1"/>
    <col min="5" max="5" width="12.28515625" style="1" bestFit="1" customWidth="1"/>
    <col min="6" max="7" width="11.42578125" style="1"/>
    <col min="8" max="8" width="13" style="1" customWidth="1"/>
    <col min="9" max="9" width="13" style="1" bestFit="1" customWidth="1"/>
    <col min="10" max="16384" width="11.42578125" style="1"/>
  </cols>
  <sheetData>
    <row r="3" spans="2:9" ht="15" x14ac:dyDescent="0.25">
      <c r="B3" s="56" t="s">
        <v>41</v>
      </c>
      <c r="C3" s="56"/>
      <c r="E3" s="56" t="s">
        <v>42</v>
      </c>
      <c r="F3" s="56"/>
      <c r="G3" s="56"/>
      <c r="H3" s="56"/>
      <c r="I3" s="56"/>
    </row>
    <row r="4" spans="2:9" ht="15" x14ac:dyDescent="0.25">
      <c r="B4" s="1" t="s">
        <v>11</v>
      </c>
      <c r="C4" s="2" t="s">
        <v>43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</row>
    <row r="5" spans="2:9" x14ac:dyDescent="0.2">
      <c r="B5" s="1" t="s">
        <v>0</v>
      </c>
      <c r="C5" s="5">
        <v>43677</v>
      </c>
      <c r="E5" s="5">
        <f>+Emisiones!K2</f>
        <v>44383</v>
      </c>
      <c r="F5" s="6">
        <v>100</v>
      </c>
      <c r="G5" s="7"/>
      <c r="I5" s="6">
        <f>-Emisiones!P34</f>
        <v>-103.8</v>
      </c>
    </row>
    <row r="6" spans="2:9" x14ac:dyDescent="0.2">
      <c r="B6" s="1" t="s">
        <v>1</v>
      </c>
      <c r="C6" s="5">
        <v>44408</v>
      </c>
      <c r="E6" s="5">
        <v>44408</v>
      </c>
      <c r="F6" s="6">
        <f>+F5</f>
        <v>100</v>
      </c>
      <c r="G6" s="6">
        <f>F5*($C$9/360*90)</f>
        <v>1.97</v>
      </c>
      <c r="H6" s="11">
        <v>100</v>
      </c>
      <c r="I6" s="6">
        <f>SUM(G6:H6)</f>
        <v>101.97</v>
      </c>
    </row>
    <row r="7" spans="2:9" x14ac:dyDescent="0.2">
      <c r="B7" s="1" t="s">
        <v>15</v>
      </c>
      <c r="C7" s="8" t="s">
        <v>16</v>
      </c>
    </row>
    <row r="8" spans="2:9" x14ac:dyDescent="0.2">
      <c r="B8" s="1" t="s">
        <v>2</v>
      </c>
      <c r="C8" s="9">
        <v>50000000</v>
      </c>
      <c r="E8" s="5"/>
      <c r="F8" s="6"/>
      <c r="G8" s="6"/>
      <c r="H8" s="11"/>
      <c r="I8" s="6"/>
    </row>
    <row r="9" spans="2:9" ht="15" x14ac:dyDescent="0.25">
      <c r="B9" s="1" t="s">
        <v>3</v>
      </c>
      <c r="C9" s="10">
        <v>7.8799999999999995E-2</v>
      </c>
      <c r="E9" s="5"/>
      <c r="F9" s="6"/>
      <c r="G9" s="6"/>
      <c r="H9" s="12" t="s">
        <v>14</v>
      </c>
      <c r="I9" s="13">
        <f>XIRR(I5:I6,E5:E6,0)</f>
        <v>-0.22871309305813164</v>
      </c>
    </row>
    <row r="10" spans="2:9" ht="15" x14ac:dyDescent="0.25">
      <c r="B10" s="1" t="s">
        <v>4</v>
      </c>
      <c r="C10" s="8" t="s">
        <v>34</v>
      </c>
      <c r="E10" s="5"/>
      <c r="F10" s="6"/>
      <c r="G10" s="6"/>
      <c r="H10" s="14" t="s">
        <v>22</v>
      </c>
      <c r="I10" s="15" t="e">
        <f>MDURATION(E5,E6,C9,I9,4)</f>
        <v>#NUM!</v>
      </c>
    </row>
    <row r="11" spans="2:9" x14ac:dyDescent="0.2">
      <c r="B11" s="1" t="s">
        <v>19</v>
      </c>
      <c r="C11" s="1">
        <v>1</v>
      </c>
    </row>
    <row r="14" spans="2:9" x14ac:dyDescent="0.2">
      <c r="E14" s="5"/>
      <c r="F14" s="6"/>
      <c r="G14" s="6"/>
      <c r="I14" s="6"/>
    </row>
    <row r="15" spans="2:9" x14ac:dyDescent="0.2">
      <c r="E15" s="5"/>
      <c r="F15" s="5"/>
    </row>
    <row r="16" spans="2:9" x14ac:dyDescent="0.2">
      <c r="E16" s="5"/>
      <c r="F16" s="5"/>
    </row>
    <row r="17" spans="5:6" x14ac:dyDescent="0.2">
      <c r="E17" s="5"/>
      <c r="F17" s="5"/>
    </row>
    <row r="20" spans="5:6" x14ac:dyDescent="0.2">
      <c r="E20" s="5"/>
    </row>
    <row r="22" spans="5:6" x14ac:dyDescent="0.2">
      <c r="E22" s="5"/>
    </row>
  </sheetData>
  <mergeCells count="2">
    <mergeCell ref="B3:C3"/>
    <mergeCell ref="E3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I15"/>
  <sheetViews>
    <sheetView showGridLines="0" zoomScale="90" zoomScaleNormal="90" workbookViewId="0">
      <selection activeCell="I15" sqref="I15"/>
    </sheetView>
  </sheetViews>
  <sheetFormatPr baseColWidth="10" defaultRowHeight="14.25" x14ac:dyDescent="0.2"/>
  <cols>
    <col min="1" max="1" width="11.42578125" style="1"/>
    <col min="2" max="2" width="21.5703125" style="1" customWidth="1"/>
    <col min="3" max="3" width="15.7109375" style="1" customWidth="1"/>
    <col min="4" max="4" width="11.42578125" style="1"/>
    <col min="5" max="5" width="12.28515625" style="1" bestFit="1" customWidth="1"/>
    <col min="6" max="6" width="8.7109375" style="1" customWidth="1"/>
    <col min="7" max="7" width="9.42578125" style="1" customWidth="1"/>
    <col min="8" max="8" width="9" style="1" customWidth="1"/>
    <col min="9" max="9" width="9.5703125" style="1" customWidth="1"/>
    <col min="10" max="16384" width="11.42578125" style="1"/>
  </cols>
  <sheetData>
    <row r="4" spans="2:9" ht="15" x14ac:dyDescent="0.25">
      <c r="B4" s="56" t="s">
        <v>23</v>
      </c>
      <c r="C4" s="56"/>
      <c r="E4" s="56" t="s">
        <v>25</v>
      </c>
      <c r="F4" s="56"/>
      <c r="G4" s="56"/>
      <c r="H4" s="56"/>
      <c r="I4" s="56"/>
    </row>
    <row r="5" spans="2:9" ht="15" x14ac:dyDescent="0.25">
      <c r="B5" s="1" t="s">
        <v>11</v>
      </c>
      <c r="C5" s="2" t="s">
        <v>24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</row>
    <row r="6" spans="2:9" x14ac:dyDescent="0.2">
      <c r="B6" s="1" t="s">
        <v>0</v>
      </c>
      <c r="C6" s="5">
        <v>43147</v>
      </c>
      <c r="E6" s="5">
        <f>+Emisiones!K2</f>
        <v>44383</v>
      </c>
      <c r="F6" s="6">
        <v>100</v>
      </c>
      <c r="G6" s="7"/>
      <c r="I6" s="6">
        <f>-Emisiones!P14</f>
        <v>-99.25</v>
      </c>
    </row>
    <row r="7" spans="2:9" x14ac:dyDescent="0.2">
      <c r="B7" s="1" t="s">
        <v>1</v>
      </c>
      <c r="C7" s="5">
        <v>44973</v>
      </c>
      <c r="E7" s="5">
        <v>44424</v>
      </c>
      <c r="F7" s="6">
        <v>100</v>
      </c>
      <c r="G7" s="7">
        <f>($C$10*F7)/360*180</f>
        <v>3.2499999999999996</v>
      </c>
      <c r="I7" s="6">
        <f>SUM(G7:H7)</f>
        <v>3.2499999999999996</v>
      </c>
    </row>
    <row r="8" spans="2:9" x14ac:dyDescent="0.2">
      <c r="B8" s="1" t="s">
        <v>15</v>
      </c>
      <c r="C8" s="8" t="s">
        <v>16</v>
      </c>
      <c r="E8" s="5">
        <v>44608</v>
      </c>
      <c r="F8" s="6">
        <v>100</v>
      </c>
      <c r="G8" s="7">
        <f>($C$10*F8)/360*180</f>
        <v>3.2499999999999996</v>
      </c>
      <c r="I8" s="6">
        <f>SUM(G8:H8)</f>
        <v>3.2499999999999996</v>
      </c>
    </row>
    <row r="9" spans="2:9" x14ac:dyDescent="0.2">
      <c r="B9" s="1" t="s">
        <v>2</v>
      </c>
      <c r="C9" s="9">
        <v>113158632</v>
      </c>
      <c r="E9" s="5">
        <v>44789</v>
      </c>
      <c r="F9" s="6">
        <v>100</v>
      </c>
      <c r="G9" s="7">
        <f>($C$10*F9)/360*180</f>
        <v>3.2499999999999996</v>
      </c>
      <c r="I9" s="6">
        <f>SUM(G9:H9)</f>
        <v>3.2499999999999996</v>
      </c>
    </row>
    <row r="10" spans="2:9" x14ac:dyDescent="0.2">
      <c r="B10" s="1" t="s">
        <v>3</v>
      </c>
      <c r="C10" s="10">
        <v>6.5000000000000002E-2</v>
      </c>
      <c r="E10" s="5">
        <v>44973</v>
      </c>
      <c r="F10" s="6">
        <v>100</v>
      </c>
      <c r="G10" s="7">
        <f>($C$10*F10)/360*180</f>
        <v>3.2499999999999996</v>
      </c>
      <c r="H10" s="1">
        <v>100</v>
      </c>
      <c r="I10" s="6">
        <f>SUM(G10:H10)</f>
        <v>103.25</v>
      </c>
    </row>
    <row r="11" spans="2:9" x14ac:dyDescent="0.2">
      <c r="B11" s="1" t="s">
        <v>4</v>
      </c>
      <c r="C11" s="8" t="s">
        <v>5</v>
      </c>
      <c r="E11" s="5"/>
      <c r="F11" s="6"/>
      <c r="G11" s="7"/>
      <c r="I11" s="6"/>
    </row>
    <row r="12" spans="2:9" x14ac:dyDescent="0.2">
      <c r="B12" s="1" t="s">
        <v>19</v>
      </c>
      <c r="C12" s="9">
        <v>1</v>
      </c>
      <c r="E12" s="5"/>
      <c r="F12" s="6"/>
      <c r="G12" s="7"/>
      <c r="I12" s="6"/>
    </row>
    <row r="14" spans="2:9" ht="15" x14ac:dyDescent="0.25">
      <c r="H14" s="12" t="s">
        <v>14</v>
      </c>
      <c r="I14" s="13">
        <f>XIRR(I6:I10,E6:E10,0)</f>
        <v>8.8754379882812526E-2</v>
      </c>
    </row>
    <row r="15" spans="2:9" ht="15" x14ac:dyDescent="0.25">
      <c r="H15" s="14" t="s">
        <v>22</v>
      </c>
      <c r="I15" s="15">
        <f>MDURATION(E6,E10,C10,I14,2)</f>
        <v>1.4518948538539542</v>
      </c>
    </row>
  </sheetData>
  <mergeCells count="2">
    <mergeCell ref="B4:C4"/>
    <mergeCell ref="E4:I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13"/>
  <sheetViews>
    <sheetView showGridLines="0" zoomScale="90" zoomScaleNormal="90" workbookViewId="0">
      <selection activeCell="G6" sqref="G6"/>
    </sheetView>
  </sheetViews>
  <sheetFormatPr baseColWidth="10" defaultRowHeight="14.25" x14ac:dyDescent="0.2"/>
  <cols>
    <col min="1" max="1" width="11.42578125" style="1"/>
    <col min="2" max="2" width="24.42578125" style="1" customWidth="1"/>
    <col min="3" max="3" width="17.140625" style="1" bestFit="1" customWidth="1"/>
    <col min="4" max="4" width="5.7109375" style="1" customWidth="1"/>
    <col min="5" max="5" width="12.28515625" style="1" bestFit="1" customWidth="1"/>
    <col min="6" max="7" width="11.42578125" style="1"/>
    <col min="8" max="8" width="13" style="1" customWidth="1"/>
    <col min="9" max="16384" width="11.42578125" style="1"/>
  </cols>
  <sheetData>
    <row r="3" spans="2:9" ht="15" x14ac:dyDescent="0.25">
      <c r="B3" s="56" t="s">
        <v>40</v>
      </c>
      <c r="C3" s="56"/>
      <c r="E3" s="56" t="s">
        <v>44</v>
      </c>
      <c r="F3" s="56"/>
      <c r="G3" s="56"/>
      <c r="H3" s="56"/>
      <c r="I3" s="56"/>
    </row>
    <row r="4" spans="2:9" ht="15" x14ac:dyDescent="0.25">
      <c r="B4" s="1" t="s">
        <v>11</v>
      </c>
      <c r="C4" s="2" t="s">
        <v>39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</row>
    <row r="5" spans="2:9" x14ac:dyDescent="0.2">
      <c r="B5" s="1" t="s">
        <v>0</v>
      </c>
      <c r="C5" s="5">
        <v>43684</v>
      </c>
      <c r="E5" s="5">
        <f>+Emisiones!K2</f>
        <v>44383</v>
      </c>
      <c r="F5" s="6">
        <v>100</v>
      </c>
      <c r="G5" s="7"/>
      <c r="I5" s="6">
        <f>-Emisiones!P35</f>
        <v>-104</v>
      </c>
    </row>
    <row r="6" spans="2:9" x14ac:dyDescent="0.2">
      <c r="B6" s="1" t="s">
        <v>1</v>
      </c>
      <c r="C6" s="5">
        <v>44780</v>
      </c>
      <c r="E6" s="5">
        <v>44415</v>
      </c>
      <c r="F6" s="6">
        <f>+F5</f>
        <v>100</v>
      </c>
      <c r="G6" s="6">
        <f>+F5*($C$9/360*90)</f>
        <v>2.125</v>
      </c>
      <c r="H6" s="11"/>
      <c r="I6" s="6">
        <f>SUM(G6:H6)</f>
        <v>2.125</v>
      </c>
    </row>
    <row r="7" spans="2:9" x14ac:dyDescent="0.2">
      <c r="B7" s="1" t="s">
        <v>15</v>
      </c>
      <c r="C7" s="8" t="s">
        <v>16</v>
      </c>
      <c r="E7" s="5">
        <v>44507</v>
      </c>
      <c r="F7" s="6">
        <f>F6-H7</f>
        <v>100</v>
      </c>
      <c r="G7" s="6">
        <f>F6*($C$9/360*90)</f>
        <v>2.125</v>
      </c>
      <c r="H7" s="11"/>
      <c r="I7" s="6">
        <f>SUM(G7:H7)</f>
        <v>2.125</v>
      </c>
    </row>
    <row r="8" spans="2:9" x14ac:dyDescent="0.2">
      <c r="B8" s="1" t="s">
        <v>2</v>
      </c>
      <c r="C8" s="9">
        <v>50000000</v>
      </c>
      <c r="E8" s="5">
        <v>44599</v>
      </c>
      <c r="F8" s="6">
        <f>F7-H8</f>
        <v>100</v>
      </c>
      <c r="G8" s="6">
        <f>F7*($C$9/360*90)</f>
        <v>2.125</v>
      </c>
      <c r="H8" s="11"/>
      <c r="I8" s="6">
        <f>SUM(G8:H8)</f>
        <v>2.125</v>
      </c>
    </row>
    <row r="9" spans="2:9" x14ac:dyDescent="0.2">
      <c r="B9" s="1" t="s">
        <v>3</v>
      </c>
      <c r="C9" s="10">
        <v>8.5000000000000006E-2</v>
      </c>
      <c r="E9" s="5">
        <v>44688</v>
      </c>
      <c r="F9" s="6">
        <f>F8-H9</f>
        <v>100</v>
      </c>
      <c r="G9" s="6">
        <f>F8*($C$9/360*90)</f>
        <v>2.125</v>
      </c>
      <c r="H9" s="11"/>
      <c r="I9" s="6">
        <f>SUM(G9:H9)</f>
        <v>2.125</v>
      </c>
    </row>
    <row r="10" spans="2:9" x14ac:dyDescent="0.2">
      <c r="B10" s="1" t="s">
        <v>4</v>
      </c>
      <c r="C10" s="8" t="s">
        <v>34</v>
      </c>
      <c r="E10" s="5">
        <v>44780</v>
      </c>
      <c r="F10" s="6">
        <v>100</v>
      </c>
      <c r="G10" s="6">
        <f>F9*($C$9/360*90)</f>
        <v>2.125</v>
      </c>
      <c r="H10" s="1">
        <v>100</v>
      </c>
      <c r="I10" s="6">
        <f>SUM(G10:H10)</f>
        <v>102.125</v>
      </c>
    </row>
    <row r="11" spans="2:9" x14ac:dyDescent="0.2">
      <c r="B11" s="1" t="s">
        <v>19</v>
      </c>
      <c r="C11" s="1">
        <v>1</v>
      </c>
      <c r="E11" s="5"/>
      <c r="F11" s="5"/>
    </row>
    <row r="12" spans="2:9" ht="15" x14ac:dyDescent="0.25">
      <c r="E12" s="5"/>
      <c r="F12" s="5"/>
      <c r="H12" s="12" t="s">
        <v>14</v>
      </c>
      <c r="I12" s="13">
        <f>XIRR(I5:I10,E5:E10,0)</f>
        <v>6.1256440429687503E-2</v>
      </c>
    </row>
    <row r="13" spans="2:9" ht="15" x14ac:dyDescent="0.25">
      <c r="E13" s="5"/>
      <c r="F13" s="5"/>
      <c r="H13" s="14" t="s">
        <v>22</v>
      </c>
      <c r="I13" s="15">
        <f>MDURATION(E5,E10,C9,I12,4)</f>
        <v>1.0203662043698369</v>
      </c>
    </row>
  </sheetData>
  <mergeCells count="2">
    <mergeCell ref="B3:C3"/>
    <mergeCell ref="E3:I3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17"/>
  <sheetViews>
    <sheetView showGridLines="0" zoomScale="90" zoomScaleNormal="90" workbookViewId="0">
      <selection activeCell="K13" sqref="K13"/>
    </sheetView>
  </sheetViews>
  <sheetFormatPr baseColWidth="10" defaultRowHeight="14.25" x14ac:dyDescent="0.2"/>
  <cols>
    <col min="1" max="1" width="11.42578125" style="1"/>
    <col min="2" max="2" width="24.42578125" style="1" customWidth="1"/>
    <col min="3" max="3" width="17.140625" style="1" bestFit="1" customWidth="1"/>
    <col min="4" max="4" width="5.7109375" style="1" customWidth="1"/>
    <col min="5" max="5" width="12.28515625" style="1" bestFit="1" customWidth="1"/>
    <col min="6" max="7" width="11.42578125" style="1"/>
    <col min="8" max="8" width="13" style="1" customWidth="1"/>
    <col min="9" max="16384" width="11.42578125" style="1"/>
  </cols>
  <sheetData>
    <row r="3" spans="2:9" ht="15" x14ac:dyDescent="0.25">
      <c r="B3" s="56" t="s">
        <v>36</v>
      </c>
      <c r="C3" s="56"/>
      <c r="E3" s="56" t="s">
        <v>38</v>
      </c>
      <c r="F3" s="56"/>
      <c r="G3" s="56"/>
      <c r="H3" s="56"/>
      <c r="I3" s="56"/>
    </row>
    <row r="4" spans="2:9" ht="15" x14ac:dyDescent="0.25">
      <c r="B4" s="1" t="s">
        <v>11</v>
      </c>
      <c r="C4" s="2" t="s">
        <v>37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</row>
    <row r="5" spans="2:9" x14ac:dyDescent="0.2">
      <c r="B5" s="1" t="s">
        <v>0</v>
      </c>
      <c r="C5" s="5">
        <v>43882</v>
      </c>
      <c r="E5" s="5">
        <f>+Emisiones!K2</f>
        <v>44383</v>
      </c>
      <c r="F5" s="6">
        <v>100</v>
      </c>
      <c r="G5" s="7"/>
      <c r="I5" s="6">
        <f>-Emisiones!P36</f>
        <v>-96</v>
      </c>
    </row>
    <row r="6" spans="2:9" x14ac:dyDescent="0.2">
      <c r="B6" s="1" t="s">
        <v>1</v>
      </c>
      <c r="C6" s="5">
        <v>45343</v>
      </c>
      <c r="E6" s="5">
        <v>44429</v>
      </c>
      <c r="F6" s="6">
        <v>100</v>
      </c>
      <c r="G6" s="6">
        <f>+F5*($C$9/360*180)</f>
        <v>1.7500000000000002</v>
      </c>
      <c r="I6" s="6">
        <f t="shared" ref="I6:I11" si="0">SUM(G6:H6)</f>
        <v>1.7500000000000002</v>
      </c>
    </row>
    <row r="7" spans="2:9" x14ac:dyDescent="0.2">
      <c r="B7" s="1" t="s">
        <v>15</v>
      </c>
      <c r="C7" s="8" t="s">
        <v>16</v>
      </c>
      <c r="E7" s="5">
        <v>44613</v>
      </c>
      <c r="F7" s="6">
        <f>F6-H7</f>
        <v>100</v>
      </c>
      <c r="G7" s="6">
        <f>F6*($C$9/360*180)</f>
        <v>1.7500000000000002</v>
      </c>
      <c r="H7" s="11"/>
      <c r="I7" s="6">
        <f t="shared" si="0"/>
        <v>1.7500000000000002</v>
      </c>
    </row>
    <row r="8" spans="2:9" x14ac:dyDescent="0.2">
      <c r="B8" s="1" t="s">
        <v>2</v>
      </c>
      <c r="C8" s="9">
        <v>50000000</v>
      </c>
      <c r="E8" s="5">
        <v>44794</v>
      </c>
      <c r="F8" s="6">
        <f>F7-H8</f>
        <v>100</v>
      </c>
      <c r="G8" s="6">
        <f>F7*($C$9/360*180)</f>
        <v>1.7500000000000002</v>
      </c>
      <c r="H8" s="11"/>
      <c r="I8" s="6">
        <f t="shared" si="0"/>
        <v>1.7500000000000002</v>
      </c>
    </row>
    <row r="9" spans="2:9" x14ac:dyDescent="0.2">
      <c r="B9" s="1" t="s">
        <v>3</v>
      </c>
      <c r="C9" s="10">
        <v>3.5000000000000003E-2</v>
      </c>
      <c r="E9" s="5">
        <v>44978</v>
      </c>
      <c r="F9" s="6">
        <f>F8-H9</f>
        <v>100</v>
      </c>
      <c r="G9" s="6">
        <f>F8*($C$9/360*180)</f>
        <v>1.7500000000000002</v>
      </c>
      <c r="H9" s="11"/>
      <c r="I9" s="6">
        <f t="shared" si="0"/>
        <v>1.7500000000000002</v>
      </c>
    </row>
    <row r="10" spans="2:9" x14ac:dyDescent="0.2">
      <c r="B10" s="1" t="s">
        <v>4</v>
      </c>
      <c r="C10" s="8" t="s">
        <v>5</v>
      </c>
      <c r="E10" s="5">
        <v>45159</v>
      </c>
      <c r="F10" s="6">
        <f>F9-H10</f>
        <v>100</v>
      </c>
      <c r="G10" s="6">
        <f>F9*($C$9/360*180)</f>
        <v>1.7500000000000002</v>
      </c>
      <c r="H10" s="11"/>
      <c r="I10" s="6">
        <f t="shared" si="0"/>
        <v>1.7500000000000002</v>
      </c>
    </row>
    <row r="11" spans="2:9" x14ac:dyDescent="0.2">
      <c r="B11" s="1" t="s">
        <v>19</v>
      </c>
      <c r="C11" s="1">
        <v>1</v>
      </c>
      <c r="E11" s="5">
        <v>45343</v>
      </c>
      <c r="F11" s="6">
        <f>F10-H11</f>
        <v>0</v>
      </c>
      <c r="G11" s="6">
        <f>F10*($C$9/360*180)</f>
        <v>1.7500000000000002</v>
      </c>
      <c r="H11" s="11">
        <v>100</v>
      </c>
      <c r="I11" s="6">
        <f t="shared" si="0"/>
        <v>101.75</v>
      </c>
    </row>
    <row r="12" spans="2:9" x14ac:dyDescent="0.2">
      <c r="E12" s="5"/>
      <c r="F12" s="5"/>
    </row>
    <row r="13" spans="2:9" ht="15" x14ac:dyDescent="0.25">
      <c r="E13" s="5"/>
      <c r="F13" s="5"/>
      <c r="H13" s="12" t="s">
        <v>14</v>
      </c>
      <c r="I13" s="13">
        <f>XIRR(I5:I11,E5:E11,0)</f>
        <v>5.7755766601562522E-2</v>
      </c>
    </row>
    <row r="14" spans="2:9" ht="15" x14ac:dyDescent="0.25">
      <c r="E14" s="5"/>
      <c r="F14" s="5"/>
      <c r="H14" s="14" t="s">
        <v>22</v>
      </c>
      <c r="I14" s="15">
        <f>MDURATION(E5,E11,C8,I13,4)</f>
        <v>1.3201146851889958</v>
      </c>
    </row>
    <row r="17" spans="5:6" x14ac:dyDescent="0.2">
      <c r="E17" s="5"/>
      <c r="F17" s="5"/>
    </row>
  </sheetData>
  <mergeCells count="2">
    <mergeCell ref="B3:C3"/>
    <mergeCell ref="E3:I3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18"/>
  <sheetViews>
    <sheetView showGridLines="0" zoomScale="90" zoomScaleNormal="90" workbookViewId="0">
      <selection activeCell="N11" sqref="N11"/>
    </sheetView>
  </sheetViews>
  <sheetFormatPr baseColWidth="10" defaultRowHeight="14.25" x14ac:dyDescent="0.2"/>
  <cols>
    <col min="1" max="1" width="11.42578125" style="1"/>
    <col min="2" max="2" width="22" style="1" bestFit="1" customWidth="1"/>
    <col min="3" max="3" width="15.5703125" style="1" bestFit="1" customWidth="1"/>
    <col min="4" max="4" width="11.42578125" style="1"/>
    <col min="5" max="5" width="12.28515625" style="1" bestFit="1" customWidth="1"/>
    <col min="6" max="16384" width="11.42578125" style="1"/>
  </cols>
  <sheetData>
    <row r="4" spans="2:9" ht="15" x14ac:dyDescent="0.25">
      <c r="B4" s="56" t="s">
        <v>21</v>
      </c>
      <c r="C4" s="56"/>
      <c r="E4" s="56" t="s">
        <v>20</v>
      </c>
      <c r="F4" s="56"/>
      <c r="G4" s="56"/>
      <c r="H4" s="56"/>
      <c r="I4" s="56"/>
    </row>
    <row r="5" spans="2:9" ht="15" x14ac:dyDescent="0.25">
      <c r="B5" s="1" t="s">
        <v>11</v>
      </c>
      <c r="C5" s="2" t="s">
        <v>18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</row>
    <row r="6" spans="2:9" x14ac:dyDescent="0.2">
      <c r="B6" s="1" t="s">
        <v>0</v>
      </c>
      <c r="C6" s="5">
        <v>42122</v>
      </c>
      <c r="E6" s="5">
        <f>+Emisiones!K2</f>
        <v>44383</v>
      </c>
      <c r="F6" s="6">
        <v>100</v>
      </c>
      <c r="G6" s="7"/>
      <c r="I6" s="6">
        <f>-Emisiones!P38</f>
        <v>-87</v>
      </c>
    </row>
    <row r="7" spans="2:9" x14ac:dyDescent="0.2">
      <c r="B7" s="1" t="s">
        <v>1</v>
      </c>
      <c r="C7" s="5">
        <v>45866</v>
      </c>
      <c r="E7" s="5">
        <v>44405</v>
      </c>
      <c r="F7" s="6">
        <v>100</v>
      </c>
      <c r="G7" s="7">
        <f t="shared" ref="G7:G15" si="0">($C$10*F7)/360*180</f>
        <v>4.25</v>
      </c>
      <c r="I7" s="6">
        <f t="shared" ref="I7:I15" si="1">SUM(G7:H7)</f>
        <v>4.25</v>
      </c>
    </row>
    <row r="8" spans="2:9" x14ac:dyDescent="0.2">
      <c r="B8" s="1" t="s">
        <v>15</v>
      </c>
      <c r="C8" s="8" t="s">
        <v>16</v>
      </c>
      <c r="E8" s="5">
        <v>44589</v>
      </c>
      <c r="F8" s="6">
        <v>100</v>
      </c>
      <c r="G8" s="7">
        <f t="shared" si="0"/>
        <v>4.25</v>
      </c>
      <c r="I8" s="6">
        <f t="shared" si="1"/>
        <v>4.25</v>
      </c>
    </row>
    <row r="9" spans="2:9" x14ac:dyDescent="0.2">
      <c r="B9" s="1" t="s">
        <v>2</v>
      </c>
      <c r="C9" s="9">
        <v>1131771000</v>
      </c>
      <c r="E9" s="5">
        <v>44770</v>
      </c>
      <c r="F9" s="6">
        <v>100</v>
      </c>
      <c r="G9" s="7">
        <f t="shared" si="0"/>
        <v>4.25</v>
      </c>
      <c r="I9" s="6">
        <f t="shared" si="1"/>
        <v>4.25</v>
      </c>
    </row>
    <row r="10" spans="2:9" x14ac:dyDescent="0.2">
      <c r="B10" s="1" t="s">
        <v>3</v>
      </c>
      <c r="C10" s="10">
        <v>8.5000000000000006E-2</v>
      </c>
      <c r="E10" s="5">
        <v>44954</v>
      </c>
      <c r="F10" s="6">
        <v>100</v>
      </c>
      <c r="G10" s="7">
        <f t="shared" si="0"/>
        <v>4.25</v>
      </c>
      <c r="I10" s="6">
        <f t="shared" si="1"/>
        <v>4.25</v>
      </c>
    </row>
    <row r="11" spans="2:9" x14ac:dyDescent="0.2">
      <c r="B11" s="1" t="s">
        <v>4</v>
      </c>
      <c r="C11" s="8" t="s">
        <v>5</v>
      </c>
      <c r="E11" s="5">
        <v>45135</v>
      </c>
      <c r="F11" s="6">
        <v>100</v>
      </c>
      <c r="G11" s="7">
        <f t="shared" si="0"/>
        <v>4.25</v>
      </c>
      <c r="I11" s="6">
        <f t="shared" si="1"/>
        <v>4.25</v>
      </c>
    </row>
    <row r="12" spans="2:9" x14ac:dyDescent="0.2">
      <c r="B12" s="1" t="s">
        <v>19</v>
      </c>
      <c r="C12" s="9">
        <v>1000</v>
      </c>
      <c r="E12" s="5">
        <v>45319</v>
      </c>
      <c r="F12" s="6">
        <v>100</v>
      </c>
      <c r="G12" s="7">
        <f t="shared" si="0"/>
        <v>4.25</v>
      </c>
      <c r="I12" s="6">
        <f t="shared" si="1"/>
        <v>4.25</v>
      </c>
    </row>
    <row r="13" spans="2:9" x14ac:dyDescent="0.2">
      <c r="E13" s="5">
        <v>45501</v>
      </c>
      <c r="F13" s="6">
        <v>100</v>
      </c>
      <c r="G13" s="7">
        <f t="shared" si="0"/>
        <v>4.25</v>
      </c>
      <c r="I13" s="6">
        <f t="shared" si="1"/>
        <v>4.25</v>
      </c>
    </row>
    <row r="14" spans="2:9" x14ac:dyDescent="0.2">
      <c r="E14" s="5">
        <v>45685</v>
      </c>
      <c r="F14" s="6">
        <v>100</v>
      </c>
      <c r="G14" s="7">
        <f t="shared" si="0"/>
        <v>4.25</v>
      </c>
      <c r="I14" s="6">
        <f t="shared" si="1"/>
        <v>4.25</v>
      </c>
    </row>
    <row r="15" spans="2:9" x14ac:dyDescent="0.2">
      <c r="E15" s="5">
        <v>45866</v>
      </c>
      <c r="F15" s="6">
        <v>100</v>
      </c>
      <c r="G15" s="7">
        <f t="shared" si="0"/>
        <v>4.25</v>
      </c>
      <c r="H15" s="1">
        <v>100</v>
      </c>
      <c r="I15" s="6">
        <f t="shared" si="1"/>
        <v>104.25</v>
      </c>
    </row>
    <row r="17" spans="8:9" ht="15" x14ac:dyDescent="0.25">
      <c r="H17" s="12" t="s">
        <v>14</v>
      </c>
      <c r="I17" s="13">
        <f>XIRR(I6:I15,E6:E15,0)</f>
        <v>0.14523339355468751</v>
      </c>
    </row>
    <row r="18" spans="8:9" ht="15" x14ac:dyDescent="0.25">
      <c r="H18" s="14" t="s">
        <v>22</v>
      </c>
      <c r="I18" s="15">
        <f>MDURATION(E6,E15,C10,I17,2)</f>
        <v>3.0790993607637289</v>
      </c>
    </row>
  </sheetData>
  <mergeCells count="2">
    <mergeCell ref="B4:C4"/>
    <mergeCell ref="E4:I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23"/>
  <sheetViews>
    <sheetView showGridLines="0" zoomScale="90" zoomScaleNormal="90" workbookViewId="0">
      <selection activeCell="L10" sqref="L10"/>
    </sheetView>
  </sheetViews>
  <sheetFormatPr baseColWidth="10" defaultRowHeight="14.25" x14ac:dyDescent="0.2"/>
  <cols>
    <col min="1" max="1" width="11.42578125" style="1"/>
    <col min="2" max="2" width="22" style="1" customWidth="1"/>
    <col min="3" max="3" width="15.42578125" style="1" customWidth="1"/>
    <col min="4" max="4" width="5.7109375" style="1" customWidth="1"/>
    <col min="5" max="5" width="12.28515625" style="1" bestFit="1" customWidth="1"/>
    <col min="6" max="7" width="9.42578125" style="1" customWidth="1"/>
    <col min="8" max="8" width="10.5703125" style="1" customWidth="1"/>
    <col min="9" max="9" width="10" style="1" customWidth="1"/>
    <col min="10" max="16384" width="11.42578125" style="1"/>
  </cols>
  <sheetData>
    <row r="3" spans="2:13" ht="15" x14ac:dyDescent="0.25">
      <c r="B3" s="58" t="s">
        <v>17</v>
      </c>
      <c r="C3" s="58"/>
      <c r="E3" s="58" t="s">
        <v>12</v>
      </c>
      <c r="F3" s="58"/>
      <c r="G3" s="58"/>
      <c r="H3" s="58"/>
      <c r="I3" s="58"/>
      <c r="K3" s="18" t="s">
        <v>45</v>
      </c>
      <c r="L3" s="18" t="s">
        <v>46</v>
      </c>
      <c r="M3" s="18" t="s">
        <v>47</v>
      </c>
    </row>
    <row r="4" spans="2:13" ht="15" x14ac:dyDescent="0.25">
      <c r="B4" s="1" t="s">
        <v>11</v>
      </c>
      <c r="C4" s="2" t="s">
        <v>13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</row>
    <row r="5" spans="2:13" x14ac:dyDescent="0.2">
      <c r="B5" s="1" t="s">
        <v>0</v>
      </c>
      <c r="C5" s="5">
        <v>41733</v>
      </c>
      <c r="E5" s="5">
        <f>+Emisiones!K2</f>
        <v>44383</v>
      </c>
      <c r="F5" s="6">
        <v>100</v>
      </c>
      <c r="G5" s="7"/>
      <c r="I5" s="6">
        <f>-Emisiones!P37</f>
        <v>-95.7</v>
      </c>
    </row>
    <row r="6" spans="2:13" x14ac:dyDescent="0.2">
      <c r="B6" s="1" t="s">
        <v>1</v>
      </c>
      <c r="C6" s="5">
        <v>45386</v>
      </c>
      <c r="E6" s="5">
        <v>44473</v>
      </c>
      <c r="F6" s="6">
        <v>100</v>
      </c>
      <c r="G6" s="6">
        <f>F5*($C$9/360*180)</f>
        <v>4.375</v>
      </c>
      <c r="I6" s="6">
        <f t="shared" ref="I6:I11" si="0">SUM(G6:H6)</f>
        <v>4.375</v>
      </c>
      <c r="K6" s="1">
        <f>DAYS360($E$5,E6)</f>
        <v>88</v>
      </c>
      <c r="L6" s="17">
        <f>I6/(1+$I$13)^(K6/360)</f>
        <v>4.2433601395461675</v>
      </c>
      <c r="M6" s="17">
        <f>L6*(K6/360)</f>
        <v>1.0372658118890632</v>
      </c>
    </row>
    <row r="7" spans="2:13" x14ac:dyDescent="0.2">
      <c r="B7" s="1" t="s">
        <v>15</v>
      </c>
      <c r="C7" s="8" t="s">
        <v>16</v>
      </c>
      <c r="E7" s="5">
        <v>44655</v>
      </c>
      <c r="F7" s="6">
        <f>F6-H6</f>
        <v>100</v>
      </c>
      <c r="G7" s="6">
        <f>F6*($C$9/360*180)</f>
        <v>4.375</v>
      </c>
      <c r="H7" s="11">
        <v>30</v>
      </c>
      <c r="I7" s="6">
        <f t="shared" si="0"/>
        <v>34.375</v>
      </c>
      <c r="K7" s="1">
        <f>DAYS360($E$5,E7)</f>
        <v>268</v>
      </c>
      <c r="L7" s="17">
        <f>I7/(1+$I$13)^(K7/360)</f>
        <v>31.320963525939653</v>
      </c>
      <c r="M7" s="17">
        <f>L7*(K7/360)</f>
        <v>23.316717291532854</v>
      </c>
    </row>
    <row r="8" spans="2:13" x14ac:dyDescent="0.2">
      <c r="B8" s="1" t="s">
        <v>2</v>
      </c>
      <c r="C8" s="9">
        <v>865782620</v>
      </c>
      <c r="E8" s="5">
        <v>44838</v>
      </c>
      <c r="F8" s="6">
        <f>F7-H7</f>
        <v>70</v>
      </c>
      <c r="G8" s="6">
        <f>F8*($C$9/360*180)</f>
        <v>3.0625</v>
      </c>
      <c r="H8" s="11"/>
      <c r="I8" s="6">
        <f t="shared" si="0"/>
        <v>3.0625</v>
      </c>
      <c r="K8" s="1">
        <f>DAYS360($E$5,E8)</f>
        <v>448</v>
      </c>
      <c r="L8" s="17">
        <f>I8/(1+$I$13)^(K8/360)</f>
        <v>2.6213745345474568</v>
      </c>
      <c r="M8" s="17">
        <f>L8*(K8/360)</f>
        <v>3.262154976325724</v>
      </c>
    </row>
    <row r="9" spans="2:13" x14ac:dyDescent="0.2">
      <c r="B9" s="1" t="s">
        <v>3</v>
      </c>
      <c r="C9" s="10">
        <v>8.7499999999999994E-2</v>
      </c>
      <c r="E9" s="5">
        <v>45020</v>
      </c>
      <c r="F9" s="6">
        <f>F8-H8</f>
        <v>70</v>
      </c>
      <c r="G9" s="6">
        <f>F9*($C$9/360*180)</f>
        <v>3.0625</v>
      </c>
      <c r="H9" s="11">
        <v>30</v>
      </c>
      <c r="I9" s="6">
        <f t="shared" si="0"/>
        <v>33.0625</v>
      </c>
      <c r="K9" s="1">
        <f>DAYS360($E$5,E9)</f>
        <v>628</v>
      </c>
      <c r="L9" s="17">
        <f>I9/(1+$I$13)^(K9/360)</f>
        <v>26.585769799926641</v>
      </c>
      <c r="M9" s="17">
        <f>L9*(K9/360)</f>
        <v>46.37739842876092</v>
      </c>
    </row>
    <row r="10" spans="2:13" x14ac:dyDescent="0.2">
      <c r="B10" s="1" t="s">
        <v>4</v>
      </c>
      <c r="C10" s="8" t="s">
        <v>5</v>
      </c>
      <c r="E10" s="5">
        <v>45203</v>
      </c>
      <c r="F10" s="6">
        <f>F9-H9</f>
        <v>40</v>
      </c>
      <c r="G10" s="6">
        <f>F10*($C$9/360*180)</f>
        <v>1.75</v>
      </c>
      <c r="H10" s="11"/>
      <c r="I10" s="6">
        <f t="shared" si="0"/>
        <v>1.75</v>
      </c>
      <c r="K10" s="1">
        <f>DAYS360($E$5,E10)</f>
        <v>808</v>
      </c>
      <c r="L10" s="17">
        <f>I10/(1+$I$13)^(K10/360)</f>
        <v>1.3219413003472584</v>
      </c>
      <c r="M10" s="17">
        <f>L10*(K10/360)</f>
        <v>2.9670238074460689</v>
      </c>
    </row>
    <row r="11" spans="2:13" x14ac:dyDescent="0.2">
      <c r="E11" s="5">
        <v>45386</v>
      </c>
      <c r="F11" s="6">
        <f>F10-H10</f>
        <v>40</v>
      </c>
      <c r="G11" s="6">
        <f>F11*($C$9/360*180)</f>
        <v>1.75</v>
      </c>
      <c r="H11" s="11">
        <v>40</v>
      </c>
      <c r="I11" s="6">
        <f t="shared" si="0"/>
        <v>41.75</v>
      </c>
      <c r="L11" s="17">
        <f>SUM(L6:L10)</f>
        <v>66.093409300307187</v>
      </c>
      <c r="M11" s="17">
        <f>SUM(M6:M10)</f>
        <v>76.960560315954623</v>
      </c>
    </row>
    <row r="12" spans="2:13" x14ac:dyDescent="0.2">
      <c r="E12" s="5"/>
      <c r="F12" s="5"/>
    </row>
    <row r="13" spans="2:13" ht="15" x14ac:dyDescent="0.25">
      <c r="E13" s="5"/>
      <c r="F13" s="5"/>
      <c r="H13" s="12" t="s">
        <v>14</v>
      </c>
      <c r="I13" s="13">
        <f>XIRR(I5:I11,E5:E11,0)</f>
        <v>0.1331277001953125</v>
      </c>
      <c r="L13" s="1" t="s">
        <v>48</v>
      </c>
      <c r="M13" s="6">
        <f>M11/L11</f>
        <v>1.1644210993303523</v>
      </c>
    </row>
    <row r="14" spans="2:13" ht="15" x14ac:dyDescent="0.25">
      <c r="E14" s="5"/>
      <c r="F14" s="5"/>
      <c r="H14" s="14" t="s">
        <v>22</v>
      </c>
      <c r="I14" s="15">
        <f>M13/(1+(I13/2))</f>
        <v>1.0917500149885411</v>
      </c>
    </row>
    <row r="17" spans="3:6" x14ac:dyDescent="0.2">
      <c r="E17" s="5"/>
      <c r="F17" s="5"/>
    </row>
    <row r="23" spans="3:6" x14ac:dyDescent="0.2">
      <c r="C23" s="9"/>
    </row>
  </sheetData>
  <mergeCells count="2">
    <mergeCell ref="E3:I3"/>
    <mergeCell ref="B3:C3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3245-D604-43A8-95E7-70E50E59DEF8}">
  <dimension ref="B3:N29"/>
  <sheetViews>
    <sheetView showGridLines="0" zoomScale="90" zoomScaleNormal="90" workbookViewId="0">
      <selection activeCell="N20" sqref="N20"/>
    </sheetView>
  </sheetViews>
  <sheetFormatPr baseColWidth="10" defaultRowHeight="14.25" x14ac:dyDescent="0.2"/>
  <cols>
    <col min="1" max="1" width="11.42578125" style="1"/>
    <col min="2" max="2" width="22" style="1" customWidth="1"/>
    <col min="3" max="3" width="15.42578125" style="1" customWidth="1"/>
    <col min="4" max="4" width="5.7109375" style="1" customWidth="1"/>
    <col min="5" max="5" width="12.28515625" style="1" bestFit="1" customWidth="1"/>
    <col min="6" max="6" width="12.28515625" style="1" customWidth="1"/>
    <col min="7" max="8" width="9.42578125" style="1" customWidth="1"/>
    <col min="9" max="9" width="10.5703125" style="1" customWidth="1"/>
    <col min="10" max="10" width="10" style="1" customWidth="1"/>
    <col min="11" max="16384" width="11.42578125" style="1"/>
  </cols>
  <sheetData>
    <row r="3" spans="2:14" ht="15" x14ac:dyDescent="0.25">
      <c r="B3" s="58" t="s">
        <v>172</v>
      </c>
      <c r="C3" s="58"/>
      <c r="E3" s="58" t="s">
        <v>12</v>
      </c>
      <c r="F3" s="58"/>
      <c r="G3" s="58"/>
      <c r="H3" s="58"/>
      <c r="I3" s="58"/>
      <c r="J3" s="58"/>
      <c r="L3" s="47" t="s">
        <v>45</v>
      </c>
      <c r="M3" s="47" t="s">
        <v>46</v>
      </c>
      <c r="N3" s="47" t="s">
        <v>47</v>
      </c>
    </row>
    <row r="4" spans="2:14" ht="15" x14ac:dyDescent="0.25">
      <c r="B4" s="1" t="s">
        <v>11</v>
      </c>
      <c r="C4" s="2" t="s">
        <v>163</v>
      </c>
      <c r="E4" s="3" t="s">
        <v>6</v>
      </c>
      <c r="F4" s="3" t="s">
        <v>3</v>
      </c>
      <c r="G4" s="3" t="s">
        <v>7</v>
      </c>
      <c r="H4" s="3" t="s">
        <v>8</v>
      </c>
      <c r="I4" s="3" t="s">
        <v>9</v>
      </c>
      <c r="J4" s="3" t="s">
        <v>10</v>
      </c>
    </row>
    <row r="5" spans="2:14" x14ac:dyDescent="0.2">
      <c r="B5" s="1" t="s">
        <v>0</v>
      </c>
      <c r="C5" s="5"/>
      <c r="E5" s="5">
        <f>+Emisiones!K2</f>
        <v>44383</v>
      </c>
      <c r="F5" s="10">
        <v>0.04</v>
      </c>
      <c r="G5" s="6">
        <v>100</v>
      </c>
      <c r="H5" s="7"/>
      <c r="J5" s="6">
        <f>-Emisiones!P37</f>
        <v>-95.7</v>
      </c>
    </row>
    <row r="6" spans="2:14" x14ac:dyDescent="0.2">
      <c r="B6" s="1" t="s">
        <v>1</v>
      </c>
      <c r="C6" s="5">
        <v>46065</v>
      </c>
      <c r="E6" s="5">
        <v>44328</v>
      </c>
      <c r="F6" s="5"/>
      <c r="G6" s="6">
        <v>100</v>
      </c>
      <c r="H6" s="6" t="e">
        <f>G5*($C$9/360*180)</f>
        <v>#VALUE!</v>
      </c>
      <c r="J6" s="6" t="e">
        <f t="shared" ref="J6:J11" si="0">SUM(H6:I6)</f>
        <v>#VALUE!</v>
      </c>
      <c r="L6" s="1">
        <f>DAYS360($E$5,E6)</f>
        <v>-54</v>
      </c>
      <c r="M6" s="17" t="e">
        <f>J6/(1+$J$28)^(L6/360)</f>
        <v>#VALUE!</v>
      </c>
      <c r="N6" s="17" t="e">
        <f>M6*(L6/360)</f>
        <v>#VALUE!</v>
      </c>
    </row>
    <row r="7" spans="2:14" x14ac:dyDescent="0.2">
      <c r="B7" s="1" t="s">
        <v>15</v>
      </c>
      <c r="C7" s="8" t="s">
        <v>16</v>
      </c>
      <c r="E7" s="5">
        <v>44420</v>
      </c>
      <c r="F7" s="5"/>
      <c r="G7" s="6">
        <f>G6-I6</f>
        <v>100</v>
      </c>
      <c r="H7" s="6" t="e">
        <f>G6*($C$9/360*180)</f>
        <v>#VALUE!</v>
      </c>
      <c r="I7" s="11">
        <v>30</v>
      </c>
      <c r="J7" s="6" t="e">
        <f t="shared" si="0"/>
        <v>#VALUE!</v>
      </c>
      <c r="L7" s="1">
        <f>DAYS360($E$5,E7)</f>
        <v>36</v>
      </c>
      <c r="M7" s="17" t="e">
        <f>J7/(1+$J$28)^(L7/360)</f>
        <v>#VALUE!</v>
      </c>
      <c r="N7" s="17" t="e">
        <f>M7*(L7/360)</f>
        <v>#VALUE!</v>
      </c>
    </row>
    <row r="8" spans="2:14" x14ac:dyDescent="0.2">
      <c r="B8" s="1" t="s">
        <v>2</v>
      </c>
      <c r="C8" s="9"/>
      <c r="E8" s="5">
        <v>44512</v>
      </c>
      <c r="F8" s="5"/>
      <c r="G8" s="6">
        <f>G7-I7</f>
        <v>70</v>
      </c>
      <c r="H8" s="6" t="e">
        <f>G8*($C$9/360*180)</f>
        <v>#VALUE!</v>
      </c>
      <c r="I8" s="11"/>
      <c r="J8" s="6" t="e">
        <f t="shared" si="0"/>
        <v>#VALUE!</v>
      </c>
      <c r="L8" s="1">
        <f>DAYS360($E$5,E8)</f>
        <v>126</v>
      </c>
      <c r="M8" s="17" t="e">
        <f>J8/(1+$J$28)^(L8/360)</f>
        <v>#VALUE!</v>
      </c>
      <c r="N8" s="17" t="e">
        <f>M8*(L8/360)</f>
        <v>#VALUE!</v>
      </c>
    </row>
    <row r="9" spans="2:14" x14ac:dyDescent="0.2">
      <c r="B9" s="1" t="s">
        <v>3</v>
      </c>
      <c r="C9" s="25" t="s">
        <v>173</v>
      </c>
      <c r="E9" s="5">
        <v>44604</v>
      </c>
      <c r="F9" s="5"/>
      <c r="G9" s="6">
        <f>G8-I8</f>
        <v>70</v>
      </c>
      <c r="H9" s="6" t="e">
        <f>G9*($C$9/360*180)</f>
        <v>#VALUE!</v>
      </c>
      <c r="I9" s="11">
        <v>30</v>
      </c>
      <c r="J9" s="6" t="e">
        <f t="shared" si="0"/>
        <v>#VALUE!</v>
      </c>
      <c r="L9" s="1">
        <f>DAYS360($E$5,E9)</f>
        <v>216</v>
      </c>
      <c r="M9" s="17" t="e">
        <f>J9/(1+$J$28)^(L9/360)</f>
        <v>#VALUE!</v>
      </c>
      <c r="N9" s="17" t="e">
        <f>M9*(L9/360)</f>
        <v>#VALUE!</v>
      </c>
    </row>
    <row r="10" spans="2:14" x14ac:dyDescent="0.2">
      <c r="B10" s="1" t="s">
        <v>4</v>
      </c>
      <c r="C10" s="8" t="s">
        <v>5</v>
      </c>
      <c r="E10" s="5">
        <v>44693</v>
      </c>
      <c r="F10" s="5"/>
      <c r="G10" s="6">
        <f>G9-I9</f>
        <v>40</v>
      </c>
      <c r="H10" s="6" t="e">
        <f>G10*($C$9/360*180)</f>
        <v>#VALUE!</v>
      </c>
      <c r="I10" s="11"/>
      <c r="J10" s="6" t="e">
        <f t="shared" si="0"/>
        <v>#VALUE!</v>
      </c>
      <c r="L10" s="1">
        <f>DAYS360($E$5,E10)</f>
        <v>306</v>
      </c>
      <c r="M10" s="17" t="e">
        <f>J10/(1+$J$28)^(L10/360)</f>
        <v>#VALUE!</v>
      </c>
      <c r="N10" s="17" t="e">
        <f>M10*(L10/360)</f>
        <v>#VALUE!</v>
      </c>
    </row>
    <row r="11" spans="2:14" x14ac:dyDescent="0.2">
      <c r="E11" s="5">
        <v>44785</v>
      </c>
      <c r="F11" s="5"/>
      <c r="G11" s="6">
        <f>G10-I10</f>
        <v>40</v>
      </c>
      <c r="H11" s="6" t="e">
        <f>G11*($C$9/360*180)</f>
        <v>#VALUE!</v>
      </c>
      <c r="I11" s="11">
        <v>40</v>
      </c>
      <c r="J11" s="6" t="e">
        <f t="shared" si="0"/>
        <v>#VALUE!</v>
      </c>
      <c r="M11" s="17" t="e">
        <f>SUM(M6:M10)</f>
        <v>#VALUE!</v>
      </c>
      <c r="N11" s="17" t="e">
        <f>SUM(N6:N10)</f>
        <v>#VALUE!</v>
      </c>
    </row>
    <row r="12" spans="2:14" x14ac:dyDescent="0.2">
      <c r="E12" s="5">
        <v>44877</v>
      </c>
      <c r="F12" s="5"/>
      <c r="G12" s="5"/>
    </row>
    <row r="13" spans="2:14" x14ac:dyDescent="0.2">
      <c r="E13" s="5">
        <v>44969</v>
      </c>
      <c r="F13" s="5"/>
      <c r="G13" s="5"/>
      <c r="M13" s="1" t="s">
        <v>48</v>
      </c>
      <c r="N13" s="6" t="e">
        <f>N11/M11</f>
        <v>#VALUE!</v>
      </c>
    </row>
    <row r="14" spans="2:14" x14ac:dyDescent="0.2">
      <c r="E14" s="5">
        <v>45058</v>
      </c>
      <c r="F14" s="5"/>
      <c r="G14" s="5"/>
    </row>
    <row r="15" spans="2:14" x14ac:dyDescent="0.2">
      <c r="E15" s="5">
        <v>45150</v>
      </c>
      <c r="F15" s="5"/>
    </row>
    <row r="16" spans="2:14" x14ac:dyDescent="0.2">
      <c r="E16" s="5">
        <v>45242</v>
      </c>
      <c r="F16" s="5"/>
    </row>
    <row r="17" spans="3:10" x14ac:dyDescent="0.2">
      <c r="E17" s="5">
        <v>45334</v>
      </c>
      <c r="F17" s="5"/>
      <c r="G17" s="5"/>
    </row>
    <row r="18" spans="3:10" x14ac:dyDescent="0.2">
      <c r="E18" s="5">
        <v>45424</v>
      </c>
      <c r="F18" s="5"/>
    </row>
    <row r="19" spans="3:10" x14ac:dyDescent="0.2">
      <c r="E19" s="5">
        <v>45516</v>
      </c>
      <c r="F19" s="5"/>
    </row>
    <row r="20" spans="3:10" x14ac:dyDescent="0.2">
      <c r="E20" s="5">
        <v>45608</v>
      </c>
      <c r="F20" s="5"/>
    </row>
    <row r="21" spans="3:10" x14ac:dyDescent="0.2">
      <c r="E21" s="5">
        <v>45700</v>
      </c>
      <c r="F21" s="5"/>
    </row>
    <row r="22" spans="3:10" x14ac:dyDescent="0.2">
      <c r="E22" s="5">
        <v>45789</v>
      </c>
      <c r="F22" s="5"/>
    </row>
    <row r="23" spans="3:10" x14ac:dyDescent="0.2">
      <c r="C23" s="9"/>
      <c r="E23" s="5">
        <v>45881</v>
      </c>
      <c r="F23" s="5"/>
    </row>
    <row r="24" spans="3:10" x14ac:dyDescent="0.2">
      <c r="E24" s="5">
        <v>45973</v>
      </c>
      <c r="F24" s="5"/>
    </row>
    <row r="25" spans="3:10" x14ac:dyDescent="0.2">
      <c r="E25" s="5">
        <v>46065</v>
      </c>
      <c r="F25" s="5"/>
    </row>
    <row r="28" spans="3:10" ht="15" x14ac:dyDescent="0.25">
      <c r="I28" s="12" t="s">
        <v>14</v>
      </c>
      <c r="J28" s="13" t="e">
        <f>XIRR(J5:J11,E5:E11,0)</f>
        <v>#VALUE!</v>
      </c>
    </row>
    <row r="29" spans="3:10" ht="15" x14ac:dyDescent="0.25">
      <c r="I29" s="14" t="s">
        <v>22</v>
      </c>
      <c r="J29" s="15" t="e">
        <f>N13/(1+(J28/2))</f>
        <v>#VALUE!</v>
      </c>
    </row>
  </sheetData>
  <mergeCells count="2">
    <mergeCell ref="B3:C3"/>
    <mergeCell ref="E3:J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CF68-7713-4DCC-A33B-982CCA4566A1}">
  <dimension ref="B4:I15"/>
  <sheetViews>
    <sheetView showGridLines="0" zoomScale="90" zoomScaleNormal="90" workbookViewId="0">
      <selection activeCell="I7" sqref="I7"/>
    </sheetView>
  </sheetViews>
  <sheetFormatPr baseColWidth="10" defaultRowHeight="14.25" x14ac:dyDescent="0.2"/>
  <cols>
    <col min="1" max="1" width="11.42578125" style="1"/>
    <col min="2" max="2" width="21.5703125" style="1" customWidth="1"/>
    <col min="3" max="3" width="15.7109375" style="1" customWidth="1"/>
    <col min="4" max="4" width="11.42578125" style="1"/>
    <col min="5" max="5" width="12.28515625" style="1" bestFit="1" customWidth="1"/>
    <col min="6" max="6" width="8.7109375" style="1" customWidth="1"/>
    <col min="7" max="7" width="9.42578125" style="1" customWidth="1"/>
    <col min="8" max="8" width="9" style="1" customWidth="1"/>
    <col min="9" max="9" width="9.5703125" style="1" customWidth="1"/>
    <col min="10" max="16384" width="11.42578125" style="1"/>
  </cols>
  <sheetData>
    <row r="4" spans="2:9" ht="15" x14ac:dyDescent="0.25">
      <c r="B4" s="56" t="s">
        <v>208</v>
      </c>
      <c r="C4" s="56"/>
      <c r="E4" s="56" t="s">
        <v>209</v>
      </c>
      <c r="F4" s="56"/>
      <c r="G4" s="56"/>
      <c r="H4" s="56"/>
      <c r="I4" s="56"/>
    </row>
    <row r="5" spans="2:9" ht="15" x14ac:dyDescent="0.25">
      <c r="B5" s="1" t="s">
        <v>11</v>
      </c>
      <c r="C5" s="2" t="s">
        <v>118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</row>
    <row r="6" spans="2:9" x14ac:dyDescent="0.2">
      <c r="B6" s="1" t="s">
        <v>0</v>
      </c>
      <c r="C6" s="5">
        <v>44147</v>
      </c>
      <c r="E6" s="5">
        <f>+Emisiones!K2</f>
        <v>44383</v>
      </c>
      <c r="F6" s="6">
        <v>100</v>
      </c>
      <c r="G6" s="7"/>
      <c r="I6" s="6">
        <f>-Emisiones!P13</f>
        <v>-105</v>
      </c>
    </row>
    <row r="7" spans="2:9" x14ac:dyDescent="0.2">
      <c r="B7" s="1" t="s">
        <v>1</v>
      </c>
      <c r="C7" s="5">
        <v>44877</v>
      </c>
      <c r="E7" s="5">
        <v>44420</v>
      </c>
      <c r="F7" s="6">
        <v>100</v>
      </c>
      <c r="G7" s="7">
        <f>($C$10*F7)/360*90</f>
        <v>2.25</v>
      </c>
      <c r="I7" s="6">
        <f>SUM(G7:H7)</f>
        <v>2.25</v>
      </c>
    </row>
    <row r="8" spans="2:9" x14ac:dyDescent="0.2">
      <c r="B8" s="1" t="s">
        <v>15</v>
      </c>
      <c r="C8" s="8" t="s">
        <v>16</v>
      </c>
      <c r="E8" s="5">
        <v>44512</v>
      </c>
      <c r="F8" s="6">
        <v>100</v>
      </c>
      <c r="G8" s="7">
        <f t="shared" ref="G8:G10" si="0">($C$10*F8)/360*90</f>
        <v>2.25</v>
      </c>
      <c r="I8" s="6">
        <f>SUM(G8:H8)</f>
        <v>2.25</v>
      </c>
    </row>
    <row r="9" spans="2:9" x14ac:dyDescent="0.2">
      <c r="B9" s="1" t="s">
        <v>2</v>
      </c>
      <c r="C9" s="9">
        <v>34234106</v>
      </c>
      <c r="E9" s="5">
        <v>44604</v>
      </c>
      <c r="F9" s="6">
        <v>100</v>
      </c>
      <c r="G9" s="7">
        <f t="shared" si="0"/>
        <v>2.25</v>
      </c>
      <c r="I9" s="6">
        <f>SUM(G9:H9)</f>
        <v>2.25</v>
      </c>
    </row>
    <row r="10" spans="2:9" x14ac:dyDescent="0.2">
      <c r="B10" s="1" t="s">
        <v>3</v>
      </c>
      <c r="C10" s="10">
        <v>0.09</v>
      </c>
      <c r="E10" s="5">
        <v>44693</v>
      </c>
      <c r="F10" s="6">
        <v>100</v>
      </c>
      <c r="G10" s="7">
        <f t="shared" si="0"/>
        <v>2.25</v>
      </c>
      <c r="I10" s="6">
        <f>SUM(G10:H10)</f>
        <v>2.25</v>
      </c>
    </row>
    <row r="11" spans="2:9" x14ac:dyDescent="0.2">
      <c r="B11" s="1" t="s">
        <v>4</v>
      </c>
      <c r="C11" s="8" t="s">
        <v>34</v>
      </c>
      <c r="E11" s="5">
        <v>44785</v>
      </c>
      <c r="F11" s="6">
        <v>100</v>
      </c>
      <c r="G11" s="7">
        <f>($C$10*F11)/360*90</f>
        <v>2.25</v>
      </c>
      <c r="H11" s="1">
        <v>100</v>
      </c>
      <c r="I11" s="6">
        <f>SUM(G11:H11)</f>
        <v>102.25</v>
      </c>
    </row>
    <row r="12" spans="2:9" x14ac:dyDescent="0.2">
      <c r="B12" s="1" t="s">
        <v>19</v>
      </c>
      <c r="C12" s="9">
        <v>1</v>
      </c>
      <c r="E12" s="5"/>
      <c r="F12" s="6"/>
      <c r="G12" s="7"/>
      <c r="I12" s="6"/>
    </row>
    <row r="14" spans="2:9" ht="15" x14ac:dyDescent="0.25">
      <c r="H14" s="12" t="s">
        <v>14</v>
      </c>
      <c r="I14" s="13">
        <f>XIRR(I6:I11,E6:E11,0)</f>
        <v>5.6615756835937517E-2</v>
      </c>
    </row>
    <row r="15" spans="2:9" ht="15" x14ac:dyDescent="0.25">
      <c r="H15" s="14" t="s">
        <v>22</v>
      </c>
      <c r="I15" s="15">
        <f>MDURATION(E6,E11,C10,I14,2)</f>
        <v>1.0093300807896353</v>
      </c>
    </row>
  </sheetData>
  <mergeCells count="2">
    <mergeCell ref="B4:C4"/>
    <mergeCell ref="E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9C61-1120-4184-83BC-BBDE47F8394B}">
  <dimension ref="B4:I17"/>
  <sheetViews>
    <sheetView showGridLines="0" zoomScale="90" zoomScaleNormal="90" workbookViewId="0">
      <selection activeCell="P10" sqref="P10"/>
    </sheetView>
  </sheetViews>
  <sheetFormatPr baseColWidth="10" defaultRowHeight="14.25" x14ac:dyDescent="0.2"/>
  <cols>
    <col min="1" max="1" width="11.42578125" style="1"/>
    <col min="2" max="2" width="23" style="1" customWidth="1"/>
    <col min="3" max="3" width="15.140625" style="1" customWidth="1"/>
    <col min="4" max="4" width="11.42578125" style="1"/>
    <col min="5" max="5" width="12.28515625" style="1" bestFit="1" customWidth="1"/>
    <col min="6" max="16384" width="11.42578125" style="1"/>
  </cols>
  <sheetData>
    <row r="4" spans="2:9" ht="15" x14ac:dyDescent="0.25">
      <c r="B4" s="56" t="s">
        <v>205</v>
      </c>
      <c r="C4" s="56"/>
      <c r="E4" s="56" t="s">
        <v>160</v>
      </c>
      <c r="F4" s="56"/>
      <c r="G4" s="56"/>
      <c r="H4" s="56"/>
      <c r="I4" s="56"/>
    </row>
    <row r="5" spans="2:9" ht="15" x14ac:dyDescent="0.25">
      <c r="B5" s="1" t="s">
        <v>11</v>
      </c>
      <c r="C5" s="2" t="s">
        <v>204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</row>
    <row r="6" spans="2:9" x14ac:dyDescent="0.2">
      <c r="B6" s="1" t="s">
        <v>0</v>
      </c>
      <c r="C6" s="5">
        <v>44357</v>
      </c>
      <c r="E6" s="5">
        <f>+Emisiones!K2</f>
        <v>44383</v>
      </c>
      <c r="F6" s="6">
        <v>100</v>
      </c>
      <c r="G6" s="7"/>
      <c r="I6" s="6">
        <f>-Emisiones!P10</f>
        <v>-100.5</v>
      </c>
    </row>
    <row r="7" spans="2:9" x14ac:dyDescent="0.2">
      <c r="B7" s="1" t="s">
        <v>1</v>
      </c>
      <c r="C7" s="5">
        <v>45087</v>
      </c>
      <c r="E7" s="5">
        <v>44449</v>
      </c>
      <c r="F7" s="6">
        <v>100</v>
      </c>
      <c r="G7" s="7">
        <f>($C$10*F7)/360*90</f>
        <v>1.7500000000000004</v>
      </c>
      <c r="I7" s="6">
        <f>SUM(G7:H7)</f>
        <v>1.7500000000000004</v>
      </c>
    </row>
    <row r="8" spans="2:9" x14ac:dyDescent="0.2">
      <c r="B8" s="1" t="s">
        <v>15</v>
      </c>
      <c r="C8" s="8" t="s">
        <v>16</v>
      </c>
      <c r="E8" s="5">
        <v>44540</v>
      </c>
      <c r="F8" s="6">
        <v>100</v>
      </c>
      <c r="G8" s="7">
        <f t="shared" ref="G8:G14" si="0">($C$10*F8)/360*90</f>
        <v>1.7500000000000004</v>
      </c>
      <c r="I8" s="6">
        <f>SUM(G8:H8)</f>
        <v>1.7500000000000004</v>
      </c>
    </row>
    <row r="9" spans="2:9" x14ac:dyDescent="0.2">
      <c r="B9" s="1" t="s">
        <v>2</v>
      </c>
      <c r="C9" s="9">
        <v>14037140</v>
      </c>
      <c r="E9" s="5">
        <v>44630</v>
      </c>
      <c r="F9" s="6">
        <v>100</v>
      </c>
      <c r="G9" s="7">
        <f t="shared" si="0"/>
        <v>1.7500000000000004</v>
      </c>
      <c r="I9" s="6">
        <f>SUM(G9:H9)</f>
        <v>1.7500000000000004</v>
      </c>
    </row>
    <row r="10" spans="2:9" x14ac:dyDescent="0.2">
      <c r="B10" s="1" t="s">
        <v>3</v>
      </c>
      <c r="C10" s="10">
        <v>7.0000000000000007E-2</v>
      </c>
      <c r="E10" s="5">
        <v>44722</v>
      </c>
      <c r="F10" s="6">
        <f>F9-H9</f>
        <v>100</v>
      </c>
      <c r="G10" s="7">
        <f t="shared" si="0"/>
        <v>1.7500000000000004</v>
      </c>
      <c r="I10" s="6">
        <f>SUM(G10:H10)</f>
        <v>1.7500000000000004</v>
      </c>
    </row>
    <row r="11" spans="2:9" x14ac:dyDescent="0.2">
      <c r="B11" s="1" t="s">
        <v>4</v>
      </c>
      <c r="C11" s="8" t="s">
        <v>34</v>
      </c>
      <c r="E11" s="5">
        <v>44814</v>
      </c>
      <c r="F11" s="6">
        <f t="shared" ref="F11:F14" si="1">F10-H10</f>
        <v>100</v>
      </c>
      <c r="G11" s="7">
        <f t="shared" si="0"/>
        <v>1.7500000000000004</v>
      </c>
      <c r="I11" s="6">
        <f>SUM(G11:H11)</f>
        <v>1.7500000000000004</v>
      </c>
    </row>
    <row r="12" spans="2:9" x14ac:dyDescent="0.2">
      <c r="B12" s="1" t="s">
        <v>19</v>
      </c>
      <c r="C12" s="9">
        <v>1000</v>
      </c>
      <c r="E12" s="5">
        <v>44905</v>
      </c>
      <c r="F12" s="6">
        <f t="shared" si="1"/>
        <v>100</v>
      </c>
      <c r="G12" s="7">
        <f t="shared" si="0"/>
        <v>1.7500000000000004</v>
      </c>
      <c r="I12" s="6">
        <f t="shared" ref="I12:I14" si="2">SUM(G12:H12)</f>
        <v>1.7500000000000004</v>
      </c>
    </row>
    <row r="13" spans="2:9" x14ac:dyDescent="0.2">
      <c r="E13" s="5">
        <v>44995</v>
      </c>
      <c r="F13" s="6">
        <f t="shared" si="1"/>
        <v>100</v>
      </c>
      <c r="G13" s="7">
        <f t="shared" si="0"/>
        <v>1.7500000000000004</v>
      </c>
      <c r="I13" s="6">
        <f t="shared" si="2"/>
        <v>1.7500000000000004</v>
      </c>
    </row>
    <row r="14" spans="2:9" x14ac:dyDescent="0.2">
      <c r="E14" s="5">
        <v>45087</v>
      </c>
      <c r="F14" s="6">
        <f t="shared" si="1"/>
        <v>100</v>
      </c>
      <c r="G14" s="7">
        <f t="shared" si="0"/>
        <v>1.7500000000000004</v>
      </c>
      <c r="H14" s="6">
        <v>100</v>
      </c>
      <c r="I14" s="6">
        <f t="shared" si="2"/>
        <v>101.75</v>
      </c>
    </row>
    <row r="16" spans="2:9" ht="15" x14ac:dyDescent="0.25">
      <c r="H16" s="12" t="s">
        <v>14</v>
      </c>
      <c r="I16" s="13">
        <f>XIRR(I6:I14,E6:E14,0)</f>
        <v>7.1830864257812502E-2</v>
      </c>
    </row>
    <row r="17" spans="8:9" ht="15" x14ac:dyDescent="0.25">
      <c r="H17" s="14" t="s">
        <v>22</v>
      </c>
      <c r="I17" s="15">
        <f>MDURATION(E6,E14,C10,I16,4)</f>
        <v>1.779246696930451</v>
      </c>
    </row>
  </sheetData>
  <mergeCells count="2">
    <mergeCell ref="B4:C4"/>
    <mergeCell ref="E4:I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531E-4900-4349-95FB-E36B358C5226}">
  <dimension ref="B2:M17"/>
  <sheetViews>
    <sheetView showGridLines="0" zoomScale="90" zoomScaleNormal="90" workbookViewId="0">
      <selection activeCell="K30" sqref="K30"/>
    </sheetView>
  </sheetViews>
  <sheetFormatPr baseColWidth="10" defaultRowHeight="14.25" x14ac:dyDescent="0.2"/>
  <cols>
    <col min="1" max="1" width="11.42578125" style="1"/>
    <col min="2" max="2" width="22.42578125" style="1" customWidth="1"/>
    <col min="3" max="3" width="13.42578125" style="1" customWidth="1"/>
    <col min="4" max="4" width="7.42578125" style="1" customWidth="1"/>
    <col min="5" max="5" width="12.28515625" style="1" bestFit="1" customWidth="1"/>
    <col min="6" max="10" width="11.42578125" style="1"/>
    <col min="11" max="11" width="15.5703125" style="1" bestFit="1" customWidth="1"/>
    <col min="12" max="12" width="12.28515625" style="1" customWidth="1"/>
    <col min="13" max="13" width="16.85546875" style="1" bestFit="1" customWidth="1"/>
    <col min="14" max="16384" width="11.42578125" style="1"/>
  </cols>
  <sheetData>
    <row r="2" spans="2:13" ht="15" x14ac:dyDescent="0.25">
      <c r="B2" s="57" t="s">
        <v>219</v>
      </c>
      <c r="C2" s="57"/>
      <c r="D2" s="57"/>
      <c r="E2" s="57"/>
      <c r="F2" s="57"/>
      <c r="G2" s="57"/>
      <c r="H2" s="57"/>
      <c r="I2" s="57"/>
    </row>
    <row r="4" spans="2:13" ht="15" x14ac:dyDescent="0.25">
      <c r="B4" s="56" t="s">
        <v>151</v>
      </c>
      <c r="C4" s="56"/>
      <c r="E4" s="56" t="s">
        <v>160</v>
      </c>
      <c r="F4" s="56"/>
      <c r="G4" s="56"/>
      <c r="H4" s="56"/>
      <c r="I4" s="56"/>
      <c r="K4" s="26" t="s">
        <v>45</v>
      </c>
      <c r="L4" s="26" t="s">
        <v>46</v>
      </c>
      <c r="M4" s="26" t="s">
        <v>47</v>
      </c>
    </row>
    <row r="5" spans="2:13" ht="15" x14ac:dyDescent="0.25">
      <c r="B5" s="1" t="s">
        <v>11</v>
      </c>
      <c r="C5" s="2" t="s">
        <v>150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</row>
    <row r="6" spans="2:13" x14ac:dyDescent="0.2">
      <c r="B6" s="1" t="s">
        <v>0</v>
      </c>
      <c r="C6" s="5">
        <v>44082</v>
      </c>
      <c r="E6" s="5">
        <f>+Emisiones!K2</f>
        <v>44383</v>
      </c>
      <c r="F6" s="6">
        <v>100</v>
      </c>
      <c r="G6" s="7"/>
      <c r="I6" s="6">
        <f>-Emisiones!P11</f>
        <v>-100.9</v>
      </c>
    </row>
    <row r="7" spans="2:13" x14ac:dyDescent="0.2">
      <c r="B7" s="1" t="s">
        <v>1</v>
      </c>
      <c r="C7" s="5">
        <v>45724</v>
      </c>
      <c r="E7" s="5">
        <v>44447</v>
      </c>
      <c r="F7" s="6">
        <v>100</v>
      </c>
      <c r="G7" s="7">
        <f>($C$10*F7)/360*180</f>
        <v>4.75</v>
      </c>
      <c r="I7" s="6">
        <f>SUM(G7:H7)</f>
        <v>4.75</v>
      </c>
      <c r="K7" s="1">
        <f>DAYS360($E$6,E7)</f>
        <v>62</v>
      </c>
      <c r="L7" s="17">
        <f>I7/(1+$I$16)^(K7/360)</f>
        <v>4.667306861467341</v>
      </c>
      <c r="M7" s="17">
        <f>L7*(K7/360)</f>
        <v>0.80381395947493095</v>
      </c>
    </row>
    <row r="8" spans="2:13" x14ac:dyDescent="0.2">
      <c r="B8" s="1" t="s">
        <v>15</v>
      </c>
      <c r="C8" s="8" t="s">
        <v>16</v>
      </c>
      <c r="E8" s="5">
        <v>44628</v>
      </c>
      <c r="F8" s="6">
        <v>100</v>
      </c>
      <c r="G8" s="7">
        <f>($C$10*F8)/360*180</f>
        <v>4.75</v>
      </c>
      <c r="I8" s="6">
        <f>SUM(G8:H8)</f>
        <v>4.75</v>
      </c>
      <c r="K8" s="1">
        <f t="shared" ref="K8:K14" si="0">DAYS360($E$6,E8)</f>
        <v>242</v>
      </c>
      <c r="L8" s="17">
        <f t="shared" ref="L8:L14" si="1">I8/(1+$I$16)^(K8/360)</f>
        <v>4.4352970748248728</v>
      </c>
      <c r="M8" s="17">
        <f t="shared" ref="M8:M14" si="2">L8*(K8/360)</f>
        <v>2.9815052558544979</v>
      </c>
    </row>
    <row r="9" spans="2:13" x14ac:dyDescent="0.2">
      <c r="B9" s="1" t="s">
        <v>2</v>
      </c>
      <c r="C9" s="9">
        <v>196110000</v>
      </c>
      <c r="E9" s="5">
        <v>44812</v>
      </c>
      <c r="F9" s="6">
        <v>100</v>
      </c>
      <c r="G9" s="7">
        <f>($C$10*F9)/360*180</f>
        <v>4.75</v>
      </c>
      <c r="H9" s="1">
        <v>13.3</v>
      </c>
      <c r="I9" s="6">
        <f>SUM(G9:H9)</f>
        <v>18.05</v>
      </c>
      <c r="K9" s="1">
        <f t="shared" si="0"/>
        <v>422</v>
      </c>
      <c r="L9" s="17">
        <f t="shared" si="1"/>
        <v>16.016317494905167</v>
      </c>
      <c r="M9" s="17">
        <f t="shared" si="2"/>
        <v>18.77468328569439</v>
      </c>
    </row>
    <row r="10" spans="2:13" x14ac:dyDescent="0.2">
      <c r="B10" s="1" t="s">
        <v>3</v>
      </c>
      <c r="C10" s="10">
        <v>9.5000000000000001E-2</v>
      </c>
      <c r="E10" s="5">
        <v>44993</v>
      </c>
      <c r="F10" s="6">
        <f>F9-H9</f>
        <v>86.7</v>
      </c>
      <c r="G10" s="7">
        <f>($C$10*F10)/360*180</f>
        <v>4.1182499999999997</v>
      </c>
      <c r="H10" s="1">
        <v>13.3</v>
      </c>
      <c r="I10" s="6">
        <f>SUM(G10:H10)</f>
        <v>17.41825</v>
      </c>
      <c r="K10" s="1">
        <f t="shared" si="0"/>
        <v>602</v>
      </c>
      <c r="L10" s="17">
        <f t="shared" si="1"/>
        <v>14.687447976873791</v>
      </c>
      <c r="M10" s="17">
        <f t="shared" si="2"/>
        <v>24.560676894661174</v>
      </c>
    </row>
    <row r="11" spans="2:13" x14ac:dyDescent="0.2">
      <c r="B11" s="1" t="s">
        <v>216</v>
      </c>
      <c r="C11" s="8" t="s">
        <v>5</v>
      </c>
      <c r="E11" s="5">
        <v>45177</v>
      </c>
      <c r="F11" s="6">
        <f t="shared" ref="F11:F14" si="3">F10-H10</f>
        <v>73.400000000000006</v>
      </c>
      <c r="G11" s="7">
        <f>($C$10*F11)/360*180</f>
        <v>3.4865000000000004</v>
      </c>
      <c r="H11" s="1">
        <v>13.3</v>
      </c>
      <c r="I11" s="6">
        <f>SUM(G11:H11)</f>
        <v>16.7865</v>
      </c>
      <c r="K11" s="1">
        <f t="shared" si="0"/>
        <v>782</v>
      </c>
      <c r="L11" s="17">
        <f t="shared" si="1"/>
        <v>13.451116533737254</v>
      </c>
      <c r="M11" s="17">
        <f t="shared" si="2"/>
        <v>29.218814248284811</v>
      </c>
    </row>
    <row r="12" spans="2:13" x14ac:dyDescent="0.2">
      <c r="B12" s="1" t="s">
        <v>217</v>
      </c>
      <c r="C12" s="9">
        <v>1000</v>
      </c>
      <c r="E12" s="5">
        <v>45359</v>
      </c>
      <c r="F12" s="6">
        <f t="shared" si="3"/>
        <v>60.100000000000009</v>
      </c>
      <c r="G12" s="7">
        <f t="shared" ref="G12:G14" si="4">($C$10*F12)/360*180</f>
        <v>2.8547500000000006</v>
      </c>
      <c r="H12" s="1">
        <v>13.3</v>
      </c>
      <c r="I12" s="6">
        <f t="shared" ref="I12:I14" si="5">SUM(G12:H12)</f>
        <v>16.15475</v>
      </c>
      <c r="K12" s="1">
        <f t="shared" si="0"/>
        <v>962</v>
      </c>
      <c r="L12" s="17">
        <f t="shared" si="1"/>
        <v>12.301406801545593</v>
      </c>
      <c r="M12" s="17">
        <f t="shared" si="2"/>
        <v>32.872092619685723</v>
      </c>
    </row>
    <row r="13" spans="2:13" x14ac:dyDescent="0.2">
      <c r="B13" s="1" t="s">
        <v>123</v>
      </c>
      <c r="C13" s="5">
        <v>44263</v>
      </c>
      <c r="E13" s="5">
        <v>45543</v>
      </c>
      <c r="F13" s="6">
        <f t="shared" si="3"/>
        <v>46.800000000000011</v>
      </c>
      <c r="G13" s="7">
        <f t="shared" si="4"/>
        <v>2.2230000000000008</v>
      </c>
      <c r="H13" s="1">
        <v>13.3</v>
      </c>
      <c r="I13" s="6">
        <f t="shared" si="5"/>
        <v>15.523000000000001</v>
      </c>
      <c r="K13" s="1">
        <f t="shared" si="0"/>
        <v>1142</v>
      </c>
      <c r="L13" s="17">
        <f t="shared" si="1"/>
        <v>11.232761950738004</v>
      </c>
      <c r="M13" s="17">
        <f t="shared" si="2"/>
        <v>35.632817077063329</v>
      </c>
    </row>
    <row r="14" spans="2:13" x14ac:dyDescent="0.2">
      <c r="B14" s="1" t="s">
        <v>214</v>
      </c>
      <c r="C14" s="55">
        <f>(C10/360*DAYS360(C13,E6)*100)</f>
        <v>3.1138888888888894</v>
      </c>
      <c r="E14" s="5">
        <v>45724</v>
      </c>
      <c r="F14" s="6">
        <f t="shared" si="3"/>
        <v>33.500000000000014</v>
      </c>
      <c r="G14" s="7">
        <f t="shared" si="4"/>
        <v>1.5912500000000007</v>
      </c>
      <c r="H14" s="1">
        <v>33.5</v>
      </c>
      <c r="I14" s="6">
        <f t="shared" si="5"/>
        <v>35.091250000000002</v>
      </c>
      <c r="K14" s="1">
        <f t="shared" si="0"/>
        <v>1322</v>
      </c>
      <c r="L14" s="17">
        <f t="shared" si="1"/>
        <v>24.130487455001298</v>
      </c>
      <c r="M14" s="17">
        <f t="shared" si="2"/>
        <v>88.612512265310315</v>
      </c>
    </row>
    <row r="15" spans="2:13" x14ac:dyDescent="0.2">
      <c r="B15" s="1" t="s">
        <v>218</v>
      </c>
      <c r="C15" s="6">
        <f>F6+C14</f>
        <v>103.11388888888889</v>
      </c>
      <c r="L15" s="17">
        <f>SUM(L7:L14)</f>
        <v>100.92214214909333</v>
      </c>
      <c r="M15" s="17">
        <f>SUM(M7:M14)</f>
        <v>233.45691560602916</v>
      </c>
    </row>
    <row r="16" spans="2:13" ht="15" x14ac:dyDescent="0.25">
      <c r="B16" s="1" t="s">
        <v>215</v>
      </c>
      <c r="C16" s="55">
        <f>-I6-C14</f>
        <v>97.786111111111111</v>
      </c>
      <c r="H16" s="12" t="s">
        <v>14</v>
      </c>
      <c r="I16" s="13">
        <f>XIRR(I6:I14,E6:E14,0)</f>
        <v>0.10735604980468752</v>
      </c>
    </row>
    <row r="17" spans="2:13" ht="15" x14ac:dyDescent="0.25">
      <c r="B17" s="1" t="s">
        <v>213</v>
      </c>
      <c r="C17" s="10">
        <f>C10*100/C16</f>
        <v>9.7150811010425248E-2</v>
      </c>
      <c r="H17" s="14" t="s">
        <v>22</v>
      </c>
      <c r="I17" s="15">
        <f>(M17/(1+I16/2))</f>
        <v>2.1953934318525321</v>
      </c>
      <c r="L17" s="1" t="s">
        <v>48</v>
      </c>
      <c r="M17" s="6">
        <f>M15/L15</f>
        <v>2.3132378151579545</v>
      </c>
    </row>
  </sheetData>
  <mergeCells count="3">
    <mergeCell ref="B4:C4"/>
    <mergeCell ref="E4:I4"/>
    <mergeCell ref="B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53F6-E5F5-4FB0-8592-4FC0D09E8F65}">
  <dimension ref="B4:M26"/>
  <sheetViews>
    <sheetView showGridLines="0" zoomScale="90" zoomScaleNormal="90" workbookViewId="0">
      <selection activeCell="R22" sqref="R22"/>
    </sheetView>
  </sheetViews>
  <sheetFormatPr baseColWidth="10" defaultRowHeight="14.25" x14ac:dyDescent="0.2"/>
  <cols>
    <col min="1" max="1" width="11.42578125" style="1"/>
    <col min="2" max="2" width="23" style="1" customWidth="1"/>
    <col min="3" max="3" width="15.140625" style="1" customWidth="1"/>
    <col min="4" max="4" width="5.28515625" style="1" customWidth="1"/>
    <col min="5" max="5" width="12.28515625" style="1" bestFit="1" customWidth="1"/>
    <col min="6" max="7" width="11.42578125" style="1"/>
    <col min="8" max="8" width="11.85546875" style="1" customWidth="1"/>
    <col min="9" max="10" width="11.42578125" style="1"/>
    <col min="11" max="11" width="7.28515625" style="1" customWidth="1"/>
    <col min="12" max="12" width="9.140625" style="1" customWidth="1"/>
    <col min="13" max="13" width="12.42578125" style="1" customWidth="1"/>
    <col min="14" max="16384" width="11.42578125" style="1"/>
  </cols>
  <sheetData>
    <row r="4" spans="2:13" ht="15" x14ac:dyDescent="0.25">
      <c r="B4" s="56" t="s">
        <v>197</v>
      </c>
      <c r="C4" s="56"/>
      <c r="E4" s="56" t="s">
        <v>199</v>
      </c>
      <c r="F4" s="56"/>
      <c r="G4" s="56"/>
      <c r="H4" s="56"/>
      <c r="I4" s="56"/>
      <c r="K4" s="50" t="s">
        <v>45</v>
      </c>
      <c r="L4" s="50" t="s">
        <v>46</v>
      </c>
      <c r="M4" s="50" t="s">
        <v>47</v>
      </c>
    </row>
    <row r="5" spans="2:13" ht="15" x14ac:dyDescent="0.25">
      <c r="B5" s="1" t="s">
        <v>11</v>
      </c>
      <c r="C5" s="2" t="s">
        <v>121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</row>
    <row r="6" spans="2:13" x14ac:dyDescent="0.2">
      <c r="B6" s="1" t="s">
        <v>0</v>
      </c>
      <c r="C6" s="5">
        <v>43803</v>
      </c>
      <c r="E6" s="5">
        <f>+Emisiones!K2</f>
        <v>44383</v>
      </c>
      <c r="F6" s="6">
        <v>90</v>
      </c>
      <c r="G6" s="7"/>
      <c r="I6" s="6">
        <f>-Emisiones!P9</f>
        <v>-85.7</v>
      </c>
    </row>
    <row r="7" spans="2:13" x14ac:dyDescent="0.2">
      <c r="B7" s="1" t="s">
        <v>1</v>
      </c>
      <c r="C7" s="5">
        <v>45812</v>
      </c>
      <c r="E7" s="5">
        <v>44443</v>
      </c>
      <c r="F7" s="6">
        <f>+F6-H6</f>
        <v>90</v>
      </c>
      <c r="G7" s="7">
        <f>($C$10*F7)/360*90</f>
        <v>2.25</v>
      </c>
      <c r="H7" s="6">
        <v>4</v>
      </c>
      <c r="I7" s="6">
        <f>SUM(G7:H7)</f>
        <v>6.25</v>
      </c>
      <c r="K7" s="1">
        <f>DAYS360($E$6,E7)</f>
        <v>58</v>
      </c>
      <c r="L7" s="17">
        <f>I7/(1+$I$25)^(K7/360)</f>
        <v>6.1230130617963017</v>
      </c>
      <c r="M7" s="17">
        <f>L7*(K7/360)</f>
        <v>0.98648543773384867</v>
      </c>
    </row>
    <row r="8" spans="2:13" x14ac:dyDescent="0.2">
      <c r="B8" s="1" t="s">
        <v>15</v>
      </c>
      <c r="C8" s="8" t="s">
        <v>16</v>
      </c>
      <c r="E8" s="5">
        <v>44534</v>
      </c>
      <c r="F8" s="6">
        <f t="shared" ref="F8:F22" si="0">+F7-H7</f>
        <v>86</v>
      </c>
      <c r="G8" s="7">
        <f t="shared" ref="G8:G22" si="1">($C$10*F8)/360*90</f>
        <v>2.15</v>
      </c>
      <c r="H8" s="6">
        <v>4</v>
      </c>
      <c r="I8" s="6">
        <f>SUM(G8:H8)</f>
        <v>6.15</v>
      </c>
      <c r="K8" s="1">
        <f t="shared" ref="K8:K22" si="2">DAYS360($E$6,E8)</f>
        <v>148</v>
      </c>
      <c r="L8" s="17">
        <f t="shared" ref="L8:L22" si="3">I8/(1+$I$25)^(K8/360)</f>
        <v>5.8361564451521541</v>
      </c>
      <c r="M8" s="17">
        <f t="shared" ref="M8:M22" si="4">L8*(K8/360)</f>
        <v>2.3993087607847743</v>
      </c>
    </row>
    <row r="9" spans="2:13" x14ac:dyDescent="0.2">
      <c r="B9" s="1" t="s">
        <v>2</v>
      </c>
      <c r="C9" s="9">
        <v>63101503</v>
      </c>
      <c r="E9" s="5">
        <v>44624</v>
      </c>
      <c r="F9" s="6">
        <f t="shared" si="0"/>
        <v>82</v>
      </c>
      <c r="G9" s="7">
        <f t="shared" si="1"/>
        <v>2.0500000000000003</v>
      </c>
      <c r="H9" s="6">
        <v>4</v>
      </c>
      <c r="I9" s="6">
        <f>SUM(G9:H9)</f>
        <v>6.0500000000000007</v>
      </c>
      <c r="K9" s="1">
        <f t="shared" si="2"/>
        <v>238</v>
      </c>
      <c r="L9" s="17">
        <f t="shared" si="3"/>
        <v>5.5612680057939139</v>
      </c>
      <c r="M9" s="17">
        <f t="shared" si="4"/>
        <v>3.6766160704970874</v>
      </c>
    </row>
    <row r="10" spans="2:13" x14ac:dyDescent="0.2">
      <c r="B10" s="1" t="s">
        <v>3</v>
      </c>
      <c r="C10" s="10">
        <v>0.1</v>
      </c>
      <c r="E10" s="5">
        <v>44716</v>
      </c>
      <c r="F10" s="6">
        <f t="shared" si="0"/>
        <v>78</v>
      </c>
      <c r="G10" s="7">
        <f t="shared" si="1"/>
        <v>1.9500000000000002</v>
      </c>
      <c r="H10" s="6">
        <v>4</v>
      </c>
      <c r="I10" s="6">
        <f>SUM(G10:H10)</f>
        <v>5.95</v>
      </c>
      <c r="K10" s="1">
        <f t="shared" si="2"/>
        <v>328</v>
      </c>
      <c r="L10" s="17">
        <f t="shared" si="3"/>
        <v>5.2978792649316873</v>
      </c>
      <c r="M10" s="17">
        <f t="shared" si="4"/>
        <v>4.8269566636044257</v>
      </c>
    </row>
    <row r="11" spans="2:13" x14ac:dyDescent="0.2">
      <c r="B11" s="1" t="s">
        <v>4</v>
      </c>
      <c r="C11" s="8" t="s">
        <v>198</v>
      </c>
      <c r="E11" s="5">
        <v>44808</v>
      </c>
      <c r="F11" s="6">
        <f t="shared" si="0"/>
        <v>74</v>
      </c>
      <c r="G11" s="7">
        <f t="shared" si="1"/>
        <v>1.85</v>
      </c>
      <c r="H11" s="6">
        <v>5</v>
      </c>
      <c r="I11" s="6">
        <f t="shared" ref="I11:I22" si="5">SUM(G11:H11)</f>
        <v>6.85</v>
      </c>
      <c r="K11" s="1">
        <f t="shared" si="2"/>
        <v>418</v>
      </c>
      <c r="L11" s="17">
        <f t="shared" si="3"/>
        <v>5.9080247147148501</v>
      </c>
      <c r="M11" s="17">
        <f t="shared" si="4"/>
        <v>6.8598731409744653</v>
      </c>
    </row>
    <row r="12" spans="2:13" x14ac:dyDescent="0.2">
      <c r="B12" s="1" t="s">
        <v>19</v>
      </c>
      <c r="C12" s="9">
        <v>1</v>
      </c>
      <c r="E12" s="5">
        <v>44899</v>
      </c>
      <c r="F12" s="6">
        <f t="shared" si="0"/>
        <v>69</v>
      </c>
      <c r="G12" s="7">
        <f t="shared" si="1"/>
        <v>1.7250000000000001</v>
      </c>
      <c r="H12" s="6">
        <v>5</v>
      </c>
      <c r="I12" s="6">
        <f t="shared" si="5"/>
        <v>6.7249999999999996</v>
      </c>
      <c r="K12" s="1">
        <f t="shared" si="2"/>
        <v>508</v>
      </c>
      <c r="L12" s="17">
        <f t="shared" si="3"/>
        <v>5.6183742042497098</v>
      </c>
      <c r="M12" s="17">
        <f t="shared" si="4"/>
        <v>7.9281502659968135</v>
      </c>
    </row>
    <row r="13" spans="2:13" x14ac:dyDescent="0.2">
      <c r="E13" s="5">
        <v>44989</v>
      </c>
      <c r="F13" s="6">
        <f t="shared" si="0"/>
        <v>64</v>
      </c>
      <c r="G13" s="7">
        <f t="shared" si="1"/>
        <v>1.6</v>
      </c>
      <c r="H13" s="6">
        <v>5</v>
      </c>
      <c r="I13" s="6">
        <f t="shared" si="5"/>
        <v>6.6</v>
      </c>
      <c r="K13" s="1">
        <f t="shared" si="2"/>
        <v>598</v>
      </c>
      <c r="L13" s="17">
        <f t="shared" si="3"/>
        <v>5.3410783538880011</v>
      </c>
      <c r="M13" s="17">
        <f t="shared" si="4"/>
        <v>8.8721245989584023</v>
      </c>
    </row>
    <row r="14" spans="2:13" x14ac:dyDescent="0.2">
      <c r="E14" s="5">
        <v>45081</v>
      </c>
      <c r="F14" s="6">
        <f t="shared" si="0"/>
        <v>59</v>
      </c>
      <c r="G14" s="7">
        <f t="shared" si="1"/>
        <v>1.4750000000000001</v>
      </c>
      <c r="H14" s="6">
        <v>5</v>
      </c>
      <c r="I14" s="6">
        <f t="shared" si="5"/>
        <v>6.4749999999999996</v>
      </c>
      <c r="K14" s="1">
        <f t="shared" si="2"/>
        <v>688</v>
      </c>
      <c r="L14" s="17">
        <f t="shared" si="3"/>
        <v>5.0756471979462798</v>
      </c>
      <c r="M14" s="17">
        <f t="shared" si="4"/>
        <v>9.7001257560751135</v>
      </c>
    </row>
    <row r="15" spans="2:13" x14ac:dyDescent="0.2">
      <c r="E15" s="5">
        <v>45173</v>
      </c>
      <c r="F15" s="6">
        <f t="shared" si="0"/>
        <v>54</v>
      </c>
      <c r="G15" s="7">
        <f t="shared" si="1"/>
        <v>1.35</v>
      </c>
      <c r="H15" s="6">
        <v>5.5</v>
      </c>
      <c r="I15" s="6">
        <f t="shared" si="5"/>
        <v>6.85</v>
      </c>
      <c r="K15" s="1">
        <f t="shared" si="2"/>
        <v>778</v>
      </c>
      <c r="L15" s="17">
        <f t="shared" si="3"/>
        <v>5.2012636287317786</v>
      </c>
      <c r="M15" s="17">
        <f t="shared" si="4"/>
        <v>11.240508619870344</v>
      </c>
    </row>
    <row r="16" spans="2:13" x14ac:dyDescent="0.2">
      <c r="E16" s="5">
        <v>45264</v>
      </c>
      <c r="F16" s="6">
        <f t="shared" si="0"/>
        <v>48.5</v>
      </c>
      <c r="G16" s="7">
        <f t="shared" si="1"/>
        <v>1.2125000000000001</v>
      </c>
      <c r="H16" s="6">
        <v>5.5</v>
      </c>
      <c r="I16" s="6">
        <f t="shared" si="5"/>
        <v>6.7125000000000004</v>
      </c>
      <c r="K16" s="1">
        <f t="shared" si="2"/>
        <v>868</v>
      </c>
      <c r="L16" s="17">
        <f t="shared" si="3"/>
        <v>4.9370694309656651</v>
      </c>
      <c r="M16" s="17">
        <f t="shared" si="4"/>
        <v>11.903822961328325</v>
      </c>
    </row>
    <row r="17" spans="5:13" x14ac:dyDescent="0.2">
      <c r="E17" s="5">
        <v>45355</v>
      </c>
      <c r="F17" s="6">
        <f t="shared" si="0"/>
        <v>43</v>
      </c>
      <c r="G17" s="7">
        <f t="shared" si="1"/>
        <v>1.075</v>
      </c>
      <c r="H17" s="6">
        <v>5.5</v>
      </c>
      <c r="I17" s="6">
        <f t="shared" si="5"/>
        <v>6.5750000000000002</v>
      </c>
      <c r="K17" s="1">
        <f t="shared" si="2"/>
        <v>958</v>
      </c>
      <c r="L17" s="17">
        <f t="shared" si="3"/>
        <v>4.6843283996332827</v>
      </c>
      <c r="M17" s="17">
        <f t="shared" si="4"/>
        <v>12.465518352357458</v>
      </c>
    </row>
    <row r="18" spans="5:13" x14ac:dyDescent="0.2">
      <c r="E18" s="5">
        <v>45447</v>
      </c>
      <c r="F18" s="6">
        <f t="shared" si="0"/>
        <v>37.5</v>
      </c>
      <c r="G18" s="7">
        <f t="shared" si="1"/>
        <v>0.9375</v>
      </c>
      <c r="H18" s="6">
        <v>5.5</v>
      </c>
      <c r="I18" s="6">
        <f t="shared" si="5"/>
        <v>6.4375</v>
      </c>
      <c r="K18" s="1">
        <f t="shared" si="2"/>
        <v>1048</v>
      </c>
      <c r="L18" s="17">
        <f t="shared" si="3"/>
        <v>4.4425820737790254</v>
      </c>
      <c r="M18" s="17">
        <f t="shared" si="4"/>
        <v>12.932850037001161</v>
      </c>
    </row>
    <row r="19" spans="5:13" x14ac:dyDescent="0.2">
      <c r="E19" s="5">
        <v>45539</v>
      </c>
      <c r="F19" s="6">
        <f t="shared" si="0"/>
        <v>32</v>
      </c>
      <c r="G19" s="7">
        <f t="shared" si="1"/>
        <v>0.8</v>
      </c>
      <c r="H19" s="6">
        <v>8</v>
      </c>
      <c r="I19" s="6">
        <f t="shared" si="5"/>
        <v>8.8000000000000007</v>
      </c>
      <c r="K19" s="1">
        <f t="shared" si="2"/>
        <v>1138</v>
      </c>
      <c r="L19" s="17">
        <f t="shared" si="3"/>
        <v>5.8825757838596902</v>
      </c>
      <c r="M19" s="17">
        <f t="shared" si="4"/>
        <v>18.59547567231202</v>
      </c>
    </row>
    <row r="20" spans="5:13" x14ac:dyDescent="0.2">
      <c r="E20" s="5">
        <v>45630</v>
      </c>
      <c r="F20" s="6">
        <f t="shared" si="0"/>
        <v>24</v>
      </c>
      <c r="G20" s="7">
        <f t="shared" si="1"/>
        <v>0.60000000000000009</v>
      </c>
      <c r="H20" s="6">
        <v>8</v>
      </c>
      <c r="I20" s="6">
        <f t="shared" si="5"/>
        <v>8.6</v>
      </c>
      <c r="K20" s="1">
        <f t="shared" si="2"/>
        <v>1228</v>
      </c>
      <c r="L20" s="17">
        <f t="shared" si="3"/>
        <v>5.5686503616198451</v>
      </c>
      <c r="M20" s="17">
        <f t="shared" si="4"/>
        <v>18.995285122414359</v>
      </c>
    </row>
    <row r="21" spans="5:13" x14ac:dyDescent="0.2">
      <c r="E21" s="5">
        <v>45720</v>
      </c>
      <c r="F21" s="6">
        <f t="shared" si="0"/>
        <v>16</v>
      </c>
      <c r="G21" s="7">
        <f t="shared" si="1"/>
        <v>0.4</v>
      </c>
      <c r="H21" s="6">
        <v>8</v>
      </c>
      <c r="I21" s="6">
        <f t="shared" si="5"/>
        <v>8.4</v>
      </c>
      <c r="K21" s="1">
        <f t="shared" si="2"/>
        <v>1318</v>
      </c>
      <c r="L21" s="17">
        <f t="shared" si="3"/>
        <v>5.2686266752954323</v>
      </c>
      <c r="M21" s="17">
        <f t="shared" si="4"/>
        <v>19.289027661220498</v>
      </c>
    </row>
    <row r="22" spans="5:13" x14ac:dyDescent="0.2">
      <c r="E22" s="5">
        <v>45812</v>
      </c>
      <c r="F22" s="6">
        <f t="shared" si="0"/>
        <v>8</v>
      </c>
      <c r="G22" s="7">
        <f t="shared" si="1"/>
        <v>0.2</v>
      </c>
      <c r="H22" s="6">
        <v>8</v>
      </c>
      <c r="I22" s="6">
        <f t="shared" si="5"/>
        <v>8.1999999999999993</v>
      </c>
      <c r="K22" s="1">
        <f t="shared" si="2"/>
        <v>1408</v>
      </c>
      <c r="L22" s="17">
        <f t="shared" si="3"/>
        <v>4.9819416146306583</v>
      </c>
      <c r="M22" s="17">
        <f t="shared" si="4"/>
        <v>19.484927203888795</v>
      </c>
    </row>
    <row r="23" spans="5:13" x14ac:dyDescent="0.2">
      <c r="L23" s="17">
        <f>SUM(L7:L22)</f>
        <v>85.728479216988276</v>
      </c>
      <c r="M23" s="17">
        <f>SUM(M7:M22)</f>
        <v>170.15705632501789</v>
      </c>
    </row>
    <row r="25" spans="5:13" ht="15" x14ac:dyDescent="0.25">
      <c r="H25" s="12" t="s">
        <v>14</v>
      </c>
      <c r="I25" s="13">
        <f>XIRR(I6:I22,E6:E22,0)</f>
        <v>0.1358825732421875</v>
      </c>
      <c r="L25" s="1" t="s">
        <v>48</v>
      </c>
      <c r="M25" s="1">
        <f>M23/L23</f>
        <v>1.9848369862520427</v>
      </c>
    </row>
    <row r="26" spans="5:13" ht="15" x14ac:dyDescent="0.25">
      <c r="H26" s="14" t="s">
        <v>22</v>
      </c>
      <c r="I26" s="15">
        <f>M25/((1+I25/4))</f>
        <v>1.9196260542727119</v>
      </c>
    </row>
  </sheetData>
  <mergeCells count="2">
    <mergeCell ref="B4:C4"/>
    <mergeCell ref="E4:I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5271-264B-4E14-8FEE-EF273BE90DEC}">
  <dimension ref="B4:I15"/>
  <sheetViews>
    <sheetView showGridLines="0" zoomScale="90" zoomScaleNormal="90" workbookViewId="0">
      <selection activeCell="I15" sqref="I15"/>
    </sheetView>
  </sheetViews>
  <sheetFormatPr baseColWidth="10" defaultRowHeight="14.25" x14ac:dyDescent="0.2"/>
  <cols>
    <col min="1" max="1" width="11.42578125" style="1"/>
    <col min="2" max="2" width="21.5703125" style="1" customWidth="1"/>
    <col min="3" max="3" width="15.7109375" style="1" customWidth="1"/>
    <col min="4" max="4" width="11.42578125" style="1"/>
    <col min="5" max="5" width="12.28515625" style="1" bestFit="1" customWidth="1"/>
    <col min="6" max="6" width="8.7109375" style="1" customWidth="1"/>
    <col min="7" max="7" width="9.42578125" style="1" customWidth="1"/>
    <col min="8" max="8" width="9" style="1" customWidth="1"/>
    <col min="9" max="9" width="9.5703125" style="1" customWidth="1"/>
    <col min="10" max="16384" width="11.42578125" style="1"/>
  </cols>
  <sheetData>
    <row r="4" spans="2:9" ht="15" x14ac:dyDescent="0.25">
      <c r="B4" s="56" t="s">
        <v>152</v>
      </c>
      <c r="C4" s="56"/>
      <c r="E4" s="56" t="s">
        <v>25</v>
      </c>
      <c r="F4" s="56"/>
      <c r="G4" s="56"/>
      <c r="H4" s="56"/>
      <c r="I4" s="56"/>
    </row>
    <row r="5" spans="2:9" ht="15" x14ac:dyDescent="0.25">
      <c r="B5" s="1" t="s">
        <v>11</v>
      </c>
      <c r="C5" s="2" t="s">
        <v>114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</row>
    <row r="6" spans="2:9" x14ac:dyDescent="0.2">
      <c r="B6" s="1" t="s">
        <v>0</v>
      </c>
      <c r="C6" s="5">
        <v>44159</v>
      </c>
      <c r="E6" s="5">
        <f>+Emisiones!K2</f>
        <v>44383</v>
      </c>
      <c r="F6" s="6">
        <v>100</v>
      </c>
      <c r="G6" s="7"/>
      <c r="I6" s="6">
        <f>-Emisiones!P17</f>
        <v>-108.25</v>
      </c>
    </row>
    <row r="7" spans="2:9" x14ac:dyDescent="0.2">
      <c r="B7" s="1" t="s">
        <v>1</v>
      </c>
      <c r="C7" s="5">
        <v>44889</v>
      </c>
      <c r="E7" s="5">
        <v>44432</v>
      </c>
      <c r="F7" s="6">
        <v>100</v>
      </c>
      <c r="G7" s="7">
        <f t="shared" ref="G7:G12" si="0">($C$10*F7)/360*90</f>
        <v>3</v>
      </c>
      <c r="I7" s="6">
        <f t="shared" ref="I7:I12" si="1">SUM(G7:H7)</f>
        <v>3</v>
      </c>
    </row>
    <row r="8" spans="2:9" x14ac:dyDescent="0.2">
      <c r="B8" s="1" t="s">
        <v>15</v>
      </c>
      <c r="C8" s="8" t="s">
        <v>16</v>
      </c>
      <c r="E8" s="5">
        <v>44524</v>
      </c>
      <c r="F8" s="6">
        <v>100</v>
      </c>
      <c r="G8" s="7">
        <f t="shared" si="0"/>
        <v>3</v>
      </c>
      <c r="I8" s="6">
        <f t="shared" si="1"/>
        <v>3</v>
      </c>
    </row>
    <row r="9" spans="2:9" x14ac:dyDescent="0.2">
      <c r="B9" s="1" t="s">
        <v>2</v>
      </c>
      <c r="C9" s="9">
        <v>30902366</v>
      </c>
      <c r="E9" s="5">
        <v>44616</v>
      </c>
      <c r="F9" s="6">
        <v>100</v>
      </c>
      <c r="G9" s="7">
        <f t="shared" si="0"/>
        <v>3</v>
      </c>
      <c r="I9" s="6">
        <f t="shared" si="1"/>
        <v>3</v>
      </c>
    </row>
    <row r="10" spans="2:9" x14ac:dyDescent="0.2">
      <c r="B10" s="1" t="s">
        <v>3</v>
      </c>
      <c r="C10" s="10">
        <v>0.12</v>
      </c>
      <c r="E10" s="5">
        <v>44705</v>
      </c>
      <c r="F10" s="6">
        <v>100</v>
      </c>
      <c r="G10" s="7">
        <f t="shared" si="0"/>
        <v>3</v>
      </c>
      <c r="I10" s="6">
        <f t="shared" si="1"/>
        <v>3</v>
      </c>
    </row>
    <row r="11" spans="2:9" x14ac:dyDescent="0.2">
      <c r="B11" s="1" t="s">
        <v>4</v>
      </c>
      <c r="C11" s="8" t="s">
        <v>34</v>
      </c>
      <c r="E11" s="5">
        <v>44797</v>
      </c>
      <c r="F11" s="6">
        <v>100</v>
      </c>
      <c r="G11" s="7">
        <f t="shared" si="0"/>
        <v>3</v>
      </c>
      <c r="I11" s="6">
        <f t="shared" si="1"/>
        <v>3</v>
      </c>
    </row>
    <row r="12" spans="2:9" x14ac:dyDescent="0.2">
      <c r="B12" s="1" t="s">
        <v>19</v>
      </c>
      <c r="C12" s="9">
        <v>1</v>
      </c>
      <c r="E12" s="5">
        <v>44889</v>
      </c>
      <c r="F12" s="6">
        <v>100</v>
      </c>
      <c r="G12" s="7">
        <f t="shared" si="0"/>
        <v>3</v>
      </c>
      <c r="H12" s="1">
        <v>100</v>
      </c>
      <c r="I12" s="6">
        <f t="shared" si="1"/>
        <v>103</v>
      </c>
    </row>
    <row r="14" spans="2:9" ht="15" x14ac:dyDescent="0.25">
      <c r="H14" s="12" t="s">
        <v>14</v>
      </c>
      <c r="I14" s="13">
        <f>XIRR(I6:I12,E6:E12,0)</f>
        <v>6.9242856445312514E-2</v>
      </c>
    </row>
    <row r="15" spans="2:9" ht="15" x14ac:dyDescent="0.25">
      <c r="H15" s="14" t="s">
        <v>22</v>
      </c>
      <c r="I15" s="15">
        <f>MDURATION(E6,E12,C10,I14,2)</f>
        <v>1.2594260411530964</v>
      </c>
    </row>
  </sheetData>
  <mergeCells count="2">
    <mergeCell ref="B4:C4"/>
    <mergeCell ref="E4:I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AB28-7217-450B-8BC8-5CC8E895EAFF}">
  <dimension ref="B4:I13"/>
  <sheetViews>
    <sheetView showGridLines="0" zoomScale="90" zoomScaleNormal="90" workbookViewId="0">
      <selection activeCell="M14" sqref="M14"/>
    </sheetView>
  </sheetViews>
  <sheetFormatPr baseColWidth="10" defaultRowHeight="14.25" x14ac:dyDescent="0.2"/>
  <cols>
    <col min="1" max="1" width="11.42578125" style="1"/>
    <col min="2" max="2" width="21.5703125" style="1" customWidth="1"/>
    <col min="3" max="3" width="15.7109375" style="1" customWidth="1"/>
    <col min="4" max="4" width="11.42578125" style="1"/>
    <col min="5" max="5" width="12.28515625" style="1" bestFit="1" customWidth="1"/>
    <col min="6" max="6" width="8.7109375" style="1" customWidth="1"/>
    <col min="7" max="7" width="9.42578125" style="1" customWidth="1"/>
    <col min="8" max="8" width="9" style="1" customWidth="1"/>
    <col min="9" max="9" width="9.5703125" style="1" customWidth="1"/>
    <col min="10" max="16384" width="11.42578125" style="1"/>
  </cols>
  <sheetData>
    <row r="4" spans="2:9" ht="15" x14ac:dyDescent="0.25">
      <c r="B4" s="56" t="s">
        <v>152</v>
      </c>
      <c r="C4" s="56"/>
      <c r="E4" s="56" t="s">
        <v>25</v>
      </c>
      <c r="F4" s="56"/>
      <c r="G4" s="56"/>
      <c r="H4" s="56"/>
      <c r="I4" s="56"/>
    </row>
    <row r="5" spans="2:9" ht="15" x14ac:dyDescent="0.25">
      <c r="B5" s="1" t="s">
        <v>11</v>
      </c>
      <c r="C5" s="2" t="s">
        <v>114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</row>
    <row r="6" spans="2:9" x14ac:dyDescent="0.2">
      <c r="B6" s="1" t="s">
        <v>0</v>
      </c>
      <c r="C6" s="5">
        <v>42755</v>
      </c>
      <c r="E6" s="5">
        <f>+Emisiones!K2</f>
        <v>44383</v>
      </c>
      <c r="F6" s="6">
        <v>100</v>
      </c>
      <c r="G6" s="7"/>
      <c r="I6" s="6">
        <f>-Emisiones!P16</f>
        <v>-104.2</v>
      </c>
    </row>
    <row r="7" spans="2:9" x14ac:dyDescent="0.2">
      <c r="B7" s="1" t="s">
        <v>1</v>
      </c>
      <c r="C7" s="5">
        <v>44581</v>
      </c>
      <c r="E7" s="5">
        <v>44397</v>
      </c>
      <c r="F7" s="6">
        <v>100</v>
      </c>
      <c r="G7" s="7">
        <f>($C$10*F7)/360*180</f>
        <v>4.375</v>
      </c>
      <c r="I7" s="6">
        <f t="shared" ref="I7:I8" si="0">SUM(G7:H7)</f>
        <v>4.375</v>
      </c>
    </row>
    <row r="8" spans="2:9" x14ac:dyDescent="0.2">
      <c r="B8" s="1" t="s">
        <v>15</v>
      </c>
      <c r="C8" s="8" t="s">
        <v>16</v>
      </c>
      <c r="E8" s="5">
        <v>44581</v>
      </c>
      <c r="F8" s="6">
        <v>100</v>
      </c>
      <c r="G8" s="7">
        <f>($C$10*F8)/360*180</f>
        <v>4.375</v>
      </c>
      <c r="H8" s="1">
        <v>100</v>
      </c>
      <c r="I8" s="6">
        <f t="shared" si="0"/>
        <v>104.375</v>
      </c>
    </row>
    <row r="9" spans="2:9" x14ac:dyDescent="0.2">
      <c r="B9" s="1" t="s">
        <v>2</v>
      </c>
      <c r="C9" s="9">
        <v>500000000</v>
      </c>
      <c r="E9" s="5"/>
      <c r="F9" s="6"/>
      <c r="G9" s="7"/>
      <c r="I9" s="6"/>
    </row>
    <row r="10" spans="2:9" ht="15" x14ac:dyDescent="0.25">
      <c r="B10" s="1" t="s">
        <v>3</v>
      </c>
      <c r="C10" s="10">
        <v>8.7499999999999994E-2</v>
      </c>
      <c r="H10" s="12" t="s">
        <v>14</v>
      </c>
      <c r="I10" s="13">
        <f>XIRR(I6:I8,E6:E8,0)</f>
        <v>8.5359506835937474E-2</v>
      </c>
    </row>
    <row r="11" spans="2:9" ht="15" x14ac:dyDescent="0.25">
      <c r="B11" s="1" t="s">
        <v>4</v>
      </c>
      <c r="C11" s="8" t="s">
        <v>5</v>
      </c>
      <c r="H11" s="14" t="s">
        <v>22</v>
      </c>
      <c r="I11" s="15">
        <f>MDURATION(E6,E8,C10,I10,2)</f>
        <v>0.49675021844877815</v>
      </c>
    </row>
    <row r="12" spans="2:9" x14ac:dyDescent="0.2">
      <c r="B12" s="1" t="s">
        <v>19</v>
      </c>
      <c r="C12" s="9">
        <v>1</v>
      </c>
      <c r="E12" s="5"/>
      <c r="F12" s="6"/>
      <c r="G12" s="7"/>
      <c r="I12" s="6"/>
    </row>
    <row r="13" spans="2:9" x14ac:dyDescent="0.2">
      <c r="E13" s="5"/>
      <c r="F13" s="6"/>
      <c r="G13" s="7"/>
      <c r="I13" s="6"/>
    </row>
  </sheetData>
  <mergeCells count="2">
    <mergeCell ref="B4:C4"/>
    <mergeCell ref="E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Emisiones</vt:lpstr>
      <vt:lpstr>CAC2O</vt:lpstr>
      <vt:lpstr>CSDOO</vt:lpstr>
      <vt:lpstr>CSJYO</vt:lpstr>
      <vt:lpstr>CP21O</vt:lpstr>
      <vt:lpstr>CP17O</vt:lpstr>
      <vt:lpstr>CRCEO</vt:lpstr>
      <vt:lpstr>GNCWO</vt:lpstr>
      <vt:lpstr>GNCLO</vt:lpstr>
      <vt:lpstr>IRC1O</vt:lpstr>
      <vt:lpstr>IRC8O</vt:lpstr>
      <vt:lpstr>IRC9O</vt:lpstr>
      <vt:lpstr>JHCEO</vt:lpstr>
      <vt:lpstr>LMS1O</vt:lpstr>
      <vt:lpstr>MTCFO</vt:lpstr>
      <vt:lpstr>MTCFO (2)</vt:lpstr>
      <vt:lpstr>PNC9O</vt:lpstr>
      <vt:lpstr>PNDCO</vt:lpstr>
      <vt:lpstr>PQCDO</vt:lpstr>
      <vt:lpstr>PTSTO</vt:lpstr>
      <vt:lpstr>RA31O</vt:lpstr>
      <vt:lpstr>RAC4O</vt:lpstr>
      <vt:lpstr>RCC9O</vt:lpstr>
      <vt:lpstr>RPC2O</vt:lpstr>
      <vt:lpstr>TLC1O</vt:lpstr>
      <vt:lpstr>TLC5O</vt:lpstr>
      <vt:lpstr>TTC1O</vt:lpstr>
      <vt:lpstr>TTC4O</vt:lpstr>
      <vt:lpstr>VSC1O</vt:lpstr>
      <vt:lpstr>VSC2D</vt:lpstr>
      <vt:lpstr>VSC3O</vt:lpstr>
      <vt:lpstr>YCA6P</vt:lpstr>
      <vt:lpstr>YPCUD</vt:lpstr>
      <vt:lpstr>YMCHO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2020-04-03T15:19:59Z</dcterms:created>
  <dcterms:modified xsi:type="dcterms:W3CDTF">2021-07-02T17:02:05Z</dcterms:modified>
</cp:coreProperties>
</file>