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drawings/drawing21.xml" ContentType="application/vnd.openxmlformats-officedocument.drawingml.chartshapes+xml"/>
  <Override PartName="/xl/charts/chart19.xml" ContentType="application/vnd.openxmlformats-officedocument.drawingml.chart+xml"/>
  <Override PartName="/xl/drawings/drawing22.xml" ContentType="application/vnd.openxmlformats-officedocument.drawingml.chartshapes+xml"/>
  <Override PartName="/xl/charts/chart20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1.xml" ContentType="application/vnd.openxmlformats-officedocument.drawingml.chart+xml"/>
  <Override PartName="/xl/drawings/drawing25.xml" ContentType="application/vnd.openxmlformats-officedocument.drawingml.chartshapes+xml"/>
  <Override PartName="/xl/charts/chart22.xml" ContentType="application/vnd.openxmlformats-officedocument.drawingml.chart+xml"/>
  <Override PartName="/xl/drawings/drawing26.xml" ContentType="application/vnd.openxmlformats-officedocument.drawingml.chartshapes+xml"/>
  <Override PartName="/xl/charts/chart23.xml" ContentType="application/vnd.openxmlformats-officedocument.drawingml.chart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drawings/drawing28.xml" ContentType="application/vnd.openxmlformats-officedocument.drawingml.chartshapes+xml"/>
  <Override PartName="/xl/charts/chart25.xml" ContentType="application/vnd.openxmlformats-officedocument.drawingml.chart+xml"/>
  <Override PartName="/xl/drawings/drawing29.xml" ContentType="application/vnd.openxmlformats-officedocument.drawingml.chartshapes+xml"/>
  <Override PartName="/xl/charts/chart26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7.xml" ContentType="application/vnd.openxmlformats-officedocument.drawingml.chart+xml"/>
  <Override PartName="/xl/drawings/drawing32.xml" ContentType="application/vnd.openxmlformats-officedocument.drawingml.chartshapes+xml"/>
  <Override PartName="/xl/charts/chart28.xml" ContentType="application/vnd.openxmlformats-officedocument.drawingml.chart+xml"/>
  <Override PartName="/xl/drawings/drawing3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ás\Google Drive\Planillas Análisis Mercado\"/>
    </mc:Choice>
  </mc:AlternateContent>
  <xr:revisionPtr revIDLastSave="0" documentId="13_ncr:1_{398DF6C3-D70E-47CF-8AF2-4D769FCBC69A}" xr6:coauthVersionLast="47" xr6:coauthVersionMax="47" xr10:uidLastSave="{00000000-0000-0000-0000-000000000000}"/>
  <bookViews>
    <workbookView xWindow="-120" yWindow="-120" windowWidth="29040" windowHeight="15840" tabRatio="827" xr2:uid="{00000000-000D-0000-FFFF-FFFF00000000}"/>
  </bookViews>
  <sheets>
    <sheet name="Monitor" sheetId="28" r:id="rId1"/>
    <sheet name="Variaciones" sheetId="43" r:id="rId2"/>
    <sheet name="CCL" sheetId="39" r:id="rId3"/>
    <sheet name="Histórico" sheetId="34" r:id="rId4"/>
    <sheet name="Informe" sheetId="27" r:id="rId5"/>
    <sheet name="Upsides" sheetId="37" r:id="rId6"/>
    <sheet name="Cashflow intereses" sheetId="42" r:id="rId7"/>
    <sheet name="Ratios ley ARG" sheetId="35" r:id="rId8"/>
    <sheet name="Ratios legislación" sheetId="41" r:id="rId9"/>
    <sheet name="Hard dollar vs CER" sheetId="40" r:id="rId10"/>
    <sheet name="AL29" sheetId="7" r:id="rId11"/>
    <sheet name="AL30" sheetId="2" r:id="rId12"/>
    <sheet name="AE38" sheetId="4" r:id="rId13"/>
    <sheet name="AL35" sheetId="3" r:id="rId14"/>
    <sheet name="AL41" sheetId="5" r:id="rId15"/>
    <sheet name="GD29" sheetId="29" r:id="rId16"/>
    <sheet name="GD30" sheetId="30" r:id="rId17"/>
    <sheet name="GD35" sheetId="31" r:id="rId18"/>
    <sheet name="GD38" sheetId="32" r:id="rId19"/>
    <sheet name="GD41" sheetId="33" r:id="rId20"/>
    <sheet name="GD46" sheetId="6" r:id="rId21"/>
    <sheet name="Hoja1" sheetId="38" r:id="rId22"/>
  </sheets>
  <externalReferences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4" l="1"/>
  <c r="I7" i="3"/>
  <c r="I5" i="2"/>
  <c r="I5" i="7"/>
  <c r="A188" i="41"/>
  <c r="B188" i="41"/>
  <c r="C188" i="41"/>
  <c r="D188" i="41"/>
  <c r="E188" i="41"/>
  <c r="F188" i="41"/>
  <c r="G188" i="41"/>
  <c r="A189" i="41"/>
  <c r="B189" i="41"/>
  <c r="C189" i="41"/>
  <c r="D189" i="41"/>
  <c r="E189" i="41"/>
  <c r="F189" i="41"/>
  <c r="G189" i="41"/>
  <c r="A190" i="41"/>
  <c r="B190" i="41"/>
  <c r="C190" i="41"/>
  <c r="D190" i="41"/>
  <c r="E190" i="41"/>
  <c r="F190" i="41"/>
  <c r="G190" i="41"/>
  <c r="A191" i="41"/>
  <c r="B191" i="41"/>
  <c r="C191" i="41"/>
  <c r="D191" i="41"/>
  <c r="E191" i="41"/>
  <c r="F191" i="41"/>
  <c r="G191" i="41"/>
  <c r="B192" i="34"/>
  <c r="C192" i="34"/>
  <c r="F192" i="34"/>
  <c r="G192" i="34"/>
  <c r="J192" i="34"/>
  <c r="K192" i="34"/>
  <c r="N192" i="34"/>
  <c r="O192" i="34"/>
  <c r="R192" i="34"/>
  <c r="S192" i="34"/>
  <c r="V192" i="34"/>
  <c r="W192" i="34"/>
  <c r="Z192" i="34"/>
  <c r="AA192" i="34"/>
  <c r="AD192" i="34"/>
  <c r="AE192" i="34"/>
  <c r="AH192" i="34"/>
  <c r="AI192" i="34"/>
  <c r="AL192" i="34"/>
  <c r="AM192" i="34"/>
  <c r="AP192" i="34"/>
  <c r="AQ192" i="34"/>
  <c r="K19" i="28"/>
  <c r="K18" i="28"/>
  <c r="K17" i="28"/>
  <c r="K16" i="28"/>
  <c r="K15" i="28"/>
  <c r="K14" i="28"/>
  <c r="K12" i="28"/>
  <c r="K11" i="28"/>
  <c r="K10" i="28"/>
  <c r="K9" i="28"/>
  <c r="K8" i="28"/>
  <c r="J19" i="28"/>
  <c r="J18" i="28"/>
  <c r="J17" i="28"/>
  <c r="J16" i="28"/>
  <c r="J15" i="28"/>
  <c r="J14" i="28"/>
  <c r="J12" i="28"/>
  <c r="J11" i="28"/>
  <c r="J10" i="28"/>
  <c r="J9" i="28"/>
  <c r="J8" i="28"/>
  <c r="A182" i="41" l="1"/>
  <c r="B182" i="41"/>
  <c r="C182" i="41"/>
  <c r="D182" i="41"/>
  <c r="E182" i="41"/>
  <c r="F182" i="41"/>
  <c r="G182" i="41"/>
  <c r="A183" i="41"/>
  <c r="B183" i="41"/>
  <c r="C183" i="41"/>
  <c r="D183" i="41"/>
  <c r="E183" i="41"/>
  <c r="F183" i="41"/>
  <c r="G183" i="41"/>
  <c r="A184" i="41"/>
  <c r="B184" i="41"/>
  <c r="C184" i="41"/>
  <c r="D184" i="41"/>
  <c r="E184" i="41"/>
  <c r="F184" i="41"/>
  <c r="G184" i="41"/>
  <c r="A185" i="41"/>
  <c r="B185" i="41"/>
  <c r="C185" i="41"/>
  <c r="D185" i="41"/>
  <c r="E185" i="41"/>
  <c r="F185" i="41"/>
  <c r="G185" i="41"/>
  <c r="A186" i="41"/>
  <c r="B186" i="41"/>
  <c r="C186" i="41"/>
  <c r="D186" i="41"/>
  <c r="E186" i="41"/>
  <c r="F186" i="41"/>
  <c r="G186" i="41"/>
  <c r="A187" i="41"/>
  <c r="B187" i="41"/>
  <c r="C187" i="41"/>
  <c r="D187" i="41"/>
  <c r="E187" i="41"/>
  <c r="F187" i="41"/>
  <c r="G187" i="41"/>
  <c r="A188" i="35"/>
  <c r="B188" i="35"/>
  <c r="C188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A186" i="35"/>
  <c r="B186" i="35"/>
  <c r="C186" i="35"/>
  <c r="D186" i="35"/>
  <c r="E186" i="35"/>
  <c r="F186" i="35"/>
  <c r="G186" i="35"/>
  <c r="H186" i="35"/>
  <c r="I186" i="35"/>
  <c r="J186" i="35"/>
  <c r="K186" i="35"/>
  <c r="L186" i="35"/>
  <c r="M186" i="35"/>
  <c r="N186" i="35"/>
  <c r="O186" i="35"/>
  <c r="P186" i="35"/>
  <c r="A187" i="35"/>
  <c r="B187" i="35"/>
  <c r="C187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A178" i="35"/>
  <c r="B178" i="35"/>
  <c r="C178" i="35"/>
  <c r="D178" i="35"/>
  <c r="E178" i="35"/>
  <c r="F178" i="35"/>
  <c r="G178" i="35"/>
  <c r="H178" i="35"/>
  <c r="I178" i="35"/>
  <c r="J178" i="35"/>
  <c r="K178" i="35"/>
  <c r="L178" i="35"/>
  <c r="M178" i="35"/>
  <c r="N178" i="35"/>
  <c r="O178" i="35"/>
  <c r="P178" i="35"/>
  <c r="A179" i="35"/>
  <c r="B179" i="35"/>
  <c r="C179" i="35"/>
  <c r="D179" i="35"/>
  <c r="E179" i="35"/>
  <c r="F179" i="35"/>
  <c r="G179" i="35"/>
  <c r="H179" i="35"/>
  <c r="I179" i="35"/>
  <c r="J179" i="35"/>
  <c r="K179" i="35"/>
  <c r="L179" i="35"/>
  <c r="M179" i="35"/>
  <c r="N179" i="35"/>
  <c r="O179" i="35"/>
  <c r="P179" i="35"/>
  <c r="A180" i="35"/>
  <c r="B180" i="35"/>
  <c r="C180" i="35"/>
  <c r="D180" i="35"/>
  <c r="E180" i="35"/>
  <c r="F180" i="35"/>
  <c r="G180" i="35"/>
  <c r="H180" i="35"/>
  <c r="I180" i="35"/>
  <c r="J180" i="35"/>
  <c r="K180" i="35"/>
  <c r="L180" i="35"/>
  <c r="M180" i="35"/>
  <c r="N180" i="35"/>
  <c r="O180" i="35"/>
  <c r="P180" i="35"/>
  <c r="A181" i="35"/>
  <c r="B181" i="35"/>
  <c r="C181" i="35"/>
  <c r="D181" i="35"/>
  <c r="E181" i="35"/>
  <c r="F181" i="35"/>
  <c r="G181" i="35"/>
  <c r="H181" i="35"/>
  <c r="I181" i="35"/>
  <c r="J181" i="35"/>
  <c r="K181" i="35"/>
  <c r="L181" i="35"/>
  <c r="M181" i="35"/>
  <c r="N181" i="35"/>
  <c r="O181" i="35"/>
  <c r="P181" i="35"/>
  <c r="A182" i="35"/>
  <c r="B182" i="35"/>
  <c r="C182" i="35"/>
  <c r="D182" i="35"/>
  <c r="E182" i="35"/>
  <c r="F182" i="35"/>
  <c r="G182" i="35"/>
  <c r="H182" i="35"/>
  <c r="I182" i="35"/>
  <c r="J182" i="35"/>
  <c r="K182" i="35"/>
  <c r="L182" i="35"/>
  <c r="M182" i="35"/>
  <c r="N182" i="35"/>
  <c r="O182" i="35"/>
  <c r="P182" i="35"/>
  <c r="A183" i="35"/>
  <c r="B183" i="35"/>
  <c r="C183" i="35"/>
  <c r="D183" i="35"/>
  <c r="E183" i="35"/>
  <c r="F183" i="35"/>
  <c r="G183" i="35"/>
  <c r="H183" i="35"/>
  <c r="I183" i="35"/>
  <c r="J183" i="35"/>
  <c r="K183" i="35"/>
  <c r="L183" i="35"/>
  <c r="M183" i="35"/>
  <c r="N183" i="35"/>
  <c r="O183" i="35"/>
  <c r="P183" i="35"/>
  <c r="A184" i="35"/>
  <c r="B184" i="35"/>
  <c r="C184" i="35"/>
  <c r="D184" i="35"/>
  <c r="E184" i="35"/>
  <c r="F184" i="35"/>
  <c r="G184" i="35"/>
  <c r="H184" i="35"/>
  <c r="I184" i="35"/>
  <c r="J184" i="35"/>
  <c r="K184" i="35"/>
  <c r="L184" i="35"/>
  <c r="M184" i="35"/>
  <c r="N184" i="35"/>
  <c r="O184" i="35"/>
  <c r="P184" i="35"/>
  <c r="A185" i="35"/>
  <c r="B185" i="35"/>
  <c r="C185" i="35"/>
  <c r="D185" i="35"/>
  <c r="E185" i="35"/>
  <c r="F185" i="35"/>
  <c r="G185" i="35"/>
  <c r="H185" i="35"/>
  <c r="I185" i="35"/>
  <c r="J185" i="35"/>
  <c r="K185" i="35"/>
  <c r="L185" i="35"/>
  <c r="M185" i="35"/>
  <c r="N185" i="35"/>
  <c r="O185" i="35"/>
  <c r="P185" i="35"/>
  <c r="A175" i="41"/>
  <c r="B175" i="41"/>
  <c r="C175" i="41"/>
  <c r="D175" i="41"/>
  <c r="E175" i="41"/>
  <c r="F175" i="41"/>
  <c r="G175" i="41"/>
  <c r="A176" i="41"/>
  <c r="B176" i="41"/>
  <c r="C176" i="41"/>
  <c r="D176" i="41"/>
  <c r="E176" i="41"/>
  <c r="F176" i="41"/>
  <c r="G176" i="41"/>
  <c r="A177" i="41"/>
  <c r="B177" i="41"/>
  <c r="C177" i="41"/>
  <c r="D177" i="41"/>
  <c r="E177" i="41"/>
  <c r="F177" i="41"/>
  <c r="G177" i="41"/>
  <c r="A178" i="41"/>
  <c r="B178" i="41"/>
  <c r="C178" i="41"/>
  <c r="D178" i="41"/>
  <c r="E178" i="41"/>
  <c r="F178" i="41"/>
  <c r="G178" i="41"/>
  <c r="A179" i="41"/>
  <c r="B179" i="41"/>
  <c r="C179" i="41"/>
  <c r="D179" i="41"/>
  <c r="E179" i="41"/>
  <c r="F179" i="41"/>
  <c r="G179" i="41"/>
  <c r="A180" i="41"/>
  <c r="B180" i="41"/>
  <c r="C180" i="41"/>
  <c r="D180" i="41"/>
  <c r="E180" i="41"/>
  <c r="F180" i="41"/>
  <c r="G180" i="41"/>
  <c r="A181" i="41"/>
  <c r="B181" i="41"/>
  <c r="C181" i="41"/>
  <c r="D181" i="41"/>
  <c r="E181" i="41"/>
  <c r="F181" i="41"/>
  <c r="G181" i="41"/>
  <c r="G18" i="43" l="1"/>
  <c r="G17" i="43"/>
  <c r="G13" i="43"/>
  <c r="G12" i="43"/>
  <c r="G11" i="43"/>
  <c r="G10" i="43"/>
  <c r="G9" i="43"/>
  <c r="H17" i="43"/>
  <c r="H16" i="43"/>
  <c r="H15" i="43"/>
  <c r="H14" i="43"/>
  <c r="H13" i="43"/>
  <c r="H12" i="43"/>
  <c r="H9" i="43"/>
  <c r="H8" i="43"/>
  <c r="A176" i="35"/>
  <c r="B176" i="35"/>
  <c r="C176" i="35"/>
  <c r="D176" i="35"/>
  <c r="E176" i="35"/>
  <c r="F176" i="35"/>
  <c r="G176" i="35"/>
  <c r="H176" i="35"/>
  <c r="I176" i="35"/>
  <c r="J176" i="35"/>
  <c r="K176" i="35"/>
  <c r="L176" i="35"/>
  <c r="M176" i="35"/>
  <c r="N176" i="35"/>
  <c r="O176" i="35"/>
  <c r="P176" i="35"/>
  <c r="A177" i="35"/>
  <c r="B177" i="35"/>
  <c r="C177" i="35"/>
  <c r="D177" i="35"/>
  <c r="E177" i="35"/>
  <c r="F177" i="35"/>
  <c r="G177" i="35"/>
  <c r="H177" i="35"/>
  <c r="I177" i="35"/>
  <c r="J177" i="35"/>
  <c r="K177" i="35"/>
  <c r="L177" i="35"/>
  <c r="M177" i="35"/>
  <c r="N177" i="35"/>
  <c r="O177" i="35"/>
  <c r="P177" i="35"/>
  <c r="X47" i="39"/>
  <c r="X46" i="39"/>
  <c r="X45" i="39"/>
  <c r="X44" i="39"/>
  <c r="X43" i="39"/>
  <c r="H18" i="43"/>
  <c r="D18" i="43"/>
  <c r="D17" i="43"/>
  <c r="G16" i="43"/>
  <c r="D16" i="43"/>
  <c r="G15" i="43"/>
  <c r="D15" i="43"/>
  <c r="G14" i="43"/>
  <c r="D14" i="43"/>
  <c r="D13" i="43"/>
  <c r="D12" i="43"/>
  <c r="H11" i="43"/>
  <c r="D11" i="43"/>
  <c r="H10" i="43"/>
  <c r="D10" i="43"/>
  <c r="D9" i="43"/>
  <c r="G8" i="43"/>
  <c r="D8" i="43"/>
  <c r="G169" i="41"/>
  <c r="G170" i="41"/>
  <c r="G171" i="41"/>
  <c r="G172" i="41"/>
  <c r="G173" i="41"/>
  <c r="F138" i="41"/>
  <c r="F139" i="41"/>
  <c r="F140" i="41"/>
  <c r="F141" i="41"/>
  <c r="F142" i="41"/>
  <c r="F143" i="41"/>
  <c r="F144" i="41"/>
  <c r="F145" i="41"/>
  <c r="F146" i="41"/>
  <c r="F147" i="41"/>
  <c r="F148" i="41"/>
  <c r="F149" i="41"/>
  <c r="F150" i="41"/>
  <c r="F151" i="41"/>
  <c r="F152" i="41"/>
  <c r="F153" i="41"/>
  <c r="F154" i="41"/>
  <c r="F155" i="41"/>
  <c r="F156" i="41"/>
  <c r="F157" i="41"/>
  <c r="F158" i="41"/>
  <c r="F159" i="41"/>
  <c r="F160" i="41"/>
  <c r="F161" i="41"/>
  <c r="F162" i="41"/>
  <c r="F163" i="41"/>
  <c r="F164" i="41"/>
  <c r="F165" i="41"/>
  <c r="F166" i="41"/>
  <c r="F167" i="41"/>
  <c r="F168" i="41"/>
  <c r="F169" i="41"/>
  <c r="F170" i="41"/>
  <c r="F171" i="41"/>
  <c r="F172" i="41"/>
  <c r="F173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D138" i="41"/>
  <c r="D139" i="41"/>
  <c r="D140" i="41"/>
  <c r="D141" i="41"/>
  <c r="D142" i="41"/>
  <c r="D143" i="41"/>
  <c r="D144" i="41"/>
  <c r="D145" i="41"/>
  <c r="D146" i="41"/>
  <c r="D147" i="41"/>
  <c r="D148" i="41"/>
  <c r="D149" i="41"/>
  <c r="D150" i="41"/>
  <c r="D151" i="41"/>
  <c r="D152" i="41"/>
  <c r="D153" i="41"/>
  <c r="D154" i="41"/>
  <c r="D155" i="41"/>
  <c r="D156" i="41"/>
  <c r="D157" i="41"/>
  <c r="D158" i="41"/>
  <c r="D159" i="41"/>
  <c r="D160" i="41"/>
  <c r="D161" i="41"/>
  <c r="D162" i="41"/>
  <c r="D163" i="41"/>
  <c r="D164" i="41"/>
  <c r="D165" i="41"/>
  <c r="D166" i="41"/>
  <c r="D167" i="41"/>
  <c r="D168" i="41"/>
  <c r="D169" i="41"/>
  <c r="D170" i="41"/>
  <c r="D171" i="41"/>
  <c r="D172" i="41"/>
  <c r="D173" i="41"/>
  <c r="C169" i="41"/>
  <c r="C170" i="41"/>
  <c r="C171" i="41"/>
  <c r="C172" i="41"/>
  <c r="C173" i="41"/>
  <c r="B169" i="41"/>
  <c r="B170" i="41"/>
  <c r="B171" i="41"/>
  <c r="B172" i="41"/>
  <c r="B173" i="41"/>
  <c r="A169" i="41"/>
  <c r="A170" i="41"/>
  <c r="A171" i="41"/>
  <c r="A172" i="41"/>
  <c r="A173" i="41"/>
  <c r="A174" i="41"/>
  <c r="B138" i="41"/>
  <c r="B139" i="41"/>
  <c r="B140" i="41"/>
  <c r="B141" i="41"/>
  <c r="B142" i="41"/>
  <c r="B143" i="41"/>
  <c r="B144" i="41"/>
  <c r="B145" i="41"/>
  <c r="B146" i="41"/>
  <c r="B147" i="41"/>
  <c r="B148" i="41"/>
  <c r="B149" i="41"/>
  <c r="B150" i="41"/>
  <c r="B151" i="41"/>
  <c r="B152" i="41"/>
  <c r="B153" i="41"/>
  <c r="B154" i="41"/>
  <c r="B155" i="41"/>
  <c r="B156" i="41"/>
  <c r="B157" i="41"/>
  <c r="B158" i="41"/>
  <c r="B159" i="41"/>
  <c r="B160" i="41"/>
  <c r="B161" i="41"/>
  <c r="B162" i="41"/>
  <c r="B163" i="41"/>
  <c r="B164" i="41"/>
  <c r="B165" i="41"/>
  <c r="B166" i="41"/>
  <c r="B167" i="41"/>
  <c r="B168" i="41"/>
  <c r="H10" i="42"/>
  <c r="H9" i="42"/>
  <c r="H8" i="42"/>
  <c r="H7" i="42"/>
  <c r="H6" i="42"/>
  <c r="H21" i="43" l="1"/>
  <c r="G20" i="43"/>
  <c r="G21" i="43"/>
  <c r="H20" i="43"/>
  <c r="P141" i="35"/>
  <c r="P142" i="35"/>
  <c r="P143" i="35"/>
  <c r="P144" i="35"/>
  <c r="P145" i="35"/>
  <c r="P146" i="35"/>
  <c r="P147" i="35"/>
  <c r="P148" i="35"/>
  <c r="P149" i="35"/>
  <c r="P150" i="35"/>
  <c r="P151" i="35"/>
  <c r="P152" i="35"/>
  <c r="P153" i="35"/>
  <c r="P154" i="35"/>
  <c r="P155" i="35"/>
  <c r="P156" i="35"/>
  <c r="P157" i="35"/>
  <c r="P158" i="35"/>
  <c r="P159" i="35"/>
  <c r="P160" i="35"/>
  <c r="P161" i="35"/>
  <c r="P162" i="35"/>
  <c r="P163" i="35"/>
  <c r="P164" i="35"/>
  <c r="P165" i="35"/>
  <c r="P166" i="35"/>
  <c r="P167" i="35"/>
  <c r="P168" i="35"/>
  <c r="P169" i="35"/>
  <c r="P170" i="35"/>
  <c r="P171" i="35"/>
  <c r="P172" i="35"/>
  <c r="P173" i="35"/>
  <c r="P174" i="35"/>
  <c r="O141" i="35"/>
  <c r="O142" i="35"/>
  <c r="O143" i="35"/>
  <c r="O144" i="35"/>
  <c r="O145" i="35"/>
  <c r="O146" i="35"/>
  <c r="O147" i="35"/>
  <c r="O148" i="35"/>
  <c r="O149" i="35"/>
  <c r="O150" i="35"/>
  <c r="O151" i="35"/>
  <c r="O152" i="35"/>
  <c r="O153" i="35"/>
  <c r="O154" i="35"/>
  <c r="O155" i="35"/>
  <c r="O156" i="35"/>
  <c r="O157" i="35"/>
  <c r="O158" i="35"/>
  <c r="O159" i="35"/>
  <c r="O160" i="35"/>
  <c r="O161" i="35"/>
  <c r="O162" i="35"/>
  <c r="O163" i="35"/>
  <c r="O164" i="35"/>
  <c r="O165" i="35"/>
  <c r="O166" i="35"/>
  <c r="O167" i="35"/>
  <c r="O168" i="35"/>
  <c r="O169" i="35"/>
  <c r="O170" i="35"/>
  <c r="O171" i="35"/>
  <c r="O172" i="35"/>
  <c r="O173" i="35"/>
  <c r="O174" i="35"/>
  <c r="N141" i="35"/>
  <c r="N142" i="35"/>
  <c r="N143" i="35"/>
  <c r="N144" i="35"/>
  <c r="N145" i="35"/>
  <c r="N146" i="35"/>
  <c r="N147" i="35"/>
  <c r="N148" i="35"/>
  <c r="N149" i="35"/>
  <c r="N150" i="35"/>
  <c r="N151" i="35"/>
  <c r="N152" i="35"/>
  <c r="N153" i="35"/>
  <c r="N154" i="35"/>
  <c r="N155" i="35"/>
  <c r="N156" i="35"/>
  <c r="N157" i="35"/>
  <c r="N158" i="35"/>
  <c r="N159" i="35"/>
  <c r="N160" i="35"/>
  <c r="N161" i="35"/>
  <c r="N162" i="35"/>
  <c r="N163" i="35"/>
  <c r="N164" i="35"/>
  <c r="N165" i="35"/>
  <c r="N166" i="35"/>
  <c r="N167" i="35"/>
  <c r="N168" i="35"/>
  <c r="N169" i="35"/>
  <c r="N170" i="35"/>
  <c r="N171" i="35"/>
  <c r="N172" i="35"/>
  <c r="N173" i="35"/>
  <c r="N174" i="35"/>
  <c r="M141" i="35"/>
  <c r="M142" i="35"/>
  <c r="M143" i="35"/>
  <c r="M144" i="35"/>
  <c r="M145" i="35"/>
  <c r="M146" i="35"/>
  <c r="M147" i="35"/>
  <c r="M148" i="35"/>
  <c r="M149" i="35"/>
  <c r="M150" i="35"/>
  <c r="M151" i="35"/>
  <c r="M152" i="35"/>
  <c r="M153" i="35"/>
  <c r="M154" i="35"/>
  <c r="M155" i="35"/>
  <c r="M156" i="35"/>
  <c r="M157" i="35"/>
  <c r="M158" i="35"/>
  <c r="M159" i="35"/>
  <c r="M160" i="35"/>
  <c r="M161" i="35"/>
  <c r="M162" i="35"/>
  <c r="M163" i="35"/>
  <c r="M164" i="35"/>
  <c r="M165" i="35"/>
  <c r="M166" i="35"/>
  <c r="M167" i="35"/>
  <c r="M168" i="35"/>
  <c r="M169" i="35"/>
  <c r="M170" i="35"/>
  <c r="M171" i="35"/>
  <c r="M172" i="35"/>
  <c r="M173" i="35"/>
  <c r="M174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K141" i="35"/>
  <c r="K142" i="35"/>
  <c r="K143" i="35"/>
  <c r="K144" i="35"/>
  <c r="K145" i="35"/>
  <c r="K146" i="35"/>
  <c r="K147" i="35"/>
  <c r="K148" i="35"/>
  <c r="K149" i="35"/>
  <c r="K150" i="35"/>
  <c r="K151" i="35"/>
  <c r="K152" i="35"/>
  <c r="K153" i="35"/>
  <c r="K154" i="35"/>
  <c r="K155" i="35"/>
  <c r="K156" i="35"/>
  <c r="K157" i="35"/>
  <c r="K158" i="35"/>
  <c r="K159" i="35"/>
  <c r="K160" i="35"/>
  <c r="K161" i="35"/>
  <c r="K162" i="35"/>
  <c r="K163" i="35"/>
  <c r="K164" i="35"/>
  <c r="K165" i="35"/>
  <c r="K166" i="35"/>
  <c r="K167" i="35"/>
  <c r="K168" i="35"/>
  <c r="K169" i="35"/>
  <c r="K170" i="35"/>
  <c r="K171" i="35"/>
  <c r="K172" i="35"/>
  <c r="K173" i="35"/>
  <c r="K174" i="35"/>
  <c r="J141" i="35"/>
  <c r="J142" i="35"/>
  <c r="J143" i="35"/>
  <c r="J144" i="35"/>
  <c r="J145" i="35"/>
  <c r="J146" i="35"/>
  <c r="J147" i="35"/>
  <c r="J148" i="35"/>
  <c r="J149" i="35"/>
  <c r="J150" i="35"/>
  <c r="J151" i="35"/>
  <c r="J152" i="35"/>
  <c r="J153" i="35"/>
  <c r="J154" i="35"/>
  <c r="J155" i="35"/>
  <c r="J156" i="35"/>
  <c r="J157" i="35"/>
  <c r="J158" i="35"/>
  <c r="J159" i="35"/>
  <c r="J160" i="35"/>
  <c r="J161" i="35"/>
  <c r="J162" i="35"/>
  <c r="J163" i="35"/>
  <c r="J164" i="35"/>
  <c r="J165" i="35"/>
  <c r="J166" i="35"/>
  <c r="J167" i="35"/>
  <c r="J168" i="35"/>
  <c r="J169" i="35"/>
  <c r="J170" i="35"/>
  <c r="J171" i="35"/>
  <c r="J172" i="35"/>
  <c r="J173" i="35"/>
  <c r="J174" i="35"/>
  <c r="I141" i="35"/>
  <c r="I142" i="35"/>
  <c r="I143" i="35"/>
  <c r="I144" i="35"/>
  <c r="I145" i="35"/>
  <c r="I146" i="35"/>
  <c r="I147" i="35"/>
  <c r="I148" i="35"/>
  <c r="I149" i="35"/>
  <c r="I150" i="35"/>
  <c r="I151" i="35"/>
  <c r="I152" i="35"/>
  <c r="I153" i="35"/>
  <c r="I154" i="35"/>
  <c r="I155" i="35"/>
  <c r="I156" i="35"/>
  <c r="I157" i="35"/>
  <c r="I158" i="35"/>
  <c r="I159" i="35"/>
  <c r="I160" i="35"/>
  <c r="I161" i="35"/>
  <c r="I162" i="35"/>
  <c r="I163" i="35"/>
  <c r="I164" i="35"/>
  <c r="I165" i="35"/>
  <c r="I166" i="35"/>
  <c r="I167" i="35"/>
  <c r="I168" i="35"/>
  <c r="I169" i="35"/>
  <c r="I170" i="35"/>
  <c r="I171" i="35"/>
  <c r="I172" i="35"/>
  <c r="I173" i="35"/>
  <c r="I174" i="35"/>
  <c r="H141" i="35"/>
  <c r="H142" i="35"/>
  <c r="H143" i="35"/>
  <c r="H144" i="35"/>
  <c r="H145" i="35"/>
  <c r="H146" i="35"/>
  <c r="H147" i="35"/>
  <c r="H148" i="35"/>
  <c r="H149" i="35"/>
  <c r="H150" i="35"/>
  <c r="H151" i="35"/>
  <c r="H152" i="35"/>
  <c r="H153" i="35"/>
  <c r="H154" i="35"/>
  <c r="H155" i="35"/>
  <c r="H156" i="35"/>
  <c r="H157" i="35"/>
  <c r="H158" i="35"/>
  <c r="H159" i="35"/>
  <c r="H160" i="35"/>
  <c r="H161" i="35"/>
  <c r="H162" i="35"/>
  <c r="H163" i="35"/>
  <c r="H164" i="35"/>
  <c r="H165" i="35"/>
  <c r="H166" i="35"/>
  <c r="H167" i="35"/>
  <c r="H168" i="35"/>
  <c r="H169" i="35"/>
  <c r="H170" i="35"/>
  <c r="H171" i="35"/>
  <c r="H172" i="35"/>
  <c r="H173" i="35"/>
  <c r="H174" i="35"/>
  <c r="G141" i="35"/>
  <c r="G142" i="35"/>
  <c r="G143" i="35"/>
  <c r="G144" i="35"/>
  <c r="G145" i="35"/>
  <c r="G146" i="35"/>
  <c r="G147" i="35"/>
  <c r="G148" i="35"/>
  <c r="G149" i="35"/>
  <c r="G150" i="35"/>
  <c r="G151" i="35"/>
  <c r="G152" i="35"/>
  <c r="G153" i="35"/>
  <c r="G154" i="35"/>
  <c r="G155" i="35"/>
  <c r="G156" i="35"/>
  <c r="G157" i="35"/>
  <c r="G158" i="35"/>
  <c r="G159" i="35"/>
  <c r="G160" i="35"/>
  <c r="G161" i="35"/>
  <c r="G162" i="35"/>
  <c r="G163" i="35"/>
  <c r="G164" i="35"/>
  <c r="G165" i="35"/>
  <c r="G166" i="35"/>
  <c r="G167" i="35"/>
  <c r="G168" i="35"/>
  <c r="G169" i="35"/>
  <c r="G170" i="35"/>
  <c r="G171" i="35"/>
  <c r="G172" i="35"/>
  <c r="G173" i="35"/>
  <c r="G174" i="35"/>
  <c r="F141" i="35"/>
  <c r="F142" i="35"/>
  <c r="F143" i="35"/>
  <c r="F144" i="35"/>
  <c r="F145" i="35"/>
  <c r="F146" i="35"/>
  <c r="F147" i="35"/>
  <c r="F148" i="35"/>
  <c r="F149" i="35"/>
  <c r="F150" i="35"/>
  <c r="F151" i="35"/>
  <c r="F152" i="35"/>
  <c r="F153" i="35"/>
  <c r="F154" i="35"/>
  <c r="F155" i="35"/>
  <c r="F156" i="35"/>
  <c r="F157" i="35"/>
  <c r="F158" i="35"/>
  <c r="F159" i="35"/>
  <c r="F160" i="35"/>
  <c r="F161" i="35"/>
  <c r="F162" i="35"/>
  <c r="F163" i="35"/>
  <c r="F164" i="35"/>
  <c r="F165" i="35"/>
  <c r="F166" i="35"/>
  <c r="F167" i="35"/>
  <c r="F168" i="35"/>
  <c r="F169" i="35"/>
  <c r="F170" i="35"/>
  <c r="F171" i="35"/>
  <c r="F172" i="35"/>
  <c r="F173" i="35"/>
  <c r="F174" i="35"/>
  <c r="E141" i="35"/>
  <c r="E142" i="35"/>
  <c r="E143" i="35"/>
  <c r="E144" i="35"/>
  <c r="E145" i="35"/>
  <c r="E146" i="35"/>
  <c r="E147" i="35"/>
  <c r="E148" i="35"/>
  <c r="E149" i="35"/>
  <c r="E150" i="35"/>
  <c r="E151" i="35"/>
  <c r="E152" i="35"/>
  <c r="E153" i="35"/>
  <c r="E154" i="35"/>
  <c r="E155" i="35"/>
  <c r="E156" i="35"/>
  <c r="E157" i="35"/>
  <c r="E158" i="35"/>
  <c r="E159" i="35"/>
  <c r="E160" i="35"/>
  <c r="E161" i="35"/>
  <c r="E162" i="35"/>
  <c r="E163" i="35"/>
  <c r="E164" i="35"/>
  <c r="E165" i="35"/>
  <c r="E166" i="35"/>
  <c r="E167" i="35"/>
  <c r="E168" i="35"/>
  <c r="E169" i="35"/>
  <c r="E170" i="35"/>
  <c r="E171" i="35"/>
  <c r="E172" i="35"/>
  <c r="E173" i="35"/>
  <c r="E174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4" i="35"/>
  <c r="C141" i="35"/>
  <c r="C142" i="35"/>
  <c r="C143" i="35"/>
  <c r="C144" i="35"/>
  <c r="C145" i="35"/>
  <c r="C146" i="35"/>
  <c r="C147" i="35"/>
  <c r="C148" i="35"/>
  <c r="C149" i="35"/>
  <c r="C150" i="35"/>
  <c r="C151" i="35"/>
  <c r="C152" i="35"/>
  <c r="C153" i="35"/>
  <c r="C154" i="35"/>
  <c r="C155" i="35"/>
  <c r="C156" i="35"/>
  <c r="C157" i="35"/>
  <c r="C158" i="35"/>
  <c r="C159" i="35"/>
  <c r="C160" i="35"/>
  <c r="C161" i="35"/>
  <c r="C162" i="35"/>
  <c r="C163" i="35"/>
  <c r="C164" i="35"/>
  <c r="C165" i="35"/>
  <c r="C166" i="35"/>
  <c r="C167" i="35"/>
  <c r="C168" i="35"/>
  <c r="C169" i="35"/>
  <c r="C170" i="35"/>
  <c r="C171" i="35"/>
  <c r="C172" i="35"/>
  <c r="C173" i="35"/>
  <c r="C174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G174" i="41" l="1"/>
  <c r="C174" i="41"/>
  <c r="J175" i="35"/>
  <c r="I175" i="35" l="1"/>
  <c r="B175" i="35"/>
  <c r="L175" i="35"/>
  <c r="K175" i="35"/>
  <c r="E174" i="41"/>
  <c r="M175" i="35"/>
  <c r="H175" i="35"/>
  <c r="G175" i="35"/>
  <c r="D174" i="41"/>
  <c r="E175" i="35"/>
  <c r="D175" i="35"/>
  <c r="N175" i="35"/>
  <c r="C175" i="35"/>
  <c r="P175" i="35"/>
  <c r="B174" i="41"/>
  <c r="F174" i="41"/>
  <c r="F175" i="35"/>
  <c r="O175" i="35"/>
  <c r="C11" i="42"/>
  <c r="C12" i="42"/>
  <c r="C13" i="42"/>
  <c r="C14" i="42"/>
  <c r="C15" i="42"/>
  <c r="C16" i="42"/>
  <c r="C7" i="42"/>
  <c r="C8" i="42"/>
  <c r="C9" i="42"/>
  <c r="C10" i="42"/>
  <c r="C6" i="42"/>
  <c r="B7" i="42"/>
  <c r="B8" i="42"/>
  <c r="B9" i="42"/>
  <c r="B10" i="42"/>
  <c r="B11" i="42"/>
  <c r="B12" i="42"/>
  <c r="B13" i="42"/>
  <c r="B14" i="42"/>
  <c r="B15" i="42"/>
  <c r="B16" i="42"/>
  <c r="B6" i="42"/>
  <c r="H12" i="42"/>
  <c r="H19" i="42" s="1"/>
  <c r="I12" i="42"/>
  <c r="I19" i="42" s="1"/>
  <c r="J12" i="42"/>
  <c r="J19" i="42" s="1"/>
  <c r="K12" i="42"/>
  <c r="K19" i="42" s="1"/>
  <c r="L12" i="42"/>
  <c r="L19" i="42" s="1"/>
  <c r="M12" i="42"/>
  <c r="M19" i="42" s="1"/>
  <c r="N12" i="42"/>
  <c r="N19" i="42" s="1"/>
  <c r="O12" i="42"/>
  <c r="O19" i="42" s="1"/>
  <c r="P12" i="42"/>
  <c r="P19" i="42" s="1"/>
  <c r="Q12" i="42"/>
  <c r="Q19" i="42" s="1"/>
  <c r="G12" i="42"/>
  <c r="G19" i="42" s="1"/>
  <c r="Q10" i="42"/>
  <c r="K10" i="42"/>
  <c r="P10" i="42" s="1"/>
  <c r="J10" i="42"/>
  <c r="O10" i="42" s="1"/>
  <c r="I10" i="42"/>
  <c r="N10" i="42" s="1"/>
  <c r="M10" i="42"/>
  <c r="G10" i="42"/>
  <c r="L10" i="42" s="1"/>
  <c r="Q9" i="42"/>
  <c r="K9" i="42"/>
  <c r="P9" i="42" s="1"/>
  <c r="J9" i="42"/>
  <c r="O9" i="42" s="1"/>
  <c r="I9" i="42"/>
  <c r="N9" i="42" s="1"/>
  <c r="M9" i="42"/>
  <c r="G9" i="42"/>
  <c r="L9" i="42" s="1"/>
  <c r="Q8" i="42"/>
  <c r="J8" i="42"/>
  <c r="O8" i="42" s="1"/>
  <c r="K8" i="42"/>
  <c r="P8" i="42" s="1"/>
  <c r="I8" i="42"/>
  <c r="N8" i="42" s="1"/>
  <c r="M8" i="42"/>
  <c r="G8" i="42"/>
  <c r="L8" i="42" s="1"/>
  <c r="Q7" i="42"/>
  <c r="I7" i="42"/>
  <c r="N7" i="42" s="1"/>
  <c r="K7" i="42"/>
  <c r="P7" i="42" s="1"/>
  <c r="J7" i="42"/>
  <c r="M7" i="42"/>
  <c r="G7" i="42"/>
  <c r="L7" i="42" s="1"/>
  <c r="Q6" i="42"/>
  <c r="Q13" i="42" s="1"/>
  <c r="K6" i="42"/>
  <c r="J6" i="42"/>
  <c r="J13" i="42" s="1"/>
  <c r="I6" i="42"/>
  <c r="I13" i="42" s="1"/>
  <c r="H13" i="42"/>
  <c r="G6" i="42"/>
  <c r="G13" i="42" s="1"/>
  <c r="G138" i="41"/>
  <c r="G140" i="41"/>
  <c r="G141" i="41"/>
  <c r="G142" i="41"/>
  <c r="G143" i="41"/>
  <c r="G144" i="41"/>
  <c r="G145" i="41"/>
  <c r="G146" i="41"/>
  <c r="G147" i="41"/>
  <c r="G148" i="41"/>
  <c r="G149" i="41"/>
  <c r="G150" i="41"/>
  <c r="G151" i="41"/>
  <c r="G152" i="41"/>
  <c r="G153" i="41"/>
  <c r="G154" i="41"/>
  <c r="G155" i="41"/>
  <c r="G156" i="41"/>
  <c r="G157" i="41"/>
  <c r="G158" i="41"/>
  <c r="G159" i="41"/>
  <c r="G160" i="41"/>
  <c r="G161" i="41"/>
  <c r="G162" i="41"/>
  <c r="G163" i="41"/>
  <c r="G164" i="41"/>
  <c r="G165" i="41"/>
  <c r="G166" i="41"/>
  <c r="G167" i="41"/>
  <c r="G168" i="41"/>
  <c r="C138" i="41"/>
  <c r="C140" i="41"/>
  <c r="C141" i="41"/>
  <c r="C142" i="41"/>
  <c r="C143" i="41"/>
  <c r="C144" i="41"/>
  <c r="C145" i="41"/>
  <c r="C146" i="41"/>
  <c r="C147" i="41"/>
  <c r="C148" i="41"/>
  <c r="C149" i="41"/>
  <c r="C150" i="41"/>
  <c r="C151" i="41"/>
  <c r="C152" i="41"/>
  <c r="C153" i="41"/>
  <c r="C154" i="41"/>
  <c r="C155" i="41"/>
  <c r="C156" i="41"/>
  <c r="C157" i="41"/>
  <c r="C158" i="41"/>
  <c r="C159" i="41"/>
  <c r="C160" i="41"/>
  <c r="C161" i="41"/>
  <c r="C162" i="41"/>
  <c r="C163" i="41"/>
  <c r="C164" i="41"/>
  <c r="C165" i="41"/>
  <c r="C166" i="41"/>
  <c r="C167" i="41"/>
  <c r="C168" i="41"/>
  <c r="A167" i="41"/>
  <c r="A168" i="41"/>
  <c r="A153" i="41"/>
  <c r="A154" i="41"/>
  <c r="A155" i="41"/>
  <c r="A156" i="41"/>
  <c r="A157" i="41"/>
  <c r="A158" i="41"/>
  <c r="A159" i="41"/>
  <c r="A160" i="41"/>
  <c r="A161" i="41"/>
  <c r="A162" i="41"/>
  <c r="A163" i="41"/>
  <c r="A164" i="41"/>
  <c r="A165" i="41"/>
  <c r="A166" i="41"/>
  <c r="A138" i="41"/>
  <c r="A139" i="41"/>
  <c r="A140" i="41"/>
  <c r="A141" i="41"/>
  <c r="A142" i="41"/>
  <c r="A143" i="41"/>
  <c r="A144" i="41"/>
  <c r="A145" i="41"/>
  <c r="A146" i="41"/>
  <c r="A147" i="41"/>
  <c r="A148" i="41"/>
  <c r="A149" i="41"/>
  <c r="A150" i="41"/>
  <c r="A151" i="41"/>
  <c r="A152" i="41"/>
  <c r="AE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7" i="6"/>
  <c r="T15" i="6"/>
  <c r="T16" i="6"/>
  <c r="T17" i="6"/>
  <c r="T18" i="6"/>
  <c r="T19" i="6"/>
  <c r="T20" i="6"/>
  <c r="T21" i="6"/>
  <c r="T22" i="6"/>
  <c r="AF22" i="6" s="1"/>
  <c r="T23" i="6"/>
  <c r="T24" i="6"/>
  <c r="T25" i="6"/>
  <c r="T26" i="6"/>
  <c r="T27" i="6"/>
  <c r="T28" i="6"/>
  <c r="T29" i="6"/>
  <c r="T30" i="6"/>
  <c r="AF30" i="6" s="1"/>
  <c r="T31" i="6"/>
  <c r="T32" i="6"/>
  <c r="T33" i="6"/>
  <c r="T34" i="6"/>
  <c r="T35" i="6"/>
  <c r="T36" i="6"/>
  <c r="T37" i="6"/>
  <c r="T38" i="6"/>
  <c r="AF38" i="6" s="1"/>
  <c r="T39" i="6"/>
  <c r="T40" i="6"/>
  <c r="T41" i="6"/>
  <c r="T42" i="6"/>
  <c r="T43" i="6"/>
  <c r="T44" i="6"/>
  <c r="T45" i="6"/>
  <c r="T46" i="6"/>
  <c r="AF46" i="6" s="1"/>
  <c r="T47" i="6"/>
  <c r="T48" i="6"/>
  <c r="T49" i="6"/>
  <c r="T50" i="6"/>
  <c r="T51" i="6"/>
  <c r="T52" i="6"/>
  <c r="T53" i="6"/>
  <c r="T54" i="6"/>
  <c r="AF54" i="6" s="1"/>
  <c r="T55" i="6"/>
  <c r="T56" i="6"/>
  <c r="T57" i="6"/>
  <c r="T14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7" i="6"/>
  <c r="K6" i="6"/>
  <c r="G7" i="6" s="1"/>
  <c r="F7" i="6"/>
  <c r="AF21" i="33"/>
  <c r="AF22" i="33"/>
  <c r="AF23" i="33"/>
  <c r="AF24" i="33"/>
  <c r="AF25" i="33"/>
  <c r="AF26" i="33"/>
  <c r="AF27" i="33"/>
  <c r="AF28" i="33"/>
  <c r="AF29" i="33"/>
  <c r="AF30" i="33"/>
  <c r="AF31" i="33"/>
  <c r="AF32" i="33"/>
  <c r="AF33" i="33"/>
  <c r="AF34" i="33"/>
  <c r="AF35" i="33"/>
  <c r="AF36" i="33"/>
  <c r="AF37" i="33"/>
  <c r="AF38" i="33"/>
  <c r="AF39" i="33"/>
  <c r="AF40" i="33"/>
  <c r="AF41" i="33"/>
  <c r="AF42" i="33"/>
  <c r="AF43" i="33"/>
  <c r="AF44" i="33"/>
  <c r="AF45" i="33"/>
  <c r="AF46" i="33"/>
  <c r="AF47" i="33"/>
  <c r="AF20" i="33"/>
  <c r="AE8" i="33"/>
  <c r="AE9" i="33"/>
  <c r="AE10" i="33"/>
  <c r="AE11" i="33"/>
  <c r="AE12" i="33"/>
  <c r="AE13" i="33"/>
  <c r="AE14" i="33"/>
  <c r="AE15" i="33"/>
  <c r="AE16" i="33"/>
  <c r="AE17" i="33"/>
  <c r="AE18" i="33"/>
  <c r="AE19" i="33"/>
  <c r="AE20" i="33"/>
  <c r="AE21" i="33"/>
  <c r="AE22" i="33"/>
  <c r="AE23" i="33"/>
  <c r="AE24" i="33"/>
  <c r="AE25" i="33"/>
  <c r="AE26" i="33"/>
  <c r="AE27" i="33"/>
  <c r="AE28" i="33"/>
  <c r="AE29" i="33"/>
  <c r="AE30" i="33"/>
  <c r="AE31" i="33"/>
  <c r="AE32" i="33"/>
  <c r="AE33" i="33"/>
  <c r="AE34" i="33"/>
  <c r="AE35" i="33"/>
  <c r="AE36" i="33"/>
  <c r="AE37" i="33"/>
  <c r="AE38" i="33"/>
  <c r="AE39" i="33"/>
  <c r="AE40" i="33"/>
  <c r="AE41" i="33"/>
  <c r="AE42" i="33"/>
  <c r="AE43" i="33"/>
  <c r="AE44" i="33"/>
  <c r="AE45" i="33"/>
  <c r="AE46" i="33"/>
  <c r="AE47" i="33"/>
  <c r="AE7" i="33"/>
  <c r="AD8" i="33"/>
  <c r="AD9" i="33"/>
  <c r="AD10" i="33"/>
  <c r="AD11" i="33"/>
  <c r="AD12" i="33"/>
  <c r="AD13" i="33"/>
  <c r="AD14" i="33"/>
  <c r="AD15" i="33"/>
  <c r="AD16" i="33"/>
  <c r="AD17" i="33"/>
  <c r="AD18" i="33"/>
  <c r="AD19" i="33"/>
  <c r="AD20" i="33"/>
  <c r="AD21" i="33"/>
  <c r="AD22" i="33"/>
  <c r="AD23" i="33"/>
  <c r="AD24" i="33"/>
  <c r="AD25" i="33"/>
  <c r="AD26" i="33"/>
  <c r="AD27" i="33"/>
  <c r="AD28" i="33"/>
  <c r="AD29" i="33"/>
  <c r="AD30" i="33"/>
  <c r="AD31" i="33"/>
  <c r="AD32" i="33"/>
  <c r="AD33" i="33"/>
  <c r="AD34" i="33"/>
  <c r="AD35" i="33"/>
  <c r="AD36" i="33"/>
  <c r="AD37" i="33"/>
  <c r="AD38" i="33"/>
  <c r="AD39" i="33"/>
  <c r="AD40" i="33"/>
  <c r="AD41" i="33"/>
  <c r="AD42" i="33"/>
  <c r="AD43" i="33"/>
  <c r="AD44" i="33"/>
  <c r="AD45" i="33"/>
  <c r="AD46" i="33"/>
  <c r="AD47" i="33"/>
  <c r="AD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40" i="33"/>
  <c r="S41" i="33"/>
  <c r="S42" i="33"/>
  <c r="S43" i="33"/>
  <c r="S44" i="33"/>
  <c r="S45" i="33"/>
  <c r="S46" i="33"/>
  <c r="S47" i="33"/>
  <c r="S7" i="33"/>
  <c r="R8" i="33"/>
  <c r="R9" i="33"/>
  <c r="R10" i="33"/>
  <c r="R11" i="33"/>
  <c r="R12" i="33"/>
  <c r="R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29" i="33"/>
  <c r="R30" i="33"/>
  <c r="R31" i="33"/>
  <c r="R32" i="33"/>
  <c r="R33" i="33"/>
  <c r="R34" i="33"/>
  <c r="R35" i="33"/>
  <c r="R36" i="33"/>
  <c r="R37" i="33"/>
  <c r="R38" i="33"/>
  <c r="R39" i="33"/>
  <c r="R40" i="33"/>
  <c r="R41" i="33"/>
  <c r="R42" i="33"/>
  <c r="R43" i="33"/>
  <c r="R44" i="33"/>
  <c r="R45" i="33"/>
  <c r="R46" i="33"/>
  <c r="R47" i="33"/>
  <c r="R7" i="33"/>
  <c r="G7" i="33"/>
  <c r="F7" i="33"/>
  <c r="K6" i="33"/>
  <c r="AE8" i="32"/>
  <c r="AE9" i="32"/>
  <c r="AE10" i="32"/>
  <c r="AE11" i="32"/>
  <c r="AE12" i="32"/>
  <c r="AE13" i="32"/>
  <c r="AE14" i="32"/>
  <c r="AE15" i="32"/>
  <c r="AE16" i="32"/>
  <c r="AE17" i="32"/>
  <c r="AE18" i="32"/>
  <c r="AE19" i="32"/>
  <c r="AE20" i="32"/>
  <c r="AE21" i="32"/>
  <c r="AE22" i="32"/>
  <c r="AE23" i="32"/>
  <c r="AE24" i="32"/>
  <c r="AE25" i="32"/>
  <c r="AE26" i="32"/>
  <c r="AE27" i="32"/>
  <c r="AE28" i="32"/>
  <c r="AE29" i="32"/>
  <c r="AE30" i="32"/>
  <c r="AE31" i="32"/>
  <c r="AE32" i="32"/>
  <c r="AE33" i="32"/>
  <c r="AE34" i="32"/>
  <c r="AE35" i="32"/>
  <c r="AE36" i="32"/>
  <c r="AE37" i="32"/>
  <c r="AE38" i="32"/>
  <c r="AE39" i="32"/>
  <c r="AE40" i="32"/>
  <c r="AE7" i="32"/>
  <c r="AD8" i="32"/>
  <c r="AD9" i="32"/>
  <c r="AD10" i="32"/>
  <c r="AD11" i="32"/>
  <c r="AD12" i="32"/>
  <c r="AD13" i="32"/>
  <c r="AD14" i="32"/>
  <c r="AD15" i="32"/>
  <c r="AD16" i="32"/>
  <c r="AD17" i="32"/>
  <c r="AD18" i="32"/>
  <c r="AD19" i="32"/>
  <c r="AD20" i="32"/>
  <c r="AD21" i="32"/>
  <c r="AD22" i="32"/>
  <c r="AD23" i="32"/>
  <c r="AD24" i="32"/>
  <c r="AD25" i="32"/>
  <c r="AD26" i="32"/>
  <c r="AD27" i="32"/>
  <c r="AD28" i="32"/>
  <c r="AD29" i="32"/>
  <c r="AD30" i="32"/>
  <c r="AD31" i="32"/>
  <c r="AD32" i="32"/>
  <c r="AD33" i="32"/>
  <c r="AD34" i="32"/>
  <c r="AD35" i="32"/>
  <c r="AD36" i="32"/>
  <c r="AD37" i="32"/>
  <c r="AD38" i="32"/>
  <c r="AD39" i="32"/>
  <c r="AD40" i="32"/>
  <c r="AD7" i="32"/>
  <c r="AC8" i="32"/>
  <c r="AC9" i="32"/>
  <c r="AC10" i="32"/>
  <c r="AC11" i="32"/>
  <c r="AC12" i="32"/>
  <c r="AC13" i="32"/>
  <c r="AC14" i="32"/>
  <c r="AC15" i="32"/>
  <c r="AC16" i="32"/>
  <c r="AC17" i="32"/>
  <c r="AC18" i="32"/>
  <c r="AC19" i="32"/>
  <c r="AC20" i="32"/>
  <c r="AC21" i="32"/>
  <c r="AC22" i="32"/>
  <c r="AC23" i="32"/>
  <c r="AC24" i="32"/>
  <c r="AC25" i="32"/>
  <c r="AC26" i="32"/>
  <c r="AC27" i="32"/>
  <c r="AC28" i="32"/>
  <c r="AC29" i="32"/>
  <c r="AC30" i="32"/>
  <c r="AC31" i="32"/>
  <c r="AC32" i="32"/>
  <c r="AC33" i="32"/>
  <c r="AC34" i="32"/>
  <c r="AC35" i="32"/>
  <c r="AC36" i="32"/>
  <c r="AC37" i="32"/>
  <c r="AC38" i="32"/>
  <c r="AC39" i="32"/>
  <c r="AC40" i="32"/>
  <c r="AC7" i="32"/>
  <c r="S8" i="32"/>
  <c r="S9" i="32"/>
  <c r="S10" i="32"/>
  <c r="S11" i="32"/>
  <c r="S12" i="32"/>
  <c r="S13" i="32"/>
  <c r="S14" i="32"/>
  <c r="S15" i="32"/>
  <c r="S16" i="32"/>
  <c r="S17" i="32"/>
  <c r="S18" i="32"/>
  <c r="S19" i="32"/>
  <c r="S20" i="32"/>
  <c r="S21" i="32"/>
  <c r="S22" i="32"/>
  <c r="S23" i="32"/>
  <c r="S24" i="32"/>
  <c r="S25" i="32"/>
  <c r="S26" i="32"/>
  <c r="S27" i="32"/>
  <c r="S28" i="32"/>
  <c r="S29" i="32"/>
  <c r="S30" i="32"/>
  <c r="S31" i="32"/>
  <c r="S32" i="32"/>
  <c r="S33" i="32"/>
  <c r="S34" i="32"/>
  <c r="S35" i="32"/>
  <c r="S36" i="32"/>
  <c r="S37" i="32"/>
  <c r="S38" i="32"/>
  <c r="S39" i="32"/>
  <c r="S40" i="32"/>
  <c r="S7" i="32"/>
  <c r="R8" i="32"/>
  <c r="R9" i="32"/>
  <c r="R10" i="32"/>
  <c r="R11" i="32"/>
  <c r="R12" i="32"/>
  <c r="R13" i="32"/>
  <c r="R14" i="32"/>
  <c r="R15" i="32"/>
  <c r="R16" i="32"/>
  <c r="R17" i="32"/>
  <c r="R18" i="32"/>
  <c r="R19" i="32"/>
  <c r="R20" i="32"/>
  <c r="R21" i="32"/>
  <c r="R22" i="32"/>
  <c r="R23" i="32"/>
  <c r="R24" i="32"/>
  <c r="R25" i="32"/>
  <c r="R26" i="32"/>
  <c r="R27" i="32"/>
  <c r="R28" i="32"/>
  <c r="R29" i="32"/>
  <c r="R30" i="32"/>
  <c r="R31" i="32"/>
  <c r="R32" i="32"/>
  <c r="R33" i="32"/>
  <c r="R34" i="32"/>
  <c r="R35" i="32"/>
  <c r="R36" i="32"/>
  <c r="R37" i="32"/>
  <c r="R38" i="32"/>
  <c r="R39" i="32"/>
  <c r="R40" i="32"/>
  <c r="R7" i="32"/>
  <c r="Q8" i="32"/>
  <c r="Q9" i="32"/>
  <c r="Q10" i="32"/>
  <c r="Q11" i="32"/>
  <c r="Q12" i="32"/>
  <c r="Q13" i="32"/>
  <c r="Q14" i="32"/>
  <c r="Q15" i="32"/>
  <c r="Q16" i="32"/>
  <c r="Q17" i="32"/>
  <c r="Q18" i="32"/>
  <c r="Q19" i="32"/>
  <c r="Q20" i="32"/>
  <c r="Q21" i="32"/>
  <c r="Q22" i="32"/>
  <c r="Q23" i="32"/>
  <c r="Q24" i="32"/>
  <c r="Q25" i="32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Q40" i="32"/>
  <c r="Q7" i="32"/>
  <c r="K6" i="32"/>
  <c r="G7" i="32" s="1"/>
  <c r="F7" i="32"/>
  <c r="AE9" i="31"/>
  <c r="AE10" i="31"/>
  <c r="AE11" i="31"/>
  <c r="AE12" i="31"/>
  <c r="AE13" i="31"/>
  <c r="AE14" i="31"/>
  <c r="AE15" i="31"/>
  <c r="AE16" i="31"/>
  <c r="AE17" i="31"/>
  <c r="AE18" i="31"/>
  <c r="AE19" i="31"/>
  <c r="AE20" i="31"/>
  <c r="AE21" i="31"/>
  <c r="AE22" i="31"/>
  <c r="AE23" i="31"/>
  <c r="AE24" i="31"/>
  <c r="AE25" i="31"/>
  <c r="AE26" i="31"/>
  <c r="AE27" i="31"/>
  <c r="AE28" i="31"/>
  <c r="AE29" i="31"/>
  <c r="AE30" i="31"/>
  <c r="AE31" i="31"/>
  <c r="AE32" i="31"/>
  <c r="AE33" i="31"/>
  <c r="AE34" i="31"/>
  <c r="AE35" i="31"/>
  <c r="AE36" i="31"/>
  <c r="AE8" i="31"/>
  <c r="AD9" i="31"/>
  <c r="AD10" i="31"/>
  <c r="AD11" i="31"/>
  <c r="AD12" i="31"/>
  <c r="AD13" i="31"/>
  <c r="AD14" i="31"/>
  <c r="AD15" i="31"/>
  <c r="AD16" i="31"/>
  <c r="AD17" i="31"/>
  <c r="AD18" i="31"/>
  <c r="AD19" i="31"/>
  <c r="AD20" i="31"/>
  <c r="AD21" i="31"/>
  <c r="AD22" i="31"/>
  <c r="AD23" i="31"/>
  <c r="AD24" i="31"/>
  <c r="AD25" i="31"/>
  <c r="AD26" i="31"/>
  <c r="AD27" i="31"/>
  <c r="AD28" i="31"/>
  <c r="AD29" i="31"/>
  <c r="AD30" i="31"/>
  <c r="AD31" i="31"/>
  <c r="AD32" i="31"/>
  <c r="AD33" i="31"/>
  <c r="AD34" i="31"/>
  <c r="AD35" i="31"/>
  <c r="AD36" i="31"/>
  <c r="AD8" i="31"/>
  <c r="AC9" i="31"/>
  <c r="AC10" i="31"/>
  <c r="AC11" i="31"/>
  <c r="AC12" i="31"/>
  <c r="AC13" i="31"/>
  <c r="AC14" i="31"/>
  <c r="AC15" i="31"/>
  <c r="AC16" i="31"/>
  <c r="AC17" i="31"/>
  <c r="AC18" i="31"/>
  <c r="AC19" i="31"/>
  <c r="AC20" i="31"/>
  <c r="AC21" i="31"/>
  <c r="AC22" i="31"/>
  <c r="AC23" i="31"/>
  <c r="AC24" i="31"/>
  <c r="AC25" i="31"/>
  <c r="AC26" i="31"/>
  <c r="AC27" i="31"/>
  <c r="AC28" i="31"/>
  <c r="AC29" i="31"/>
  <c r="AC30" i="31"/>
  <c r="AC31" i="31"/>
  <c r="AC32" i="31"/>
  <c r="AC33" i="31"/>
  <c r="AC34" i="31"/>
  <c r="AC35" i="31"/>
  <c r="AC36" i="31"/>
  <c r="AC8" i="31"/>
  <c r="G9" i="31"/>
  <c r="G10" i="31"/>
  <c r="S10" i="31" s="1"/>
  <c r="G11" i="31"/>
  <c r="G12" i="31"/>
  <c r="G13" i="31"/>
  <c r="G14" i="31"/>
  <c r="G15" i="31"/>
  <c r="S15" i="31" s="1"/>
  <c r="G16" i="31"/>
  <c r="S16" i="31" s="1"/>
  <c r="G17" i="31"/>
  <c r="G18" i="31"/>
  <c r="S18" i="31" s="1"/>
  <c r="G19" i="31"/>
  <c r="G20" i="31"/>
  <c r="G21" i="31"/>
  <c r="G22" i="31"/>
  <c r="G23" i="31"/>
  <c r="S23" i="31" s="1"/>
  <c r="G24" i="31"/>
  <c r="S24" i="31" s="1"/>
  <c r="G25" i="31"/>
  <c r="G26" i="31"/>
  <c r="S26" i="31" s="1"/>
  <c r="G27" i="31"/>
  <c r="G28" i="31"/>
  <c r="G29" i="31"/>
  <c r="S29" i="31" s="1"/>
  <c r="G30" i="31"/>
  <c r="S30" i="31" s="1"/>
  <c r="G31" i="31"/>
  <c r="S31" i="31" s="1"/>
  <c r="G32" i="31"/>
  <c r="S32" i="31" s="1"/>
  <c r="G33" i="31"/>
  <c r="G34" i="31"/>
  <c r="S34" i="31" s="1"/>
  <c r="G35" i="31"/>
  <c r="G36" i="31"/>
  <c r="S14" i="31"/>
  <c r="S22" i="31"/>
  <c r="S9" i="31"/>
  <c r="S11" i="31"/>
  <c r="S12" i="31"/>
  <c r="S13" i="31"/>
  <c r="S17" i="31"/>
  <c r="S19" i="31"/>
  <c r="S20" i="31"/>
  <c r="S21" i="31"/>
  <c r="S25" i="31"/>
  <c r="S27" i="31"/>
  <c r="S28" i="31"/>
  <c r="S33" i="31"/>
  <c r="S35" i="31"/>
  <c r="S36" i="31"/>
  <c r="S8" i="31"/>
  <c r="R9" i="31"/>
  <c r="R10" i="31"/>
  <c r="R11" i="31"/>
  <c r="R12" i="31"/>
  <c r="R13" i="31"/>
  <c r="R14" i="31"/>
  <c r="R15" i="31"/>
  <c r="R16" i="31"/>
  <c r="R17" i="31"/>
  <c r="R18" i="31"/>
  <c r="R19" i="31"/>
  <c r="R20" i="31"/>
  <c r="R21" i="31"/>
  <c r="R22" i="31"/>
  <c r="R23" i="31"/>
  <c r="R24" i="31"/>
  <c r="R25" i="31"/>
  <c r="R26" i="31"/>
  <c r="R27" i="31"/>
  <c r="R28" i="31"/>
  <c r="R29" i="31"/>
  <c r="R30" i="31"/>
  <c r="R31" i="31"/>
  <c r="R32" i="31"/>
  <c r="R33" i="31"/>
  <c r="R34" i="31"/>
  <c r="R35" i="31"/>
  <c r="R36" i="31"/>
  <c r="R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8" i="31"/>
  <c r="K7" i="31"/>
  <c r="G8" i="31" s="1"/>
  <c r="F8" i="31"/>
  <c r="AE7" i="30"/>
  <c r="AE8" i="30"/>
  <c r="AE9" i="30"/>
  <c r="AE10" i="30"/>
  <c r="AE11" i="30"/>
  <c r="AE12" i="30"/>
  <c r="AE13" i="30"/>
  <c r="AE14" i="30"/>
  <c r="AE15" i="30"/>
  <c r="AE16" i="30"/>
  <c r="AE17" i="30"/>
  <c r="AE18" i="30"/>
  <c r="AE19" i="30"/>
  <c r="AE20" i="30"/>
  <c r="AE21" i="30"/>
  <c r="AE22" i="30"/>
  <c r="AE23" i="30"/>
  <c r="AE24" i="30"/>
  <c r="AE6" i="30"/>
  <c r="AD7" i="30"/>
  <c r="AD8" i="30"/>
  <c r="AD9" i="30"/>
  <c r="AD10" i="30"/>
  <c r="AD11" i="30"/>
  <c r="AD12" i="30"/>
  <c r="AD13" i="30"/>
  <c r="AD14" i="30"/>
  <c r="AD15" i="30"/>
  <c r="AD16" i="30"/>
  <c r="AD17" i="30"/>
  <c r="AD18" i="30"/>
  <c r="AD19" i="30"/>
  <c r="AD20" i="30"/>
  <c r="AD21" i="30"/>
  <c r="AD22" i="30"/>
  <c r="AD23" i="30"/>
  <c r="AD24" i="30"/>
  <c r="AD6" i="30"/>
  <c r="AC7" i="30"/>
  <c r="AC8" i="30"/>
  <c r="AC9" i="30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6" i="30"/>
  <c r="T13" i="30"/>
  <c r="T14" i="30"/>
  <c r="T15" i="30"/>
  <c r="T16" i="30"/>
  <c r="T17" i="30"/>
  <c r="T18" i="30"/>
  <c r="T19" i="30"/>
  <c r="T20" i="30"/>
  <c r="T21" i="30"/>
  <c r="T22" i="30"/>
  <c r="T23" i="30"/>
  <c r="T24" i="30"/>
  <c r="T12" i="30"/>
  <c r="S7" i="30"/>
  <c r="S8" i="30"/>
  <c r="S9" i="30"/>
  <c r="S10" i="30"/>
  <c r="S11" i="30"/>
  <c r="S12" i="30"/>
  <c r="S13" i="30"/>
  <c r="S14" i="30"/>
  <c r="S15" i="30"/>
  <c r="S16" i="30"/>
  <c r="S17" i="30"/>
  <c r="S18" i="30"/>
  <c r="S19" i="30"/>
  <c r="S20" i="30"/>
  <c r="S21" i="30"/>
  <c r="S22" i="30"/>
  <c r="S23" i="30"/>
  <c r="S24" i="30"/>
  <c r="S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6" i="30"/>
  <c r="Q7" i="30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21" i="30"/>
  <c r="Q22" i="30"/>
  <c r="Q23" i="30"/>
  <c r="Q24" i="30"/>
  <c r="Q6" i="30"/>
  <c r="K5" i="30"/>
  <c r="G6" i="30"/>
  <c r="S7" i="29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6" i="29"/>
  <c r="R7" i="29"/>
  <c r="R8" i="29"/>
  <c r="R9" i="29"/>
  <c r="R10" i="29"/>
  <c r="R11" i="29"/>
  <c r="R12" i="29"/>
  <c r="R13" i="29"/>
  <c r="R14" i="29"/>
  <c r="R15" i="29"/>
  <c r="R16" i="29"/>
  <c r="R17" i="29"/>
  <c r="R18" i="29"/>
  <c r="R19" i="29"/>
  <c r="R20" i="29"/>
  <c r="R21" i="29"/>
  <c r="R22" i="29"/>
  <c r="R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6" i="29"/>
  <c r="G6" i="29"/>
  <c r="K5" i="29"/>
  <c r="F6" i="29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20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7" i="5"/>
  <c r="K6" i="5"/>
  <c r="G7" i="5" s="1"/>
  <c r="F7" i="5"/>
  <c r="AR28" i="3"/>
  <c r="AR29" i="3"/>
  <c r="AR30" i="3"/>
  <c r="AR31" i="3"/>
  <c r="AR32" i="3"/>
  <c r="AR33" i="3"/>
  <c r="AR34" i="3"/>
  <c r="AR35" i="3"/>
  <c r="AR36" i="3"/>
  <c r="AR27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8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7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8" i="3"/>
  <c r="K7" i="3"/>
  <c r="G8" i="3" s="1"/>
  <c r="F8" i="3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7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19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7" i="4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6" i="2"/>
  <c r="AS14" i="7"/>
  <c r="AS15" i="7"/>
  <c r="AS16" i="7"/>
  <c r="AS17" i="7"/>
  <c r="AS18" i="7"/>
  <c r="AS19" i="7"/>
  <c r="AS20" i="7"/>
  <c r="AS21" i="7"/>
  <c r="AS22" i="7"/>
  <c r="AS13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6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R6" i="4"/>
  <c r="G7" i="4"/>
  <c r="K6" i="4"/>
  <c r="F7" i="4"/>
  <c r="K5" i="2"/>
  <c r="G6" i="2" s="1"/>
  <c r="K5" i="7"/>
  <c r="G6" i="7" s="1"/>
  <c r="A140" i="35"/>
  <c r="A139" i="35"/>
  <c r="B139" i="35"/>
  <c r="C139" i="35"/>
  <c r="D139" i="35"/>
  <c r="E139" i="35"/>
  <c r="F139" i="35"/>
  <c r="G139" i="35"/>
  <c r="H139" i="35"/>
  <c r="I139" i="35"/>
  <c r="J139" i="35"/>
  <c r="K139" i="35"/>
  <c r="L139" i="35"/>
  <c r="M139" i="35"/>
  <c r="N139" i="35"/>
  <c r="O139" i="35"/>
  <c r="P139" i="35"/>
  <c r="A127" i="41"/>
  <c r="B127" i="41"/>
  <c r="C127" i="41"/>
  <c r="D127" i="41"/>
  <c r="E127" i="41"/>
  <c r="F127" i="41"/>
  <c r="G127" i="41"/>
  <c r="A128" i="41"/>
  <c r="B128" i="41"/>
  <c r="C128" i="41"/>
  <c r="D128" i="41"/>
  <c r="E128" i="41"/>
  <c r="F128" i="41"/>
  <c r="G128" i="41"/>
  <c r="A129" i="41"/>
  <c r="B129" i="41"/>
  <c r="C129" i="41"/>
  <c r="D129" i="41"/>
  <c r="E129" i="41"/>
  <c r="F129" i="41"/>
  <c r="G129" i="41"/>
  <c r="A130" i="41"/>
  <c r="B130" i="41"/>
  <c r="C130" i="41"/>
  <c r="D130" i="41"/>
  <c r="E130" i="41"/>
  <c r="F130" i="41"/>
  <c r="G130" i="41"/>
  <c r="A131" i="41"/>
  <c r="B131" i="41"/>
  <c r="C131" i="41"/>
  <c r="D131" i="41"/>
  <c r="E131" i="41"/>
  <c r="F131" i="41"/>
  <c r="G131" i="41"/>
  <c r="A132" i="41"/>
  <c r="B132" i="41"/>
  <c r="C132" i="41"/>
  <c r="D132" i="41"/>
  <c r="E132" i="41"/>
  <c r="F132" i="41"/>
  <c r="G132" i="41"/>
  <c r="A133" i="41"/>
  <c r="B133" i="41"/>
  <c r="C133" i="41"/>
  <c r="D133" i="41"/>
  <c r="E133" i="41"/>
  <c r="F133" i="41"/>
  <c r="G133" i="41"/>
  <c r="A134" i="41"/>
  <c r="B134" i="41"/>
  <c r="C134" i="41"/>
  <c r="D134" i="41"/>
  <c r="E134" i="41"/>
  <c r="F134" i="41"/>
  <c r="G134" i="41"/>
  <c r="A135" i="41"/>
  <c r="B135" i="41"/>
  <c r="C135" i="41"/>
  <c r="D135" i="41"/>
  <c r="E135" i="41"/>
  <c r="F135" i="41"/>
  <c r="G135" i="41"/>
  <c r="A136" i="41"/>
  <c r="B136" i="41"/>
  <c r="C136" i="41"/>
  <c r="D136" i="41"/>
  <c r="E136" i="41"/>
  <c r="F136" i="41"/>
  <c r="G136" i="41"/>
  <c r="A137" i="41"/>
  <c r="B137" i="41"/>
  <c r="C137" i="41"/>
  <c r="D137" i="41"/>
  <c r="E137" i="41"/>
  <c r="F137" i="41"/>
  <c r="G137" i="41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49" i="35"/>
  <c r="F50" i="35"/>
  <c r="F51" i="35"/>
  <c r="F52" i="35"/>
  <c r="F53" i="35"/>
  <c r="F54" i="35"/>
  <c r="F55" i="35"/>
  <c r="F56" i="35"/>
  <c r="F57" i="35"/>
  <c r="F58" i="35"/>
  <c r="F59" i="35"/>
  <c r="F60" i="35"/>
  <c r="F61" i="35"/>
  <c r="F62" i="35"/>
  <c r="F63" i="35"/>
  <c r="F64" i="35"/>
  <c r="F65" i="35"/>
  <c r="F66" i="35"/>
  <c r="F67" i="35"/>
  <c r="F68" i="35"/>
  <c r="F69" i="35"/>
  <c r="F70" i="35"/>
  <c r="F71" i="35"/>
  <c r="F72" i="35"/>
  <c r="F73" i="35"/>
  <c r="F74" i="35"/>
  <c r="F75" i="35"/>
  <c r="F76" i="35"/>
  <c r="F77" i="35"/>
  <c r="F78" i="35"/>
  <c r="F79" i="35"/>
  <c r="F80" i="35"/>
  <c r="F81" i="35"/>
  <c r="F82" i="35"/>
  <c r="F83" i="35"/>
  <c r="F84" i="35"/>
  <c r="F85" i="35"/>
  <c r="F86" i="35"/>
  <c r="F87" i="35"/>
  <c r="F88" i="35"/>
  <c r="F89" i="35"/>
  <c r="F90" i="35"/>
  <c r="F91" i="35"/>
  <c r="F92" i="35"/>
  <c r="F93" i="35"/>
  <c r="F94" i="35"/>
  <c r="F95" i="35"/>
  <c r="F96" i="35"/>
  <c r="F97" i="35"/>
  <c r="F98" i="35"/>
  <c r="F99" i="35"/>
  <c r="F100" i="35"/>
  <c r="F101" i="35"/>
  <c r="F102" i="35"/>
  <c r="F103" i="35"/>
  <c r="F104" i="35"/>
  <c r="F105" i="35"/>
  <c r="F106" i="35"/>
  <c r="F107" i="35"/>
  <c r="F108" i="35"/>
  <c r="F109" i="35"/>
  <c r="F110" i="35"/>
  <c r="F111" i="35"/>
  <c r="F112" i="35"/>
  <c r="F113" i="35"/>
  <c r="F114" i="35"/>
  <c r="F115" i="35"/>
  <c r="F116" i="35"/>
  <c r="F117" i="35"/>
  <c r="F118" i="35"/>
  <c r="F119" i="35"/>
  <c r="F120" i="35"/>
  <c r="F121" i="35"/>
  <c r="F122" i="35"/>
  <c r="F123" i="35"/>
  <c r="F124" i="35"/>
  <c r="F125" i="35"/>
  <c r="F126" i="35"/>
  <c r="F127" i="35"/>
  <c r="F128" i="35"/>
  <c r="F129" i="35"/>
  <c r="F130" i="35"/>
  <c r="F131" i="35"/>
  <c r="F132" i="35"/>
  <c r="F133" i="35"/>
  <c r="F134" i="35"/>
  <c r="F135" i="35"/>
  <c r="F136" i="35"/>
  <c r="F137" i="35"/>
  <c r="F138" i="35"/>
  <c r="F3" i="35"/>
  <c r="A134" i="35"/>
  <c r="B134" i="35"/>
  <c r="C134" i="35"/>
  <c r="D134" i="35"/>
  <c r="E134" i="35"/>
  <c r="G134" i="35"/>
  <c r="H134" i="35"/>
  <c r="I134" i="35"/>
  <c r="J134" i="35"/>
  <c r="K134" i="35"/>
  <c r="L134" i="35"/>
  <c r="M134" i="35"/>
  <c r="N134" i="35"/>
  <c r="O134" i="35"/>
  <c r="P134" i="35"/>
  <c r="A135" i="35"/>
  <c r="B135" i="35"/>
  <c r="C135" i="35"/>
  <c r="D135" i="35"/>
  <c r="E135" i="35"/>
  <c r="G135" i="35"/>
  <c r="H135" i="35"/>
  <c r="I135" i="35"/>
  <c r="J135" i="35"/>
  <c r="K135" i="35"/>
  <c r="L135" i="35"/>
  <c r="M135" i="35"/>
  <c r="N135" i="35"/>
  <c r="O135" i="35"/>
  <c r="P135" i="35"/>
  <c r="A136" i="35"/>
  <c r="B136" i="35"/>
  <c r="C136" i="35"/>
  <c r="D136" i="35"/>
  <c r="E136" i="35"/>
  <c r="G136" i="35"/>
  <c r="H136" i="35"/>
  <c r="I136" i="35"/>
  <c r="J136" i="35"/>
  <c r="K136" i="35"/>
  <c r="L136" i="35"/>
  <c r="M136" i="35"/>
  <c r="N136" i="35"/>
  <c r="O136" i="35"/>
  <c r="P136" i="35"/>
  <c r="A137" i="35"/>
  <c r="B137" i="35"/>
  <c r="C137" i="35"/>
  <c r="D137" i="35"/>
  <c r="E137" i="35"/>
  <c r="G137" i="35"/>
  <c r="H137" i="35"/>
  <c r="I137" i="35"/>
  <c r="J137" i="35"/>
  <c r="K137" i="35"/>
  <c r="L137" i="35"/>
  <c r="M137" i="35"/>
  <c r="N137" i="35"/>
  <c r="O137" i="35"/>
  <c r="P137" i="35"/>
  <c r="A138" i="35"/>
  <c r="B138" i="35"/>
  <c r="C138" i="35"/>
  <c r="D138" i="35"/>
  <c r="E138" i="35"/>
  <c r="G138" i="35"/>
  <c r="H138" i="35"/>
  <c r="I138" i="35"/>
  <c r="J138" i="35"/>
  <c r="K138" i="35"/>
  <c r="L138" i="35"/>
  <c r="M138" i="35"/>
  <c r="N138" i="35"/>
  <c r="O138" i="35"/>
  <c r="P138" i="35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3" i="6"/>
  <c r="AF24" i="6"/>
  <c r="AF25" i="6"/>
  <c r="AF26" i="6"/>
  <c r="AF27" i="6"/>
  <c r="AF28" i="6"/>
  <c r="AF29" i="6"/>
  <c r="AF31" i="6"/>
  <c r="AF32" i="6"/>
  <c r="AF33" i="6"/>
  <c r="AF34" i="6"/>
  <c r="AF35" i="6"/>
  <c r="AF36" i="6"/>
  <c r="AF37" i="6"/>
  <c r="AF39" i="6"/>
  <c r="AF40" i="6"/>
  <c r="AF41" i="6"/>
  <c r="AF42" i="6"/>
  <c r="AF43" i="6"/>
  <c r="AF44" i="6"/>
  <c r="AF45" i="6"/>
  <c r="AF47" i="6"/>
  <c r="AF48" i="6"/>
  <c r="AF49" i="6"/>
  <c r="AF50" i="6"/>
  <c r="AF51" i="6"/>
  <c r="AF52" i="6"/>
  <c r="AF53" i="6"/>
  <c r="AF55" i="6"/>
  <c r="AF56" i="6"/>
  <c r="AF57" i="6"/>
  <c r="C21" i="37"/>
  <c r="C22" i="37"/>
  <c r="C23" i="37"/>
  <c r="C24" i="37"/>
  <c r="C25" i="37"/>
  <c r="C20" i="37"/>
  <c r="A132" i="35"/>
  <c r="B132" i="35"/>
  <c r="C132" i="35"/>
  <c r="D132" i="35"/>
  <c r="E132" i="35"/>
  <c r="G132" i="35"/>
  <c r="H132" i="35"/>
  <c r="I132" i="35"/>
  <c r="J132" i="35"/>
  <c r="K132" i="35"/>
  <c r="L132" i="35"/>
  <c r="M132" i="35"/>
  <c r="N132" i="35"/>
  <c r="O132" i="35"/>
  <c r="P132" i="35"/>
  <c r="A133" i="35"/>
  <c r="B133" i="35"/>
  <c r="C133" i="35"/>
  <c r="D133" i="35"/>
  <c r="E133" i="35"/>
  <c r="G133" i="35"/>
  <c r="H133" i="35"/>
  <c r="I133" i="35"/>
  <c r="J133" i="35"/>
  <c r="K133" i="35"/>
  <c r="L133" i="35"/>
  <c r="M133" i="35"/>
  <c r="N133" i="35"/>
  <c r="O133" i="35"/>
  <c r="P133" i="35"/>
  <c r="G27" i="40"/>
  <c r="G26" i="40"/>
  <c r="G25" i="40"/>
  <c r="G24" i="40"/>
  <c r="A128" i="35"/>
  <c r="B128" i="35"/>
  <c r="C128" i="35"/>
  <c r="D128" i="35"/>
  <c r="E128" i="35"/>
  <c r="G128" i="35"/>
  <c r="H128" i="35"/>
  <c r="I128" i="35"/>
  <c r="J128" i="35"/>
  <c r="K128" i="35"/>
  <c r="L128" i="35"/>
  <c r="M128" i="35"/>
  <c r="N128" i="35"/>
  <c r="O128" i="35"/>
  <c r="P128" i="35"/>
  <c r="A129" i="35"/>
  <c r="B129" i="35"/>
  <c r="C129" i="35"/>
  <c r="D129" i="35"/>
  <c r="E129" i="35"/>
  <c r="G129" i="35"/>
  <c r="H129" i="35"/>
  <c r="I129" i="35"/>
  <c r="J129" i="35"/>
  <c r="K129" i="35"/>
  <c r="L129" i="35"/>
  <c r="M129" i="35"/>
  <c r="N129" i="35"/>
  <c r="O129" i="35"/>
  <c r="P129" i="35"/>
  <c r="A130" i="35"/>
  <c r="B130" i="35"/>
  <c r="C130" i="35"/>
  <c r="D130" i="35"/>
  <c r="E130" i="35"/>
  <c r="G130" i="35"/>
  <c r="H130" i="35"/>
  <c r="I130" i="35"/>
  <c r="J130" i="35"/>
  <c r="K130" i="35"/>
  <c r="L130" i="35"/>
  <c r="M130" i="35"/>
  <c r="N130" i="35"/>
  <c r="O130" i="35"/>
  <c r="P130" i="35"/>
  <c r="A131" i="35"/>
  <c r="B131" i="35"/>
  <c r="C131" i="35"/>
  <c r="D131" i="35"/>
  <c r="E131" i="35"/>
  <c r="G131" i="35"/>
  <c r="H131" i="35"/>
  <c r="I131" i="35"/>
  <c r="J131" i="35"/>
  <c r="K131" i="35"/>
  <c r="L131" i="35"/>
  <c r="M131" i="35"/>
  <c r="N131" i="35"/>
  <c r="O131" i="35"/>
  <c r="P131" i="35"/>
  <c r="O8" i="28"/>
  <c r="L19" i="28"/>
  <c r="I18" i="43" s="1"/>
  <c r="L18" i="28"/>
  <c r="I17" i="43" s="1"/>
  <c r="L17" i="28"/>
  <c r="I16" i="43" s="1"/>
  <c r="L14" i="28"/>
  <c r="I13" i="43" s="1"/>
  <c r="L15" i="28"/>
  <c r="I14" i="43" s="1"/>
  <c r="L16" i="28"/>
  <c r="I15" i="43" s="1"/>
  <c r="L12" i="28"/>
  <c r="I12" i="43" s="1"/>
  <c r="L11" i="28"/>
  <c r="I11" i="43" s="1"/>
  <c r="L10" i="28"/>
  <c r="I10" i="43" s="1"/>
  <c r="L9" i="28"/>
  <c r="I9" i="43" s="1"/>
  <c r="L8" i="28"/>
  <c r="I8" i="43" s="1"/>
  <c r="A121" i="41"/>
  <c r="B121" i="41"/>
  <c r="C121" i="41"/>
  <c r="D121" i="41"/>
  <c r="E121" i="41"/>
  <c r="F121" i="41"/>
  <c r="G121" i="41"/>
  <c r="A122" i="41"/>
  <c r="B122" i="41"/>
  <c r="C122" i="41"/>
  <c r="D122" i="41"/>
  <c r="E122" i="41"/>
  <c r="F122" i="41"/>
  <c r="G122" i="41"/>
  <c r="A123" i="41"/>
  <c r="B123" i="41"/>
  <c r="C123" i="41"/>
  <c r="D123" i="41"/>
  <c r="E123" i="41"/>
  <c r="F123" i="41"/>
  <c r="G123" i="41"/>
  <c r="A124" i="41"/>
  <c r="B124" i="41"/>
  <c r="C124" i="41"/>
  <c r="D124" i="41"/>
  <c r="E124" i="41"/>
  <c r="F124" i="41"/>
  <c r="G124" i="41"/>
  <c r="A125" i="41"/>
  <c r="B125" i="41"/>
  <c r="C125" i="41"/>
  <c r="D125" i="41"/>
  <c r="E125" i="41"/>
  <c r="F125" i="41"/>
  <c r="G125" i="41"/>
  <c r="A126" i="41"/>
  <c r="B124" i="35"/>
  <c r="C124" i="35"/>
  <c r="D124" i="35"/>
  <c r="E124" i="35"/>
  <c r="G124" i="35"/>
  <c r="H124" i="35"/>
  <c r="I124" i="35"/>
  <c r="J124" i="35"/>
  <c r="K124" i="35"/>
  <c r="L124" i="35"/>
  <c r="M124" i="35"/>
  <c r="N124" i="35"/>
  <c r="O124" i="35"/>
  <c r="P124" i="35"/>
  <c r="B125" i="35"/>
  <c r="C125" i="35"/>
  <c r="D125" i="35"/>
  <c r="E125" i="35"/>
  <c r="G125" i="35"/>
  <c r="H125" i="35"/>
  <c r="I125" i="35"/>
  <c r="J125" i="35"/>
  <c r="K125" i="35"/>
  <c r="L125" i="35"/>
  <c r="M125" i="35"/>
  <c r="N125" i="35"/>
  <c r="O125" i="35"/>
  <c r="P125" i="35"/>
  <c r="B126" i="35"/>
  <c r="C126" i="35"/>
  <c r="D126" i="35"/>
  <c r="E126" i="35"/>
  <c r="G126" i="35"/>
  <c r="H126" i="35"/>
  <c r="I126" i="35"/>
  <c r="J126" i="35"/>
  <c r="K126" i="35"/>
  <c r="L126" i="35"/>
  <c r="M126" i="35"/>
  <c r="N126" i="35"/>
  <c r="O126" i="35"/>
  <c r="P126" i="35"/>
  <c r="A124" i="35"/>
  <c r="A125" i="35"/>
  <c r="A126" i="35"/>
  <c r="A127" i="35"/>
  <c r="I20" i="43" l="1"/>
  <c r="I21" i="43"/>
  <c r="P24" i="42"/>
  <c r="P20" i="42"/>
  <c r="P21" i="42"/>
  <c r="P22" i="42"/>
  <c r="P23" i="42"/>
  <c r="Q21" i="42"/>
  <c r="Q22" i="42"/>
  <c r="Q23" i="42"/>
  <c r="Q24" i="42"/>
  <c r="Q20" i="42"/>
  <c r="O21" i="42"/>
  <c r="O22" i="42"/>
  <c r="O23" i="42"/>
  <c r="O24" i="42"/>
  <c r="O20" i="42"/>
  <c r="L20" i="42"/>
  <c r="G22" i="42"/>
  <c r="L21" i="42"/>
  <c r="G23" i="42"/>
  <c r="G24" i="42"/>
  <c r="L24" i="42"/>
  <c r="L22" i="42"/>
  <c r="L23" i="42"/>
  <c r="G21" i="42"/>
  <c r="N22" i="42"/>
  <c r="N21" i="42"/>
  <c r="N23" i="42"/>
  <c r="N24" i="42"/>
  <c r="N20" i="42"/>
  <c r="K21" i="42"/>
  <c r="K22" i="42"/>
  <c r="K24" i="42"/>
  <c r="K23" i="42"/>
  <c r="K20" i="42"/>
  <c r="J23" i="42"/>
  <c r="J24" i="42"/>
  <c r="J20" i="42"/>
  <c r="J22" i="42"/>
  <c r="J21" i="42"/>
  <c r="I22" i="42"/>
  <c r="I21" i="42"/>
  <c r="I20" i="42"/>
  <c r="I23" i="42"/>
  <c r="I24" i="42"/>
  <c r="H20" i="42"/>
  <c r="G20" i="42"/>
  <c r="L6" i="42"/>
  <c r="L14" i="42" s="1"/>
  <c r="L15" i="42" s="1"/>
  <c r="L16" i="42" s="1"/>
  <c r="L17" i="42" s="1"/>
  <c r="M6" i="42"/>
  <c r="M14" i="42" s="1"/>
  <c r="Q14" i="42"/>
  <c r="Q15" i="42" s="1"/>
  <c r="Q16" i="42" s="1"/>
  <c r="Q17" i="42" s="1"/>
  <c r="K14" i="42"/>
  <c r="K15" i="42" s="1"/>
  <c r="K16" i="42" s="1"/>
  <c r="K17" i="42" s="1"/>
  <c r="N6" i="42"/>
  <c r="N13" i="42" s="1"/>
  <c r="G14" i="42"/>
  <c r="G15" i="42" s="1"/>
  <c r="G16" i="42" s="1"/>
  <c r="G17" i="42" s="1"/>
  <c r="I14" i="42"/>
  <c r="I15" i="42" s="1"/>
  <c r="I16" i="42" s="1"/>
  <c r="I17" i="42" s="1"/>
  <c r="J14" i="42"/>
  <c r="J15" i="42" s="1"/>
  <c r="J16" i="42" s="1"/>
  <c r="J17" i="42" s="1"/>
  <c r="L13" i="42"/>
  <c r="H14" i="42"/>
  <c r="O6" i="42"/>
  <c r="K13" i="42"/>
  <c r="P6" i="42"/>
  <c r="O7" i="42"/>
  <c r="G139" i="41"/>
  <c r="J140" i="35"/>
  <c r="C139" i="41"/>
  <c r="M140" i="35"/>
  <c r="O140" i="35"/>
  <c r="P140" i="35"/>
  <c r="I140" i="35"/>
  <c r="F140" i="35"/>
  <c r="H140" i="35"/>
  <c r="N140" i="35"/>
  <c r="E140" i="35"/>
  <c r="G140" i="35"/>
  <c r="L140" i="35"/>
  <c r="D140" i="35"/>
  <c r="K140" i="35"/>
  <c r="C140" i="35"/>
  <c r="B140" i="35"/>
  <c r="A122" i="35"/>
  <c r="B122" i="35"/>
  <c r="C122" i="35"/>
  <c r="D122" i="35"/>
  <c r="E122" i="35"/>
  <c r="G122" i="35"/>
  <c r="H122" i="35"/>
  <c r="I122" i="35"/>
  <c r="J122" i="35"/>
  <c r="K122" i="35"/>
  <c r="L122" i="35"/>
  <c r="M122" i="35"/>
  <c r="N122" i="35"/>
  <c r="O122" i="35"/>
  <c r="P122" i="35"/>
  <c r="A123" i="35"/>
  <c r="B123" i="35"/>
  <c r="C123" i="35"/>
  <c r="D123" i="35"/>
  <c r="E123" i="35"/>
  <c r="G123" i="35"/>
  <c r="H123" i="35"/>
  <c r="I123" i="35"/>
  <c r="J123" i="35"/>
  <c r="K123" i="35"/>
  <c r="L123" i="35"/>
  <c r="M123" i="35"/>
  <c r="N123" i="35"/>
  <c r="O123" i="35"/>
  <c r="P123" i="35"/>
  <c r="A120" i="41"/>
  <c r="B120" i="41"/>
  <c r="C120" i="41"/>
  <c r="D120" i="41"/>
  <c r="E120" i="41"/>
  <c r="F120" i="41"/>
  <c r="G120" i="41"/>
  <c r="B121" i="35"/>
  <c r="C121" i="35"/>
  <c r="D121" i="35"/>
  <c r="E121" i="35"/>
  <c r="G121" i="35"/>
  <c r="H121" i="35"/>
  <c r="I121" i="35"/>
  <c r="J121" i="35"/>
  <c r="K121" i="35"/>
  <c r="L121" i="35"/>
  <c r="M121" i="35"/>
  <c r="N121" i="35"/>
  <c r="O121" i="35"/>
  <c r="P121" i="35"/>
  <c r="A121" i="35"/>
  <c r="A118" i="41"/>
  <c r="B118" i="41"/>
  <c r="C118" i="41"/>
  <c r="D118" i="41"/>
  <c r="E118" i="41"/>
  <c r="F118" i="41"/>
  <c r="G118" i="41"/>
  <c r="A119" i="41"/>
  <c r="B119" i="41"/>
  <c r="C119" i="41"/>
  <c r="D119" i="41"/>
  <c r="E119" i="41"/>
  <c r="F119" i="41"/>
  <c r="G119" i="41"/>
  <c r="A120" i="35"/>
  <c r="A119" i="35"/>
  <c r="B119" i="35"/>
  <c r="C119" i="35"/>
  <c r="D119" i="35"/>
  <c r="E119" i="35"/>
  <c r="G119" i="35"/>
  <c r="H119" i="35"/>
  <c r="I119" i="35"/>
  <c r="J119" i="35"/>
  <c r="K119" i="35"/>
  <c r="L119" i="35"/>
  <c r="M119" i="35"/>
  <c r="N119" i="35"/>
  <c r="O119" i="35"/>
  <c r="P119" i="35"/>
  <c r="K120" i="35"/>
  <c r="G120" i="35"/>
  <c r="O120" i="35"/>
  <c r="F6" i="7"/>
  <c r="I6" i="5"/>
  <c r="G30" i="40"/>
  <c r="E31" i="40"/>
  <c r="G31" i="40" s="1"/>
  <c r="A109" i="41"/>
  <c r="B109" i="41"/>
  <c r="C109" i="41"/>
  <c r="D109" i="41"/>
  <c r="E109" i="41"/>
  <c r="F109" i="41"/>
  <c r="G109" i="41"/>
  <c r="A110" i="41"/>
  <c r="B110" i="41"/>
  <c r="C110" i="41"/>
  <c r="D110" i="41"/>
  <c r="E110" i="41"/>
  <c r="F110" i="41"/>
  <c r="G110" i="41"/>
  <c r="A111" i="41"/>
  <c r="B111" i="41"/>
  <c r="C111" i="41"/>
  <c r="D111" i="41"/>
  <c r="E111" i="41"/>
  <c r="F111" i="41"/>
  <c r="G111" i="41"/>
  <c r="A112" i="41"/>
  <c r="B112" i="41"/>
  <c r="C112" i="41"/>
  <c r="D112" i="41"/>
  <c r="E112" i="41"/>
  <c r="F112" i="41"/>
  <c r="G112" i="41"/>
  <c r="A113" i="41"/>
  <c r="B113" i="41"/>
  <c r="C113" i="41"/>
  <c r="D113" i="41"/>
  <c r="E113" i="41"/>
  <c r="F113" i="41"/>
  <c r="G113" i="41"/>
  <c r="A114" i="41"/>
  <c r="B114" i="41"/>
  <c r="C114" i="41"/>
  <c r="D114" i="41"/>
  <c r="E114" i="41"/>
  <c r="F114" i="41"/>
  <c r="G114" i="41"/>
  <c r="A115" i="41"/>
  <c r="B115" i="41"/>
  <c r="C115" i="41"/>
  <c r="D115" i="41"/>
  <c r="E115" i="41"/>
  <c r="F115" i="41"/>
  <c r="G115" i="41"/>
  <c r="A116" i="41"/>
  <c r="B116" i="41"/>
  <c r="C116" i="41"/>
  <c r="D116" i="41"/>
  <c r="E116" i="41"/>
  <c r="F116" i="41"/>
  <c r="G116" i="41"/>
  <c r="A117" i="41"/>
  <c r="B117" i="41"/>
  <c r="C117" i="41"/>
  <c r="D117" i="41"/>
  <c r="E117" i="41"/>
  <c r="F117" i="41"/>
  <c r="G117" i="41"/>
  <c r="A117" i="35"/>
  <c r="B117" i="35"/>
  <c r="C117" i="35"/>
  <c r="D117" i="35"/>
  <c r="E117" i="35"/>
  <c r="G117" i="35"/>
  <c r="H117" i="35"/>
  <c r="I117" i="35"/>
  <c r="J117" i="35"/>
  <c r="K117" i="35"/>
  <c r="L117" i="35"/>
  <c r="M117" i="35"/>
  <c r="N117" i="35"/>
  <c r="O117" i="35"/>
  <c r="P117" i="35"/>
  <c r="A118" i="35"/>
  <c r="J118" i="35"/>
  <c r="O118" i="35"/>
  <c r="A115" i="35"/>
  <c r="B115" i="35"/>
  <c r="C115" i="35"/>
  <c r="D115" i="35"/>
  <c r="E115" i="35"/>
  <c r="G115" i="35"/>
  <c r="H115" i="35"/>
  <c r="I115" i="35"/>
  <c r="J115" i="35"/>
  <c r="K115" i="35"/>
  <c r="L115" i="35"/>
  <c r="M115" i="35"/>
  <c r="N115" i="35"/>
  <c r="O115" i="35"/>
  <c r="P115" i="35"/>
  <c r="A116" i="35"/>
  <c r="A113" i="35"/>
  <c r="B113" i="35"/>
  <c r="C113" i="35"/>
  <c r="D113" i="35"/>
  <c r="E113" i="35"/>
  <c r="G113" i="35"/>
  <c r="H113" i="35"/>
  <c r="I113" i="35"/>
  <c r="J113" i="35"/>
  <c r="K113" i="35"/>
  <c r="L113" i="35"/>
  <c r="M113" i="35"/>
  <c r="N113" i="35"/>
  <c r="O113" i="35"/>
  <c r="P113" i="35"/>
  <c r="A114" i="35"/>
  <c r="B114" i="35"/>
  <c r="C114" i="35"/>
  <c r="D114" i="35"/>
  <c r="E114" i="35"/>
  <c r="G114" i="35"/>
  <c r="H114" i="35"/>
  <c r="I114" i="35"/>
  <c r="J114" i="35"/>
  <c r="K114" i="35"/>
  <c r="L114" i="35"/>
  <c r="M114" i="35"/>
  <c r="N114" i="35"/>
  <c r="O114" i="35"/>
  <c r="P114" i="35"/>
  <c r="M116" i="35"/>
  <c r="O116" i="35"/>
  <c r="P116" i="35"/>
  <c r="A110" i="35"/>
  <c r="B110" i="35"/>
  <c r="C110" i="35"/>
  <c r="D110" i="35"/>
  <c r="E110" i="35"/>
  <c r="G110" i="35"/>
  <c r="H110" i="35"/>
  <c r="I110" i="35"/>
  <c r="J110" i="35"/>
  <c r="K110" i="35"/>
  <c r="L110" i="35"/>
  <c r="M110" i="35"/>
  <c r="N110" i="35"/>
  <c r="O110" i="35"/>
  <c r="P110" i="35"/>
  <c r="A111" i="35"/>
  <c r="B111" i="35"/>
  <c r="C111" i="35"/>
  <c r="D111" i="35"/>
  <c r="E111" i="35"/>
  <c r="G111" i="35"/>
  <c r="H111" i="35"/>
  <c r="I111" i="35"/>
  <c r="J111" i="35"/>
  <c r="K111" i="35"/>
  <c r="L111" i="35"/>
  <c r="M111" i="35"/>
  <c r="N111" i="35"/>
  <c r="O111" i="35"/>
  <c r="P111" i="35"/>
  <c r="A112" i="35"/>
  <c r="C112" i="35"/>
  <c r="D112" i="35"/>
  <c r="E112" i="35"/>
  <c r="H112" i="35"/>
  <c r="N112" i="35"/>
  <c r="O112" i="35"/>
  <c r="H26" i="38"/>
  <c r="I26" i="38" s="1"/>
  <c r="H27" i="38"/>
  <c r="I27" i="38" s="1"/>
  <c r="H28" i="38"/>
  <c r="I28" i="38" s="1"/>
  <c r="H29" i="38"/>
  <c r="I29" i="38" s="1"/>
  <c r="H30" i="38"/>
  <c r="I30" i="38" s="1"/>
  <c r="H25" i="38"/>
  <c r="I25" i="38" s="1"/>
  <c r="D26" i="38"/>
  <c r="E26" i="38" s="1"/>
  <c r="D27" i="38"/>
  <c r="E27" i="38" s="1"/>
  <c r="D28" i="38"/>
  <c r="E28" i="38" s="1"/>
  <c r="D29" i="38"/>
  <c r="E29" i="38" s="1"/>
  <c r="D25" i="38"/>
  <c r="E25" i="38" s="1"/>
  <c r="H10" i="38"/>
  <c r="H11" i="38"/>
  <c r="H12" i="38"/>
  <c r="H13" i="38"/>
  <c r="H14" i="38"/>
  <c r="H9" i="38"/>
  <c r="D10" i="38"/>
  <c r="D11" i="38"/>
  <c r="D12" i="38"/>
  <c r="D13" i="38"/>
  <c r="D9" i="38"/>
  <c r="A109" i="35"/>
  <c r="B109" i="35"/>
  <c r="C109" i="35"/>
  <c r="D109" i="35"/>
  <c r="E109" i="35"/>
  <c r="G109" i="35"/>
  <c r="H109" i="35"/>
  <c r="I109" i="35"/>
  <c r="J109" i="35"/>
  <c r="K109" i="35"/>
  <c r="L109" i="35"/>
  <c r="M109" i="35"/>
  <c r="N109" i="35"/>
  <c r="O109" i="35"/>
  <c r="P109" i="35"/>
  <c r="A108" i="41"/>
  <c r="A106" i="41"/>
  <c r="B106" i="41"/>
  <c r="C106" i="41"/>
  <c r="D106" i="41"/>
  <c r="E106" i="41"/>
  <c r="F106" i="41"/>
  <c r="G106" i="41"/>
  <c r="A107" i="41"/>
  <c r="B107" i="41"/>
  <c r="C107" i="41"/>
  <c r="D107" i="41"/>
  <c r="E107" i="41"/>
  <c r="F107" i="41"/>
  <c r="G107" i="41"/>
  <c r="F108" i="41"/>
  <c r="E32" i="40" l="1"/>
  <c r="E33" i="40" s="1"/>
  <c r="E34" i="40" s="1"/>
  <c r="G34" i="40" s="1"/>
  <c r="H15" i="42"/>
  <c r="H21" i="42"/>
  <c r="M15" i="42"/>
  <c r="M21" i="42"/>
  <c r="M13" i="42"/>
  <c r="M20" i="42" s="1"/>
  <c r="G33" i="40"/>
  <c r="G32" i="40"/>
  <c r="N14" i="42"/>
  <c r="N15" i="42" s="1"/>
  <c r="N16" i="42" s="1"/>
  <c r="N17" i="42" s="1"/>
  <c r="O13" i="42"/>
  <c r="O14" i="42"/>
  <c r="O15" i="42" s="1"/>
  <c r="O16" i="42" s="1"/>
  <c r="O17" i="42" s="1"/>
  <c r="P13" i="42"/>
  <c r="P14" i="42"/>
  <c r="P15" i="42" s="1"/>
  <c r="P16" i="42" s="1"/>
  <c r="P17" i="42" s="1"/>
  <c r="F126" i="41"/>
  <c r="B126" i="41"/>
  <c r="G126" i="41"/>
  <c r="C126" i="41"/>
  <c r="D126" i="41"/>
  <c r="J127" i="35"/>
  <c r="G127" i="35"/>
  <c r="H127" i="35"/>
  <c r="M127" i="35"/>
  <c r="O127" i="35"/>
  <c r="P127" i="35"/>
  <c r="C127" i="35"/>
  <c r="D127" i="35"/>
  <c r="E127" i="35"/>
  <c r="N127" i="35"/>
  <c r="E126" i="41"/>
  <c r="I127" i="35"/>
  <c r="K127" i="35"/>
  <c r="L127" i="35"/>
  <c r="B127" i="35"/>
  <c r="I120" i="35"/>
  <c r="H120" i="35"/>
  <c r="B120" i="35"/>
  <c r="P120" i="35"/>
  <c r="E120" i="35"/>
  <c r="N120" i="35"/>
  <c r="D120" i="35"/>
  <c r="M120" i="35"/>
  <c r="C120" i="35"/>
  <c r="J120" i="35"/>
  <c r="L120" i="35"/>
  <c r="G118" i="35"/>
  <c r="I118" i="35"/>
  <c r="H118" i="35"/>
  <c r="P118" i="35"/>
  <c r="D118" i="35"/>
  <c r="C118" i="35"/>
  <c r="N118" i="35"/>
  <c r="M118" i="35"/>
  <c r="E118" i="35"/>
  <c r="L118" i="35"/>
  <c r="K118" i="35"/>
  <c r="B118" i="35"/>
  <c r="I116" i="35"/>
  <c r="G116" i="35"/>
  <c r="H116" i="35"/>
  <c r="J116" i="35"/>
  <c r="E116" i="35"/>
  <c r="D116" i="35"/>
  <c r="C116" i="35"/>
  <c r="N116" i="35"/>
  <c r="L116" i="35"/>
  <c r="K116" i="35"/>
  <c r="B116" i="35"/>
  <c r="P112" i="35"/>
  <c r="I112" i="35"/>
  <c r="G112" i="35"/>
  <c r="M112" i="35"/>
  <c r="K112" i="35"/>
  <c r="L112" i="35"/>
  <c r="J112" i="35"/>
  <c r="B112" i="35"/>
  <c r="I32" i="38"/>
  <c r="E32" i="38"/>
  <c r="E108" i="41"/>
  <c r="D108" i="41"/>
  <c r="G108" i="41"/>
  <c r="B108" i="41"/>
  <c r="C108" i="41"/>
  <c r="M16" i="42" l="1"/>
  <c r="M22" i="42"/>
  <c r="H16" i="42"/>
  <c r="H22" i="42"/>
  <c r="A107" i="35"/>
  <c r="B107" i="35"/>
  <c r="C107" i="35"/>
  <c r="D107" i="35"/>
  <c r="E107" i="35"/>
  <c r="G107" i="35"/>
  <c r="H107" i="35"/>
  <c r="I107" i="35"/>
  <c r="J107" i="35"/>
  <c r="K107" i="35"/>
  <c r="L107" i="35"/>
  <c r="M107" i="35"/>
  <c r="N107" i="35"/>
  <c r="O107" i="35"/>
  <c r="P107" i="35"/>
  <c r="A108" i="35"/>
  <c r="B108" i="35"/>
  <c r="C108" i="35"/>
  <c r="D108" i="35"/>
  <c r="E108" i="35"/>
  <c r="G108" i="35"/>
  <c r="H108" i="35"/>
  <c r="I108" i="35"/>
  <c r="J108" i="35"/>
  <c r="K108" i="35"/>
  <c r="L108" i="35"/>
  <c r="M108" i="35"/>
  <c r="N108" i="35"/>
  <c r="O108" i="35"/>
  <c r="P108" i="35"/>
  <c r="H17" i="42" l="1"/>
  <c r="H24" i="42" s="1"/>
  <c r="H23" i="42"/>
  <c r="M17" i="42"/>
  <c r="M24" i="42" s="1"/>
  <c r="M23" i="42"/>
  <c r="A99" i="41"/>
  <c r="B99" i="41"/>
  <c r="C99" i="41"/>
  <c r="D99" i="41"/>
  <c r="E99" i="41"/>
  <c r="F99" i="41"/>
  <c r="G99" i="41"/>
  <c r="A100" i="41"/>
  <c r="B100" i="41"/>
  <c r="C100" i="41"/>
  <c r="D100" i="41"/>
  <c r="E100" i="41"/>
  <c r="F100" i="41"/>
  <c r="G100" i="41"/>
  <c r="A101" i="41"/>
  <c r="B101" i="41"/>
  <c r="C101" i="41"/>
  <c r="D101" i="41"/>
  <c r="E101" i="41"/>
  <c r="F101" i="41"/>
  <c r="G101" i="41"/>
  <c r="A102" i="41"/>
  <c r="B102" i="41"/>
  <c r="C102" i="41"/>
  <c r="D102" i="41"/>
  <c r="E102" i="41"/>
  <c r="F102" i="41"/>
  <c r="G102" i="41"/>
  <c r="A103" i="41"/>
  <c r="B103" i="41"/>
  <c r="C103" i="41"/>
  <c r="D103" i="41"/>
  <c r="E103" i="41"/>
  <c r="F103" i="41"/>
  <c r="G103" i="41"/>
  <c r="A104" i="41"/>
  <c r="B104" i="41"/>
  <c r="C104" i="41"/>
  <c r="D104" i="41"/>
  <c r="E104" i="41"/>
  <c r="F104" i="41"/>
  <c r="G104" i="41"/>
  <c r="A105" i="41"/>
  <c r="B105" i="41"/>
  <c r="C105" i="41"/>
  <c r="D105" i="41"/>
  <c r="E105" i="41"/>
  <c r="F105" i="41"/>
  <c r="G105" i="41"/>
  <c r="A105" i="35"/>
  <c r="B105" i="35"/>
  <c r="C105" i="35"/>
  <c r="D105" i="35"/>
  <c r="E105" i="35"/>
  <c r="G105" i="35"/>
  <c r="H105" i="35"/>
  <c r="I105" i="35"/>
  <c r="J105" i="35"/>
  <c r="K105" i="35"/>
  <c r="L105" i="35"/>
  <c r="M105" i="35"/>
  <c r="N105" i="35"/>
  <c r="O105" i="35"/>
  <c r="P105" i="35"/>
  <c r="A106" i="35"/>
  <c r="B106" i="35"/>
  <c r="C106" i="35"/>
  <c r="D106" i="35"/>
  <c r="E106" i="35"/>
  <c r="G106" i="35"/>
  <c r="H106" i="35"/>
  <c r="I106" i="35"/>
  <c r="J106" i="35"/>
  <c r="K106" i="35"/>
  <c r="L106" i="35"/>
  <c r="M106" i="35"/>
  <c r="N106" i="35"/>
  <c r="O106" i="35"/>
  <c r="P106" i="35"/>
  <c r="O10" i="35"/>
  <c r="O11" i="35"/>
  <c r="O12" i="35"/>
  <c r="O13" i="35"/>
  <c r="O14" i="35"/>
  <c r="O15" i="35"/>
  <c r="O16" i="35"/>
  <c r="O17" i="35"/>
  <c r="O18" i="35"/>
  <c r="O19" i="35"/>
  <c r="O20" i="35"/>
  <c r="O21" i="35"/>
  <c r="O22" i="35"/>
  <c r="O23" i="35"/>
  <c r="O24" i="35"/>
  <c r="O25" i="35"/>
  <c r="O26" i="35"/>
  <c r="O27" i="35"/>
  <c r="O28" i="35"/>
  <c r="O29" i="35"/>
  <c r="O30" i="35"/>
  <c r="O31" i="35"/>
  <c r="O32" i="35"/>
  <c r="O33" i="35"/>
  <c r="O34" i="35"/>
  <c r="O35" i="35"/>
  <c r="O36" i="35"/>
  <c r="O37" i="35"/>
  <c r="O38" i="35"/>
  <c r="O39" i="35"/>
  <c r="O40" i="35"/>
  <c r="O41" i="35"/>
  <c r="O42" i="35"/>
  <c r="O43" i="35"/>
  <c r="O44" i="35"/>
  <c r="O45" i="35"/>
  <c r="O46" i="35"/>
  <c r="O47" i="35"/>
  <c r="O48" i="35"/>
  <c r="O49" i="35"/>
  <c r="O50" i="35"/>
  <c r="O51" i="35"/>
  <c r="O52" i="35"/>
  <c r="O53" i="35"/>
  <c r="O54" i="35"/>
  <c r="O55" i="35"/>
  <c r="O56" i="35"/>
  <c r="O57" i="35"/>
  <c r="O58" i="35"/>
  <c r="O59" i="35"/>
  <c r="O60" i="35"/>
  <c r="O61" i="35"/>
  <c r="O62" i="35"/>
  <c r="O63" i="35"/>
  <c r="O64" i="35"/>
  <c r="O65" i="35"/>
  <c r="O66" i="35"/>
  <c r="O67" i="35"/>
  <c r="O68" i="35"/>
  <c r="O69" i="35"/>
  <c r="O70" i="35"/>
  <c r="O71" i="35"/>
  <c r="O72" i="35"/>
  <c r="O73" i="35"/>
  <c r="O74" i="35"/>
  <c r="O75" i="35"/>
  <c r="O76" i="35"/>
  <c r="O77" i="35"/>
  <c r="O78" i="35"/>
  <c r="O79" i="35"/>
  <c r="O80" i="35"/>
  <c r="O81" i="35"/>
  <c r="O82" i="35"/>
  <c r="O84" i="35"/>
  <c r="O85" i="35"/>
  <c r="O86" i="35"/>
  <c r="O87" i="35"/>
  <c r="O88" i="35"/>
  <c r="O89" i="35"/>
  <c r="O90" i="35"/>
  <c r="O91" i="35"/>
  <c r="O92" i="35"/>
  <c r="O93" i="35"/>
  <c r="O94" i="35"/>
  <c r="O95" i="35"/>
  <c r="O96" i="35"/>
  <c r="O97" i="35"/>
  <c r="O98" i="35"/>
  <c r="O99" i="35"/>
  <c r="O100" i="35"/>
  <c r="O101" i="35"/>
  <c r="O102" i="35"/>
  <c r="O103" i="35"/>
  <c r="O9" i="35"/>
  <c r="A104" i="35"/>
  <c r="L104" i="35"/>
  <c r="G104" i="35"/>
  <c r="I104" i="35"/>
  <c r="A103" i="35"/>
  <c r="J103" i="35"/>
  <c r="A102" i="35"/>
  <c r="B102" i="35"/>
  <c r="C102" i="35"/>
  <c r="D102" i="35"/>
  <c r="E102" i="35"/>
  <c r="G102" i="35"/>
  <c r="H102" i="35"/>
  <c r="I102" i="35"/>
  <c r="J102" i="35"/>
  <c r="K102" i="35"/>
  <c r="L102" i="35"/>
  <c r="M102" i="35"/>
  <c r="N102" i="35"/>
  <c r="P102" i="35"/>
  <c r="A101" i="35"/>
  <c r="A100" i="35"/>
  <c r="B100" i="35"/>
  <c r="C100" i="35"/>
  <c r="D100" i="35"/>
  <c r="E100" i="35"/>
  <c r="G100" i="35"/>
  <c r="H100" i="35"/>
  <c r="I100" i="35"/>
  <c r="J100" i="35"/>
  <c r="K100" i="35"/>
  <c r="L100" i="35"/>
  <c r="M100" i="35"/>
  <c r="N100" i="35"/>
  <c r="P100" i="35"/>
  <c r="A99" i="35"/>
  <c r="B99" i="35"/>
  <c r="C99" i="35"/>
  <c r="D99" i="35"/>
  <c r="E99" i="35"/>
  <c r="G99" i="35"/>
  <c r="H99" i="35"/>
  <c r="I99" i="35"/>
  <c r="J99" i="35"/>
  <c r="K99" i="35"/>
  <c r="L99" i="35"/>
  <c r="M99" i="35"/>
  <c r="N99" i="35"/>
  <c r="P99" i="35"/>
  <c r="A98" i="41"/>
  <c r="B98" i="41"/>
  <c r="C98" i="41"/>
  <c r="D98" i="41"/>
  <c r="E98" i="41"/>
  <c r="F98" i="41"/>
  <c r="G98" i="41"/>
  <c r="I10" i="38"/>
  <c r="I11" i="38"/>
  <c r="I12" i="38"/>
  <c r="I13" i="38"/>
  <c r="I14" i="38"/>
  <c r="I9" i="38"/>
  <c r="A97" i="41"/>
  <c r="B97" i="41"/>
  <c r="C97" i="41"/>
  <c r="D97" i="41"/>
  <c r="E97" i="41"/>
  <c r="F97" i="41"/>
  <c r="G97" i="41"/>
  <c r="A98" i="35"/>
  <c r="B98" i="35"/>
  <c r="C98" i="35"/>
  <c r="D98" i="35"/>
  <c r="E98" i="35"/>
  <c r="G98" i="35"/>
  <c r="H98" i="35"/>
  <c r="I98" i="35"/>
  <c r="J98" i="35"/>
  <c r="K98" i="35"/>
  <c r="L98" i="35"/>
  <c r="M98" i="35"/>
  <c r="N98" i="35"/>
  <c r="P98" i="35"/>
  <c r="A94" i="41"/>
  <c r="B94" i="41"/>
  <c r="C94" i="41"/>
  <c r="D94" i="41"/>
  <c r="E94" i="41"/>
  <c r="F94" i="41"/>
  <c r="G94" i="41"/>
  <c r="A95" i="41"/>
  <c r="B95" i="41"/>
  <c r="C95" i="41"/>
  <c r="D95" i="41"/>
  <c r="E95" i="41"/>
  <c r="F95" i="41"/>
  <c r="G95" i="41"/>
  <c r="A96" i="41"/>
  <c r="B96" i="41"/>
  <c r="C96" i="41"/>
  <c r="D96" i="41"/>
  <c r="E96" i="41"/>
  <c r="F96" i="41"/>
  <c r="G96" i="41"/>
  <c r="A96" i="35"/>
  <c r="B96" i="35"/>
  <c r="C96" i="35"/>
  <c r="D96" i="35"/>
  <c r="E96" i="35"/>
  <c r="G96" i="35"/>
  <c r="H96" i="35"/>
  <c r="I96" i="35"/>
  <c r="J96" i="35"/>
  <c r="K96" i="35"/>
  <c r="L96" i="35"/>
  <c r="M96" i="35"/>
  <c r="N96" i="35"/>
  <c r="P96" i="35"/>
  <c r="A97" i="35"/>
  <c r="B97" i="35"/>
  <c r="C97" i="35"/>
  <c r="D97" i="35"/>
  <c r="E97" i="35"/>
  <c r="G97" i="35"/>
  <c r="H97" i="35"/>
  <c r="I97" i="35"/>
  <c r="J97" i="35"/>
  <c r="K97" i="35"/>
  <c r="L97" i="35"/>
  <c r="M97" i="35"/>
  <c r="N97" i="35"/>
  <c r="P97" i="35"/>
  <c r="A95" i="35"/>
  <c r="B95" i="35"/>
  <c r="C95" i="35"/>
  <c r="D95" i="35"/>
  <c r="E95" i="35"/>
  <c r="G95" i="35"/>
  <c r="H95" i="35"/>
  <c r="I95" i="35"/>
  <c r="J95" i="35"/>
  <c r="K95" i="35"/>
  <c r="L95" i="35"/>
  <c r="M95" i="35"/>
  <c r="N95" i="35"/>
  <c r="P95" i="35"/>
  <c r="A93" i="41"/>
  <c r="A94" i="35"/>
  <c r="A92" i="41"/>
  <c r="A93" i="35"/>
  <c r="G92" i="41"/>
  <c r="E92" i="41"/>
  <c r="AF11" i="7"/>
  <c r="A91" i="41"/>
  <c r="B91" i="41"/>
  <c r="C91" i="41"/>
  <c r="D91" i="41"/>
  <c r="E91" i="41"/>
  <c r="F91" i="41"/>
  <c r="G91" i="41"/>
  <c r="I16" i="38" l="1"/>
  <c r="O104" i="35"/>
  <c r="K104" i="35"/>
  <c r="H104" i="35"/>
  <c r="J104" i="35"/>
  <c r="P104" i="35"/>
  <c r="E104" i="35"/>
  <c r="N104" i="35"/>
  <c r="D104" i="35"/>
  <c r="M104" i="35"/>
  <c r="C104" i="35"/>
  <c r="B104" i="35"/>
  <c r="I103" i="35"/>
  <c r="G103" i="35"/>
  <c r="H103" i="35"/>
  <c r="M103" i="35"/>
  <c r="E103" i="35"/>
  <c r="P103" i="35"/>
  <c r="D103" i="35"/>
  <c r="C103" i="35"/>
  <c r="N103" i="35"/>
  <c r="B103" i="35"/>
  <c r="L103" i="35"/>
  <c r="K103" i="35"/>
  <c r="L101" i="35"/>
  <c r="K101" i="35"/>
  <c r="M101" i="35"/>
  <c r="H101" i="35"/>
  <c r="G101" i="35"/>
  <c r="J101" i="35"/>
  <c r="B101" i="35"/>
  <c r="P101" i="35"/>
  <c r="E101" i="35"/>
  <c r="N101" i="35"/>
  <c r="D101" i="35"/>
  <c r="C101" i="35"/>
  <c r="I101" i="35"/>
  <c r="C93" i="41"/>
  <c r="E94" i="35"/>
  <c r="N94" i="35"/>
  <c r="F93" i="41"/>
  <c r="I94" i="35"/>
  <c r="G93" i="41"/>
  <c r="J94" i="35"/>
  <c r="K94" i="35"/>
  <c r="B93" i="41"/>
  <c r="B94" i="35"/>
  <c r="P94" i="35"/>
  <c r="D93" i="41"/>
  <c r="E93" i="41"/>
  <c r="H94" i="35"/>
  <c r="G94" i="35"/>
  <c r="M94" i="35"/>
  <c r="D94" i="35"/>
  <c r="C94" i="35"/>
  <c r="L94" i="35"/>
  <c r="F92" i="41"/>
  <c r="D92" i="41"/>
  <c r="C92" i="41"/>
  <c r="B92" i="41"/>
  <c r="G93" i="35"/>
  <c r="I93" i="35"/>
  <c r="H93" i="35"/>
  <c r="C93" i="35"/>
  <c r="J93" i="35"/>
  <c r="M93" i="35"/>
  <c r="E93" i="35"/>
  <c r="P93" i="35"/>
  <c r="D93" i="35"/>
  <c r="N93" i="35"/>
  <c r="L93" i="35"/>
  <c r="K93" i="35"/>
  <c r="B93" i="35"/>
  <c r="A92" i="35"/>
  <c r="B92" i="35"/>
  <c r="C92" i="35"/>
  <c r="D92" i="35"/>
  <c r="H92" i="35"/>
  <c r="J92" i="35"/>
  <c r="K92" i="35"/>
  <c r="L92" i="35"/>
  <c r="M92" i="35"/>
  <c r="I92" i="35"/>
  <c r="N92" i="35"/>
  <c r="A88" i="41"/>
  <c r="B88" i="41"/>
  <c r="C88" i="41"/>
  <c r="D88" i="41"/>
  <c r="E88" i="41"/>
  <c r="F88" i="41"/>
  <c r="G88" i="41"/>
  <c r="A89" i="41"/>
  <c r="B89" i="41"/>
  <c r="C89" i="41"/>
  <c r="D89" i="41"/>
  <c r="E89" i="41"/>
  <c r="F89" i="41"/>
  <c r="G89" i="41"/>
  <c r="A90" i="41"/>
  <c r="B90" i="41"/>
  <c r="C90" i="41"/>
  <c r="D90" i="41"/>
  <c r="E90" i="41"/>
  <c r="F90" i="41"/>
  <c r="G90" i="41"/>
  <c r="A82" i="41"/>
  <c r="A83" i="41"/>
  <c r="B83" i="41"/>
  <c r="C83" i="41"/>
  <c r="D83" i="41"/>
  <c r="E83" i="41"/>
  <c r="F83" i="41"/>
  <c r="G83" i="41"/>
  <c r="A84" i="41"/>
  <c r="B84" i="41"/>
  <c r="C84" i="41"/>
  <c r="D84" i="41"/>
  <c r="E84" i="41"/>
  <c r="F84" i="41"/>
  <c r="G84" i="41"/>
  <c r="A85" i="41"/>
  <c r="B85" i="41"/>
  <c r="C85" i="41"/>
  <c r="D85" i="41"/>
  <c r="E85" i="41"/>
  <c r="F85" i="41"/>
  <c r="G85" i="41"/>
  <c r="A86" i="41"/>
  <c r="B86" i="41"/>
  <c r="C86" i="41"/>
  <c r="D86" i="41"/>
  <c r="E86" i="41"/>
  <c r="F86" i="41"/>
  <c r="G86" i="41"/>
  <c r="A87" i="41"/>
  <c r="B87" i="41"/>
  <c r="C87" i="41"/>
  <c r="D87" i="41"/>
  <c r="E87" i="41"/>
  <c r="F87" i="41"/>
  <c r="G87" i="41"/>
  <c r="P5" i="35"/>
  <c r="P6" i="35"/>
  <c r="P7" i="35"/>
  <c r="P8" i="35"/>
  <c r="P9" i="35"/>
  <c r="P10" i="35"/>
  <c r="P11" i="35"/>
  <c r="P12" i="35"/>
  <c r="P13" i="35"/>
  <c r="P14" i="35"/>
  <c r="P15" i="35"/>
  <c r="P16" i="35"/>
  <c r="P17" i="35"/>
  <c r="P18" i="35"/>
  <c r="P19" i="35"/>
  <c r="P20" i="35"/>
  <c r="P21" i="35"/>
  <c r="P22" i="35"/>
  <c r="P23" i="35"/>
  <c r="P24" i="35"/>
  <c r="P25" i="35"/>
  <c r="P26" i="35"/>
  <c r="P27" i="35"/>
  <c r="P28" i="35"/>
  <c r="P29" i="35"/>
  <c r="P30" i="35"/>
  <c r="P31" i="35"/>
  <c r="P32" i="35"/>
  <c r="P33" i="35"/>
  <c r="P34" i="35"/>
  <c r="P35" i="35"/>
  <c r="P36" i="35"/>
  <c r="P37" i="35"/>
  <c r="P38" i="35"/>
  <c r="P39" i="35"/>
  <c r="P40" i="35"/>
  <c r="P41" i="35"/>
  <c r="P42" i="35"/>
  <c r="P43" i="35"/>
  <c r="P44" i="35"/>
  <c r="P45" i="35"/>
  <c r="P46" i="35"/>
  <c r="P47" i="35"/>
  <c r="P48" i="35"/>
  <c r="P49" i="35"/>
  <c r="P50" i="35"/>
  <c r="P51" i="35"/>
  <c r="P52" i="35"/>
  <c r="P53" i="35"/>
  <c r="P54" i="35"/>
  <c r="P55" i="35"/>
  <c r="P56" i="35"/>
  <c r="P57" i="35"/>
  <c r="P58" i="35"/>
  <c r="P59" i="35"/>
  <c r="P60" i="35"/>
  <c r="P61" i="35"/>
  <c r="P62" i="35"/>
  <c r="P63" i="35"/>
  <c r="P64" i="35"/>
  <c r="P65" i="35"/>
  <c r="P66" i="35"/>
  <c r="P67" i="35"/>
  <c r="P68" i="35"/>
  <c r="P69" i="35"/>
  <c r="P70" i="35"/>
  <c r="P71" i="35"/>
  <c r="P72" i="35"/>
  <c r="P73" i="35"/>
  <c r="P74" i="35"/>
  <c r="P76" i="35"/>
  <c r="P77" i="35"/>
  <c r="P78" i="35"/>
  <c r="P79" i="35"/>
  <c r="P80" i="35"/>
  <c r="P81" i="35"/>
  <c r="P82" i="35"/>
  <c r="P84" i="35"/>
  <c r="P85" i="35"/>
  <c r="P86" i="35"/>
  <c r="P87" i="35"/>
  <c r="P88" i="35"/>
  <c r="P89" i="35"/>
  <c r="P90" i="35"/>
  <c r="P91" i="35"/>
  <c r="P4" i="35"/>
  <c r="U6" i="2"/>
  <c r="A90" i="35"/>
  <c r="B90" i="35"/>
  <c r="C90" i="35"/>
  <c r="D90" i="35"/>
  <c r="E90" i="35"/>
  <c r="G90" i="35"/>
  <c r="H90" i="35"/>
  <c r="I90" i="35"/>
  <c r="J90" i="35"/>
  <c r="K90" i="35"/>
  <c r="L90" i="35"/>
  <c r="M90" i="35"/>
  <c r="N90" i="35"/>
  <c r="A91" i="35"/>
  <c r="B91" i="35"/>
  <c r="C91" i="35"/>
  <c r="D91" i="35"/>
  <c r="E91" i="35"/>
  <c r="G91" i="35"/>
  <c r="H91" i="35"/>
  <c r="I91" i="35"/>
  <c r="J91" i="35"/>
  <c r="K91" i="35"/>
  <c r="L91" i="35"/>
  <c r="M91" i="35"/>
  <c r="N91" i="35"/>
  <c r="A88" i="35"/>
  <c r="B88" i="35"/>
  <c r="C88" i="35"/>
  <c r="D88" i="35"/>
  <c r="E88" i="35"/>
  <c r="G88" i="35"/>
  <c r="H88" i="35"/>
  <c r="I88" i="35"/>
  <c r="J88" i="35"/>
  <c r="K88" i="35"/>
  <c r="L88" i="35"/>
  <c r="M88" i="35"/>
  <c r="N88" i="35"/>
  <c r="A89" i="35"/>
  <c r="B89" i="35"/>
  <c r="C89" i="35"/>
  <c r="D89" i="35"/>
  <c r="E89" i="35"/>
  <c r="G89" i="35"/>
  <c r="H89" i="35"/>
  <c r="I89" i="35"/>
  <c r="J89" i="35"/>
  <c r="K89" i="35"/>
  <c r="L89" i="35"/>
  <c r="M89" i="35"/>
  <c r="N89" i="35"/>
  <c r="P92" i="35" l="1"/>
  <c r="G92" i="35"/>
  <c r="E92" i="35"/>
  <c r="A87" i="35"/>
  <c r="J87" i="35"/>
  <c r="L87" i="35"/>
  <c r="K87" i="35" l="1"/>
  <c r="I87" i="35"/>
  <c r="H87" i="35"/>
  <c r="G87" i="35"/>
  <c r="N87" i="35"/>
  <c r="M87" i="35"/>
  <c r="E87" i="35"/>
  <c r="D87" i="35"/>
  <c r="C87" i="35"/>
  <c r="B87" i="35"/>
  <c r="A86" i="35"/>
  <c r="D86" i="35"/>
  <c r="E86" i="35"/>
  <c r="G86" i="35"/>
  <c r="M86" i="35"/>
  <c r="N86" i="35"/>
  <c r="K86" i="35"/>
  <c r="J86" i="35"/>
  <c r="H86" i="35"/>
  <c r="I86" i="35" l="1"/>
  <c r="B86" i="35"/>
  <c r="L86" i="35"/>
  <c r="C86" i="35"/>
  <c r="A85" i="35"/>
  <c r="B85" i="35"/>
  <c r="C85" i="35"/>
  <c r="D85" i="35"/>
  <c r="E85" i="35"/>
  <c r="G85" i="35"/>
  <c r="H85" i="35"/>
  <c r="I85" i="35"/>
  <c r="J85" i="35"/>
  <c r="K85" i="35"/>
  <c r="L85" i="35"/>
  <c r="M85" i="35"/>
  <c r="N85" i="35"/>
  <c r="A83" i="35" l="1"/>
  <c r="A84" i="35"/>
  <c r="C84" i="35"/>
  <c r="I84" i="35"/>
  <c r="AP83" i="34"/>
  <c r="AQ83" i="34"/>
  <c r="O83" i="35" l="1"/>
  <c r="G82" i="41"/>
  <c r="F82" i="41"/>
  <c r="E82" i="41"/>
  <c r="D82" i="41"/>
  <c r="B82" i="41"/>
  <c r="P83" i="35"/>
  <c r="C82" i="41"/>
  <c r="E84" i="35"/>
  <c r="J84" i="35"/>
  <c r="B84" i="35"/>
  <c r="D84" i="35"/>
  <c r="E83" i="35"/>
  <c r="I83" i="35"/>
  <c r="G83" i="35"/>
  <c r="K84" i="35"/>
  <c r="G84" i="35"/>
  <c r="M83" i="35"/>
  <c r="H83" i="35"/>
  <c r="H84" i="35"/>
  <c r="L84" i="35"/>
  <c r="J83" i="35"/>
  <c r="D83" i="35"/>
  <c r="N84" i="35"/>
  <c r="N83" i="35"/>
  <c r="C83" i="35"/>
  <c r="M84" i="35"/>
  <c r="B83" i="35"/>
  <c r="L83" i="35"/>
  <c r="K83" i="35"/>
  <c r="A80" i="41"/>
  <c r="B80" i="41"/>
  <c r="C80" i="41"/>
  <c r="D80" i="41"/>
  <c r="E80" i="41"/>
  <c r="F80" i="41"/>
  <c r="G80" i="41"/>
  <c r="A81" i="41"/>
  <c r="B81" i="41"/>
  <c r="C81" i="41"/>
  <c r="D81" i="41"/>
  <c r="E81" i="41"/>
  <c r="F81" i="41"/>
  <c r="G81" i="41"/>
  <c r="A81" i="35"/>
  <c r="B81" i="35"/>
  <c r="C81" i="35"/>
  <c r="D81" i="35"/>
  <c r="E81" i="35"/>
  <c r="G81" i="35"/>
  <c r="H81" i="35"/>
  <c r="I81" i="35"/>
  <c r="J81" i="35"/>
  <c r="K81" i="35"/>
  <c r="L81" i="35"/>
  <c r="M81" i="35"/>
  <c r="N81" i="35"/>
  <c r="A82" i="35"/>
  <c r="B82" i="35"/>
  <c r="C82" i="35"/>
  <c r="D82" i="35"/>
  <c r="E82" i="35"/>
  <c r="G82" i="35"/>
  <c r="H82" i="35"/>
  <c r="I82" i="35"/>
  <c r="J82" i="35"/>
  <c r="K82" i="35"/>
  <c r="L82" i="35"/>
  <c r="M82" i="35"/>
  <c r="N82" i="35"/>
  <c r="G9" i="41" l="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G38" i="41"/>
  <c r="G39" i="41"/>
  <c r="G40" i="41"/>
  <c r="G41" i="41"/>
  <c r="G42" i="41"/>
  <c r="G43" i="41"/>
  <c r="G44" i="41"/>
  <c r="G45" i="41"/>
  <c r="G46" i="41"/>
  <c r="G47" i="41"/>
  <c r="G48" i="41"/>
  <c r="G49" i="41"/>
  <c r="G50" i="41"/>
  <c r="G51" i="41"/>
  <c r="G52" i="41"/>
  <c r="G53" i="41"/>
  <c r="G54" i="41"/>
  <c r="G55" i="41"/>
  <c r="G56" i="41"/>
  <c r="G57" i="41"/>
  <c r="G58" i="41"/>
  <c r="G59" i="41"/>
  <c r="G60" i="41"/>
  <c r="G61" i="41"/>
  <c r="G62" i="41"/>
  <c r="G63" i="41"/>
  <c r="G64" i="41"/>
  <c r="G65" i="41"/>
  <c r="G66" i="41"/>
  <c r="G67" i="41"/>
  <c r="G68" i="41"/>
  <c r="G69" i="41"/>
  <c r="G70" i="41"/>
  <c r="G71" i="41"/>
  <c r="G72" i="41"/>
  <c r="G73" i="41"/>
  <c r="G74" i="41"/>
  <c r="G75" i="41"/>
  <c r="G76" i="41"/>
  <c r="G77" i="41"/>
  <c r="G78" i="41"/>
  <c r="G79" i="41"/>
  <c r="G8" i="41"/>
  <c r="R31" i="39" l="1"/>
  <c r="R32" i="39"/>
  <c r="R33" i="39"/>
  <c r="R34" i="39"/>
  <c r="R35" i="39"/>
  <c r="R30" i="39"/>
  <c r="A75" i="41"/>
  <c r="B75" i="41"/>
  <c r="C75" i="41"/>
  <c r="D75" i="41"/>
  <c r="E75" i="41"/>
  <c r="F75" i="41"/>
  <c r="A76" i="41"/>
  <c r="B76" i="41"/>
  <c r="C76" i="41"/>
  <c r="D76" i="41"/>
  <c r="E76" i="41"/>
  <c r="F76" i="41"/>
  <c r="A77" i="41"/>
  <c r="B77" i="41"/>
  <c r="C77" i="41"/>
  <c r="D77" i="41"/>
  <c r="E77" i="41"/>
  <c r="F77" i="41"/>
  <c r="A78" i="41"/>
  <c r="B78" i="41"/>
  <c r="C78" i="41"/>
  <c r="D78" i="41"/>
  <c r="E78" i="41"/>
  <c r="F78" i="41"/>
  <c r="A79" i="41"/>
  <c r="B79" i="41"/>
  <c r="C79" i="41"/>
  <c r="D79" i="41"/>
  <c r="E79" i="41"/>
  <c r="F79" i="41"/>
  <c r="A80" i="35"/>
  <c r="B80" i="35"/>
  <c r="C80" i="35"/>
  <c r="D80" i="35"/>
  <c r="E80" i="35"/>
  <c r="G80" i="35"/>
  <c r="H80" i="35"/>
  <c r="I80" i="35"/>
  <c r="J80" i="35"/>
  <c r="K80" i="35"/>
  <c r="L80" i="35"/>
  <c r="M80" i="35"/>
  <c r="N80" i="35"/>
  <c r="Q20" i="28" l="1"/>
  <c r="Q21" i="28"/>
  <c r="Q22" i="28"/>
  <c r="Q23" i="28"/>
  <c r="Q19" i="28"/>
  <c r="O20" i="28"/>
  <c r="O21" i="28"/>
  <c r="O22" i="28"/>
  <c r="O23" i="28"/>
  <c r="O19" i="28"/>
  <c r="Q9" i="28"/>
  <c r="AA66" i="27" s="1"/>
  <c r="Q10" i="28"/>
  <c r="AA67" i="27" s="1"/>
  <c r="Q11" i="28"/>
  <c r="AA68" i="27" s="1"/>
  <c r="Q12" i="28"/>
  <c r="AA69" i="27" s="1"/>
  <c r="Q8" i="28"/>
  <c r="AA65" i="27" s="1"/>
  <c r="O9" i="28"/>
  <c r="Y66" i="27" s="1"/>
  <c r="O10" i="28"/>
  <c r="Y67" i="27" s="1"/>
  <c r="O11" i="28"/>
  <c r="Y68" i="27" s="1"/>
  <c r="O12" i="28"/>
  <c r="Y69" i="27" s="1"/>
  <c r="Y65" i="27"/>
  <c r="AS57" i="2" l="1"/>
  <c r="N5" i="35" l="1"/>
  <c r="N6" i="35"/>
  <c r="N7" i="35"/>
  <c r="N8" i="35"/>
  <c r="N9" i="35"/>
  <c r="N10" i="35"/>
  <c r="N11" i="35"/>
  <c r="N12" i="35"/>
  <c r="N13" i="35"/>
  <c r="N14" i="35"/>
  <c r="N15" i="35"/>
  <c r="N16" i="35"/>
  <c r="N17" i="35"/>
  <c r="N18" i="35"/>
  <c r="N19" i="35"/>
  <c r="N20" i="35"/>
  <c r="N21" i="35"/>
  <c r="N22" i="35"/>
  <c r="N23" i="35"/>
  <c r="N24" i="35"/>
  <c r="N25" i="35"/>
  <c r="N26" i="35"/>
  <c r="N27" i="35"/>
  <c r="N28" i="35"/>
  <c r="N29" i="35"/>
  <c r="N30" i="35"/>
  <c r="N31" i="35"/>
  <c r="N32" i="35"/>
  <c r="N33" i="35"/>
  <c r="N34" i="35"/>
  <c r="N35" i="35"/>
  <c r="N36" i="35"/>
  <c r="N37" i="35"/>
  <c r="N38" i="35"/>
  <c r="N39" i="35"/>
  <c r="N40" i="35"/>
  <c r="N41" i="35"/>
  <c r="N42" i="35"/>
  <c r="N43" i="35"/>
  <c r="N44" i="35"/>
  <c r="N45" i="35"/>
  <c r="N46" i="35"/>
  <c r="N47" i="35"/>
  <c r="N48" i="35"/>
  <c r="N49" i="35"/>
  <c r="N50" i="35"/>
  <c r="N51" i="35"/>
  <c r="N52" i="35"/>
  <c r="N53" i="35"/>
  <c r="N54" i="35"/>
  <c r="N55" i="35"/>
  <c r="N56" i="35"/>
  <c r="N57" i="35"/>
  <c r="N58" i="35"/>
  <c r="N59" i="35"/>
  <c r="N60" i="35"/>
  <c r="N61" i="35"/>
  <c r="N62" i="35"/>
  <c r="N63" i="35"/>
  <c r="N64" i="35"/>
  <c r="N65" i="35"/>
  <c r="N66" i="35"/>
  <c r="N67" i="35"/>
  <c r="N68" i="35"/>
  <c r="N69" i="35"/>
  <c r="N70" i="35"/>
  <c r="N71" i="35"/>
  <c r="N72" i="35"/>
  <c r="N73" i="35"/>
  <c r="N74" i="35"/>
  <c r="N76" i="35"/>
  <c r="N77" i="35"/>
  <c r="N78" i="35"/>
  <c r="N4" i="35"/>
  <c r="A78" i="35"/>
  <c r="B78" i="35"/>
  <c r="C78" i="35"/>
  <c r="D78" i="35"/>
  <c r="E78" i="35"/>
  <c r="G78" i="35"/>
  <c r="H78" i="35"/>
  <c r="I78" i="35"/>
  <c r="J78" i="35"/>
  <c r="K78" i="35"/>
  <c r="L78" i="35"/>
  <c r="M78" i="35"/>
  <c r="A79" i="35"/>
  <c r="L79" i="35"/>
  <c r="I79" i="35"/>
  <c r="N79" i="35" l="1"/>
  <c r="J79" i="35"/>
  <c r="B79" i="35"/>
  <c r="M79" i="35"/>
  <c r="E79" i="35"/>
  <c r="D79" i="35"/>
  <c r="C79" i="35"/>
  <c r="G79" i="35"/>
  <c r="K79" i="35"/>
  <c r="H79" i="35"/>
  <c r="A77" i="35"/>
  <c r="G77" i="35" l="1"/>
  <c r="I77" i="35"/>
  <c r="H77" i="35"/>
  <c r="J77" i="35"/>
  <c r="E77" i="35"/>
  <c r="M77" i="35"/>
  <c r="D77" i="35"/>
  <c r="C77" i="35"/>
  <c r="L77" i="35"/>
  <c r="K77" i="35"/>
  <c r="B77" i="35"/>
  <c r="G10" i="2"/>
  <c r="A76" i="35" l="1"/>
  <c r="B76" i="35"/>
  <c r="C76" i="35"/>
  <c r="D76" i="35"/>
  <c r="E76" i="35"/>
  <c r="G76" i="35"/>
  <c r="H76" i="35"/>
  <c r="I76" i="35"/>
  <c r="J76" i="35"/>
  <c r="K76" i="35"/>
  <c r="L76" i="35"/>
  <c r="M76" i="35"/>
  <c r="AG47" i="31" l="1"/>
  <c r="AS46" i="4"/>
  <c r="A74" i="41" l="1"/>
  <c r="A75" i="35" l="1"/>
  <c r="P75" i="35" l="1"/>
  <c r="C74" i="41" l="1"/>
  <c r="N75" i="35"/>
  <c r="F74" i="41"/>
  <c r="E74" i="41"/>
  <c r="D74" i="41"/>
  <c r="B74" i="41"/>
  <c r="G75" i="35"/>
  <c r="H75" i="35"/>
  <c r="J75" i="35"/>
  <c r="D75" i="35"/>
  <c r="C75" i="35"/>
  <c r="M75" i="35"/>
  <c r="E75" i="35"/>
  <c r="B75" i="35"/>
  <c r="K75" i="35"/>
  <c r="L75" i="35"/>
  <c r="I75" i="35"/>
  <c r="A73" i="41"/>
  <c r="B73" i="41"/>
  <c r="C73" i="41"/>
  <c r="D73" i="41"/>
  <c r="E73" i="41"/>
  <c r="F73" i="41"/>
  <c r="A70" i="41"/>
  <c r="B70" i="41"/>
  <c r="C70" i="41"/>
  <c r="D70" i="41"/>
  <c r="E70" i="41"/>
  <c r="F70" i="41"/>
  <c r="A71" i="41"/>
  <c r="B71" i="41"/>
  <c r="C71" i="41"/>
  <c r="D71" i="41"/>
  <c r="E71" i="41"/>
  <c r="F71" i="41"/>
  <c r="A72" i="41"/>
  <c r="B72" i="41"/>
  <c r="C72" i="41"/>
  <c r="D72" i="41"/>
  <c r="E72" i="41"/>
  <c r="F72" i="41"/>
  <c r="A74" i="35" l="1"/>
  <c r="A73" i="35"/>
  <c r="B73" i="35"/>
  <c r="C73" i="35"/>
  <c r="D73" i="35"/>
  <c r="E73" i="35"/>
  <c r="G73" i="35"/>
  <c r="H73" i="35"/>
  <c r="I73" i="35"/>
  <c r="J73" i="35"/>
  <c r="K73" i="35"/>
  <c r="L73" i="35"/>
  <c r="M73" i="35"/>
  <c r="J74" i="35" l="1"/>
  <c r="E74" i="35"/>
  <c r="B74" i="35"/>
  <c r="K74" i="35"/>
  <c r="I74" i="35"/>
  <c r="G74" i="35"/>
  <c r="M74" i="35"/>
  <c r="H74" i="35"/>
  <c r="D74" i="35"/>
  <c r="L74" i="35"/>
  <c r="C74" i="35"/>
  <c r="A72" i="35"/>
  <c r="M72" i="35" l="1"/>
  <c r="G72" i="35"/>
  <c r="I72" i="35"/>
  <c r="H72" i="35"/>
  <c r="J72" i="35"/>
  <c r="E72" i="35"/>
  <c r="D72" i="35"/>
  <c r="C72" i="35"/>
  <c r="L72" i="35"/>
  <c r="B72" i="35"/>
  <c r="K72" i="35"/>
  <c r="A71" i="35"/>
  <c r="B71" i="35"/>
  <c r="G71" i="35"/>
  <c r="I71" i="35"/>
  <c r="J71" i="35"/>
  <c r="K71" i="35"/>
  <c r="C71" i="35"/>
  <c r="H71" i="35" l="1"/>
  <c r="M71" i="35"/>
  <c r="E71" i="35"/>
  <c r="L71" i="35"/>
  <c r="D71" i="35"/>
  <c r="A69" i="41"/>
  <c r="B69" i="41"/>
  <c r="C69" i="41"/>
  <c r="D69" i="41"/>
  <c r="E69" i="41"/>
  <c r="F69" i="41"/>
  <c r="A70" i="35" l="1"/>
  <c r="M70" i="35" l="1"/>
  <c r="G70" i="35"/>
  <c r="H70" i="35"/>
  <c r="J70" i="35"/>
  <c r="E70" i="35"/>
  <c r="D70" i="35"/>
  <c r="C70" i="35"/>
  <c r="B70" i="35"/>
  <c r="I70" i="35"/>
  <c r="L70" i="35"/>
  <c r="K70" i="35"/>
  <c r="A68" i="41"/>
  <c r="A67" i="41"/>
  <c r="B67" i="41"/>
  <c r="C67" i="41"/>
  <c r="D67" i="41"/>
  <c r="E67" i="41"/>
  <c r="F67" i="41"/>
  <c r="A69" i="35"/>
  <c r="F68" i="41" l="1"/>
  <c r="D68" i="41"/>
  <c r="C68" i="41"/>
  <c r="J69" i="35"/>
  <c r="G69" i="35"/>
  <c r="E68" i="41"/>
  <c r="L69" i="35"/>
  <c r="H69" i="35"/>
  <c r="E69" i="35"/>
  <c r="D69" i="35"/>
  <c r="C69" i="35"/>
  <c r="B69" i="35"/>
  <c r="M69" i="35"/>
  <c r="K69" i="35"/>
  <c r="I69" i="35"/>
  <c r="B68" i="41"/>
  <c r="A68" i="35"/>
  <c r="H68" i="35"/>
  <c r="I68" i="35" l="1"/>
  <c r="B68" i="35"/>
  <c r="G68" i="35"/>
  <c r="K68" i="35"/>
  <c r="J68" i="35"/>
  <c r="E68" i="35"/>
  <c r="C68" i="35"/>
  <c r="M68" i="35"/>
  <c r="D68" i="35"/>
  <c r="L68" i="35"/>
  <c r="A65" i="41"/>
  <c r="B65" i="41"/>
  <c r="C65" i="41"/>
  <c r="D65" i="41"/>
  <c r="E65" i="41"/>
  <c r="F65" i="41"/>
  <c r="A66" i="41"/>
  <c r="B66" i="41"/>
  <c r="C66" i="41"/>
  <c r="D66" i="41"/>
  <c r="E66" i="41"/>
  <c r="F66" i="41"/>
  <c r="A67" i="35"/>
  <c r="B67" i="35"/>
  <c r="C67" i="35"/>
  <c r="D67" i="35"/>
  <c r="E67" i="35"/>
  <c r="G67" i="35"/>
  <c r="H67" i="35"/>
  <c r="I67" i="35"/>
  <c r="J67" i="35"/>
  <c r="K67" i="35"/>
  <c r="L67" i="35"/>
  <c r="M67" i="35"/>
  <c r="A66" i="35" l="1"/>
  <c r="B66" i="35"/>
  <c r="C66" i="35"/>
  <c r="D66" i="35"/>
  <c r="E66" i="35"/>
  <c r="G66" i="35"/>
  <c r="H66" i="35"/>
  <c r="I66" i="35"/>
  <c r="J66" i="35"/>
  <c r="K66" i="35"/>
  <c r="L66" i="35"/>
  <c r="M66" i="35"/>
  <c r="U6" i="6" l="1"/>
  <c r="U6" i="33"/>
  <c r="U6" i="32"/>
  <c r="U7" i="31"/>
  <c r="U5" i="30"/>
  <c r="U5" i="29"/>
  <c r="B58" i="41"/>
  <c r="C58" i="41"/>
  <c r="D58" i="41"/>
  <c r="E58" i="41"/>
  <c r="F58" i="41"/>
  <c r="B59" i="41"/>
  <c r="C59" i="41"/>
  <c r="D59" i="41"/>
  <c r="E59" i="41"/>
  <c r="F59" i="41"/>
  <c r="B60" i="41"/>
  <c r="C60" i="41"/>
  <c r="D60" i="41"/>
  <c r="E60" i="41"/>
  <c r="F60" i="41"/>
  <c r="B61" i="41"/>
  <c r="C61" i="41"/>
  <c r="D61" i="41"/>
  <c r="E61" i="41"/>
  <c r="F61" i="41"/>
  <c r="B62" i="41"/>
  <c r="C62" i="41"/>
  <c r="D62" i="41"/>
  <c r="E62" i="41"/>
  <c r="F62" i="41"/>
  <c r="B63" i="41"/>
  <c r="C63" i="41"/>
  <c r="D63" i="41"/>
  <c r="E63" i="41"/>
  <c r="F63" i="41"/>
  <c r="A58" i="41"/>
  <c r="A59" i="41"/>
  <c r="A60" i="41"/>
  <c r="A61" i="41"/>
  <c r="A62" i="41"/>
  <c r="A63" i="41"/>
  <c r="A64" i="41"/>
  <c r="A60" i="35"/>
  <c r="B60" i="35"/>
  <c r="C60" i="35"/>
  <c r="D60" i="35"/>
  <c r="E60" i="35"/>
  <c r="G60" i="35"/>
  <c r="H60" i="35"/>
  <c r="I60" i="35"/>
  <c r="J60" i="35"/>
  <c r="K60" i="35"/>
  <c r="L60" i="35"/>
  <c r="M60" i="35"/>
  <c r="A61" i="35"/>
  <c r="B61" i="35"/>
  <c r="C61" i="35"/>
  <c r="D61" i="35"/>
  <c r="E61" i="35"/>
  <c r="G61" i="35"/>
  <c r="H61" i="35"/>
  <c r="I61" i="35"/>
  <c r="J61" i="35"/>
  <c r="K61" i="35"/>
  <c r="L61" i="35"/>
  <c r="M61" i="35"/>
  <c r="A62" i="35"/>
  <c r="B62" i="35"/>
  <c r="C62" i="35"/>
  <c r="D62" i="35"/>
  <c r="E62" i="35"/>
  <c r="G62" i="35"/>
  <c r="H62" i="35"/>
  <c r="I62" i="35"/>
  <c r="J62" i="35"/>
  <c r="K62" i="35"/>
  <c r="L62" i="35"/>
  <c r="M62" i="35"/>
  <c r="A63" i="35"/>
  <c r="B63" i="35"/>
  <c r="C63" i="35"/>
  <c r="D63" i="35"/>
  <c r="E63" i="35"/>
  <c r="G63" i="35"/>
  <c r="H63" i="35"/>
  <c r="I63" i="35"/>
  <c r="J63" i="35"/>
  <c r="K63" i="35"/>
  <c r="L63" i="35"/>
  <c r="M63" i="35"/>
  <c r="A64" i="35"/>
  <c r="B64" i="35"/>
  <c r="C64" i="35"/>
  <c r="D64" i="35"/>
  <c r="E64" i="35"/>
  <c r="G64" i="35"/>
  <c r="H64" i="35"/>
  <c r="I64" i="35"/>
  <c r="J64" i="35"/>
  <c r="K64" i="35"/>
  <c r="L64" i="35"/>
  <c r="M64" i="35"/>
  <c r="A65" i="35"/>
  <c r="C64" i="41" l="1"/>
  <c r="D64" i="41"/>
  <c r="E64" i="41" l="1"/>
  <c r="F64" i="41"/>
  <c r="B64" i="41"/>
  <c r="G65" i="35"/>
  <c r="H65" i="35"/>
  <c r="J65" i="35"/>
  <c r="C65" i="35"/>
  <c r="D65" i="35"/>
  <c r="M65" i="35"/>
  <c r="E65" i="35"/>
  <c r="K65" i="35"/>
  <c r="I65" i="35"/>
  <c r="L65" i="35"/>
  <c r="B65" i="35"/>
  <c r="A59" i="35"/>
  <c r="G59" i="35"/>
  <c r="I59" i="35" l="1"/>
  <c r="M59" i="35"/>
  <c r="H59" i="35"/>
  <c r="J59" i="35"/>
  <c r="E59" i="35"/>
  <c r="D59" i="35"/>
  <c r="C59" i="35"/>
  <c r="B59" i="35"/>
  <c r="L59" i="35"/>
  <c r="K59" i="35"/>
  <c r="A55" i="41"/>
  <c r="A56" i="41"/>
  <c r="B56" i="41"/>
  <c r="C56" i="41"/>
  <c r="D56" i="41"/>
  <c r="E56" i="41"/>
  <c r="F56" i="41"/>
  <c r="A57" i="41"/>
  <c r="B57" i="41"/>
  <c r="C57" i="41"/>
  <c r="D57" i="41"/>
  <c r="E57" i="41"/>
  <c r="F57" i="41"/>
  <c r="A57" i="35" l="1"/>
  <c r="B57" i="35"/>
  <c r="C57" i="35"/>
  <c r="D57" i="35"/>
  <c r="E57" i="35"/>
  <c r="G57" i="35"/>
  <c r="H57" i="35"/>
  <c r="I57" i="35"/>
  <c r="J57" i="35"/>
  <c r="K57" i="35"/>
  <c r="L57" i="35"/>
  <c r="M57" i="35"/>
  <c r="A58" i="35"/>
  <c r="J58" i="35"/>
  <c r="G58" i="35" l="1"/>
  <c r="H58" i="35"/>
  <c r="C58" i="35"/>
  <c r="M58" i="35"/>
  <c r="E58" i="35"/>
  <c r="D58" i="35"/>
  <c r="B58" i="35"/>
  <c r="I58" i="35"/>
  <c r="L58" i="35"/>
  <c r="K58" i="35"/>
  <c r="A55" i="35"/>
  <c r="B55" i="35"/>
  <c r="C55" i="35"/>
  <c r="D55" i="35"/>
  <c r="E55" i="35"/>
  <c r="G55" i="35"/>
  <c r="H55" i="35"/>
  <c r="I55" i="35"/>
  <c r="J55" i="35"/>
  <c r="K55" i="35"/>
  <c r="L55" i="35"/>
  <c r="M55" i="35"/>
  <c r="A56" i="35"/>
  <c r="A54" i="41" l="1"/>
  <c r="B54" i="41"/>
  <c r="C54" i="41"/>
  <c r="D54" i="41"/>
  <c r="E54" i="41"/>
  <c r="F54" i="41"/>
  <c r="B55" i="41"/>
  <c r="E55" i="41" l="1"/>
  <c r="F55" i="41"/>
  <c r="D55" i="41"/>
  <c r="C55" i="41"/>
  <c r="J56" i="35"/>
  <c r="G56" i="35"/>
  <c r="H56" i="35"/>
  <c r="C56" i="35"/>
  <c r="D56" i="35"/>
  <c r="E56" i="35"/>
  <c r="M56" i="35"/>
  <c r="B56" i="35"/>
  <c r="K56" i="35"/>
  <c r="I56" i="35"/>
  <c r="L56" i="35"/>
  <c r="A52" i="41"/>
  <c r="B52" i="41"/>
  <c r="C52" i="41"/>
  <c r="E52" i="41"/>
  <c r="A53" i="41"/>
  <c r="C53" i="41"/>
  <c r="D53" i="41"/>
  <c r="E53" i="41"/>
  <c r="F53" i="41"/>
  <c r="A53" i="35" l="1"/>
  <c r="B53" i="35"/>
  <c r="C53" i="35"/>
  <c r="D53" i="35"/>
  <c r="E53" i="35"/>
  <c r="G53" i="35"/>
  <c r="H53" i="35"/>
  <c r="I53" i="35"/>
  <c r="J53" i="35"/>
  <c r="K53" i="35"/>
  <c r="L53" i="35"/>
  <c r="M53" i="35"/>
  <c r="A54" i="35"/>
  <c r="C54" i="35"/>
  <c r="D54" i="35"/>
  <c r="E54" i="35"/>
  <c r="G54" i="35"/>
  <c r="H54" i="35"/>
  <c r="J54" i="35"/>
  <c r="M54" i="35"/>
  <c r="B53" i="41"/>
  <c r="D52" i="41"/>
  <c r="F52" i="41"/>
  <c r="I54" i="35" l="1"/>
  <c r="L54" i="35"/>
  <c r="K54" i="35"/>
  <c r="B54" i="35"/>
  <c r="A51" i="41"/>
  <c r="A52" i="35" l="1"/>
  <c r="J52" i="35"/>
  <c r="B51" i="41" l="1"/>
  <c r="C51" i="41"/>
  <c r="F51" i="41"/>
  <c r="E51" i="41"/>
  <c r="D51" i="41"/>
  <c r="G52" i="35"/>
  <c r="I52" i="35"/>
  <c r="M52" i="35"/>
  <c r="H52" i="35"/>
  <c r="E52" i="35"/>
  <c r="D52" i="35"/>
  <c r="C52" i="35"/>
  <c r="L52" i="35"/>
  <c r="K52" i="35"/>
  <c r="B52" i="35"/>
  <c r="A51" i="35"/>
  <c r="B51" i="35"/>
  <c r="C51" i="35"/>
  <c r="D51" i="35"/>
  <c r="E51" i="35"/>
  <c r="G51" i="35"/>
  <c r="H51" i="35"/>
  <c r="I51" i="35"/>
  <c r="J51" i="35"/>
  <c r="K51" i="35"/>
  <c r="L51" i="35"/>
  <c r="M51" i="35"/>
  <c r="A42" i="41"/>
  <c r="B42" i="41"/>
  <c r="C42" i="41"/>
  <c r="D42" i="41"/>
  <c r="E42" i="41"/>
  <c r="F42" i="41"/>
  <c r="A43" i="41"/>
  <c r="B43" i="41"/>
  <c r="C43" i="41"/>
  <c r="D43" i="41"/>
  <c r="E43" i="41"/>
  <c r="F43" i="41"/>
  <c r="A44" i="41"/>
  <c r="B44" i="41"/>
  <c r="C44" i="41"/>
  <c r="D44" i="41"/>
  <c r="E44" i="41"/>
  <c r="F44" i="41"/>
  <c r="A45" i="41"/>
  <c r="A46" i="41"/>
  <c r="B46" i="41"/>
  <c r="C46" i="41"/>
  <c r="D46" i="41"/>
  <c r="E46" i="41"/>
  <c r="F46" i="41"/>
  <c r="A47" i="41"/>
  <c r="B47" i="41"/>
  <c r="C47" i="41"/>
  <c r="D47" i="41"/>
  <c r="E47" i="41"/>
  <c r="F47" i="41"/>
  <c r="A48" i="41"/>
  <c r="B48" i="41"/>
  <c r="C48" i="41"/>
  <c r="D48" i="41"/>
  <c r="E48" i="41"/>
  <c r="F48" i="41"/>
  <c r="A49" i="41"/>
  <c r="B49" i="41"/>
  <c r="C49" i="41"/>
  <c r="D49" i="41"/>
  <c r="E49" i="41"/>
  <c r="F49" i="41"/>
  <c r="A50" i="41"/>
  <c r="B50" i="41"/>
  <c r="C50" i="41"/>
  <c r="D50" i="41"/>
  <c r="E50" i="41"/>
  <c r="F50" i="41"/>
  <c r="M4" i="35" l="1"/>
  <c r="M5" i="35"/>
  <c r="M6" i="35"/>
  <c r="M7" i="35"/>
  <c r="M8" i="35"/>
  <c r="M9" i="35"/>
  <c r="M10" i="35"/>
  <c r="M11" i="35"/>
  <c r="M12" i="35"/>
  <c r="M13" i="35"/>
  <c r="M14" i="35"/>
  <c r="M15" i="35"/>
  <c r="M16" i="35"/>
  <c r="M17" i="35"/>
  <c r="M18" i="35"/>
  <c r="M19" i="35"/>
  <c r="M20" i="35"/>
  <c r="M21" i="35"/>
  <c r="M22" i="35"/>
  <c r="M23" i="35"/>
  <c r="M24" i="35"/>
  <c r="M25" i="35"/>
  <c r="M26" i="35"/>
  <c r="M27" i="35"/>
  <c r="M28" i="35"/>
  <c r="M29" i="35"/>
  <c r="M30" i="35"/>
  <c r="M31" i="35"/>
  <c r="M32" i="35"/>
  <c r="M33" i="35"/>
  <c r="M34" i="35"/>
  <c r="M35" i="35"/>
  <c r="M36" i="35"/>
  <c r="M37" i="35"/>
  <c r="M38" i="35"/>
  <c r="M39" i="35"/>
  <c r="M40" i="35"/>
  <c r="M41" i="35"/>
  <c r="M42" i="35"/>
  <c r="M43" i="35"/>
  <c r="M44" i="35"/>
  <c r="M45" i="35"/>
  <c r="M47" i="35"/>
  <c r="M48" i="35"/>
  <c r="M49" i="35"/>
  <c r="M50" i="35"/>
  <c r="M3" i="35"/>
  <c r="A50" i="35"/>
  <c r="B50" i="35"/>
  <c r="C50" i="35"/>
  <c r="D50" i="35"/>
  <c r="E50" i="35"/>
  <c r="G50" i="35"/>
  <c r="H50" i="35"/>
  <c r="I50" i="35"/>
  <c r="J50" i="35"/>
  <c r="K50" i="35"/>
  <c r="L50" i="35"/>
  <c r="A49" i="35" l="1"/>
  <c r="G49" i="35"/>
  <c r="H49" i="35" l="1"/>
  <c r="C49" i="35"/>
  <c r="L49" i="35"/>
  <c r="J49" i="35"/>
  <c r="E49" i="35"/>
  <c r="D49" i="35"/>
  <c r="K49" i="35"/>
  <c r="B49" i="35"/>
  <c r="I49" i="35"/>
  <c r="A48" i="35"/>
  <c r="A47" i="35"/>
  <c r="B47" i="35"/>
  <c r="C47" i="35"/>
  <c r="D47" i="35"/>
  <c r="E47" i="35"/>
  <c r="G47" i="35"/>
  <c r="H47" i="35"/>
  <c r="I47" i="35"/>
  <c r="J47" i="35"/>
  <c r="K47" i="35"/>
  <c r="L47" i="35"/>
  <c r="A45" i="35"/>
  <c r="B45" i="35"/>
  <c r="C45" i="35"/>
  <c r="D45" i="35"/>
  <c r="E45" i="35"/>
  <c r="G45" i="35"/>
  <c r="H45" i="35"/>
  <c r="I45" i="35"/>
  <c r="J45" i="35"/>
  <c r="K45" i="35"/>
  <c r="L45" i="35"/>
  <c r="A46" i="35"/>
  <c r="D48" i="35" l="1"/>
  <c r="H48" i="35"/>
  <c r="I48" i="35"/>
  <c r="G48" i="35"/>
  <c r="J48" i="35"/>
  <c r="E48" i="35"/>
  <c r="C48" i="35"/>
  <c r="L48" i="35"/>
  <c r="K48" i="35"/>
  <c r="B48" i="35"/>
  <c r="C45" i="41"/>
  <c r="D45" i="41"/>
  <c r="E45" i="41"/>
  <c r="F45" i="41"/>
  <c r="B45" i="41" l="1"/>
  <c r="M46" i="35"/>
  <c r="G46" i="35"/>
  <c r="H46" i="35"/>
  <c r="J46" i="35"/>
  <c r="C46" i="35"/>
  <c r="E46" i="35"/>
  <c r="D46" i="35"/>
  <c r="I46" i="35"/>
  <c r="K46" i="35"/>
  <c r="B46" i="35"/>
  <c r="L46" i="35"/>
  <c r="A44" i="35"/>
  <c r="G44" i="35" l="1"/>
  <c r="H44" i="35"/>
  <c r="J44" i="35"/>
  <c r="I44" i="35"/>
  <c r="E44" i="35"/>
  <c r="D44" i="35"/>
  <c r="C44" i="35"/>
  <c r="B44" i="35"/>
  <c r="L44" i="35"/>
  <c r="K44" i="35"/>
  <c r="A43" i="35" l="1"/>
  <c r="I43" i="35" l="1"/>
  <c r="J43" i="35"/>
  <c r="B43" i="35"/>
  <c r="E43" i="35"/>
  <c r="L43" i="35"/>
  <c r="C43" i="35"/>
  <c r="H43" i="35"/>
  <c r="K43" i="35"/>
  <c r="D43" i="35"/>
  <c r="G43" i="35"/>
  <c r="A37" i="41"/>
  <c r="B37" i="41"/>
  <c r="C37" i="41"/>
  <c r="D37" i="41"/>
  <c r="E37" i="41"/>
  <c r="F37" i="41"/>
  <c r="A38" i="41"/>
  <c r="B38" i="41"/>
  <c r="C38" i="41"/>
  <c r="D38" i="41"/>
  <c r="E38" i="41"/>
  <c r="F38" i="41"/>
  <c r="A39" i="41"/>
  <c r="B39" i="41"/>
  <c r="C39" i="41"/>
  <c r="D39" i="41"/>
  <c r="E39" i="41"/>
  <c r="F39" i="41"/>
  <c r="A40" i="41"/>
  <c r="B40" i="41"/>
  <c r="C40" i="41"/>
  <c r="D40" i="41"/>
  <c r="E40" i="41"/>
  <c r="F40" i="41"/>
  <c r="A41" i="41"/>
  <c r="A42" i="35" l="1"/>
  <c r="F41" i="41" l="1"/>
  <c r="E41" i="41" l="1"/>
  <c r="D41" i="41"/>
  <c r="C41" i="41"/>
  <c r="B41" i="41"/>
  <c r="J42" i="35"/>
  <c r="H42" i="35"/>
  <c r="G42" i="35"/>
  <c r="C42" i="35"/>
  <c r="D42" i="35"/>
  <c r="E42" i="35"/>
  <c r="I42" i="35"/>
  <c r="B42" i="35"/>
  <c r="K42" i="35"/>
  <c r="L42" i="35"/>
  <c r="A41" i="35"/>
  <c r="B41" i="35"/>
  <c r="C41" i="35"/>
  <c r="D41" i="35"/>
  <c r="E41" i="35"/>
  <c r="G41" i="35"/>
  <c r="H41" i="35"/>
  <c r="I41" i="35"/>
  <c r="J41" i="35"/>
  <c r="K41" i="35"/>
  <c r="L41" i="35"/>
  <c r="A40" i="35" l="1"/>
  <c r="K40" i="35" l="1"/>
  <c r="B40" i="35"/>
  <c r="J40" i="35"/>
  <c r="I40" i="35"/>
  <c r="E40" i="35"/>
  <c r="H40" i="35"/>
  <c r="D40" i="35"/>
  <c r="G40" i="35"/>
  <c r="L40" i="35"/>
  <c r="C40" i="35"/>
  <c r="L4" i="35" l="1"/>
  <c r="L5" i="35"/>
  <c r="L6" i="35"/>
  <c r="L7" i="35"/>
  <c r="L8" i="35"/>
  <c r="L9" i="35"/>
  <c r="L10" i="35"/>
  <c r="L11" i="35"/>
  <c r="L12" i="35"/>
  <c r="L13" i="35"/>
  <c r="L14" i="35"/>
  <c r="L15" i="35"/>
  <c r="L16" i="35"/>
  <c r="L17" i="35"/>
  <c r="L18" i="35"/>
  <c r="L19" i="35"/>
  <c r="L20" i="35"/>
  <c r="L21" i="35"/>
  <c r="L22" i="35"/>
  <c r="L23" i="35"/>
  <c r="L24" i="35"/>
  <c r="L25" i="35"/>
  <c r="L26" i="35"/>
  <c r="L27" i="35"/>
  <c r="L28" i="35"/>
  <c r="L29" i="35"/>
  <c r="L30" i="35"/>
  <c r="L31" i="35"/>
  <c r="L32" i="35"/>
  <c r="L33" i="35"/>
  <c r="L34" i="35"/>
  <c r="L35" i="35"/>
  <c r="L36" i="35"/>
  <c r="L37" i="35"/>
  <c r="L38" i="35"/>
  <c r="L3" i="35"/>
  <c r="K4" i="35"/>
  <c r="K5" i="35"/>
  <c r="K6" i="35"/>
  <c r="K7" i="35"/>
  <c r="K8" i="35"/>
  <c r="K9" i="35"/>
  <c r="K10" i="35"/>
  <c r="K11" i="35"/>
  <c r="K12" i="35"/>
  <c r="K13" i="35"/>
  <c r="K14" i="35"/>
  <c r="K15" i="35"/>
  <c r="K16" i="35"/>
  <c r="K17" i="35"/>
  <c r="K18" i="35"/>
  <c r="K19" i="35"/>
  <c r="K20" i="35"/>
  <c r="K21" i="35"/>
  <c r="K22" i="35"/>
  <c r="K23" i="35"/>
  <c r="K24" i="35"/>
  <c r="K25" i="35"/>
  <c r="K26" i="35"/>
  <c r="K27" i="35"/>
  <c r="K28" i="35"/>
  <c r="K29" i="35"/>
  <c r="K30" i="35"/>
  <c r="K31" i="35"/>
  <c r="K32" i="35"/>
  <c r="K33" i="35"/>
  <c r="K34" i="35"/>
  <c r="K35" i="35"/>
  <c r="K36" i="35"/>
  <c r="K37" i="35"/>
  <c r="K38" i="35"/>
  <c r="K3" i="35"/>
  <c r="A39" i="35" l="1"/>
  <c r="L39" i="35" l="1"/>
  <c r="K39" i="35"/>
  <c r="I39" i="35"/>
  <c r="C39" i="35"/>
  <c r="J39" i="35"/>
  <c r="H39" i="35"/>
  <c r="D39" i="35"/>
  <c r="B39" i="35"/>
  <c r="G39" i="35"/>
  <c r="E39" i="35"/>
  <c r="A38" i="35"/>
  <c r="C13" i="39" l="1"/>
  <c r="C14" i="39"/>
  <c r="C15" i="39"/>
  <c r="C16" i="39"/>
  <c r="C17" i="39"/>
  <c r="C12" i="39"/>
  <c r="D36" i="41"/>
  <c r="B36" i="4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" i="41"/>
  <c r="A36" i="41"/>
  <c r="C36" i="41"/>
  <c r="E36" i="41"/>
  <c r="F36" i="41"/>
  <c r="J38" i="35" l="1"/>
  <c r="I38" i="35" l="1"/>
  <c r="H38" i="35"/>
  <c r="G38" i="35"/>
  <c r="B38" i="35"/>
  <c r="D38" i="35"/>
  <c r="C38" i="35"/>
  <c r="E38" i="35"/>
  <c r="A37" i="35"/>
  <c r="J37" i="35" l="1"/>
  <c r="H37" i="35"/>
  <c r="G37" i="35"/>
  <c r="I37" i="35"/>
  <c r="B37" i="35"/>
  <c r="D37" i="35"/>
  <c r="E37" i="35"/>
  <c r="C37" i="35"/>
  <c r="AA86" i="27"/>
  <c r="AA82" i="27"/>
  <c r="AA83" i="27"/>
  <c r="AA84" i="27"/>
  <c r="AA85" i="27"/>
  <c r="AA81" i="27"/>
  <c r="F4" i="4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" i="41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" i="41"/>
  <c r="C4" i="41"/>
  <c r="C5" i="41"/>
  <c r="C6" i="41"/>
  <c r="C7" i="41"/>
  <c r="C8" i="41"/>
  <c r="C9" i="41"/>
  <c r="C10" i="41"/>
  <c r="C11" i="41"/>
  <c r="C12" i="41"/>
  <c r="C13" i="41"/>
  <c r="C14" i="41"/>
  <c r="C15" i="41"/>
  <c r="C16" i="41"/>
  <c r="C17" i="41"/>
  <c r="C18" i="41"/>
  <c r="C19" i="41"/>
  <c r="C20" i="41"/>
  <c r="C21" i="41"/>
  <c r="C22" i="41"/>
  <c r="C23" i="41"/>
  <c r="C24" i="41"/>
  <c r="C25" i="41"/>
  <c r="C26" i="41"/>
  <c r="C27" i="41"/>
  <c r="C28" i="41"/>
  <c r="C29" i="41"/>
  <c r="C30" i="41"/>
  <c r="C31" i="41"/>
  <c r="C32" i="41"/>
  <c r="C33" i="41"/>
  <c r="C34" i="41"/>
  <c r="C3" i="41"/>
  <c r="A4" i="41"/>
  <c r="A5" i="41"/>
  <c r="A6" i="41"/>
  <c r="A7" i="41"/>
  <c r="A8" i="41"/>
  <c r="A9" i="41"/>
  <c r="A10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3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A3" i="41"/>
  <c r="E13" i="38" l="1"/>
  <c r="A36" i="35" l="1"/>
  <c r="J36" i="35"/>
  <c r="A35" i="35"/>
  <c r="D35" i="41"/>
  <c r="E35" i="41"/>
  <c r="F35" i="41"/>
  <c r="C35" i="41" l="1"/>
  <c r="G36" i="35"/>
  <c r="I36" i="35"/>
  <c r="H36" i="35"/>
  <c r="E36" i="35"/>
  <c r="C36" i="35"/>
  <c r="D36" i="35"/>
  <c r="B36" i="35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" i="35"/>
  <c r="J35" i="35" l="1"/>
  <c r="H35" i="35" l="1"/>
  <c r="G35" i="35"/>
  <c r="I35" i="35"/>
  <c r="E35" i="35"/>
  <c r="D35" i="35"/>
  <c r="B35" i="35"/>
  <c r="C35" i="35"/>
  <c r="A34" i="35"/>
  <c r="J34" i="35"/>
  <c r="G34" i="35" l="1"/>
  <c r="I34" i="35"/>
  <c r="E34" i="35"/>
  <c r="D34" i="35"/>
  <c r="C34" i="35"/>
  <c r="B34" i="35"/>
  <c r="A33" i="35" l="1"/>
  <c r="J33" i="35"/>
  <c r="C28" i="27" l="1"/>
  <c r="AG25" i="7"/>
  <c r="AG23" i="7"/>
  <c r="AF12" i="7"/>
  <c r="AF13" i="7"/>
  <c r="AC10" i="7"/>
  <c r="AI18" i="7" l="1"/>
  <c r="AI11" i="7"/>
  <c r="AJ11" i="7" s="1"/>
  <c r="AK11" i="7" s="1"/>
  <c r="AI12" i="7"/>
  <c r="AI23" i="7"/>
  <c r="AJ23" i="7" s="1"/>
  <c r="AI22" i="7"/>
  <c r="AI17" i="7"/>
  <c r="AI16" i="7"/>
  <c r="AI15" i="7"/>
  <c r="AI14" i="7"/>
  <c r="AI13" i="7"/>
  <c r="AI21" i="7"/>
  <c r="AI20" i="7"/>
  <c r="AI19" i="7"/>
  <c r="A32" i="35"/>
  <c r="B32" i="35"/>
  <c r="C32" i="35"/>
  <c r="D32" i="35"/>
  <c r="E32" i="35"/>
  <c r="G32" i="35"/>
  <c r="I32" i="35"/>
  <c r="J32" i="35"/>
  <c r="G33" i="35" l="1"/>
  <c r="E33" i="35"/>
  <c r="C33" i="35"/>
  <c r="D33" i="35"/>
  <c r="I33" i="35"/>
  <c r="B33" i="35"/>
  <c r="J9" i="35"/>
  <c r="J10" i="35"/>
  <c r="J11" i="35"/>
  <c r="J12" i="35"/>
  <c r="J13" i="35"/>
  <c r="J14" i="35"/>
  <c r="J15" i="35"/>
  <c r="J16" i="35"/>
  <c r="J17" i="35"/>
  <c r="J18" i="35"/>
  <c r="J19" i="35"/>
  <c r="J20" i="35"/>
  <c r="J21" i="35"/>
  <c r="J22" i="35"/>
  <c r="J23" i="35"/>
  <c r="J24" i="35"/>
  <c r="J25" i="35"/>
  <c r="J26" i="35"/>
  <c r="J27" i="35"/>
  <c r="J28" i="35"/>
  <c r="J29" i="35"/>
  <c r="J30" i="35"/>
  <c r="J31" i="35"/>
  <c r="J8" i="35"/>
  <c r="A31" i="35" l="1"/>
  <c r="E31" i="35" l="1"/>
  <c r="D31" i="35"/>
  <c r="G31" i="35"/>
  <c r="C31" i="35"/>
  <c r="I31" i="35"/>
  <c r="B31" i="35"/>
  <c r="E13" i="39"/>
  <c r="J10" i="39"/>
  <c r="C10" i="39"/>
  <c r="J9" i="39"/>
  <c r="C9" i="39"/>
  <c r="J8" i="39"/>
  <c r="C8" i="39"/>
  <c r="J7" i="39"/>
  <c r="C7" i="39"/>
  <c r="J6" i="39"/>
  <c r="C6" i="39"/>
  <c r="E7" i="39" l="1"/>
  <c r="E14" i="39"/>
  <c r="A30" i="35"/>
  <c r="F17" i="39" l="1"/>
  <c r="F12" i="39"/>
  <c r="F15" i="39"/>
  <c r="F16" i="39"/>
  <c r="F14" i="39"/>
  <c r="G14" i="39" s="1"/>
  <c r="H14" i="39" s="1"/>
  <c r="F7" i="39"/>
  <c r="F13" i="39"/>
  <c r="G13" i="39" s="1"/>
  <c r="H13" i="39" s="1"/>
  <c r="F8" i="39" l="1"/>
  <c r="F9" i="39" s="1"/>
  <c r="F10" i="39" s="1"/>
  <c r="F6" i="39"/>
  <c r="I30" i="35"/>
  <c r="G30" i="35"/>
  <c r="C30" i="35"/>
  <c r="E30" i="35"/>
  <c r="D30" i="35"/>
  <c r="B30" i="35"/>
  <c r="A29" i="35"/>
  <c r="G29" i="35" l="1"/>
  <c r="I29" i="35"/>
  <c r="D29" i="35"/>
  <c r="E29" i="35"/>
  <c r="C29" i="35"/>
  <c r="B29" i="35"/>
  <c r="A28" i="35" l="1"/>
  <c r="E28" i="35" l="1"/>
  <c r="D28" i="35"/>
  <c r="G28" i="35"/>
  <c r="C28" i="35"/>
  <c r="I28" i="35"/>
  <c r="B28" i="35"/>
  <c r="A27" i="35" l="1"/>
  <c r="G27" i="35" l="1"/>
  <c r="C27" i="35"/>
  <c r="E27" i="35"/>
  <c r="D27" i="35"/>
  <c r="B27" i="35"/>
  <c r="I27" i="35"/>
  <c r="A25" i="35" l="1"/>
  <c r="B25" i="35"/>
  <c r="C25" i="35"/>
  <c r="D25" i="35"/>
  <c r="E25" i="35"/>
  <c r="G25" i="35"/>
  <c r="I25" i="35"/>
  <c r="A26" i="35" l="1"/>
  <c r="A24" i="35"/>
  <c r="B24" i="35"/>
  <c r="C24" i="35"/>
  <c r="D24" i="35"/>
  <c r="E24" i="35"/>
  <c r="G24" i="35"/>
  <c r="I24" i="35"/>
  <c r="Y22" i="37" l="1"/>
  <c r="Y23" i="37"/>
  <c r="Y24" i="37"/>
  <c r="Y25" i="37"/>
  <c r="Y26" i="37"/>
  <c r="Y27" i="37"/>
  <c r="Y21" i="37"/>
  <c r="BA18" i="4"/>
  <c r="AY9" i="4"/>
  <c r="AY10" i="4"/>
  <c r="AY11" i="4"/>
  <c r="AY12" i="4"/>
  <c r="AY13" i="4"/>
  <c r="AY14" i="4"/>
  <c r="AY15" i="4"/>
  <c r="AY16" i="4"/>
  <c r="AY17" i="4"/>
  <c r="AY18" i="4"/>
  <c r="AY19" i="4"/>
  <c r="AY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23" i="35" l="1"/>
  <c r="B23" i="35"/>
  <c r="C23" i="35"/>
  <c r="D23" i="35"/>
  <c r="E23" i="35"/>
  <c r="G23" i="35"/>
  <c r="I23" i="35"/>
  <c r="G4" i="35" l="1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3" i="35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3" i="35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3" i="35"/>
  <c r="C4" i="35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3" i="35"/>
  <c r="V26" i="38" l="1"/>
  <c r="W26" i="38" s="1"/>
  <c r="U25" i="38"/>
  <c r="T25" i="38"/>
  <c r="V24" i="38"/>
  <c r="W24" i="38" s="1"/>
  <c r="V23" i="38"/>
  <c r="W23" i="38" s="1"/>
  <c r="V22" i="38"/>
  <c r="W22" i="38" s="1"/>
  <c r="V21" i="38"/>
  <c r="W21" i="38" s="1"/>
  <c r="E12" i="38" l="1"/>
  <c r="E11" i="38"/>
  <c r="E10" i="38"/>
  <c r="E9" i="38"/>
  <c r="E16" i="38" l="1"/>
  <c r="G26" i="35"/>
  <c r="I26" i="35"/>
  <c r="C26" i="35"/>
  <c r="D26" i="35"/>
  <c r="E26" i="35"/>
  <c r="B26" i="35"/>
  <c r="A22" i="35"/>
  <c r="B22" i="35"/>
  <c r="A21" i="35" l="1"/>
  <c r="B21" i="35" l="1"/>
  <c r="A20" i="35"/>
  <c r="B20" i="35"/>
  <c r="A19" i="35" l="1"/>
  <c r="B19" i="35"/>
  <c r="K12" i="39" l="1"/>
  <c r="K13" i="39"/>
  <c r="K14" i="39"/>
  <c r="K16" i="39"/>
  <c r="K15" i="39"/>
  <c r="K17" i="39"/>
  <c r="K8" i="39"/>
  <c r="K6" i="39"/>
  <c r="K7" i="39"/>
  <c r="K10" i="39"/>
  <c r="K9" i="39"/>
  <c r="A18" i="35"/>
  <c r="B18" i="35"/>
  <c r="AB66" i="27" l="1"/>
  <c r="AB67" i="27"/>
  <c r="AB68" i="27"/>
  <c r="AB69" i="27"/>
  <c r="AB65" i="27"/>
  <c r="C8" i="27"/>
  <c r="C9" i="27"/>
  <c r="C10" i="27"/>
  <c r="C11" i="27"/>
  <c r="C7" i="27"/>
  <c r="C8" i="37" l="1"/>
  <c r="C9" i="37"/>
  <c r="C10" i="37"/>
  <c r="C11" i="37"/>
  <c r="C7" i="37"/>
  <c r="AQ6" i="4"/>
  <c r="AZ6" i="4" s="1"/>
  <c r="AQ6" i="5"/>
  <c r="AS6" i="5"/>
  <c r="AR40" i="4"/>
  <c r="BA40" i="4" s="1"/>
  <c r="AR39" i="4"/>
  <c r="BA39" i="4" s="1"/>
  <c r="AR38" i="4"/>
  <c r="BA38" i="4" s="1"/>
  <c r="AR37" i="4"/>
  <c r="BA37" i="4" s="1"/>
  <c r="AR36" i="4"/>
  <c r="BA36" i="4" s="1"/>
  <c r="AR35" i="4"/>
  <c r="BA35" i="4" s="1"/>
  <c r="AR34" i="4"/>
  <c r="BA34" i="4" s="1"/>
  <c r="AR33" i="4"/>
  <c r="BA33" i="4" s="1"/>
  <c r="AR32" i="4"/>
  <c r="BA32" i="4" s="1"/>
  <c r="AR31" i="4"/>
  <c r="BA31" i="4" s="1"/>
  <c r="AR30" i="4"/>
  <c r="BA30" i="4" s="1"/>
  <c r="AR29" i="4"/>
  <c r="BA29" i="4" s="1"/>
  <c r="AR28" i="4"/>
  <c r="BA28" i="4" s="1"/>
  <c r="AR27" i="4"/>
  <c r="BA27" i="4" s="1"/>
  <c r="AR26" i="4"/>
  <c r="BA26" i="4" s="1"/>
  <c r="AR25" i="4"/>
  <c r="BA25" i="4" s="1"/>
  <c r="AR24" i="4"/>
  <c r="BA24" i="4" s="1"/>
  <c r="AR23" i="4"/>
  <c r="BA23" i="4" s="1"/>
  <c r="AR22" i="4"/>
  <c r="BA22" i="4" s="1"/>
  <c r="AR21" i="4"/>
  <c r="BA21" i="4" s="1"/>
  <c r="AR20" i="4"/>
  <c r="BA20" i="4" s="1"/>
  <c r="AR19" i="4"/>
  <c r="AS6" i="4"/>
  <c r="AS7" i="3"/>
  <c r="AQ7" i="7"/>
  <c r="AT5" i="7"/>
  <c r="AG18" i="33"/>
  <c r="AG17" i="33"/>
  <c r="AG16" i="33"/>
  <c r="AG15" i="33"/>
  <c r="AG14" i="33"/>
  <c r="AG13" i="33"/>
  <c r="AG12" i="33"/>
  <c r="AG11" i="33"/>
  <c r="AG10" i="33"/>
  <c r="AG9" i="33"/>
  <c r="AG8" i="33"/>
  <c r="AF40" i="32"/>
  <c r="AF39" i="32"/>
  <c r="AF38" i="32"/>
  <c r="AF37" i="32"/>
  <c r="AF36" i="32"/>
  <c r="AF35" i="32"/>
  <c r="AF34" i="32"/>
  <c r="AF33" i="32"/>
  <c r="AF32" i="32"/>
  <c r="AF31" i="32"/>
  <c r="AF30" i="32"/>
  <c r="AF29" i="32"/>
  <c r="AF28" i="32"/>
  <c r="AF27" i="32"/>
  <c r="AF26" i="32"/>
  <c r="AF25" i="32"/>
  <c r="AF24" i="32"/>
  <c r="AF23" i="32"/>
  <c r="AF22" i="32"/>
  <c r="AF21" i="32"/>
  <c r="AF20" i="32"/>
  <c r="AF19" i="32"/>
  <c r="AG18" i="32"/>
  <c r="AG17" i="32"/>
  <c r="AG16" i="32"/>
  <c r="AG15" i="32"/>
  <c r="AG14" i="32"/>
  <c r="AG13" i="32"/>
  <c r="AG12" i="32"/>
  <c r="AG11" i="32"/>
  <c r="AG10" i="32"/>
  <c r="AG9" i="32"/>
  <c r="AG8" i="32"/>
  <c r="AF36" i="31"/>
  <c r="AF35" i="31"/>
  <c r="AF34" i="31"/>
  <c r="AF33" i="31"/>
  <c r="AF32" i="31"/>
  <c r="AF31" i="31"/>
  <c r="AF30" i="31"/>
  <c r="AF29" i="31"/>
  <c r="AF28" i="31"/>
  <c r="AF27" i="31"/>
  <c r="AG27" i="31"/>
  <c r="AG26" i="31"/>
  <c r="AG25" i="31"/>
  <c r="AG24" i="31"/>
  <c r="AG23" i="31"/>
  <c r="AG22" i="31"/>
  <c r="AG21" i="31"/>
  <c r="AG20" i="31"/>
  <c r="AG19" i="31"/>
  <c r="AG18" i="31"/>
  <c r="AG17" i="31"/>
  <c r="AG16" i="31"/>
  <c r="AG15" i="31"/>
  <c r="AG14" i="31"/>
  <c r="AG13" i="31"/>
  <c r="AG12" i="31"/>
  <c r="AG11" i="31"/>
  <c r="AG10" i="31"/>
  <c r="AF14" i="30"/>
  <c r="AG13" i="30"/>
  <c r="AG12" i="30"/>
  <c r="AG11" i="30"/>
  <c r="AG10" i="30"/>
  <c r="AG9" i="30"/>
  <c r="AG8" i="30"/>
  <c r="AG7" i="30"/>
  <c r="AF23" i="29"/>
  <c r="AF22" i="29"/>
  <c r="AF21" i="29"/>
  <c r="AF20" i="29"/>
  <c r="AF19" i="29"/>
  <c r="AF18" i="29"/>
  <c r="AF17" i="29"/>
  <c r="AF16" i="29"/>
  <c r="AF15" i="29"/>
  <c r="AF14" i="29"/>
  <c r="AG6" i="29"/>
  <c r="AD6" i="29"/>
  <c r="AD7" i="29" s="1"/>
  <c r="AD8" i="29" s="1"/>
  <c r="T47" i="33"/>
  <c r="T46" i="33"/>
  <c r="T45" i="33"/>
  <c r="T44" i="33"/>
  <c r="T43" i="33"/>
  <c r="T42" i="33"/>
  <c r="T41" i="33"/>
  <c r="T40" i="33"/>
  <c r="T39" i="33"/>
  <c r="T38" i="33"/>
  <c r="T37" i="33"/>
  <c r="T36" i="33"/>
  <c r="T35" i="33"/>
  <c r="T34" i="33"/>
  <c r="T33" i="33"/>
  <c r="T32" i="33"/>
  <c r="T31" i="33"/>
  <c r="T30" i="33"/>
  <c r="T29" i="33"/>
  <c r="T28" i="33"/>
  <c r="T27" i="33"/>
  <c r="T26" i="33"/>
  <c r="T25" i="33"/>
  <c r="T24" i="33"/>
  <c r="T23" i="33"/>
  <c r="T22" i="33"/>
  <c r="T21" i="33"/>
  <c r="T20" i="33"/>
  <c r="U19" i="33"/>
  <c r="U18" i="33"/>
  <c r="U17" i="33"/>
  <c r="U16" i="33"/>
  <c r="U15" i="33"/>
  <c r="U14" i="33"/>
  <c r="U13" i="33"/>
  <c r="U12" i="33"/>
  <c r="U11" i="33"/>
  <c r="U10" i="33"/>
  <c r="U9" i="33"/>
  <c r="T40" i="32"/>
  <c r="T39" i="32"/>
  <c r="T38" i="32"/>
  <c r="T37" i="32"/>
  <c r="T36" i="32"/>
  <c r="T35" i="32"/>
  <c r="T34" i="32"/>
  <c r="T33" i="32"/>
  <c r="T32" i="32"/>
  <c r="T31" i="32"/>
  <c r="T30" i="32"/>
  <c r="T29" i="32"/>
  <c r="T28" i="32"/>
  <c r="T27" i="32"/>
  <c r="T26" i="32"/>
  <c r="T25" i="32"/>
  <c r="T24" i="32"/>
  <c r="T23" i="32"/>
  <c r="T22" i="32"/>
  <c r="T21" i="32"/>
  <c r="T20" i="32"/>
  <c r="T19" i="32"/>
  <c r="U18" i="32"/>
  <c r="U17" i="32"/>
  <c r="U16" i="32"/>
  <c r="U15" i="32"/>
  <c r="U14" i="32"/>
  <c r="U13" i="32"/>
  <c r="U12" i="32"/>
  <c r="U11" i="32"/>
  <c r="U10" i="32"/>
  <c r="U9" i="32"/>
  <c r="U8" i="32"/>
  <c r="T36" i="31"/>
  <c r="T35" i="31"/>
  <c r="T34" i="31"/>
  <c r="T33" i="31"/>
  <c r="T32" i="31"/>
  <c r="T31" i="31"/>
  <c r="T30" i="31"/>
  <c r="T29" i="31"/>
  <c r="T28" i="31"/>
  <c r="T27" i="31"/>
  <c r="U26" i="31"/>
  <c r="U25" i="31"/>
  <c r="U24" i="31"/>
  <c r="U23" i="31"/>
  <c r="U22" i="31"/>
  <c r="U21" i="31"/>
  <c r="U20" i="31"/>
  <c r="U19" i="31"/>
  <c r="U18" i="31"/>
  <c r="U17" i="31"/>
  <c r="U16" i="31"/>
  <c r="U15" i="31"/>
  <c r="U14" i="31"/>
  <c r="U13" i="31"/>
  <c r="U12" i="31"/>
  <c r="U11" i="31"/>
  <c r="U10" i="31"/>
  <c r="U12" i="30"/>
  <c r="U11" i="30"/>
  <c r="U10" i="30"/>
  <c r="U9" i="30"/>
  <c r="U8" i="30"/>
  <c r="U7" i="30"/>
  <c r="T22" i="29"/>
  <c r="T21" i="29"/>
  <c r="T20" i="29"/>
  <c r="T19" i="29"/>
  <c r="T18" i="29"/>
  <c r="T17" i="29"/>
  <c r="T16" i="29"/>
  <c r="T15" i="29"/>
  <c r="T14" i="29"/>
  <c r="T13" i="29"/>
  <c r="C32" i="27"/>
  <c r="C31" i="27"/>
  <c r="C30" i="27"/>
  <c r="C29" i="27"/>
  <c r="AC11" i="5"/>
  <c r="AI12" i="5" s="1"/>
  <c r="AC11" i="4"/>
  <c r="AI12" i="4" s="1"/>
  <c r="AC12" i="3"/>
  <c r="AC10" i="2"/>
  <c r="AI11" i="2" s="1"/>
  <c r="AR12" i="2"/>
  <c r="AR13" i="2"/>
  <c r="AQ5" i="2"/>
  <c r="AP5" i="2"/>
  <c r="G48" i="4"/>
  <c r="AE14" i="6" l="1"/>
  <c r="AG14" i="6" s="1"/>
  <c r="U9" i="6"/>
  <c r="AE9" i="6"/>
  <c r="AG9" i="6" s="1"/>
  <c r="U10" i="6"/>
  <c r="AE10" i="6"/>
  <c r="AG10" i="6" s="1"/>
  <c r="U11" i="6"/>
  <c r="AE11" i="6"/>
  <c r="AG11" i="6" s="1"/>
  <c r="U12" i="6"/>
  <c r="AE12" i="6"/>
  <c r="AG12" i="6" s="1"/>
  <c r="U13" i="6"/>
  <c r="AE13" i="6"/>
  <c r="AG13" i="6" s="1"/>
  <c r="AF15" i="30"/>
  <c r="AF16" i="30" s="1"/>
  <c r="AF17" i="30" s="1"/>
  <c r="AF18" i="30" s="1"/>
  <c r="AF19" i="30" s="1"/>
  <c r="AF20" i="30" s="1"/>
  <c r="AF21" i="30" s="1"/>
  <c r="AF22" i="30" s="1"/>
  <c r="AF23" i="30" s="1"/>
  <c r="AF24" i="30" s="1"/>
  <c r="AI13" i="3"/>
  <c r="AF42" i="3"/>
  <c r="U14" i="6"/>
  <c r="AG29" i="31"/>
  <c r="AG21" i="32"/>
  <c r="U19" i="32"/>
  <c r="AY20" i="4"/>
  <c r="BA19" i="4"/>
  <c r="AG19" i="32"/>
  <c r="U27" i="31"/>
  <c r="AG14" i="30"/>
  <c r="AG28" i="31"/>
  <c r="R22" i="28"/>
  <c r="S22" i="28" s="1"/>
  <c r="R20" i="28"/>
  <c r="S20" i="28" s="1"/>
  <c r="R23" i="28"/>
  <c r="S23" i="28" s="1"/>
  <c r="R12" i="28"/>
  <c r="S12" i="28" s="1"/>
  <c r="R11" i="28"/>
  <c r="S11" i="28" s="1"/>
  <c r="R10" i="28"/>
  <c r="S10" i="28" s="1"/>
  <c r="R19" i="28"/>
  <c r="S19" i="28" s="1"/>
  <c r="AQ8" i="7"/>
  <c r="AT7" i="7"/>
  <c r="AG7" i="31"/>
  <c r="R8" i="28"/>
  <c r="S8" i="28" s="1"/>
  <c r="R9" i="28"/>
  <c r="S9" i="28" s="1"/>
  <c r="R21" i="28"/>
  <c r="S21" i="28" s="1"/>
  <c r="AG20" i="33"/>
  <c r="AG19" i="33"/>
  <c r="AG20" i="32"/>
  <c r="AG5" i="29"/>
  <c r="AG9" i="31"/>
  <c r="AG5" i="30"/>
  <c r="AD9" i="29"/>
  <c r="AE8" i="29"/>
  <c r="AG8" i="29" s="1"/>
  <c r="U5" i="7"/>
  <c r="AG6" i="33"/>
  <c r="U6" i="5"/>
  <c r="U7" i="3"/>
  <c r="U5" i="2"/>
  <c r="U8" i="33"/>
  <c r="U21" i="32"/>
  <c r="U20" i="32"/>
  <c r="U9" i="31"/>
  <c r="U28" i="31"/>
  <c r="U14" i="30"/>
  <c r="U13" i="30"/>
  <c r="U7" i="29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3" i="35"/>
  <c r="AY21" i="4" l="1"/>
  <c r="AY8" i="4"/>
  <c r="AY7" i="4"/>
  <c r="AG15" i="30"/>
  <c r="U20" i="33"/>
  <c r="AY22" i="4"/>
  <c r="AQ9" i="7"/>
  <c r="AT8" i="7"/>
  <c r="AG21" i="33"/>
  <c r="U6" i="4"/>
  <c r="AG6" i="32"/>
  <c r="AG22" i="32"/>
  <c r="AG30" i="31"/>
  <c r="AD10" i="29"/>
  <c r="AE9" i="29"/>
  <c r="AG9" i="29" s="1"/>
  <c r="U22" i="32"/>
  <c r="U29" i="31"/>
  <c r="U15" i="30"/>
  <c r="U8" i="29"/>
  <c r="U15" i="6" l="1"/>
  <c r="AE15" i="6"/>
  <c r="AG15" i="6" s="1"/>
  <c r="U8" i="6"/>
  <c r="AE8" i="6"/>
  <c r="AG8" i="6" s="1"/>
  <c r="U21" i="33"/>
  <c r="AY23" i="4"/>
  <c r="AT9" i="7"/>
  <c r="AQ10" i="7"/>
  <c r="AG22" i="33"/>
  <c r="AG23" i="32"/>
  <c r="AG31" i="31"/>
  <c r="AG16" i="30"/>
  <c r="AE10" i="29"/>
  <c r="AG10" i="29" s="1"/>
  <c r="AD11" i="29"/>
  <c r="U23" i="32"/>
  <c r="U30" i="31"/>
  <c r="U16" i="30"/>
  <c r="U9" i="29"/>
  <c r="U16" i="6" l="1"/>
  <c r="AE16" i="6"/>
  <c r="AG16" i="6" s="1"/>
  <c r="U22" i="33"/>
  <c r="AY24" i="4"/>
  <c r="AT10" i="7"/>
  <c r="AQ11" i="7"/>
  <c r="AG23" i="33"/>
  <c r="AG24" i="32"/>
  <c r="AG32" i="31"/>
  <c r="AG17" i="30"/>
  <c r="AE11" i="29"/>
  <c r="AG11" i="29" s="1"/>
  <c r="AD12" i="29"/>
  <c r="U24" i="32"/>
  <c r="U31" i="31"/>
  <c r="U17" i="30"/>
  <c r="U10" i="29"/>
  <c r="U17" i="6" l="1"/>
  <c r="AE17" i="6"/>
  <c r="AG17" i="6" s="1"/>
  <c r="U18" i="6"/>
  <c r="AE18" i="6"/>
  <c r="AG18" i="6" s="1"/>
  <c r="U23" i="33"/>
  <c r="AY25" i="4"/>
  <c r="AQ12" i="7"/>
  <c r="AT11" i="7"/>
  <c r="AG24" i="33"/>
  <c r="AG25" i="32"/>
  <c r="AG33" i="31"/>
  <c r="AG18" i="30"/>
  <c r="AD13" i="29"/>
  <c r="AE12" i="29"/>
  <c r="AG12" i="29" s="1"/>
  <c r="U25" i="32"/>
  <c r="U32" i="31"/>
  <c r="U18" i="30"/>
  <c r="U11" i="29"/>
  <c r="U19" i="6" l="1"/>
  <c r="AE19" i="6"/>
  <c r="AG19" i="6" s="1"/>
  <c r="U24" i="33"/>
  <c r="AY26" i="4"/>
  <c r="AQ13" i="7"/>
  <c r="AT12" i="7"/>
  <c r="AG25" i="33"/>
  <c r="AG26" i="32"/>
  <c r="AG34" i="31"/>
  <c r="AG19" i="30"/>
  <c r="AD14" i="29"/>
  <c r="AE13" i="29"/>
  <c r="AG13" i="29" s="1"/>
  <c r="U26" i="32"/>
  <c r="U33" i="31"/>
  <c r="U19" i="30"/>
  <c r="U12" i="29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36" i="3"/>
  <c r="T35" i="3"/>
  <c r="T34" i="3"/>
  <c r="T33" i="3"/>
  <c r="T32" i="3"/>
  <c r="T31" i="3"/>
  <c r="T30" i="3"/>
  <c r="T29" i="3"/>
  <c r="T28" i="3"/>
  <c r="AS27" i="3"/>
  <c r="U8" i="3"/>
  <c r="T15" i="2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R14" i="2"/>
  <c r="R15" i="2" s="1"/>
  <c r="S13" i="2"/>
  <c r="U13" i="2" s="1"/>
  <c r="S12" i="2"/>
  <c r="U12" i="2" s="1"/>
  <c r="S11" i="2"/>
  <c r="U11" i="2" s="1"/>
  <c r="S10" i="2"/>
  <c r="U10" i="2" s="1"/>
  <c r="S9" i="2"/>
  <c r="U9" i="2" s="1"/>
  <c r="S8" i="2"/>
  <c r="U8" i="2" s="1"/>
  <c r="T23" i="7"/>
  <c r="AF23" i="7" s="1"/>
  <c r="T22" i="7"/>
  <c r="AF22" i="7" s="1"/>
  <c r="T21" i="7"/>
  <c r="AF21" i="7" s="1"/>
  <c r="T20" i="7"/>
  <c r="AF20" i="7" s="1"/>
  <c r="T19" i="7"/>
  <c r="AF19" i="7" s="1"/>
  <c r="T18" i="7"/>
  <c r="AF18" i="7" s="1"/>
  <c r="T17" i="7"/>
  <c r="AF17" i="7" s="1"/>
  <c r="T16" i="7"/>
  <c r="AF16" i="7" s="1"/>
  <c r="T15" i="7"/>
  <c r="AF15" i="7" s="1"/>
  <c r="T14" i="7"/>
  <c r="AF14" i="7" s="1"/>
  <c r="U6" i="7"/>
  <c r="U20" i="6" l="1"/>
  <c r="AE20" i="6"/>
  <c r="AG20" i="6" s="1"/>
  <c r="AS19" i="4"/>
  <c r="AZ19" i="4"/>
  <c r="BB19" i="4" s="1"/>
  <c r="U25" i="33"/>
  <c r="U12" i="4"/>
  <c r="U9" i="5"/>
  <c r="AS9" i="5"/>
  <c r="U17" i="5"/>
  <c r="AS17" i="5"/>
  <c r="U14" i="3"/>
  <c r="AS13" i="3"/>
  <c r="U22" i="3"/>
  <c r="AS21" i="3"/>
  <c r="U13" i="4"/>
  <c r="U10" i="5"/>
  <c r="AS10" i="5"/>
  <c r="U18" i="5"/>
  <c r="AS18" i="5"/>
  <c r="U12" i="3"/>
  <c r="AS11" i="3"/>
  <c r="U15" i="3"/>
  <c r="AS14" i="3"/>
  <c r="U23" i="3"/>
  <c r="AS22" i="3"/>
  <c r="U14" i="4"/>
  <c r="U11" i="5"/>
  <c r="AS11" i="5"/>
  <c r="U21" i="3"/>
  <c r="AS20" i="3"/>
  <c r="U16" i="3"/>
  <c r="AS15" i="3"/>
  <c r="U24" i="3"/>
  <c r="AS23" i="3"/>
  <c r="U15" i="4"/>
  <c r="U12" i="5"/>
  <c r="AS12" i="5"/>
  <c r="U20" i="3"/>
  <c r="AS19" i="3"/>
  <c r="U17" i="3"/>
  <c r="AS16" i="3"/>
  <c r="U25" i="3"/>
  <c r="AS24" i="3"/>
  <c r="U8" i="4"/>
  <c r="U16" i="4"/>
  <c r="U13" i="5"/>
  <c r="AS13" i="5"/>
  <c r="U11" i="4"/>
  <c r="U18" i="3"/>
  <c r="AS17" i="3"/>
  <c r="U26" i="3"/>
  <c r="AS25" i="3"/>
  <c r="U9" i="4"/>
  <c r="U17" i="4"/>
  <c r="U14" i="5"/>
  <c r="AS14" i="5"/>
  <c r="U16" i="5"/>
  <c r="AS16" i="5"/>
  <c r="U13" i="3"/>
  <c r="AS12" i="3"/>
  <c r="U11" i="3"/>
  <c r="AS10" i="3"/>
  <c r="U19" i="3"/>
  <c r="AS18" i="3"/>
  <c r="U27" i="3"/>
  <c r="AS26" i="3"/>
  <c r="U10" i="4"/>
  <c r="U18" i="4"/>
  <c r="U15" i="5"/>
  <c r="AS15" i="5"/>
  <c r="AY27" i="4"/>
  <c r="AT13" i="7"/>
  <c r="AQ14" i="7"/>
  <c r="AG26" i="33"/>
  <c r="AG27" i="32"/>
  <c r="AG35" i="31"/>
  <c r="AG36" i="31"/>
  <c r="AG20" i="30"/>
  <c r="AE14" i="29"/>
  <c r="AG14" i="29" s="1"/>
  <c r="AD15" i="29"/>
  <c r="U27" i="32"/>
  <c r="U34" i="31"/>
  <c r="U20" i="30"/>
  <c r="U13" i="29"/>
  <c r="U28" i="3"/>
  <c r="U19" i="4"/>
  <c r="S15" i="2"/>
  <c r="U15" i="2" s="1"/>
  <c r="R16" i="2"/>
  <c r="S14" i="2"/>
  <c r="U14" i="2" s="1"/>
  <c r="U9" i="7"/>
  <c r="U8" i="7"/>
  <c r="U21" i="6" l="1"/>
  <c r="AE21" i="6"/>
  <c r="AG21" i="6" s="1"/>
  <c r="AS8" i="4"/>
  <c r="AZ8" i="4"/>
  <c r="BB8" i="4" s="1"/>
  <c r="AS13" i="4"/>
  <c r="AZ13" i="4"/>
  <c r="BB13" i="4" s="1"/>
  <c r="AS18" i="4"/>
  <c r="AZ18" i="4"/>
  <c r="BB18" i="4" s="1"/>
  <c r="AS11" i="4"/>
  <c r="AZ11" i="4"/>
  <c r="BB11" i="4" s="1"/>
  <c r="AS12" i="4"/>
  <c r="AZ12" i="4"/>
  <c r="BB12" i="4" s="1"/>
  <c r="AS15" i="4"/>
  <c r="AZ15" i="4"/>
  <c r="BB15" i="4" s="1"/>
  <c r="AS10" i="4"/>
  <c r="AZ10" i="4"/>
  <c r="BB10" i="4" s="1"/>
  <c r="AS9" i="4"/>
  <c r="AZ9" i="4"/>
  <c r="BB9" i="4" s="1"/>
  <c r="AS14" i="4"/>
  <c r="AZ14" i="4"/>
  <c r="BB14" i="4" s="1"/>
  <c r="AS17" i="4"/>
  <c r="AZ17" i="4"/>
  <c r="BB17" i="4" s="1"/>
  <c r="AS16" i="4"/>
  <c r="AZ16" i="4"/>
  <c r="BB16" i="4" s="1"/>
  <c r="U26" i="33"/>
  <c r="U29" i="3"/>
  <c r="AS28" i="3"/>
  <c r="U20" i="5"/>
  <c r="AS20" i="5"/>
  <c r="U20" i="4"/>
  <c r="U30" i="3"/>
  <c r="AS29" i="3"/>
  <c r="U10" i="3"/>
  <c r="AS9" i="3"/>
  <c r="U19" i="5"/>
  <c r="AS19" i="5"/>
  <c r="U8" i="5"/>
  <c r="AS8" i="5"/>
  <c r="AY28" i="4"/>
  <c r="AT14" i="7"/>
  <c r="AQ15" i="7"/>
  <c r="AG27" i="33"/>
  <c r="AG28" i="32"/>
  <c r="AG21" i="30"/>
  <c r="AE15" i="29"/>
  <c r="AG15" i="29" s="1"/>
  <c r="AD16" i="29"/>
  <c r="U28" i="32"/>
  <c r="U35" i="31"/>
  <c r="U36" i="31"/>
  <c r="U21" i="30"/>
  <c r="U14" i="29"/>
  <c r="S16" i="2"/>
  <c r="U16" i="2" s="1"/>
  <c r="R17" i="2"/>
  <c r="U10" i="7"/>
  <c r="U22" i="6" l="1"/>
  <c r="AE22" i="6"/>
  <c r="AG22" i="6" s="1"/>
  <c r="AS20" i="4"/>
  <c r="AZ20" i="4"/>
  <c r="BB20" i="4" s="1"/>
  <c r="U27" i="33"/>
  <c r="U31" i="3"/>
  <c r="AS30" i="3"/>
  <c r="U21" i="5"/>
  <c r="AS21" i="5"/>
  <c r="U21" i="4"/>
  <c r="U22" i="4"/>
  <c r="AY29" i="4"/>
  <c r="AT15" i="7"/>
  <c r="AQ16" i="7"/>
  <c r="AG28" i="33"/>
  <c r="AG29" i="32"/>
  <c r="AG22" i="30"/>
  <c r="AE16" i="29"/>
  <c r="AG16" i="29" s="1"/>
  <c r="AD17" i="29"/>
  <c r="U29" i="32"/>
  <c r="U22" i="30"/>
  <c r="U15" i="29"/>
  <c r="S17" i="2"/>
  <c r="U17" i="2" s="1"/>
  <c r="R18" i="2"/>
  <c r="AD12" i="7"/>
  <c r="U23" i="6" l="1"/>
  <c r="AE23" i="6"/>
  <c r="AG23" i="6" s="1"/>
  <c r="U11" i="7"/>
  <c r="AS22" i="4"/>
  <c r="AZ22" i="4"/>
  <c r="BB22" i="4" s="1"/>
  <c r="AS21" i="4"/>
  <c r="AZ21" i="4"/>
  <c r="BB21" i="4" s="1"/>
  <c r="U28" i="33"/>
  <c r="U22" i="5"/>
  <c r="AS22" i="5"/>
  <c r="U23" i="4"/>
  <c r="U32" i="3"/>
  <c r="AS31" i="3"/>
  <c r="AY30" i="4"/>
  <c r="AT16" i="7"/>
  <c r="AQ17" i="7"/>
  <c r="AG29" i="33"/>
  <c r="AG30" i="32"/>
  <c r="AG23" i="30"/>
  <c r="AG24" i="30"/>
  <c r="AE17" i="29"/>
  <c r="AG17" i="29" s="1"/>
  <c r="AD18" i="29"/>
  <c r="U30" i="32"/>
  <c r="U23" i="30"/>
  <c r="U24" i="30"/>
  <c r="U16" i="29"/>
  <c r="S18" i="2"/>
  <c r="U18" i="2" s="1"/>
  <c r="R19" i="2"/>
  <c r="AD13" i="7"/>
  <c r="U24" i="6" l="1"/>
  <c r="AE24" i="6"/>
  <c r="AG24" i="6" s="1"/>
  <c r="U12" i="7"/>
  <c r="AE12" i="7"/>
  <c r="AS23" i="4"/>
  <c r="AZ23" i="4"/>
  <c r="BB23" i="4" s="1"/>
  <c r="U29" i="33"/>
  <c r="U33" i="3"/>
  <c r="AS32" i="3"/>
  <c r="U24" i="4"/>
  <c r="U23" i="5"/>
  <c r="AS23" i="5"/>
  <c r="AY31" i="4"/>
  <c r="AT17" i="7"/>
  <c r="AQ18" i="7"/>
  <c r="AG30" i="33"/>
  <c r="AG31" i="32"/>
  <c r="AD19" i="29"/>
  <c r="AE18" i="29"/>
  <c r="AG18" i="29" s="1"/>
  <c r="U31" i="32"/>
  <c r="U17" i="29"/>
  <c r="S19" i="2"/>
  <c r="U19" i="2" s="1"/>
  <c r="R20" i="2"/>
  <c r="AD14" i="7"/>
  <c r="U25" i="6" l="1"/>
  <c r="AE25" i="6"/>
  <c r="AG25" i="6" s="1"/>
  <c r="U13" i="7"/>
  <c r="AG12" i="7" s="1"/>
  <c r="AJ12" i="7" s="1"/>
  <c r="AE13" i="7"/>
  <c r="AS24" i="4"/>
  <c r="AZ24" i="4"/>
  <c r="BB24" i="4" s="1"/>
  <c r="U30" i="33"/>
  <c r="U24" i="5"/>
  <c r="AS24" i="5"/>
  <c r="U25" i="4"/>
  <c r="U34" i="3"/>
  <c r="AS33" i="3"/>
  <c r="AY32" i="4"/>
  <c r="AQ19" i="7"/>
  <c r="AT18" i="7"/>
  <c r="AG31" i="33"/>
  <c r="AG32" i="32"/>
  <c r="AD20" i="29"/>
  <c r="AE19" i="29"/>
  <c r="AG19" i="29" s="1"/>
  <c r="U32" i="32"/>
  <c r="U18" i="29"/>
  <c r="S20" i="2"/>
  <c r="U20" i="2" s="1"/>
  <c r="R21" i="2"/>
  <c r="AD15" i="7"/>
  <c r="U26" i="6" l="1"/>
  <c r="AE26" i="6"/>
  <c r="AG26" i="6" s="1"/>
  <c r="U14" i="7"/>
  <c r="AG13" i="7" s="1"/>
  <c r="AJ13" i="7" s="1"/>
  <c r="AE14" i="7"/>
  <c r="AS25" i="4"/>
  <c r="AZ25" i="4"/>
  <c r="BB25" i="4" s="1"/>
  <c r="U31" i="33"/>
  <c r="U25" i="5"/>
  <c r="AS25" i="5"/>
  <c r="U26" i="4"/>
  <c r="U35" i="3"/>
  <c r="AS34" i="3"/>
  <c r="AY33" i="4"/>
  <c r="AQ20" i="7"/>
  <c r="AT19" i="7"/>
  <c r="AG32" i="33"/>
  <c r="AG33" i="32"/>
  <c r="AD21" i="29"/>
  <c r="AE20" i="29"/>
  <c r="AG20" i="29" s="1"/>
  <c r="U33" i="32"/>
  <c r="U19" i="29"/>
  <c r="R22" i="2"/>
  <c r="S21" i="2"/>
  <c r="U21" i="2" s="1"/>
  <c r="AD16" i="7"/>
  <c r="U27" i="6" l="1"/>
  <c r="AE27" i="6"/>
  <c r="AG27" i="6" s="1"/>
  <c r="U15" i="7"/>
  <c r="AG14" i="7" s="1"/>
  <c r="AJ14" i="7" s="1"/>
  <c r="AE15" i="7"/>
  <c r="AS26" i="4"/>
  <c r="AZ26" i="4"/>
  <c r="BB26" i="4" s="1"/>
  <c r="U32" i="33"/>
  <c r="U27" i="4"/>
  <c r="U26" i="5"/>
  <c r="AS26" i="5"/>
  <c r="AS36" i="3"/>
  <c r="U36" i="3"/>
  <c r="AS35" i="3"/>
  <c r="AY34" i="4"/>
  <c r="AT20" i="7"/>
  <c r="AQ21" i="7"/>
  <c r="AG33" i="33"/>
  <c r="AG34" i="32"/>
  <c r="AE21" i="29"/>
  <c r="AG21" i="29" s="1"/>
  <c r="AD22" i="29"/>
  <c r="U34" i="32"/>
  <c r="U20" i="29"/>
  <c r="R23" i="2"/>
  <c r="S22" i="2"/>
  <c r="U22" i="2" s="1"/>
  <c r="AD17" i="7"/>
  <c r="U28" i="6" l="1"/>
  <c r="AE28" i="6"/>
  <c r="AG28" i="6" s="1"/>
  <c r="U16" i="7"/>
  <c r="AG15" i="7" s="1"/>
  <c r="AJ15" i="7" s="1"/>
  <c r="AE16" i="7"/>
  <c r="AS27" i="4"/>
  <c r="AZ27" i="4"/>
  <c r="BB27" i="4" s="1"/>
  <c r="U33" i="33"/>
  <c r="U27" i="5"/>
  <c r="AS27" i="5"/>
  <c r="U28" i="4"/>
  <c r="AY35" i="4"/>
  <c r="AT21" i="7"/>
  <c r="AQ22" i="7"/>
  <c r="AT22" i="7" s="1"/>
  <c r="AG34" i="33"/>
  <c r="AG35" i="32"/>
  <c r="AE22" i="29"/>
  <c r="AG22" i="29" s="1"/>
  <c r="AD23" i="29"/>
  <c r="AE23" i="29" s="1"/>
  <c r="AG23" i="29" s="1"/>
  <c r="U35" i="32"/>
  <c r="U21" i="29"/>
  <c r="U22" i="29"/>
  <c r="S23" i="2"/>
  <c r="U23" i="2" s="1"/>
  <c r="R24" i="2"/>
  <c r="AD18" i="7"/>
  <c r="U29" i="6" l="1"/>
  <c r="AE29" i="6"/>
  <c r="AG29" i="6" s="1"/>
  <c r="U17" i="7"/>
  <c r="AG16" i="7" s="1"/>
  <c r="AJ16" i="7" s="1"/>
  <c r="AE17" i="7"/>
  <c r="AS28" i="4"/>
  <c r="AZ28" i="4"/>
  <c r="BB28" i="4" s="1"/>
  <c r="U34" i="33"/>
  <c r="U29" i="4"/>
  <c r="U28" i="5"/>
  <c r="AS28" i="5"/>
  <c r="AY36" i="4"/>
  <c r="AG35" i="33"/>
  <c r="AG36" i="32"/>
  <c r="U36" i="32"/>
  <c r="S24" i="2"/>
  <c r="U24" i="2" s="1"/>
  <c r="R25" i="2"/>
  <c r="S25" i="2" s="1"/>
  <c r="U25" i="2" s="1"/>
  <c r="AD19" i="7"/>
  <c r="U30" i="6" l="1"/>
  <c r="AE30" i="6"/>
  <c r="AG30" i="6" s="1"/>
  <c r="U18" i="7"/>
  <c r="AG17" i="7" s="1"/>
  <c r="AJ17" i="7" s="1"/>
  <c r="AE18" i="7"/>
  <c r="AS29" i="4"/>
  <c r="AZ29" i="4"/>
  <c r="BB29" i="4" s="1"/>
  <c r="U35" i="33"/>
  <c r="U30" i="4"/>
  <c r="U29" i="5"/>
  <c r="AS29" i="5"/>
  <c r="AY37" i="4"/>
  <c r="AG36" i="33"/>
  <c r="AG37" i="32"/>
  <c r="U37" i="32"/>
  <c r="AD20" i="7"/>
  <c r="U31" i="6" l="1"/>
  <c r="AE31" i="6"/>
  <c r="AG31" i="6" s="1"/>
  <c r="U19" i="7"/>
  <c r="AG18" i="7" s="1"/>
  <c r="AJ18" i="7" s="1"/>
  <c r="AE19" i="7"/>
  <c r="AS30" i="4"/>
  <c r="AZ30" i="4"/>
  <c r="BB30" i="4" s="1"/>
  <c r="U36" i="33"/>
  <c r="U31" i="4"/>
  <c r="U30" i="5"/>
  <c r="AS30" i="5"/>
  <c r="AY38" i="4"/>
  <c r="AG37" i="33"/>
  <c r="AG38" i="32"/>
  <c r="U38" i="32"/>
  <c r="AD21" i="7"/>
  <c r="U32" i="6" l="1"/>
  <c r="AE32" i="6"/>
  <c r="AG32" i="6" s="1"/>
  <c r="U20" i="7"/>
  <c r="AG19" i="7" s="1"/>
  <c r="AJ19" i="7" s="1"/>
  <c r="AE20" i="7"/>
  <c r="AS31" i="4"/>
  <c r="AZ31" i="4"/>
  <c r="BB31" i="4" s="1"/>
  <c r="U37" i="33"/>
  <c r="U32" i="4"/>
  <c r="U31" i="5"/>
  <c r="AS31" i="5"/>
  <c r="AY39" i="4"/>
  <c r="AG38" i="33"/>
  <c r="AG39" i="32"/>
  <c r="AG40" i="32"/>
  <c r="U39" i="32"/>
  <c r="U40" i="32"/>
  <c r="AD22" i="7"/>
  <c r="U33" i="6" l="1"/>
  <c r="AE33" i="6"/>
  <c r="AG33" i="6" s="1"/>
  <c r="U21" i="7"/>
  <c r="AG20" i="7" s="1"/>
  <c r="AJ20" i="7" s="1"/>
  <c r="AE21" i="7"/>
  <c r="AS32" i="4"/>
  <c r="AZ32" i="4"/>
  <c r="BB32" i="4" s="1"/>
  <c r="U38" i="33"/>
  <c r="U32" i="5"/>
  <c r="AS32" i="5"/>
  <c r="U33" i="4"/>
  <c r="AY40" i="4"/>
  <c r="AG39" i="33"/>
  <c r="U34" i="6" l="1"/>
  <c r="AE34" i="6"/>
  <c r="AG34" i="6" s="1"/>
  <c r="U22" i="7"/>
  <c r="AG21" i="7" s="1"/>
  <c r="AJ21" i="7" s="1"/>
  <c r="AE22" i="7"/>
  <c r="AD23" i="7"/>
  <c r="AS33" i="4"/>
  <c r="AZ33" i="4"/>
  <c r="BB33" i="4" s="1"/>
  <c r="U39" i="33"/>
  <c r="U34" i="4"/>
  <c r="U33" i="5"/>
  <c r="AS33" i="5"/>
  <c r="AG40" i="33"/>
  <c r="U35" i="6" l="1"/>
  <c r="AE35" i="6"/>
  <c r="AG35" i="6" s="1"/>
  <c r="U23" i="7"/>
  <c r="AG22" i="7" s="1"/>
  <c r="AE23" i="7"/>
  <c r="AS34" i="4"/>
  <c r="AZ34" i="4"/>
  <c r="BB34" i="4" s="1"/>
  <c r="U40" i="33"/>
  <c r="U34" i="5"/>
  <c r="AS34" i="5"/>
  <c r="U35" i="4"/>
  <c r="AG41" i="33"/>
  <c r="U36" i="6" l="1"/>
  <c r="AE36" i="6"/>
  <c r="AG36" i="6" s="1"/>
  <c r="AG27" i="7"/>
  <c r="F28" i="27" s="1"/>
  <c r="AJ22" i="7"/>
  <c r="AS35" i="4"/>
  <c r="AZ35" i="4"/>
  <c r="BB35" i="4" s="1"/>
  <c r="U41" i="33"/>
  <c r="U36" i="4"/>
  <c r="U35" i="5"/>
  <c r="AS35" i="5"/>
  <c r="AG42" i="33"/>
  <c r="U37" i="6" l="1"/>
  <c r="AE37" i="6"/>
  <c r="AG37" i="6" s="1"/>
  <c r="AS36" i="4"/>
  <c r="AZ36" i="4"/>
  <c r="BB36" i="4" s="1"/>
  <c r="U42" i="33"/>
  <c r="U36" i="5"/>
  <c r="AS36" i="5"/>
  <c r="U37" i="4"/>
  <c r="AG43" i="33"/>
  <c r="U38" i="6" l="1"/>
  <c r="AE38" i="6"/>
  <c r="AG38" i="6" s="1"/>
  <c r="AS37" i="4"/>
  <c r="AZ37" i="4"/>
  <c r="BB37" i="4" s="1"/>
  <c r="U43" i="33"/>
  <c r="U37" i="5"/>
  <c r="AS37" i="5"/>
  <c r="U38" i="4"/>
  <c r="AG44" i="33"/>
  <c r="U39" i="6" l="1"/>
  <c r="AE39" i="6"/>
  <c r="AG39" i="6" s="1"/>
  <c r="AS38" i="4"/>
  <c r="AZ38" i="4"/>
  <c r="BB38" i="4" s="1"/>
  <c r="U44" i="33"/>
  <c r="U38" i="5"/>
  <c r="AS38" i="5"/>
  <c r="U40" i="4"/>
  <c r="U39" i="4"/>
  <c r="AG45" i="33"/>
  <c r="U40" i="6" l="1"/>
  <c r="AE40" i="6"/>
  <c r="AG40" i="6" s="1"/>
  <c r="AS40" i="4"/>
  <c r="AZ40" i="4"/>
  <c r="BB40" i="4" s="1"/>
  <c r="AS39" i="4"/>
  <c r="AZ39" i="4"/>
  <c r="BB39" i="4" s="1"/>
  <c r="U45" i="33"/>
  <c r="U39" i="5"/>
  <c r="AS39" i="5"/>
  <c r="AG46" i="33"/>
  <c r="AG47" i="33"/>
  <c r="U41" i="6" l="1"/>
  <c r="AE41" i="6"/>
  <c r="AG41" i="6" s="1"/>
  <c r="U47" i="33"/>
  <c r="U46" i="33"/>
  <c r="U40" i="5"/>
  <c r="AS40" i="5"/>
  <c r="U42" i="6" l="1"/>
  <c r="AE42" i="6"/>
  <c r="AG42" i="6" s="1"/>
  <c r="U41" i="5"/>
  <c r="AS41" i="5"/>
  <c r="U43" i="6" l="1"/>
  <c r="AE43" i="6"/>
  <c r="AG43" i="6" s="1"/>
  <c r="U42" i="5"/>
  <c r="AS42" i="5"/>
  <c r="U44" i="6" l="1"/>
  <c r="AE44" i="6"/>
  <c r="AG44" i="6" s="1"/>
  <c r="U43" i="5"/>
  <c r="AS43" i="5"/>
  <c r="U45" i="6" l="1"/>
  <c r="AE45" i="6"/>
  <c r="AG45" i="6" s="1"/>
  <c r="U44" i="5"/>
  <c r="AS44" i="5"/>
  <c r="U46" i="6" l="1"/>
  <c r="AE46" i="6"/>
  <c r="AG46" i="6" s="1"/>
  <c r="U45" i="5"/>
  <c r="AS45" i="5"/>
  <c r="U47" i="6" l="1"/>
  <c r="AE47" i="6"/>
  <c r="AG47" i="6" s="1"/>
  <c r="U47" i="5"/>
  <c r="AS47" i="5"/>
  <c r="U46" i="5"/>
  <c r="AS46" i="5"/>
  <c r="U48" i="6" l="1"/>
  <c r="AE48" i="6"/>
  <c r="AG48" i="6" s="1"/>
  <c r="AB71" i="27"/>
  <c r="U49" i="6" l="1"/>
  <c r="AE49" i="6"/>
  <c r="AG49" i="6" s="1"/>
  <c r="U50" i="6" l="1"/>
  <c r="AE50" i="6"/>
  <c r="AG50" i="6" s="1"/>
  <c r="U51" i="6" l="1"/>
  <c r="AE51" i="6"/>
  <c r="AG51" i="6" s="1"/>
  <c r="E6" i="6"/>
  <c r="E6" i="33"/>
  <c r="E6" i="32"/>
  <c r="E7" i="31"/>
  <c r="E5" i="30"/>
  <c r="E5" i="29"/>
  <c r="E6" i="5"/>
  <c r="Q6" i="5" s="1"/>
  <c r="AO6" i="5" s="1"/>
  <c r="E6" i="4"/>
  <c r="Q6" i="4" s="1"/>
  <c r="AO6" i="4" s="1"/>
  <c r="AX6" i="4" s="1"/>
  <c r="E7" i="3"/>
  <c r="Q7" i="3" s="1"/>
  <c r="AO7" i="3" s="1"/>
  <c r="E5" i="2"/>
  <c r="W6" i="2" s="1"/>
  <c r="E5" i="7"/>
  <c r="Q5" i="7" s="1"/>
  <c r="U52" i="6" l="1"/>
  <c r="AE52" i="6"/>
  <c r="AG52" i="6" s="1"/>
  <c r="K6" i="7"/>
  <c r="Q6" i="6"/>
  <c r="AC6" i="6" s="1"/>
  <c r="Q6" i="33"/>
  <c r="AC6" i="33" s="1"/>
  <c r="AI40" i="33"/>
  <c r="AI32" i="33"/>
  <c r="AI24" i="33"/>
  <c r="AI15" i="33"/>
  <c r="AI41" i="33"/>
  <c r="AI33" i="33"/>
  <c r="AI25" i="33"/>
  <c r="AI18" i="33"/>
  <c r="AI10" i="33"/>
  <c r="AI7" i="33"/>
  <c r="AG7" i="33" s="1"/>
  <c r="AI42" i="33"/>
  <c r="AI34" i="33"/>
  <c r="AI26" i="33"/>
  <c r="AI13" i="33"/>
  <c r="AI43" i="33"/>
  <c r="AI35" i="33"/>
  <c r="AI27" i="33"/>
  <c r="AI19" i="33"/>
  <c r="AI16" i="33"/>
  <c r="AI8" i="33"/>
  <c r="AI44" i="33"/>
  <c r="AI36" i="33"/>
  <c r="AI28" i="33"/>
  <c r="AI20" i="33"/>
  <c r="AI11" i="33"/>
  <c r="AI12" i="33"/>
  <c r="AI45" i="33"/>
  <c r="AI37" i="33"/>
  <c r="AI29" i="33"/>
  <c r="AI21" i="33"/>
  <c r="AI14" i="33"/>
  <c r="AI46" i="33"/>
  <c r="AI38" i="33"/>
  <c r="AI30" i="33"/>
  <c r="AI22" i="33"/>
  <c r="AI17" i="33"/>
  <c r="AI9" i="33"/>
  <c r="AI47" i="33"/>
  <c r="AI39" i="33"/>
  <c r="AI31" i="33"/>
  <c r="AI23" i="33"/>
  <c r="Q6" i="32"/>
  <c r="AC6" i="32" s="1"/>
  <c r="AI33" i="32"/>
  <c r="AI25" i="32"/>
  <c r="AI18" i="32"/>
  <c r="AI10" i="32"/>
  <c r="AI7" i="32"/>
  <c r="AG7" i="32" s="1"/>
  <c r="AI34" i="32"/>
  <c r="AI26" i="32"/>
  <c r="AI13" i="32"/>
  <c r="AI35" i="32"/>
  <c r="AI27" i="32"/>
  <c r="AI19" i="32"/>
  <c r="AI16" i="32"/>
  <c r="AI8" i="32"/>
  <c r="AI36" i="32"/>
  <c r="AI28" i="32"/>
  <c r="AI20" i="32"/>
  <c r="AI11" i="32"/>
  <c r="AI15" i="32"/>
  <c r="AI37" i="32"/>
  <c r="AI29" i="32"/>
  <c r="AI21" i="32"/>
  <c r="AI14" i="32"/>
  <c r="AI38" i="32"/>
  <c r="AI30" i="32"/>
  <c r="AI22" i="32"/>
  <c r="AI17" i="32"/>
  <c r="AI9" i="32"/>
  <c r="AI32" i="32"/>
  <c r="AI39" i="32"/>
  <c r="AI31" i="32"/>
  <c r="AI23" i="32"/>
  <c r="AI12" i="32"/>
  <c r="AI40" i="32"/>
  <c r="AI24" i="32"/>
  <c r="Q7" i="31"/>
  <c r="AC7" i="31" s="1"/>
  <c r="AI29" i="31"/>
  <c r="AI22" i="31"/>
  <c r="AI14" i="31"/>
  <c r="AI30" i="31"/>
  <c r="AI25" i="31"/>
  <c r="AI17" i="31"/>
  <c r="AI9" i="31"/>
  <c r="AI31" i="31"/>
  <c r="AI20" i="31"/>
  <c r="AI12" i="31"/>
  <c r="AI32" i="31"/>
  <c r="AI23" i="31"/>
  <c r="AI15" i="31"/>
  <c r="AI8" i="31"/>
  <c r="AG8" i="31" s="1"/>
  <c r="AI33" i="31"/>
  <c r="AI26" i="31"/>
  <c r="AI18" i="31"/>
  <c r="AI10" i="31"/>
  <c r="AI19" i="31"/>
  <c r="AI11" i="31"/>
  <c r="AI34" i="31"/>
  <c r="AI21" i="31"/>
  <c r="AI13" i="31"/>
  <c r="AI35" i="31"/>
  <c r="AI27" i="31"/>
  <c r="AI24" i="31"/>
  <c r="AI16" i="31"/>
  <c r="AI36" i="31"/>
  <c r="AI28" i="31"/>
  <c r="Q5" i="30"/>
  <c r="AC5" i="30" s="1"/>
  <c r="AI17" i="30"/>
  <c r="AI6" i="30"/>
  <c r="AG6" i="30" s="1"/>
  <c r="AI9" i="30"/>
  <c r="AI18" i="30"/>
  <c r="AI19" i="30"/>
  <c r="AI12" i="30"/>
  <c r="AI20" i="30"/>
  <c r="AI7" i="30"/>
  <c r="AI21" i="30"/>
  <c r="AI13" i="30"/>
  <c r="AI10" i="30"/>
  <c r="AI11" i="30"/>
  <c r="AI22" i="30"/>
  <c r="AI14" i="30"/>
  <c r="AI16" i="30"/>
  <c r="AI23" i="30"/>
  <c r="AI15" i="30"/>
  <c r="AI8" i="30"/>
  <c r="AI24" i="30"/>
  <c r="Q5" i="29"/>
  <c r="AC5" i="29" s="1"/>
  <c r="AI16" i="29"/>
  <c r="AI17" i="29"/>
  <c r="AI11" i="29"/>
  <c r="AI7" i="29"/>
  <c r="AE7" i="29" s="1"/>
  <c r="AG7" i="29" s="1"/>
  <c r="AI18" i="29"/>
  <c r="AI15" i="29"/>
  <c r="AI10" i="29"/>
  <c r="AI19" i="29"/>
  <c r="AI12" i="29"/>
  <c r="AI8" i="29"/>
  <c r="AI6" i="29"/>
  <c r="AI20" i="29"/>
  <c r="AI21" i="29"/>
  <c r="AI13" i="29"/>
  <c r="AI9" i="29"/>
  <c r="AI22" i="29"/>
  <c r="AI14" i="29"/>
  <c r="AI23" i="29"/>
  <c r="Q5" i="2"/>
  <c r="AO5" i="2"/>
  <c r="C8" i="6"/>
  <c r="C9" i="6" s="1"/>
  <c r="C11" i="6" s="1"/>
  <c r="O35" i="39" s="1"/>
  <c r="W50" i="6"/>
  <c r="W42" i="6"/>
  <c r="W34" i="6"/>
  <c r="W26" i="6"/>
  <c r="W18" i="6"/>
  <c r="W12" i="6"/>
  <c r="W51" i="6"/>
  <c r="W43" i="6"/>
  <c r="W35" i="6"/>
  <c r="W27" i="6"/>
  <c r="W19" i="6"/>
  <c r="W52" i="6"/>
  <c r="W44" i="6"/>
  <c r="W36" i="6"/>
  <c r="W28" i="6"/>
  <c r="W20" i="6"/>
  <c r="W10" i="6"/>
  <c r="W7" i="6"/>
  <c r="W41" i="6"/>
  <c r="W53" i="6"/>
  <c r="W45" i="6"/>
  <c r="W37" i="6"/>
  <c r="W29" i="6"/>
  <c r="W21" i="6"/>
  <c r="W13" i="6"/>
  <c r="W33" i="6"/>
  <c r="W54" i="6"/>
  <c r="W46" i="6"/>
  <c r="W38" i="6"/>
  <c r="W30" i="6"/>
  <c r="W22" i="6"/>
  <c r="W14" i="6"/>
  <c r="W8" i="6"/>
  <c r="W25" i="6"/>
  <c r="W17" i="6"/>
  <c r="W9" i="6"/>
  <c r="W55" i="6"/>
  <c r="W47" i="6"/>
  <c r="W39" i="6"/>
  <c r="W31" i="6"/>
  <c r="W23" i="6"/>
  <c r="W15" i="6"/>
  <c r="W11" i="6"/>
  <c r="W56" i="6"/>
  <c r="W48" i="6"/>
  <c r="W40" i="6"/>
  <c r="W32" i="6"/>
  <c r="W24" i="6"/>
  <c r="W16" i="6"/>
  <c r="W57" i="6"/>
  <c r="W49" i="6"/>
  <c r="C8" i="33"/>
  <c r="C9" i="33" s="1"/>
  <c r="C11" i="33" s="1"/>
  <c r="O34" i="39" s="1"/>
  <c r="W40" i="33"/>
  <c r="W32" i="33"/>
  <c r="W24" i="33"/>
  <c r="W15" i="33"/>
  <c r="W18" i="33"/>
  <c r="W10" i="33"/>
  <c r="W7" i="33"/>
  <c r="U7" i="33" s="1"/>
  <c r="W41" i="33"/>
  <c r="W33" i="33"/>
  <c r="W25" i="33"/>
  <c r="W42" i="33"/>
  <c r="W34" i="33"/>
  <c r="W26" i="33"/>
  <c r="W13" i="33"/>
  <c r="W43" i="33"/>
  <c r="W35" i="33"/>
  <c r="W27" i="33"/>
  <c r="W19" i="33"/>
  <c r="W16" i="33"/>
  <c r="W8" i="33"/>
  <c r="W39" i="33"/>
  <c r="W44" i="33"/>
  <c r="W36" i="33"/>
  <c r="W28" i="33"/>
  <c r="W20" i="33"/>
  <c r="W11" i="33"/>
  <c r="W31" i="33"/>
  <c r="W23" i="33"/>
  <c r="W12" i="33"/>
  <c r="W45" i="33"/>
  <c r="W37" i="33"/>
  <c r="W29" i="33"/>
  <c r="W21" i="33"/>
  <c r="W14" i="33"/>
  <c r="W46" i="33"/>
  <c r="W38" i="33"/>
  <c r="W30" i="33"/>
  <c r="W22" i="33"/>
  <c r="W17" i="33"/>
  <c r="W9" i="33"/>
  <c r="W47" i="33"/>
  <c r="C8" i="32"/>
  <c r="C9" i="32" s="1"/>
  <c r="C11" i="32" s="1"/>
  <c r="O33" i="39" s="1"/>
  <c r="W33" i="32"/>
  <c r="W25" i="32"/>
  <c r="W18" i="32"/>
  <c r="W10" i="32"/>
  <c r="W7" i="32"/>
  <c r="U7" i="32" s="1"/>
  <c r="W34" i="32"/>
  <c r="W26" i="32"/>
  <c r="W13" i="32"/>
  <c r="W32" i="32"/>
  <c r="W35" i="32"/>
  <c r="W27" i="32"/>
  <c r="W19" i="32"/>
  <c r="W16" i="32"/>
  <c r="W8" i="32"/>
  <c r="W36" i="32"/>
  <c r="W28" i="32"/>
  <c r="W20" i="32"/>
  <c r="W11" i="32"/>
  <c r="W24" i="32"/>
  <c r="W37" i="32"/>
  <c r="W29" i="32"/>
  <c r="W21" i="32"/>
  <c r="W14" i="32"/>
  <c r="W38" i="32"/>
  <c r="W30" i="32"/>
  <c r="W22" i="32"/>
  <c r="W17" i="32"/>
  <c r="W9" i="32"/>
  <c r="W39" i="32"/>
  <c r="W31" i="32"/>
  <c r="W23" i="32"/>
  <c r="W12" i="32"/>
  <c r="W40" i="32"/>
  <c r="W15" i="32"/>
  <c r="C9" i="31"/>
  <c r="C10" i="31" s="1"/>
  <c r="C12" i="31" s="1"/>
  <c r="O32" i="39" s="1"/>
  <c r="W29" i="31"/>
  <c r="W22" i="31"/>
  <c r="W14" i="31"/>
  <c r="W19" i="31"/>
  <c r="W30" i="31"/>
  <c r="W25" i="31"/>
  <c r="W17" i="31"/>
  <c r="W9" i="31"/>
  <c r="W31" i="31"/>
  <c r="W20" i="31"/>
  <c r="W12" i="31"/>
  <c r="W32" i="31"/>
  <c r="W23" i="31"/>
  <c r="W15" i="31"/>
  <c r="W28" i="31"/>
  <c r="W33" i="31"/>
  <c r="W26" i="31"/>
  <c r="W18" i="31"/>
  <c r="W10" i="31"/>
  <c r="W34" i="31"/>
  <c r="W21" i="31"/>
  <c r="W13" i="31"/>
  <c r="W8" i="31"/>
  <c r="U8" i="31" s="1"/>
  <c r="W35" i="31"/>
  <c r="W27" i="31"/>
  <c r="W24" i="31"/>
  <c r="W16" i="31"/>
  <c r="W36" i="31"/>
  <c r="W11" i="31"/>
  <c r="C7" i="30"/>
  <c r="C8" i="30" s="1"/>
  <c r="C10" i="30" s="1"/>
  <c r="O31" i="39" s="1"/>
  <c r="W17" i="30"/>
  <c r="W6" i="30"/>
  <c r="U6" i="30" s="1"/>
  <c r="W18" i="30"/>
  <c r="W9" i="30"/>
  <c r="W19" i="30"/>
  <c r="W12" i="30"/>
  <c r="W24" i="30"/>
  <c r="W16" i="30"/>
  <c r="W11" i="30"/>
  <c r="W20" i="30"/>
  <c r="W7" i="30"/>
  <c r="W21" i="30"/>
  <c r="W13" i="30"/>
  <c r="W10" i="30"/>
  <c r="W8" i="30"/>
  <c r="W22" i="30"/>
  <c r="W14" i="30"/>
  <c r="W23" i="30"/>
  <c r="W15" i="30"/>
  <c r="C7" i="29"/>
  <c r="C8" i="29" s="1"/>
  <c r="C10" i="29" s="1"/>
  <c r="O30" i="39" s="1"/>
  <c r="W15" i="29"/>
  <c r="W16" i="29"/>
  <c r="W10" i="29"/>
  <c r="W6" i="29"/>
  <c r="U6" i="29" s="1"/>
  <c r="W17" i="29"/>
  <c r="W18" i="29"/>
  <c r="W11" i="29"/>
  <c r="W7" i="29"/>
  <c r="W14" i="29"/>
  <c r="W19" i="29"/>
  <c r="W20" i="29"/>
  <c r="W12" i="29"/>
  <c r="W8" i="29"/>
  <c r="W21" i="29"/>
  <c r="W13" i="29"/>
  <c r="W22" i="29"/>
  <c r="W9" i="29"/>
  <c r="C8" i="5"/>
  <c r="W40" i="5"/>
  <c r="W32" i="5"/>
  <c r="W24" i="5"/>
  <c r="W15" i="5"/>
  <c r="W41" i="5"/>
  <c r="W33" i="5"/>
  <c r="W25" i="5"/>
  <c r="W18" i="5"/>
  <c r="W10" i="5"/>
  <c r="W7" i="5"/>
  <c r="G32" i="27" s="1"/>
  <c r="W42" i="5"/>
  <c r="W34" i="5"/>
  <c r="W26" i="5"/>
  <c r="W13" i="5"/>
  <c r="W43" i="5"/>
  <c r="W35" i="5"/>
  <c r="W27" i="5"/>
  <c r="W19" i="5"/>
  <c r="W16" i="5"/>
  <c r="W8" i="5"/>
  <c r="W44" i="5"/>
  <c r="W36" i="5"/>
  <c r="W28" i="5"/>
  <c r="W20" i="5"/>
  <c r="W11" i="5"/>
  <c r="W45" i="5"/>
  <c r="W37" i="5"/>
  <c r="W29" i="5"/>
  <c r="W21" i="5"/>
  <c r="W14" i="5"/>
  <c r="W46" i="5"/>
  <c r="W38" i="5"/>
  <c r="W30" i="5"/>
  <c r="W22" i="5"/>
  <c r="W17" i="5"/>
  <c r="W9" i="5"/>
  <c r="W47" i="5"/>
  <c r="W39" i="5"/>
  <c r="W31" i="5"/>
  <c r="W23" i="5"/>
  <c r="W12" i="5"/>
  <c r="C8" i="4"/>
  <c r="W33" i="4"/>
  <c r="W25" i="4"/>
  <c r="W18" i="4"/>
  <c r="W10" i="4"/>
  <c r="W7" i="4"/>
  <c r="G30" i="27" s="1"/>
  <c r="W34" i="4"/>
  <c r="W26" i="4"/>
  <c r="W13" i="4"/>
  <c r="W35" i="4"/>
  <c r="W27" i="4"/>
  <c r="W19" i="4"/>
  <c r="W16" i="4"/>
  <c r="W8" i="4"/>
  <c r="W36" i="4"/>
  <c r="W28" i="4"/>
  <c r="W20" i="4"/>
  <c r="W11" i="4"/>
  <c r="W37" i="4"/>
  <c r="W29" i="4"/>
  <c r="W21" i="4"/>
  <c r="W14" i="4"/>
  <c r="W38" i="4"/>
  <c r="W30" i="4"/>
  <c r="W22" i="4"/>
  <c r="W17" i="4"/>
  <c r="W9" i="4"/>
  <c r="W39" i="4"/>
  <c r="W31" i="4"/>
  <c r="W23" i="4"/>
  <c r="W12" i="4"/>
  <c r="W40" i="4"/>
  <c r="W32" i="4"/>
  <c r="W24" i="4"/>
  <c r="W15" i="4"/>
  <c r="C9" i="3"/>
  <c r="W30" i="3"/>
  <c r="W23" i="3"/>
  <c r="W15" i="3"/>
  <c r="W31" i="3"/>
  <c r="W26" i="3"/>
  <c r="W18" i="3"/>
  <c r="W10" i="3"/>
  <c r="W32" i="3"/>
  <c r="W21" i="3"/>
  <c r="W13" i="3"/>
  <c r="W33" i="3"/>
  <c r="W24" i="3"/>
  <c r="W16" i="3"/>
  <c r="W34" i="3"/>
  <c r="W27" i="3"/>
  <c r="W19" i="3"/>
  <c r="W11" i="3"/>
  <c r="W35" i="3"/>
  <c r="W22" i="3"/>
  <c r="W14" i="3"/>
  <c r="W8" i="3"/>
  <c r="W36" i="3"/>
  <c r="W28" i="3"/>
  <c r="W25" i="3"/>
  <c r="W17" i="3"/>
  <c r="W29" i="3"/>
  <c r="W20" i="3"/>
  <c r="W12" i="3"/>
  <c r="W9" i="3"/>
  <c r="G31" i="27" s="1"/>
  <c r="C7" i="2"/>
  <c r="W18" i="2"/>
  <c r="W7" i="2"/>
  <c r="S7" i="2" s="1"/>
  <c r="W20" i="2"/>
  <c r="W19" i="2"/>
  <c r="W10" i="2"/>
  <c r="W21" i="2"/>
  <c r="W22" i="2"/>
  <c r="W14" i="2"/>
  <c r="W11" i="2"/>
  <c r="W23" i="2"/>
  <c r="W15" i="2"/>
  <c r="W24" i="2"/>
  <c r="W16" i="2"/>
  <c r="W9" i="2"/>
  <c r="W8" i="2"/>
  <c r="W25" i="2"/>
  <c r="W17" i="2"/>
  <c r="W12" i="2"/>
  <c r="W13" i="2"/>
  <c r="C7" i="7"/>
  <c r="W16" i="7"/>
  <c r="W17" i="7"/>
  <c r="W11" i="7"/>
  <c r="W7" i="7"/>
  <c r="G28" i="27" s="1"/>
  <c r="W18" i="7"/>
  <c r="W19" i="7"/>
  <c r="W12" i="7"/>
  <c r="W8" i="7"/>
  <c r="W20" i="7"/>
  <c r="W21" i="7"/>
  <c r="W13" i="7"/>
  <c r="W9" i="7"/>
  <c r="W22" i="7"/>
  <c r="W14" i="7"/>
  <c r="W23" i="7"/>
  <c r="W15" i="7"/>
  <c r="W10" i="7"/>
  <c r="W6" i="7"/>
  <c r="P31" i="39" l="1"/>
  <c r="P35" i="39"/>
  <c r="U53" i="6"/>
  <c r="AE53" i="6"/>
  <c r="AG53" i="6" s="1"/>
  <c r="U7" i="6"/>
  <c r="AG7" i="6"/>
  <c r="U7" i="2"/>
  <c r="G29" i="27"/>
  <c r="AP5" i="7"/>
  <c r="U7" i="5"/>
  <c r="AS7" i="5"/>
  <c r="U7" i="4"/>
  <c r="U7" i="7"/>
  <c r="AT6" i="7"/>
  <c r="U9" i="3"/>
  <c r="AS8" i="3"/>
  <c r="AG49" i="33"/>
  <c r="L16" i="39" s="1"/>
  <c r="AG42" i="32"/>
  <c r="L15" i="39" s="1"/>
  <c r="AG38" i="31"/>
  <c r="L14" i="39" s="1"/>
  <c r="AG26" i="30"/>
  <c r="L13" i="39" s="1"/>
  <c r="AG25" i="29"/>
  <c r="L12" i="39" s="1"/>
  <c r="E15" i="28"/>
  <c r="L31" i="39" s="1"/>
  <c r="E19" i="28"/>
  <c r="L35" i="39" s="1"/>
  <c r="E18" i="28"/>
  <c r="L34" i="39" s="1"/>
  <c r="E17" i="28"/>
  <c r="L33" i="39" s="1"/>
  <c r="E16" i="28"/>
  <c r="L32" i="39" s="1"/>
  <c r="U49" i="33"/>
  <c r="U42" i="32"/>
  <c r="U38" i="31"/>
  <c r="E14" i="28"/>
  <c r="L30" i="39" s="1"/>
  <c r="P30" i="39" s="1"/>
  <c r="U26" i="30"/>
  <c r="U24" i="29"/>
  <c r="F14" i="28" s="1"/>
  <c r="E13" i="43" s="1"/>
  <c r="C8" i="7"/>
  <c r="C10" i="7" s="1"/>
  <c r="C9" i="4"/>
  <c r="C11" i="4" s="1"/>
  <c r="C9" i="5"/>
  <c r="C11" i="5" s="1"/>
  <c r="C10" i="3"/>
  <c r="C12" i="3" s="1"/>
  <c r="C8" i="2"/>
  <c r="C10" i="2" s="1"/>
  <c r="U49" i="5"/>
  <c r="L10" i="39" s="1"/>
  <c r="U42" i="4"/>
  <c r="L9" i="39" s="1"/>
  <c r="U27" i="2"/>
  <c r="X6" i="2" s="1"/>
  <c r="Y6" i="2" s="1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Y83" i="27" l="1"/>
  <c r="AB83" i="27" s="1"/>
  <c r="S32" i="39"/>
  <c r="I7" i="31"/>
  <c r="V45" i="39"/>
  <c r="Y45" i="39" s="1"/>
  <c r="V46" i="39"/>
  <c r="Y46" i="39" s="1"/>
  <c r="Y84" i="27"/>
  <c r="AB84" i="27" s="1"/>
  <c r="S33" i="39"/>
  <c r="P32" i="39"/>
  <c r="V47" i="39"/>
  <c r="Y47" i="39" s="1"/>
  <c r="Y85" i="27"/>
  <c r="AB85" i="27" s="1"/>
  <c r="S34" i="39"/>
  <c r="Y86" i="27"/>
  <c r="AB86" i="27" s="1"/>
  <c r="S35" i="39"/>
  <c r="V43" i="39"/>
  <c r="Y43" i="39" s="1"/>
  <c r="Y81" i="27"/>
  <c r="AB81" i="27" s="1"/>
  <c r="AB88" i="27" s="1"/>
  <c r="S30" i="39"/>
  <c r="V44" i="39"/>
  <c r="Y44" i="39" s="1"/>
  <c r="L53" i="39"/>
  <c r="Y82" i="27"/>
  <c r="AB82" i="27" s="1"/>
  <c r="S31" i="39"/>
  <c r="P34" i="39"/>
  <c r="P33" i="39"/>
  <c r="U54" i="6"/>
  <c r="AE54" i="6"/>
  <c r="AG54" i="6" s="1"/>
  <c r="D20" i="37"/>
  <c r="L7" i="39"/>
  <c r="AX21" i="7"/>
  <c r="AX5" i="7"/>
  <c r="N17" i="39"/>
  <c r="O17" i="39" s="1"/>
  <c r="H19" i="28"/>
  <c r="N14" i="39"/>
  <c r="O14" i="39" s="1"/>
  <c r="H16" i="28"/>
  <c r="N15" i="39"/>
  <c r="O15" i="39" s="1"/>
  <c r="H17" i="28"/>
  <c r="N12" i="39"/>
  <c r="O12" i="39" s="1"/>
  <c r="H14" i="28"/>
  <c r="N16" i="39"/>
  <c r="O16" i="39" s="1"/>
  <c r="H18" i="28"/>
  <c r="N13" i="39"/>
  <c r="O13" i="39" s="1"/>
  <c r="H15" i="28"/>
  <c r="U25" i="7"/>
  <c r="AK18" i="7" s="1"/>
  <c r="H28" i="27"/>
  <c r="AJ33" i="33"/>
  <c r="AK33" i="33" s="1"/>
  <c r="AS7" i="4"/>
  <c r="AV8" i="4" s="1"/>
  <c r="AZ7" i="4"/>
  <c r="BB7" i="4" s="1"/>
  <c r="U39" i="3"/>
  <c r="L8" i="39" s="1"/>
  <c r="AX19" i="7"/>
  <c r="R7" i="37" s="1"/>
  <c r="AX23" i="7"/>
  <c r="AX11" i="7"/>
  <c r="N7" i="37" s="1"/>
  <c r="AX15" i="7"/>
  <c r="P7" i="37" s="1"/>
  <c r="AX25" i="7"/>
  <c r="AX7" i="7"/>
  <c r="AX18" i="7"/>
  <c r="AX13" i="7"/>
  <c r="O7" i="37" s="1"/>
  <c r="G20" i="37" s="1"/>
  <c r="AX10" i="7"/>
  <c r="AX17" i="7"/>
  <c r="Q7" i="37" s="1"/>
  <c r="AX22" i="7"/>
  <c r="AX20" i="7"/>
  <c r="AX9" i="7"/>
  <c r="M7" i="37" s="1"/>
  <c r="AX14" i="7"/>
  <c r="AV21" i="3"/>
  <c r="R9" i="37" s="1"/>
  <c r="AV17" i="3"/>
  <c r="P9" i="37" s="1"/>
  <c r="AV25" i="3"/>
  <c r="AV11" i="3"/>
  <c r="M9" i="37" s="1"/>
  <c r="AV18" i="3"/>
  <c r="AV26" i="3"/>
  <c r="AV10" i="3"/>
  <c r="AV20" i="3"/>
  <c r="AV9" i="3"/>
  <c r="AV7" i="3"/>
  <c r="AV22" i="3"/>
  <c r="AV24" i="3"/>
  <c r="AV8" i="3"/>
  <c r="AV14" i="3"/>
  <c r="AV16" i="3"/>
  <c r="AV19" i="3"/>
  <c r="Q9" i="37" s="1"/>
  <c r="AV27" i="3"/>
  <c r="AV15" i="3"/>
  <c r="O9" i="37" s="1"/>
  <c r="AV23" i="3"/>
  <c r="AV13" i="3"/>
  <c r="N9" i="37" s="1"/>
  <c r="AV12" i="3"/>
  <c r="AX12" i="7"/>
  <c r="AX24" i="7"/>
  <c r="AX6" i="7"/>
  <c r="AV11" i="5"/>
  <c r="AV14" i="5"/>
  <c r="AV17" i="5"/>
  <c r="AV19" i="5"/>
  <c r="AV22" i="5"/>
  <c r="AV25" i="5"/>
  <c r="AV6" i="5"/>
  <c r="AV15" i="5"/>
  <c r="AV12" i="5"/>
  <c r="N11" i="37" s="1"/>
  <c r="AV7" i="5"/>
  <c r="AV20" i="5"/>
  <c r="AV8" i="5"/>
  <c r="AV10" i="5"/>
  <c r="M11" i="37" s="1"/>
  <c r="AV13" i="5"/>
  <c r="AV16" i="5"/>
  <c r="AV18" i="5"/>
  <c r="AV21" i="5"/>
  <c r="AV24" i="5"/>
  <c r="AV26" i="5"/>
  <c r="AV23" i="5"/>
  <c r="AV9" i="5"/>
  <c r="AX8" i="7"/>
  <c r="AX16" i="7"/>
  <c r="AJ14" i="33"/>
  <c r="AK14" i="33" s="1"/>
  <c r="AJ32" i="33"/>
  <c r="AK32" i="33" s="1"/>
  <c r="AJ39" i="33"/>
  <c r="AK39" i="33" s="1"/>
  <c r="AJ34" i="33"/>
  <c r="AK34" i="33" s="1"/>
  <c r="AJ25" i="33"/>
  <c r="AK25" i="33" s="1"/>
  <c r="AJ7" i="33"/>
  <c r="AK7" i="33" s="1"/>
  <c r="AJ43" i="33"/>
  <c r="AK43" i="33" s="1"/>
  <c r="AJ26" i="33"/>
  <c r="AK26" i="33" s="1"/>
  <c r="AJ17" i="33"/>
  <c r="AK17" i="33" s="1"/>
  <c r="AJ15" i="33"/>
  <c r="AK15" i="33" s="1"/>
  <c r="AJ44" i="33"/>
  <c r="AK44" i="33" s="1"/>
  <c r="AJ35" i="33"/>
  <c r="AK35" i="33" s="1"/>
  <c r="AJ18" i="33"/>
  <c r="AK18" i="33" s="1"/>
  <c r="AJ9" i="33"/>
  <c r="AK9" i="33" s="1"/>
  <c r="AJ23" i="33"/>
  <c r="AK23" i="33" s="1"/>
  <c r="AJ45" i="33"/>
  <c r="AK45" i="33" s="1"/>
  <c r="AJ36" i="33"/>
  <c r="AK36" i="33" s="1"/>
  <c r="AJ27" i="33"/>
  <c r="AK27" i="33" s="1"/>
  <c r="AJ10" i="33"/>
  <c r="AK10" i="33" s="1"/>
  <c r="AJ24" i="33"/>
  <c r="AK24" i="33" s="1"/>
  <c r="AJ46" i="33"/>
  <c r="AK46" i="33" s="1"/>
  <c r="AJ37" i="33"/>
  <c r="AK37" i="33" s="1"/>
  <c r="AJ28" i="33"/>
  <c r="AK28" i="33" s="1"/>
  <c r="AJ19" i="33"/>
  <c r="AK19" i="33" s="1"/>
  <c r="AJ40" i="33"/>
  <c r="AK40" i="33" s="1"/>
  <c r="AJ16" i="33"/>
  <c r="AK16" i="33" s="1"/>
  <c r="AJ38" i="33"/>
  <c r="AK38" i="33" s="1"/>
  <c r="AJ29" i="33"/>
  <c r="AK29" i="33" s="1"/>
  <c r="AJ20" i="33"/>
  <c r="AK20" i="33" s="1"/>
  <c r="AJ11" i="33"/>
  <c r="AK11" i="33" s="1"/>
  <c r="AJ31" i="33"/>
  <c r="AK31" i="33" s="1"/>
  <c r="AJ8" i="33"/>
  <c r="AK8" i="33" s="1"/>
  <c r="AJ30" i="33"/>
  <c r="AK30" i="33" s="1"/>
  <c r="AJ21" i="33"/>
  <c r="AK21" i="33" s="1"/>
  <c r="AJ12" i="33"/>
  <c r="AK12" i="33" s="1"/>
  <c r="AJ47" i="33"/>
  <c r="AK47" i="33" s="1"/>
  <c r="AJ41" i="33"/>
  <c r="AK41" i="33" s="1"/>
  <c r="AJ22" i="33"/>
  <c r="AK22" i="33" s="1"/>
  <c r="AJ13" i="33"/>
  <c r="AK13" i="33" s="1"/>
  <c r="AJ42" i="33"/>
  <c r="AK42" i="33" s="1"/>
  <c r="X7" i="33"/>
  <c r="AJ10" i="32"/>
  <c r="AK10" i="32" s="1"/>
  <c r="AJ18" i="32"/>
  <c r="AK18" i="32" s="1"/>
  <c r="AJ26" i="32"/>
  <c r="AK26" i="32" s="1"/>
  <c r="AJ34" i="32"/>
  <c r="AK34" i="32" s="1"/>
  <c r="AJ12" i="32"/>
  <c r="AK12" i="32" s="1"/>
  <c r="AJ20" i="32"/>
  <c r="AK20" i="32" s="1"/>
  <c r="AJ28" i="32"/>
  <c r="AK28" i="32" s="1"/>
  <c r="AJ36" i="32"/>
  <c r="AK36" i="32" s="1"/>
  <c r="AJ11" i="32"/>
  <c r="AK11" i="32" s="1"/>
  <c r="AJ19" i="32"/>
  <c r="AK19" i="32" s="1"/>
  <c r="AJ27" i="32"/>
  <c r="AK27" i="32" s="1"/>
  <c r="AJ35" i="32"/>
  <c r="AK35" i="32" s="1"/>
  <c r="AJ13" i="32"/>
  <c r="AK13" i="32" s="1"/>
  <c r="AJ21" i="32"/>
  <c r="AK21" i="32" s="1"/>
  <c r="AJ29" i="32"/>
  <c r="AK29" i="32" s="1"/>
  <c r="AJ37" i="32"/>
  <c r="AK37" i="32" s="1"/>
  <c r="AJ9" i="32"/>
  <c r="AK9" i="32" s="1"/>
  <c r="AJ7" i="32"/>
  <c r="AK7" i="32" s="1"/>
  <c r="AJ14" i="32"/>
  <c r="AK14" i="32" s="1"/>
  <c r="AJ22" i="32"/>
  <c r="AK22" i="32" s="1"/>
  <c r="AJ30" i="32"/>
  <c r="AK30" i="32" s="1"/>
  <c r="AJ38" i="32"/>
  <c r="AK38" i="32" s="1"/>
  <c r="AJ25" i="32"/>
  <c r="AK25" i="32" s="1"/>
  <c r="AJ15" i="32"/>
  <c r="AK15" i="32" s="1"/>
  <c r="AJ23" i="32"/>
  <c r="AK23" i="32" s="1"/>
  <c r="AJ31" i="32"/>
  <c r="AK31" i="32" s="1"/>
  <c r="AJ39" i="32"/>
  <c r="AK39" i="32" s="1"/>
  <c r="AJ33" i="32"/>
  <c r="AK33" i="32" s="1"/>
  <c r="AJ8" i="32"/>
  <c r="AK8" i="32" s="1"/>
  <c r="AJ16" i="32"/>
  <c r="AK16" i="32" s="1"/>
  <c r="AJ24" i="32"/>
  <c r="AK24" i="32" s="1"/>
  <c r="AJ32" i="32"/>
  <c r="AK32" i="32" s="1"/>
  <c r="AJ40" i="32"/>
  <c r="AK40" i="32" s="1"/>
  <c r="AJ17" i="32"/>
  <c r="AK17" i="32" s="1"/>
  <c r="AJ12" i="31"/>
  <c r="AK12" i="31" s="1"/>
  <c r="AJ20" i="31"/>
  <c r="AK20" i="31" s="1"/>
  <c r="AJ28" i="31"/>
  <c r="AK28" i="31" s="1"/>
  <c r="AJ36" i="31"/>
  <c r="AK36" i="31" s="1"/>
  <c r="AJ22" i="31"/>
  <c r="AK22" i="31" s="1"/>
  <c r="AJ30" i="31"/>
  <c r="AK30" i="31" s="1"/>
  <c r="AJ35" i="31"/>
  <c r="AK35" i="31" s="1"/>
  <c r="AJ13" i="31"/>
  <c r="AK13" i="31" s="1"/>
  <c r="AJ21" i="31"/>
  <c r="AK21" i="31" s="1"/>
  <c r="AJ29" i="31"/>
  <c r="AK29" i="31" s="1"/>
  <c r="AJ14" i="31"/>
  <c r="AK14" i="31" s="1"/>
  <c r="AJ11" i="31"/>
  <c r="AK11" i="31" s="1"/>
  <c r="AJ15" i="31"/>
  <c r="AK15" i="31" s="1"/>
  <c r="AJ23" i="31"/>
  <c r="AK23" i="31" s="1"/>
  <c r="AJ31" i="31"/>
  <c r="AK31" i="31" s="1"/>
  <c r="AJ19" i="31"/>
  <c r="AK19" i="31" s="1"/>
  <c r="AJ8" i="31"/>
  <c r="AK8" i="31" s="1"/>
  <c r="AJ16" i="31"/>
  <c r="AK16" i="31" s="1"/>
  <c r="AJ24" i="31"/>
  <c r="AK24" i="31" s="1"/>
  <c r="AJ32" i="31"/>
  <c r="AK32" i="31" s="1"/>
  <c r="AJ9" i="31"/>
  <c r="AK9" i="31" s="1"/>
  <c r="AJ17" i="31"/>
  <c r="AK17" i="31" s="1"/>
  <c r="AJ25" i="31"/>
  <c r="AK25" i="31" s="1"/>
  <c r="AJ33" i="31"/>
  <c r="AK33" i="31" s="1"/>
  <c r="AJ10" i="31"/>
  <c r="AK10" i="31" s="1"/>
  <c r="AJ18" i="31"/>
  <c r="AK18" i="31" s="1"/>
  <c r="AJ26" i="31"/>
  <c r="AK26" i="31" s="1"/>
  <c r="AJ34" i="31"/>
  <c r="AK34" i="31" s="1"/>
  <c r="AJ27" i="31"/>
  <c r="AK27" i="31" s="1"/>
  <c r="X7" i="32"/>
  <c r="AJ10" i="30"/>
  <c r="AK10" i="30" s="1"/>
  <c r="AJ18" i="30"/>
  <c r="AK18" i="30" s="1"/>
  <c r="AJ11" i="30"/>
  <c r="AK11" i="30" s="1"/>
  <c r="AJ19" i="30"/>
  <c r="AK19" i="30" s="1"/>
  <c r="AJ12" i="30"/>
  <c r="AK12" i="30" s="1"/>
  <c r="AJ20" i="30"/>
  <c r="AK20" i="30" s="1"/>
  <c r="AJ13" i="30"/>
  <c r="AK13" i="30" s="1"/>
  <c r="AJ21" i="30"/>
  <c r="AK21" i="30" s="1"/>
  <c r="AJ6" i="30"/>
  <c r="AK6" i="30" s="1"/>
  <c r="AJ14" i="30"/>
  <c r="AK14" i="30" s="1"/>
  <c r="AJ22" i="30"/>
  <c r="AK22" i="30" s="1"/>
  <c r="AJ9" i="30"/>
  <c r="AK9" i="30" s="1"/>
  <c r="AJ7" i="30"/>
  <c r="AK7" i="30" s="1"/>
  <c r="AJ15" i="30"/>
  <c r="AK15" i="30" s="1"/>
  <c r="AJ23" i="30"/>
  <c r="AK23" i="30" s="1"/>
  <c r="AJ8" i="30"/>
  <c r="AK8" i="30" s="1"/>
  <c r="AJ16" i="30"/>
  <c r="AK16" i="30" s="1"/>
  <c r="AJ24" i="30"/>
  <c r="AK24" i="30" s="1"/>
  <c r="AJ17" i="30"/>
  <c r="AK17" i="30" s="1"/>
  <c r="X8" i="31"/>
  <c r="F15" i="28"/>
  <c r="E14" i="43" s="1"/>
  <c r="AJ14" i="29"/>
  <c r="AK14" i="29" s="1"/>
  <c r="AJ22" i="29"/>
  <c r="AK22" i="29" s="1"/>
  <c r="AJ15" i="29"/>
  <c r="AK15" i="29" s="1"/>
  <c r="AJ7" i="29"/>
  <c r="AK7" i="29" s="1"/>
  <c r="AJ8" i="29"/>
  <c r="AK8" i="29" s="1"/>
  <c r="AJ16" i="29"/>
  <c r="AK16" i="29" s="1"/>
  <c r="AJ6" i="29"/>
  <c r="AJ23" i="29"/>
  <c r="AK23" i="29" s="1"/>
  <c r="AJ9" i="29"/>
  <c r="AK9" i="29" s="1"/>
  <c r="AJ17" i="29"/>
  <c r="AK17" i="29" s="1"/>
  <c r="AJ10" i="29"/>
  <c r="AK10" i="29" s="1"/>
  <c r="AJ18" i="29"/>
  <c r="AK18" i="29" s="1"/>
  <c r="AJ13" i="29"/>
  <c r="AK13" i="29" s="1"/>
  <c r="AJ11" i="29"/>
  <c r="AK11" i="29" s="1"/>
  <c r="AJ19" i="29"/>
  <c r="AK19" i="29" s="1"/>
  <c r="AJ12" i="29"/>
  <c r="AK12" i="29" s="1"/>
  <c r="AJ20" i="29"/>
  <c r="AK20" i="29" s="1"/>
  <c r="AJ21" i="29"/>
  <c r="AK21" i="29" s="1"/>
  <c r="X13" i="2"/>
  <c r="X21" i="2"/>
  <c r="X14" i="2"/>
  <c r="X22" i="2"/>
  <c r="X7" i="2"/>
  <c r="X15" i="2"/>
  <c r="X23" i="2"/>
  <c r="X8" i="2"/>
  <c r="X16" i="2"/>
  <c r="X24" i="2"/>
  <c r="X20" i="2"/>
  <c r="X9" i="2"/>
  <c r="X17" i="2"/>
  <c r="X25" i="2"/>
  <c r="X10" i="2"/>
  <c r="X18" i="2"/>
  <c r="X12" i="2"/>
  <c r="X11" i="2"/>
  <c r="X19" i="2"/>
  <c r="X6" i="29"/>
  <c r="X12" i="4"/>
  <c r="X20" i="4"/>
  <c r="X28" i="4"/>
  <c r="X36" i="4"/>
  <c r="X13" i="4"/>
  <c r="X21" i="4"/>
  <c r="X29" i="4"/>
  <c r="X37" i="4"/>
  <c r="X14" i="4"/>
  <c r="X22" i="4"/>
  <c r="X30" i="4"/>
  <c r="X38" i="4"/>
  <c r="X27" i="4"/>
  <c r="X7" i="4"/>
  <c r="X15" i="4"/>
  <c r="X23" i="4"/>
  <c r="X31" i="4"/>
  <c r="X39" i="4"/>
  <c r="X11" i="4"/>
  <c r="X8" i="4"/>
  <c r="X16" i="4"/>
  <c r="X24" i="4"/>
  <c r="X32" i="4"/>
  <c r="X40" i="4"/>
  <c r="X9" i="4"/>
  <c r="X17" i="4"/>
  <c r="X25" i="4"/>
  <c r="X33" i="4"/>
  <c r="X19" i="4"/>
  <c r="X10" i="4"/>
  <c r="X18" i="4"/>
  <c r="X26" i="4"/>
  <c r="X34" i="4"/>
  <c r="X35" i="4"/>
  <c r="X10" i="5"/>
  <c r="X18" i="5"/>
  <c r="X26" i="5"/>
  <c r="X34" i="5"/>
  <c r="X42" i="5"/>
  <c r="X11" i="5"/>
  <c r="X19" i="5"/>
  <c r="X27" i="5"/>
  <c r="X35" i="5"/>
  <c r="X43" i="5"/>
  <c r="X12" i="5"/>
  <c r="X20" i="5"/>
  <c r="X28" i="5"/>
  <c r="X36" i="5"/>
  <c r="X44" i="5"/>
  <c r="X17" i="5"/>
  <c r="X41" i="5"/>
  <c r="X13" i="5"/>
  <c r="X21" i="5"/>
  <c r="X29" i="5"/>
  <c r="X37" i="5"/>
  <c r="X45" i="5"/>
  <c r="X14" i="5"/>
  <c r="X22" i="5"/>
  <c r="X30" i="5"/>
  <c r="X38" i="5"/>
  <c r="X46" i="5"/>
  <c r="X33" i="5"/>
  <c r="X7" i="5"/>
  <c r="X15" i="5"/>
  <c r="X23" i="5"/>
  <c r="X31" i="5"/>
  <c r="X39" i="5"/>
  <c r="X47" i="5"/>
  <c r="X9" i="5"/>
  <c r="X8" i="5"/>
  <c r="X16" i="5"/>
  <c r="X24" i="5"/>
  <c r="X32" i="5"/>
  <c r="X40" i="5"/>
  <c r="X25" i="5"/>
  <c r="X13" i="31"/>
  <c r="X21" i="31"/>
  <c r="X29" i="31"/>
  <c r="X36" i="31"/>
  <c r="X14" i="31"/>
  <c r="X22" i="31"/>
  <c r="X30" i="31"/>
  <c r="X35" i="31"/>
  <c r="X28" i="31"/>
  <c r="F16" i="28"/>
  <c r="E15" i="43" s="1"/>
  <c r="X15" i="31"/>
  <c r="X23" i="31"/>
  <c r="X31" i="31"/>
  <c r="X12" i="31"/>
  <c r="X16" i="31"/>
  <c r="X24" i="31"/>
  <c r="X32" i="31"/>
  <c r="X27" i="31"/>
  <c r="X9" i="31"/>
  <c r="X17" i="31"/>
  <c r="X25" i="31"/>
  <c r="X33" i="31"/>
  <c r="X11" i="31"/>
  <c r="X10" i="31"/>
  <c r="X18" i="31"/>
  <c r="X26" i="31"/>
  <c r="X34" i="31"/>
  <c r="X19" i="31"/>
  <c r="X20" i="31"/>
  <c r="X8" i="32"/>
  <c r="X16" i="32"/>
  <c r="X24" i="32"/>
  <c r="X32" i="32"/>
  <c r="X40" i="32"/>
  <c r="X23" i="32"/>
  <c r="X9" i="32"/>
  <c r="X17" i="32"/>
  <c r="X25" i="32"/>
  <c r="X33" i="32"/>
  <c r="X14" i="32"/>
  <c r="X31" i="32"/>
  <c r="X10" i="32"/>
  <c r="X18" i="32"/>
  <c r="X26" i="32"/>
  <c r="X34" i="32"/>
  <c r="X15" i="32"/>
  <c r="X11" i="32"/>
  <c r="X19" i="32"/>
  <c r="X27" i="32"/>
  <c r="X35" i="32"/>
  <c r="X38" i="32"/>
  <c r="X12" i="32"/>
  <c r="X20" i="32"/>
  <c r="X28" i="32"/>
  <c r="X36" i="32"/>
  <c r="F17" i="28"/>
  <c r="E16" i="43" s="1"/>
  <c r="X22" i="32"/>
  <c r="X13" i="32"/>
  <c r="X21" i="32"/>
  <c r="X29" i="32"/>
  <c r="X37" i="32"/>
  <c r="X30" i="32"/>
  <c r="X39" i="32"/>
  <c r="X10" i="33"/>
  <c r="X18" i="33"/>
  <c r="X26" i="33"/>
  <c r="X34" i="33"/>
  <c r="X42" i="33"/>
  <c r="X8" i="33"/>
  <c r="X9" i="33"/>
  <c r="X11" i="33"/>
  <c r="X19" i="33"/>
  <c r="X27" i="33"/>
  <c r="X35" i="33"/>
  <c r="X43" i="33"/>
  <c r="X16" i="33"/>
  <c r="X25" i="33"/>
  <c r="X12" i="33"/>
  <c r="X20" i="33"/>
  <c r="X28" i="33"/>
  <c r="X36" i="33"/>
  <c r="X44" i="33"/>
  <c r="X32" i="33"/>
  <c r="X33" i="33"/>
  <c r="X13" i="33"/>
  <c r="X21" i="33"/>
  <c r="X29" i="33"/>
  <c r="X37" i="33"/>
  <c r="X45" i="33"/>
  <c r="X14" i="33"/>
  <c r="X22" i="33"/>
  <c r="X30" i="33"/>
  <c r="X38" i="33"/>
  <c r="X46" i="33"/>
  <c r="X40" i="33"/>
  <c r="X17" i="33"/>
  <c r="F18" i="28"/>
  <c r="E17" i="43" s="1"/>
  <c r="X15" i="33"/>
  <c r="X23" i="33"/>
  <c r="X31" i="33"/>
  <c r="X39" i="33"/>
  <c r="X47" i="33"/>
  <c r="X24" i="33"/>
  <c r="X41" i="33"/>
  <c r="X8" i="29"/>
  <c r="X16" i="29"/>
  <c r="X9" i="29"/>
  <c r="X17" i="29"/>
  <c r="X10" i="29"/>
  <c r="X18" i="29"/>
  <c r="X14" i="29"/>
  <c r="X15" i="29"/>
  <c r="X11" i="29"/>
  <c r="X19" i="29"/>
  <c r="X12" i="29"/>
  <c r="X20" i="29"/>
  <c r="X13" i="29"/>
  <c r="X21" i="29"/>
  <c r="X22" i="29"/>
  <c r="X7" i="29"/>
  <c r="X10" i="30"/>
  <c r="X18" i="30"/>
  <c r="X7" i="30"/>
  <c r="X11" i="30"/>
  <c r="X19" i="30"/>
  <c r="X15" i="30"/>
  <c r="X12" i="30"/>
  <c r="X20" i="30"/>
  <c r="X23" i="30"/>
  <c r="X13" i="30"/>
  <c r="X21" i="30"/>
  <c r="X17" i="30"/>
  <c r="X6" i="30"/>
  <c r="X14" i="30"/>
  <c r="X22" i="30"/>
  <c r="X8" i="30"/>
  <c r="X16" i="30"/>
  <c r="X24" i="30"/>
  <c r="X9" i="30"/>
  <c r="E11" i="28"/>
  <c r="E8" i="28"/>
  <c r="E9" i="28"/>
  <c r="E10" i="28"/>
  <c r="E12" i="28"/>
  <c r="AF44" i="4"/>
  <c r="AJ12" i="4" s="1"/>
  <c r="AK12" i="4" s="1"/>
  <c r="AF40" i="3"/>
  <c r="AJ13" i="3" s="1"/>
  <c r="AK13" i="3" s="1"/>
  <c r="AF27" i="2"/>
  <c r="AJ11" i="2" s="1"/>
  <c r="AK11" i="2" s="1"/>
  <c r="F11" i="37" l="1"/>
  <c r="F24" i="37"/>
  <c r="E7" i="37"/>
  <c r="E20" i="37"/>
  <c r="E11" i="37"/>
  <c r="E24" i="37"/>
  <c r="F7" i="37"/>
  <c r="F20" i="37"/>
  <c r="F9" i="37"/>
  <c r="F22" i="37"/>
  <c r="E9" i="37"/>
  <c r="E22" i="37"/>
  <c r="U55" i="6"/>
  <c r="AE55" i="6"/>
  <c r="AG55" i="6" s="1"/>
  <c r="G9" i="37"/>
  <c r="G22" i="37"/>
  <c r="H9" i="37"/>
  <c r="H22" i="37"/>
  <c r="G7" i="37"/>
  <c r="I7" i="37"/>
  <c r="I20" i="37"/>
  <c r="J9" i="37"/>
  <c r="J22" i="37"/>
  <c r="I9" i="37"/>
  <c r="I22" i="37"/>
  <c r="J7" i="37"/>
  <c r="J20" i="37"/>
  <c r="H7" i="37"/>
  <c r="H20" i="37"/>
  <c r="D24" i="37"/>
  <c r="D23" i="37"/>
  <c r="D22" i="37"/>
  <c r="D21" i="37"/>
  <c r="I28" i="27"/>
  <c r="AV16" i="4"/>
  <c r="P10" i="37" s="1"/>
  <c r="N10" i="39"/>
  <c r="O10" i="39" s="1"/>
  <c r="H12" i="28"/>
  <c r="G11" i="27" s="1"/>
  <c r="N8" i="39"/>
  <c r="O8" i="39" s="1"/>
  <c r="H10" i="28"/>
  <c r="G9" i="27" s="1"/>
  <c r="N7" i="39"/>
  <c r="O7" i="39" s="1"/>
  <c r="H9" i="28"/>
  <c r="G8" i="27" s="1"/>
  <c r="N9" i="39"/>
  <c r="O9" i="39" s="1"/>
  <c r="H11" i="28"/>
  <c r="G10" i="27" s="1"/>
  <c r="N6" i="39"/>
  <c r="O6" i="39" s="1"/>
  <c r="H8" i="28"/>
  <c r="G7" i="27" s="1"/>
  <c r="X18" i="7"/>
  <c r="X10" i="7"/>
  <c r="X19" i="7"/>
  <c r="X17" i="7"/>
  <c r="X16" i="7"/>
  <c r="X7" i="7"/>
  <c r="X22" i="7"/>
  <c r="X23" i="7"/>
  <c r="X13" i="7"/>
  <c r="X14" i="7"/>
  <c r="AV13" i="4"/>
  <c r="AV7" i="4"/>
  <c r="AK17" i="7"/>
  <c r="AV22" i="4"/>
  <c r="AK16" i="7"/>
  <c r="AV11" i="4"/>
  <c r="AV18" i="4"/>
  <c r="Q10" i="37" s="1"/>
  <c r="AK22" i="7"/>
  <c r="AK15" i="7"/>
  <c r="X9" i="7"/>
  <c r="AV24" i="4"/>
  <c r="AV25" i="4"/>
  <c r="AV12" i="4"/>
  <c r="N10" i="37" s="1"/>
  <c r="AK23" i="7"/>
  <c r="AK14" i="7"/>
  <c r="X20" i="7"/>
  <c r="AV23" i="4"/>
  <c r="AV17" i="4"/>
  <c r="AK21" i="7"/>
  <c r="AK13" i="7"/>
  <c r="X12" i="7"/>
  <c r="X21" i="7"/>
  <c r="X15" i="7"/>
  <c r="X6" i="7"/>
  <c r="AV15" i="4"/>
  <c r="AV20" i="4"/>
  <c r="R10" i="37" s="1"/>
  <c r="AK20" i="7"/>
  <c r="AK12" i="7"/>
  <c r="AK19" i="7"/>
  <c r="L6" i="39"/>
  <c r="AV14" i="4"/>
  <c r="O10" i="37" s="1"/>
  <c r="AV26" i="4"/>
  <c r="X11" i="7"/>
  <c r="X8" i="7"/>
  <c r="AV9" i="4"/>
  <c r="AV21" i="4"/>
  <c r="AV10" i="4"/>
  <c r="M10" i="37" s="1"/>
  <c r="AV19" i="4"/>
  <c r="X18" i="3"/>
  <c r="AV6" i="4"/>
  <c r="O11" i="37"/>
  <c r="P11" i="37"/>
  <c r="Q11" i="37"/>
  <c r="R11" i="37"/>
  <c r="X27" i="3"/>
  <c r="X15" i="3"/>
  <c r="X16" i="3"/>
  <c r="X10" i="3"/>
  <c r="X8" i="3"/>
  <c r="X29" i="3"/>
  <c r="X33" i="3"/>
  <c r="X21" i="3"/>
  <c r="X25" i="3"/>
  <c r="X13" i="3"/>
  <c r="X35" i="3"/>
  <c r="X32" i="3"/>
  <c r="X17" i="3"/>
  <c r="X30" i="3"/>
  <c r="X24" i="3"/>
  <c r="X19" i="3"/>
  <c r="X22" i="3"/>
  <c r="X36" i="3"/>
  <c r="X11" i="3"/>
  <c r="X9" i="3"/>
  <c r="X14" i="3"/>
  <c r="X28" i="3"/>
  <c r="X34" i="3"/>
  <c r="X31" i="3"/>
  <c r="X20" i="3"/>
  <c r="X26" i="3"/>
  <c r="X23" i="3"/>
  <c r="X12" i="3"/>
  <c r="AJ30" i="3"/>
  <c r="AK30" i="3" s="1"/>
  <c r="AJ18" i="3"/>
  <c r="AK18" i="3" s="1"/>
  <c r="AJ48" i="33"/>
  <c r="AK48" i="33"/>
  <c r="AJ41" i="32"/>
  <c r="AK41" i="32"/>
  <c r="AK37" i="31"/>
  <c r="AJ37" i="31"/>
  <c r="AK25" i="30"/>
  <c r="AJ25" i="30"/>
  <c r="AJ24" i="29"/>
  <c r="AK6" i="29"/>
  <c r="AK24" i="29" s="1"/>
  <c r="AJ27" i="3"/>
  <c r="AK27" i="3" s="1"/>
  <c r="AJ34" i="3"/>
  <c r="AK34" i="3" s="1"/>
  <c r="AJ31" i="3"/>
  <c r="AK31" i="3" s="1"/>
  <c r="AJ15" i="3"/>
  <c r="AK15" i="3" s="1"/>
  <c r="AJ25" i="3"/>
  <c r="AK25" i="3" s="1"/>
  <c r="AJ22" i="3"/>
  <c r="AK22" i="3" s="1"/>
  <c r="AJ20" i="3"/>
  <c r="AK20" i="3" s="1"/>
  <c r="AJ26" i="3"/>
  <c r="AK26" i="3" s="1"/>
  <c r="AJ37" i="3"/>
  <c r="AK37" i="3" s="1"/>
  <c r="AJ16" i="3"/>
  <c r="AK16" i="3" s="1"/>
  <c r="AJ33" i="3"/>
  <c r="AK33" i="3" s="1"/>
  <c r="AJ23" i="3"/>
  <c r="AK23" i="3" s="1"/>
  <c r="AJ28" i="3"/>
  <c r="AK28" i="3" s="1"/>
  <c r="AJ35" i="3"/>
  <c r="AK35" i="3" s="1"/>
  <c r="AJ24" i="3"/>
  <c r="AK24" i="3" s="1"/>
  <c r="AJ29" i="3"/>
  <c r="AK29" i="3" s="1"/>
  <c r="AJ36" i="3"/>
  <c r="AK36" i="3" s="1"/>
  <c r="AJ17" i="3"/>
  <c r="AK17" i="3" s="1"/>
  <c r="AJ32" i="3"/>
  <c r="AK32" i="3" s="1"/>
  <c r="AJ19" i="3"/>
  <c r="AK19" i="3" s="1"/>
  <c r="AJ21" i="3"/>
  <c r="AK21" i="3" s="1"/>
  <c r="AF15" i="2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D14" i="2"/>
  <c r="AE14" i="2" s="1"/>
  <c r="AG14" i="2" s="1"/>
  <c r="AJ14" i="2" s="1"/>
  <c r="AE13" i="2"/>
  <c r="AG13" i="2" s="1"/>
  <c r="AJ13" i="2" s="1"/>
  <c r="AE12" i="2"/>
  <c r="AG12" i="2" s="1"/>
  <c r="AJ12" i="2" s="1"/>
  <c r="AI13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D21" i="4" s="1"/>
  <c r="AE20" i="4"/>
  <c r="AE19" i="4"/>
  <c r="AG19" i="4" s="1"/>
  <c r="AJ19" i="4" s="1"/>
  <c r="AE18" i="4"/>
  <c r="AG18" i="4" s="1"/>
  <c r="AJ18" i="4" s="1"/>
  <c r="AE17" i="4"/>
  <c r="AG17" i="4" s="1"/>
  <c r="AJ17" i="4" s="1"/>
  <c r="AE16" i="4"/>
  <c r="AG16" i="4" s="1"/>
  <c r="AJ16" i="4" s="1"/>
  <c r="AE15" i="4"/>
  <c r="AG15" i="4" s="1"/>
  <c r="AJ15" i="4" s="1"/>
  <c r="AE14" i="4"/>
  <c r="AG14" i="4" s="1"/>
  <c r="AJ14" i="4" s="1"/>
  <c r="AE13" i="4"/>
  <c r="AG13" i="4" s="1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F48" i="5"/>
  <c r="AF47" i="5"/>
  <c r="AF46" i="5"/>
  <c r="AF45" i="5"/>
  <c r="AF44" i="5"/>
  <c r="AF43" i="5"/>
  <c r="AF42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D20" i="5"/>
  <c r="AE20" i="5" s="1"/>
  <c r="AG20" i="5" s="1"/>
  <c r="AE19" i="5"/>
  <c r="AG19" i="5" s="1"/>
  <c r="AE18" i="5"/>
  <c r="AG18" i="5" s="1"/>
  <c r="AE17" i="5"/>
  <c r="AG17" i="5" s="1"/>
  <c r="AE16" i="5"/>
  <c r="AG16" i="5" s="1"/>
  <c r="AE15" i="5"/>
  <c r="AG15" i="5" s="1"/>
  <c r="AE14" i="5"/>
  <c r="AG14" i="5" s="1"/>
  <c r="AE13" i="5"/>
  <c r="AG13" i="5" s="1"/>
  <c r="AI14" i="3"/>
  <c r="AJ14" i="3" s="1"/>
  <c r="AK14" i="3" s="1"/>
  <c r="F31" i="27"/>
  <c r="H31" i="27" s="1"/>
  <c r="I31" i="27" s="1"/>
  <c r="F10" i="37" l="1"/>
  <c r="F23" i="37"/>
  <c r="E10" i="37"/>
  <c r="E23" i="37"/>
  <c r="U56" i="6"/>
  <c r="AE56" i="6"/>
  <c r="AG56" i="6" s="1"/>
  <c r="H11" i="37"/>
  <c r="H24" i="37"/>
  <c r="G10" i="37"/>
  <c r="G23" i="37"/>
  <c r="I10" i="37"/>
  <c r="I23" i="37"/>
  <c r="J10" i="37"/>
  <c r="J23" i="37"/>
  <c r="G11" i="37"/>
  <c r="G24" i="37"/>
  <c r="H10" i="37"/>
  <c r="H23" i="37"/>
  <c r="J11" i="37"/>
  <c r="J24" i="37"/>
  <c r="I11" i="37"/>
  <c r="I24" i="37"/>
  <c r="L17" i="39"/>
  <c r="AK24" i="7"/>
  <c r="AJ24" i="7"/>
  <c r="AJ13" i="4"/>
  <c r="AK26" i="29"/>
  <c r="AG26" i="29" s="1"/>
  <c r="M12" i="39" s="1"/>
  <c r="AK50" i="33"/>
  <c r="AG50" i="33" s="1"/>
  <c r="M16" i="39" s="1"/>
  <c r="AK43" i="32"/>
  <c r="AG43" i="32" s="1"/>
  <c r="M15" i="39" s="1"/>
  <c r="AK39" i="31"/>
  <c r="AG39" i="31" s="1"/>
  <c r="M14" i="39" s="1"/>
  <c r="AK27" i="30"/>
  <c r="AG27" i="30" s="1"/>
  <c r="M13" i="39" s="1"/>
  <c r="AG20" i="4"/>
  <c r="AJ20" i="4" s="1"/>
  <c r="AK38" i="3"/>
  <c r="AJ38" i="3"/>
  <c r="AD15" i="2"/>
  <c r="AE21" i="4"/>
  <c r="AG21" i="4" s="1"/>
  <c r="AJ21" i="4" s="1"/>
  <c r="AD22" i="4"/>
  <c r="AD21" i="5"/>
  <c r="AL6" i="6" l="1"/>
  <c r="AL7" i="6"/>
  <c r="AL12" i="6"/>
  <c r="N25" i="37" s="1"/>
  <c r="F25" i="37" s="1"/>
  <c r="AL16" i="6"/>
  <c r="P25" i="37" s="1"/>
  <c r="H25" i="37" s="1"/>
  <c r="U57" i="6"/>
  <c r="U59" i="6" s="1"/>
  <c r="X51" i="6" s="1"/>
  <c r="AE57" i="6"/>
  <c r="AG57" i="6" s="1"/>
  <c r="AL11" i="6" s="1"/>
  <c r="AK26" i="7"/>
  <c r="AG26" i="7" s="1"/>
  <c r="E28" i="27" s="1"/>
  <c r="AK40" i="3"/>
  <c r="AF41" i="3" s="1"/>
  <c r="E31" i="27" s="1"/>
  <c r="AE15" i="2"/>
  <c r="AG15" i="2" s="1"/>
  <c r="AJ15" i="2" s="1"/>
  <c r="AD16" i="2"/>
  <c r="AE22" i="4"/>
  <c r="AG22" i="4" s="1"/>
  <c r="AJ22" i="4" s="1"/>
  <c r="AD23" i="4"/>
  <c r="AE21" i="5"/>
  <c r="AG21" i="5" s="1"/>
  <c r="AD22" i="5"/>
  <c r="X44" i="6" l="1"/>
  <c r="X53" i="6"/>
  <c r="AL25" i="6"/>
  <c r="X38" i="6"/>
  <c r="X26" i="6"/>
  <c r="X55" i="6"/>
  <c r="X35" i="6"/>
  <c r="X41" i="6"/>
  <c r="X8" i="6"/>
  <c r="X24" i="6"/>
  <c r="AL17" i="6"/>
  <c r="AL18" i="6"/>
  <c r="Q25" i="37" s="1"/>
  <c r="I25" i="37" s="1"/>
  <c r="AL14" i="6"/>
  <c r="O25" i="37" s="1"/>
  <c r="G25" i="37" s="1"/>
  <c r="X15" i="6"/>
  <c r="X52" i="6"/>
  <c r="X18" i="6"/>
  <c r="X33" i="6"/>
  <c r="F19" i="28"/>
  <c r="E18" i="43" s="1"/>
  <c r="X31" i="6"/>
  <c r="X20" i="6"/>
  <c r="X13" i="6"/>
  <c r="X25" i="6"/>
  <c r="X49" i="6"/>
  <c r="X43" i="6"/>
  <c r="X50" i="6"/>
  <c r="X21" i="6"/>
  <c r="X37" i="6"/>
  <c r="X47" i="6"/>
  <c r="X29" i="6"/>
  <c r="X40" i="6"/>
  <c r="X22" i="6"/>
  <c r="X48" i="6"/>
  <c r="X39" i="6"/>
  <c r="X32" i="6"/>
  <c r="X36" i="6"/>
  <c r="X11" i="6"/>
  <c r="X16" i="6"/>
  <c r="X17" i="6"/>
  <c r="X27" i="6"/>
  <c r="AL9" i="6"/>
  <c r="AL15" i="6"/>
  <c r="AL8" i="6"/>
  <c r="AL23" i="6"/>
  <c r="AL13" i="6"/>
  <c r="X45" i="6"/>
  <c r="X23" i="6"/>
  <c r="X46" i="6"/>
  <c r="X54" i="6"/>
  <c r="AL10" i="6"/>
  <c r="M25" i="37" s="1"/>
  <c r="E25" i="37" s="1"/>
  <c r="X34" i="6"/>
  <c r="X7" i="6"/>
  <c r="X42" i="6"/>
  <c r="X30" i="6"/>
  <c r="X56" i="6"/>
  <c r="X14" i="6"/>
  <c r="X12" i="6"/>
  <c r="X9" i="6"/>
  <c r="X10" i="6"/>
  <c r="X57" i="6"/>
  <c r="X19" i="6"/>
  <c r="X28" i="6"/>
  <c r="AL22" i="6"/>
  <c r="AL24" i="6"/>
  <c r="AL26" i="6"/>
  <c r="AL21" i="6"/>
  <c r="AL19" i="6"/>
  <c r="AL20" i="6"/>
  <c r="R25" i="37" s="1"/>
  <c r="J25" i="37" s="1"/>
  <c r="D25" i="37"/>
  <c r="AD17" i="2"/>
  <c r="AE16" i="2"/>
  <c r="AG16" i="2" s="1"/>
  <c r="AJ16" i="2" s="1"/>
  <c r="AE23" i="4"/>
  <c r="AG23" i="4" s="1"/>
  <c r="AJ23" i="4" s="1"/>
  <c r="AD24" i="4"/>
  <c r="AE22" i="5"/>
  <c r="AG22" i="5" s="1"/>
  <c r="AD23" i="5"/>
  <c r="M17" i="39" l="1"/>
  <c r="AD18" i="2"/>
  <c r="AE17" i="2"/>
  <c r="AG17" i="2" s="1"/>
  <c r="AJ17" i="2" s="1"/>
  <c r="AD25" i="4"/>
  <c r="AE24" i="4"/>
  <c r="AG24" i="4" s="1"/>
  <c r="AJ24" i="4" s="1"/>
  <c r="AE23" i="5"/>
  <c r="AG23" i="5" s="1"/>
  <c r="AD24" i="5"/>
  <c r="F8" i="27"/>
  <c r="F9" i="27"/>
  <c r="F10" i="27"/>
  <c r="F11" i="27"/>
  <c r="F7" i="27"/>
  <c r="H47" i="33"/>
  <c r="H46" i="33"/>
  <c r="H45" i="33"/>
  <c r="H44" i="33"/>
  <c r="H43" i="33"/>
  <c r="H42" i="33"/>
  <c r="H41" i="33"/>
  <c r="H40" i="33"/>
  <c r="H39" i="33"/>
  <c r="H38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F19" i="33"/>
  <c r="F20" i="33" s="1"/>
  <c r="G18" i="33"/>
  <c r="I18" i="33" s="1"/>
  <c r="G17" i="33"/>
  <c r="I17" i="33" s="1"/>
  <c r="G16" i="33"/>
  <c r="I16" i="33" s="1"/>
  <c r="G15" i="33"/>
  <c r="I15" i="33" s="1"/>
  <c r="G14" i="33"/>
  <c r="I14" i="33" s="1"/>
  <c r="G13" i="33"/>
  <c r="I13" i="33" s="1"/>
  <c r="G12" i="33"/>
  <c r="I12" i="33" s="1"/>
  <c r="G11" i="33"/>
  <c r="I11" i="33" s="1"/>
  <c r="G10" i="33"/>
  <c r="I10" i="33" s="1"/>
  <c r="G9" i="33"/>
  <c r="I9" i="33" s="1"/>
  <c r="F8" i="33"/>
  <c r="G8" i="33" s="1"/>
  <c r="I8" i="33" s="1"/>
  <c r="K40" i="33"/>
  <c r="I6" i="32"/>
  <c r="K40" i="32"/>
  <c r="H40" i="32"/>
  <c r="K39" i="32"/>
  <c r="H39" i="32"/>
  <c r="K38" i="32"/>
  <c r="H38" i="32"/>
  <c r="K37" i="32"/>
  <c r="H37" i="32"/>
  <c r="K36" i="32"/>
  <c r="H36" i="32"/>
  <c r="K35" i="32"/>
  <c r="H35" i="32"/>
  <c r="K34" i="32"/>
  <c r="H34" i="32"/>
  <c r="K33" i="32"/>
  <c r="H33" i="32"/>
  <c r="K32" i="32"/>
  <c r="H32" i="32"/>
  <c r="K31" i="32"/>
  <c r="H31" i="32"/>
  <c r="K30" i="32"/>
  <c r="H30" i="32"/>
  <c r="K29" i="32"/>
  <c r="H29" i="32"/>
  <c r="K28" i="32"/>
  <c r="H28" i="32"/>
  <c r="K27" i="32"/>
  <c r="H27" i="32"/>
  <c r="K26" i="32"/>
  <c r="H26" i="32"/>
  <c r="K25" i="32"/>
  <c r="H25" i="32"/>
  <c r="K24" i="32"/>
  <c r="H24" i="32"/>
  <c r="K23" i="32"/>
  <c r="H23" i="32"/>
  <c r="K22" i="32"/>
  <c r="H22" i="32"/>
  <c r="K21" i="32"/>
  <c r="H21" i="32"/>
  <c r="K20" i="32"/>
  <c r="H20" i="32"/>
  <c r="K19" i="32"/>
  <c r="H19" i="32"/>
  <c r="F20" i="32" s="1"/>
  <c r="G19" i="32"/>
  <c r="K18" i="32"/>
  <c r="G18" i="32"/>
  <c r="I18" i="32" s="1"/>
  <c r="K17" i="32"/>
  <c r="G17" i="32"/>
  <c r="I17" i="32" s="1"/>
  <c r="K16" i="32"/>
  <c r="G16" i="32"/>
  <c r="I16" i="32" s="1"/>
  <c r="K15" i="32"/>
  <c r="G15" i="32"/>
  <c r="I15" i="32" s="1"/>
  <c r="K14" i="32"/>
  <c r="G14" i="32"/>
  <c r="I14" i="32" s="1"/>
  <c r="K13" i="32"/>
  <c r="G13" i="32"/>
  <c r="I13" i="32" s="1"/>
  <c r="K12" i="32"/>
  <c r="G12" i="32"/>
  <c r="I12" i="32" s="1"/>
  <c r="K11" i="32"/>
  <c r="G11" i="32"/>
  <c r="I11" i="32" s="1"/>
  <c r="K10" i="32"/>
  <c r="G10" i="32"/>
  <c r="I10" i="32" s="1"/>
  <c r="K9" i="32"/>
  <c r="G9" i="32"/>
  <c r="I9" i="32" s="1"/>
  <c r="K8" i="32"/>
  <c r="G8" i="32"/>
  <c r="I8" i="32" s="1"/>
  <c r="K7" i="32"/>
  <c r="K36" i="31"/>
  <c r="H36" i="31"/>
  <c r="K35" i="31"/>
  <c r="H35" i="31"/>
  <c r="K34" i="31"/>
  <c r="H34" i="31"/>
  <c r="K33" i="31"/>
  <c r="H33" i="31"/>
  <c r="K32" i="31"/>
  <c r="H32" i="31"/>
  <c r="K31" i="31"/>
  <c r="H31" i="31"/>
  <c r="K30" i="31"/>
  <c r="H30" i="31"/>
  <c r="K29" i="31"/>
  <c r="H29" i="31"/>
  <c r="K28" i="31"/>
  <c r="H28" i="31"/>
  <c r="K27" i="31"/>
  <c r="H27" i="31"/>
  <c r="F28" i="31" s="1"/>
  <c r="K26" i="31"/>
  <c r="I26" i="31"/>
  <c r="K25" i="31"/>
  <c r="I25" i="31"/>
  <c r="K24" i="31"/>
  <c r="I24" i="31"/>
  <c r="K23" i="31"/>
  <c r="I23" i="31"/>
  <c r="K22" i="31"/>
  <c r="I22" i="31"/>
  <c r="K21" i="31"/>
  <c r="I21" i="31"/>
  <c r="K20" i="31"/>
  <c r="I20" i="31"/>
  <c r="K19" i="31"/>
  <c r="I19" i="31"/>
  <c r="K18" i="31"/>
  <c r="I18" i="31"/>
  <c r="K17" i="31"/>
  <c r="I17" i="31"/>
  <c r="K16" i="31"/>
  <c r="I16" i="31"/>
  <c r="K15" i="31"/>
  <c r="I15" i="31"/>
  <c r="K14" i="31"/>
  <c r="I14" i="31"/>
  <c r="K13" i="31"/>
  <c r="I13" i="31"/>
  <c r="K12" i="31"/>
  <c r="I12" i="31"/>
  <c r="K11" i="31"/>
  <c r="I11" i="31"/>
  <c r="K10" i="31"/>
  <c r="I10" i="31"/>
  <c r="K9" i="31"/>
  <c r="K8" i="31"/>
  <c r="I5" i="30"/>
  <c r="K24" i="30"/>
  <c r="K23" i="30"/>
  <c r="K22" i="30"/>
  <c r="K21" i="30"/>
  <c r="K20" i="30"/>
  <c r="K19" i="30"/>
  <c r="K18" i="30"/>
  <c r="K17" i="30"/>
  <c r="K16" i="30"/>
  <c r="K15" i="30"/>
  <c r="K14" i="30"/>
  <c r="H14" i="30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K13" i="30"/>
  <c r="F13" i="30"/>
  <c r="F14" i="30" s="1"/>
  <c r="K12" i="30"/>
  <c r="G12" i="30"/>
  <c r="I12" i="30" s="1"/>
  <c r="K11" i="30"/>
  <c r="G11" i="30"/>
  <c r="I11" i="30" s="1"/>
  <c r="K10" i="30"/>
  <c r="G10" i="30"/>
  <c r="I10" i="30" s="1"/>
  <c r="K9" i="30"/>
  <c r="G9" i="30"/>
  <c r="I9" i="30" s="1"/>
  <c r="K8" i="30"/>
  <c r="G8" i="30"/>
  <c r="I8" i="30" s="1"/>
  <c r="K7" i="30"/>
  <c r="G7" i="30"/>
  <c r="I7" i="30" s="1"/>
  <c r="K6" i="30"/>
  <c r="I6" i="30" s="1"/>
  <c r="I5" i="29"/>
  <c r="H22" i="29"/>
  <c r="H21" i="29"/>
  <c r="H20" i="29"/>
  <c r="H19" i="29"/>
  <c r="H18" i="29"/>
  <c r="H17" i="29"/>
  <c r="H16" i="29"/>
  <c r="H15" i="29"/>
  <c r="H14" i="29"/>
  <c r="H13" i="29"/>
  <c r="F7" i="29"/>
  <c r="F8" i="29" s="1"/>
  <c r="I6" i="33"/>
  <c r="F21" i="32" l="1"/>
  <c r="I27" i="31"/>
  <c r="I19" i="32"/>
  <c r="K23" i="33"/>
  <c r="K12" i="33"/>
  <c r="K31" i="33"/>
  <c r="K39" i="33"/>
  <c r="K47" i="33"/>
  <c r="AE18" i="2"/>
  <c r="AG18" i="2" s="1"/>
  <c r="AJ18" i="2" s="1"/>
  <c r="AD19" i="2"/>
  <c r="AD26" i="4"/>
  <c r="AE25" i="4"/>
  <c r="AG25" i="4" s="1"/>
  <c r="AJ25" i="4" s="1"/>
  <c r="AD25" i="5"/>
  <c r="AE24" i="5"/>
  <c r="AG24" i="5" s="1"/>
  <c r="I6" i="6"/>
  <c r="F21" i="33"/>
  <c r="G20" i="33"/>
  <c r="I20" i="33" s="1"/>
  <c r="K9" i="33"/>
  <c r="K17" i="33"/>
  <c r="K22" i="33"/>
  <c r="K30" i="33"/>
  <c r="K38" i="33"/>
  <c r="K46" i="33"/>
  <c r="K14" i="33"/>
  <c r="G19" i="33"/>
  <c r="I19" i="33" s="1"/>
  <c r="K21" i="33"/>
  <c r="K29" i="33"/>
  <c r="K37" i="33"/>
  <c r="K45" i="33"/>
  <c r="K11" i="33"/>
  <c r="K20" i="33"/>
  <c r="K28" i="33"/>
  <c r="K36" i="33"/>
  <c r="K44" i="33"/>
  <c r="K8" i="33"/>
  <c r="K16" i="33"/>
  <c r="K19" i="33"/>
  <c r="K27" i="33"/>
  <c r="K35" i="33"/>
  <c r="K43" i="33"/>
  <c r="K13" i="33"/>
  <c r="K26" i="33"/>
  <c r="K34" i="33"/>
  <c r="K42" i="33"/>
  <c r="K7" i="33"/>
  <c r="I7" i="33" s="1"/>
  <c r="K10" i="33"/>
  <c r="K18" i="33"/>
  <c r="K25" i="33"/>
  <c r="K33" i="33"/>
  <c r="K41" i="33"/>
  <c r="K15" i="33"/>
  <c r="K24" i="33"/>
  <c r="K32" i="33"/>
  <c r="I7" i="32"/>
  <c r="F8" i="32"/>
  <c r="F22" i="32"/>
  <c r="G21" i="32"/>
  <c r="I21" i="32" s="1"/>
  <c r="G20" i="32"/>
  <c r="I20" i="32" s="1"/>
  <c r="I28" i="31"/>
  <c r="F29" i="31"/>
  <c r="I8" i="31"/>
  <c r="F9" i="31"/>
  <c r="I9" i="31" s="1"/>
  <c r="G14" i="30"/>
  <c r="I14" i="30" s="1"/>
  <c r="F15" i="30"/>
  <c r="G13" i="30"/>
  <c r="I13" i="30" s="1"/>
  <c r="F9" i="29"/>
  <c r="G8" i="29"/>
  <c r="I8" i="29" s="1"/>
  <c r="G7" i="29"/>
  <c r="I7" i="29" s="1"/>
  <c r="AE19" i="2" l="1"/>
  <c r="AG19" i="2" s="1"/>
  <c r="AJ19" i="2" s="1"/>
  <c r="AD20" i="2"/>
  <c r="AE26" i="4"/>
  <c r="AG26" i="4" s="1"/>
  <c r="AJ26" i="4" s="1"/>
  <c r="AD27" i="4"/>
  <c r="AD26" i="5"/>
  <c r="AE25" i="5"/>
  <c r="AG25" i="5" s="1"/>
  <c r="G21" i="33"/>
  <c r="I21" i="33" s="1"/>
  <c r="F22" i="33"/>
  <c r="G22" i="32"/>
  <c r="I22" i="32" s="1"/>
  <c r="F23" i="32"/>
  <c r="I29" i="31"/>
  <c r="F30" i="31"/>
  <c r="G15" i="30"/>
  <c r="I15" i="30" s="1"/>
  <c r="F16" i="30"/>
  <c r="G9" i="29"/>
  <c r="I9" i="29" s="1"/>
  <c r="F10" i="29"/>
  <c r="AE20" i="2" l="1"/>
  <c r="AG20" i="2" s="1"/>
  <c r="AJ20" i="2" s="1"/>
  <c r="AD21" i="2"/>
  <c r="AE27" i="4"/>
  <c r="AG27" i="4" s="1"/>
  <c r="AJ27" i="4" s="1"/>
  <c r="AD28" i="4"/>
  <c r="AD27" i="5"/>
  <c r="AE26" i="5"/>
  <c r="AG26" i="5" s="1"/>
  <c r="G22" i="33"/>
  <c r="I22" i="33" s="1"/>
  <c r="F23" i="33"/>
  <c r="G23" i="32"/>
  <c r="I23" i="32" s="1"/>
  <c r="F24" i="32"/>
  <c r="I30" i="31"/>
  <c r="F31" i="31"/>
  <c r="G16" i="30"/>
  <c r="I16" i="30" s="1"/>
  <c r="F17" i="30"/>
  <c r="F11" i="29"/>
  <c r="G10" i="29"/>
  <c r="I10" i="29" s="1"/>
  <c r="G8" i="4"/>
  <c r="G9" i="4"/>
  <c r="G10" i="4"/>
  <c r="G11" i="4"/>
  <c r="I11" i="4" s="1"/>
  <c r="G12" i="4"/>
  <c r="I12" i="4" s="1"/>
  <c r="G13" i="4"/>
  <c r="I13" i="4" s="1"/>
  <c r="G14" i="4"/>
  <c r="I14" i="4" s="1"/>
  <c r="G15" i="4"/>
  <c r="G16" i="4"/>
  <c r="I16" i="4" s="1"/>
  <c r="G17" i="4"/>
  <c r="I17" i="4" s="1"/>
  <c r="G18" i="4"/>
  <c r="I18" i="4" s="1"/>
  <c r="G19" i="4"/>
  <c r="H19" i="4"/>
  <c r="F20" i="4" s="1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I8" i="4"/>
  <c r="I9" i="4"/>
  <c r="I10" i="4"/>
  <c r="I15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I19" i="4" l="1"/>
  <c r="AE21" i="2"/>
  <c r="AG21" i="2" s="1"/>
  <c r="AJ21" i="2" s="1"/>
  <c r="AD22" i="2"/>
  <c r="AE28" i="4"/>
  <c r="AG28" i="4" s="1"/>
  <c r="AJ28" i="4" s="1"/>
  <c r="AD29" i="4"/>
  <c r="AE27" i="5"/>
  <c r="AG27" i="5" s="1"/>
  <c r="AD28" i="5"/>
  <c r="G23" i="33"/>
  <c r="I23" i="33" s="1"/>
  <c r="F24" i="33"/>
  <c r="G24" i="32"/>
  <c r="I24" i="32" s="1"/>
  <c r="F25" i="32"/>
  <c r="F32" i="31"/>
  <c r="I31" i="31"/>
  <c r="G17" i="30"/>
  <c r="I17" i="30" s="1"/>
  <c r="F18" i="30"/>
  <c r="F12" i="29"/>
  <c r="G11" i="29"/>
  <c r="I11" i="29" s="1"/>
  <c r="G20" i="4"/>
  <c r="I20" i="4" s="1"/>
  <c r="F21" i="4"/>
  <c r="G21" i="4" s="1"/>
  <c r="I7" i="4"/>
  <c r="I48" i="4" s="1"/>
  <c r="I49" i="4" s="1"/>
  <c r="F8" i="4"/>
  <c r="AE22" i="2" l="1"/>
  <c r="AG22" i="2" s="1"/>
  <c r="AJ22" i="2" s="1"/>
  <c r="AD23" i="2"/>
  <c r="AE29" i="4"/>
  <c r="AG29" i="4" s="1"/>
  <c r="AJ29" i="4" s="1"/>
  <c r="AD30" i="4"/>
  <c r="AE28" i="5"/>
  <c r="AG28" i="5" s="1"/>
  <c r="AD29" i="5"/>
  <c r="G24" i="33"/>
  <c r="I24" i="33" s="1"/>
  <c r="F25" i="33"/>
  <c r="G25" i="32"/>
  <c r="I25" i="32" s="1"/>
  <c r="F26" i="32"/>
  <c r="F33" i="31"/>
  <c r="I32" i="31"/>
  <c r="G18" i="30"/>
  <c r="I18" i="30" s="1"/>
  <c r="F19" i="30"/>
  <c r="F13" i="29"/>
  <c r="G12" i="29"/>
  <c r="I12" i="29" s="1"/>
  <c r="F22" i="4"/>
  <c r="G22" i="4" s="1"/>
  <c r="I21" i="4"/>
  <c r="AE23" i="2" l="1"/>
  <c r="AG23" i="2" s="1"/>
  <c r="AJ23" i="2" s="1"/>
  <c r="AD24" i="2"/>
  <c r="AE30" i="4"/>
  <c r="AG30" i="4" s="1"/>
  <c r="AJ30" i="4" s="1"/>
  <c r="AD31" i="4"/>
  <c r="AE29" i="5"/>
  <c r="AG29" i="5" s="1"/>
  <c r="AD30" i="5"/>
  <c r="G25" i="33"/>
  <c r="I25" i="33" s="1"/>
  <c r="F26" i="33"/>
  <c r="G26" i="32"/>
  <c r="I26" i="32" s="1"/>
  <c r="F27" i="32"/>
  <c r="F34" i="31"/>
  <c r="I33" i="31"/>
  <c r="G19" i="30"/>
  <c r="I19" i="30" s="1"/>
  <c r="F20" i="30"/>
  <c r="G13" i="29"/>
  <c r="I13" i="29" s="1"/>
  <c r="F14" i="29"/>
  <c r="F23" i="4"/>
  <c r="G23" i="4" s="1"/>
  <c r="I22" i="4"/>
  <c r="AD25" i="2" l="1"/>
  <c r="AE25" i="2" s="1"/>
  <c r="AG25" i="2" s="1"/>
  <c r="AJ25" i="2" s="1"/>
  <c r="AE24" i="2"/>
  <c r="AG24" i="2" s="1"/>
  <c r="AJ24" i="2" s="1"/>
  <c r="AE31" i="4"/>
  <c r="AG31" i="4" s="1"/>
  <c r="AJ31" i="4" s="1"/>
  <c r="AD32" i="4"/>
  <c r="AE30" i="5"/>
  <c r="AG30" i="5" s="1"/>
  <c r="AD31" i="5"/>
  <c r="F27" i="33"/>
  <c r="G26" i="33"/>
  <c r="I26" i="33" s="1"/>
  <c r="G27" i="32"/>
  <c r="I27" i="32" s="1"/>
  <c r="F28" i="32"/>
  <c r="I34" i="31"/>
  <c r="F35" i="31"/>
  <c r="F21" i="30"/>
  <c r="G20" i="30"/>
  <c r="I20" i="30" s="1"/>
  <c r="G14" i="29"/>
  <c r="I14" i="29" s="1"/>
  <c r="F15" i="29"/>
  <c r="F24" i="4"/>
  <c r="G24" i="4" s="1"/>
  <c r="I23" i="4"/>
  <c r="AJ26" i="2" l="1"/>
  <c r="AF29" i="2"/>
  <c r="F29" i="27" s="1"/>
  <c r="H29" i="27" s="1"/>
  <c r="AD33" i="4"/>
  <c r="AE32" i="4"/>
  <c r="AG32" i="4" s="1"/>
  <c r="AJ32" i="4" s="1"/>
  <c r="AE31" i="5"/>
  <c r="AG31" i="5" s="1"/>
  <c r="AD32" i="5"/>
  <c r="F28" i="33"/>
  <c r="G27" i="33"/>
  <c r="I27" i="33" s="1"/>
  <c r="F29" i="32"/>
  <c r="G28" i="32"/>
  <c r="I28" i="32" s="1"/>
  <c r="I35" i="31"/>
  <c r="F36" i="31"/>
  <c r="I36" i="31" s="1"/>
  <c r="F22" i="30"/>
  <c r="G21" i="30"/>
  <c r="I21" i="30" s="1"/>
  <c r="G15" i="29"/>
  <c r="I15" i="29" s="1"/>
  <c r="F16" i="29"/>
  <c r="F25" i="4"/>
  <c r="G25" i="4" s="1"/>
  <c r="I24" i="4"/>
  <c r="I29" i="27" l="1"/>
  <c r="AD34" i="4"/>
  <c r="AE33" i="4"/>
  <c r="AG33" i="4" s="1"/>
  <c r="AJ33" i="4" s="1"/>
  <c r="AD33" i="5"/>
  <c r="AE32" i="5"/>
  <c r="AG32" i="5" s="1"/>
  <c r="F29" i="33"/>
  <c r="G28" i="33"/>
  <c r="I28" i="33" s="1"/>
  <c r="F30" i="32"/>
  <c r="G29" i="32"/>
  <c r="I29" i="32" s="1"/>
  <c r="I38" i="31"/>
  <c r="M32" i="39" s="1"/>
  <c r="G22" i="30"/>
  <c r="I22" i="30" s="1"/>
  <c r="F23" i="30"/>
  <c r="F17" i="29"/>
  <c r="G16" i="29"/>
  <c r="I16" i="29" s="1"/>
  <c r="F26" i="4"/>
  <c r="G26" i="4" s="1"/>
  <c r="I25" i="4"/>
  <c r="Y18" i="31" l="1"/>
  <c r="Y20" i="31"/>
  <c r="Y27" i="31"/>
  <c r="Y14" i="31"/>
  <c r="Y15" i="31"/>
  <c r="Y24" i="31"/>
  <c r="Y26" i="31"/>
  <c r="Y10" i="31"/>
  <c r="Y11" i="31"/>
  <c r="Y13" i="31"/>
  <c r="Y19" i="31"/>
  <c r="Y25" i="31"/>
  <c r="Y23" i="31"/>
  <c r="Y21" i="31"/>
  <c r="Y22" i="31"/>
  <c r="Y17" i="31"/>
  <c r="Y12" i="31"/>
  <c r="Y16" i="31"/>
  <c r="Y28" i="31"/>
  <c r="Y9" i="31"/>
  <c r="Y29" i="31"/>
  <c r="Y30" i="31"/>
  <c r="Y31" i="31"/>
  <c r="Y32" i="31"/>
  <c r="Y33" i="31"/>
  <c r="Y34" i="31"/>
  <c r="Y36" i="31"/>
  <c r="Y35" i="31"/>
  <c r="Y8" i="31"/>
  <c r="AE34" i="4"/>
  <c r="AG34" i="4" s="1"/>
  <c r="AJ34" i="4" s="1"/>
  <c r="AD35" i="4"/>
  <c r="AD34" i="5"/>
  <c r="AE33" i="5"/>
  <c r="AG33" i="5" s="1"/>
  <c r="L35" i="31"/>
  <c r="M35" i="31" s="1"/>
  <c r="G29" i="33"/>
  <c r="I29" i="33" s="1"/>
  <c r="F30" i="33"/>
  <c r="G30" i="32"/>
  <c r="I30" i="32" s="1"/>
  <c r="F31" i="32"/>
  <c r="L23" i="31"/>
  <c r="M23" i="31" s="1"/>
  <c r="L15" i="31"/>
  <c r="M15" i="31" s="1"/>
  <c r="L26" i="31"/>
  <c r="M26" i="31" s="1"/>
  <c r="L20" i="31"/>
  <c r="M20" i="31" s="1"/>
  <c r="L16" i="31"/>
  <c r="M16" i="31" s="1"/>
  <c r="L17" i="31"/>
  <c r="M17" i="31" s="1"/>
  <c r="L11" i="31"/>
  <c r="M11" i="31" s="1"/>
  <c r="L24" i="31"/>
  <c r="M24" i="31" s="1"/>
  <c r="L25" i="31"/>
  <c r="M25" i="31" s="1"/>
  <c r="L14" i="31"/>
  <c r="M14" i="31" s="1"/>
  <c r="L10" i="31"/>
  <c r="M10" i="31" s="1"/>
  <c r="L12" i="31"/>
  <c r="M12" i="31" s="1"/>
  <c r="L27" i="31"/>
  <c r="M27" i="31" s="1"/>
  <c r="L21" i="31"/>
  <c r="M21" i="31" s="1"/>
  <c r="L22" i="31"/>
  <c r="M22" i="31" s="1"/>
  <c r="L18" i="31"/>
  <c r="M18" i="31" s="1"/>
  <c r="L13" i="31"/>
  <c r="M13" i="31" s="1"/>
  <c r="L19" i="31"/>
  <c r="M19" i="31" s="1"/>
  <c r="L28" i="31"/>
  <c r="M28" i="31" s="1"/>
  <c r="L8" i="31"/>
  <c r="M8" i="31" s="1"/>
  <c r="L9" i="31"/>
  <c r="M9" i="31" s="1"/>
  <c r="L29" i="31"/>
  <c r="M29" i="31" s="1"/>
  <c r="L30" i="31"/>
  <c r="M30" i="31" s="1"/>
  <c r="L31" i="31"/>
  <c r="M31" i="31" s="1"/>
  <c r="L32" i="31"/>
  <c r="M32" i="31" s="1"/>
  <c r="L33" i="31"/>
  <c r="M33" i="31" s="1"/>
  <c r="L34" i="31"/>
  <c r="M34" i="31" s="1"/>
  <c r="L36" i="31"/>
  <c r="M36" i="31" s="1"/>
  <c r="G23" i="30"/>
  <c r="I23" i="30" s="1"/>
  <c r="F24" i="30"/>
  <c r="G24" i="30" s="1"/>
  <c r="I24" i="30" s="1"/>
  <c r="F18" i="29"/>
  <c r="G17" i="29"/>
  <c r="I17" i="29" s="1"/>
  <c r="F27" i="4"/>
  <c r="G27" i="4" s="1"/>
  <c r="I26" i="4"/>
  <c r="Y37" i="31" l="1"/>
  <c r="X37" i="31"/>
  <c r="AE35" i="4"/>
  <c r="AG35" i="4" s="1"/>
  <c r="AJ35" i="4" s="1"/>
  <c r="AD36" i="4"/>
  <c r="AE34" i="5"/>
  <c r="AG34" i="5" s="1"/>
  <c r="AD35" i="5"/>
  <c r="G30" i="33"/>
  <c r="I30" i="33" s="1"/>
  <c r="F31" i="33"/>
  <c r="G31" i="32"/>
  <c r="I31" i="32" s="1"/>
  <c r="F32" i="32"/>
  <c r="M37" i="31"/>
  <c r="L37" i="31"/>
  <c r="I26" i="30"/>
  <c r="M31" i="39" s="1"/>
  <c r="F19" i="29"/>
  <c r="G18" i="29"/>
  <c r="I18" i="29" s="1"/>
  <c r="F28" i="4"/>
  <c r="G28" i="4" s="1"/>
  <c r="I27" i="4"/>
  <c r="Y39" i="31" l="1"/>
  <c r="U39" i="31" s="1"/>
  <c r="G16" i="28" s="1"/>
  <c r="F15" i="43" s="1"/>
  <c r="Y9" i="30"/>
  <c r="Y12" i="30"/>
  <c r="Y11" i="30"/>
  <c r="Y8" i="30"/>
  <c r="Y7" i="30"/>
  <c r="Y10" i="30"/>
  <c r="Y14" i="30"/>
  <c r="Y13" i="30"/>
  <c r="Y15" i="30"/>
  <c r="Y16" i="30"/>
  <c r="Y17" i="30"/>
  <c r="Y18" i="30"/>
  <c r="Y19" i="30"/>
  <c r="Y20" i="30"/>
  <c r="Y21" i="30"/>
  <c r="Y22" i="30"/>
  <c r="Y24" i="30"/>
  <c r="Y23" i="30"/>
  <c r="Y6" i="30"/>
  <c r="AE36" i="4"/>
  <c r="AG36" i="4" s="1"/>
  <c r="AJ36" i="4" s="1"/>
  <c r="AD37" i="4"/>
  <c r="AE35" i="5"/>
  <c r="AG35" i="5" s="1"/>
  <c r="AD36" i="5"/>
  <c r="L24" i="30"/>
  <c r="M24" i="30" s="1"/>
  <c r="G31" i="33"/>
  <c r="I31" i="33" s="1"/>
  <c r="F32" i="33"/>
  <c r="G32" i="32"/>
  <c r="I32" i="32" s="1"/>
  <c r="F33" i="32"/>
  <c r="M39" i="31"/>
  <c r="L23" i="30"/>
  <c r="M23" i="30" s="1"/>
  <c r="L12" i="30"/>
  <c r="M12" i="30" s="1"/>
  <c r="L10" i="30"/>
  <c r="M10" i="30" s="1"/>
  <c r="L11" i="30"/>
  <c r="M11" i="30" s="1"/>
  <c r="L9" i="30"/>
  <c r="M9" i="30" s="1"/>
  <c r="L6" i="30"/>
  <c r="M6" i="30" s="1"/>
  <c r="L8" i="30"/>
  <c r="M8" i="30" s="1"/>
  <c r="L7" i="30"/>
  <c r="M7" i="30" s="1"/>
  <c r="L14" i="30"/>
  <c r="M14" i="30" s="1"/>
  <c r="L13" i="30"/>
  <c r="M13" i="30" s="1"/>
  <c r="L15" i="30"/>
  <c r="M15" i="30" s="1"/>
  <c r="L16" i="30"/>
  <c r="M16" i="30" s="1"/>
  <c r="L17" i="30"/>
  <c r="M17" i="30" s="1"/>
  <c r="L18" i="30"/>
  <c r="M18" i="30" s="1"/>
  <c r="L19" i="30"/>
  <c r="M19" i="30" s="1"/>
  <c r="L20" i="30"/>
  <c r="M20" i="30" s="1"/>
  <c r="L21" i="30"/>
  <c r="M21" i="30" s="1"/>
  <c r="L22" i="30"/>
  <c r="M22" i="30" s="1"/>
  <c r="F20" i="29"/>
  <c r="G19" i="29"/>
  <c r="I19" i="29" s="1"/>
  <c r="F29" i="4"/>
  <c r="G29" i="4" s="1"/>
  <c r="I28" i="4"/>
  <c r="Y25" i="30" l="1"/>
  <c r="X25" i="30"/>
  <c r="I39" i="31"/>
  <c r="N32" i="39" s="1"/>
  <c r="AE37" i="4"/>
  <c r="AG37" i="4" s="1"/>
  <c r="AJ37" i="4" s="1"/>
  <c r="AD38" i="4"/>
  <c r="AE36" i="5"/>
  <c r="AG36" i="5" s="1"/>
  <c r="AD37" i="5"/>
  <c r="G32" i="33"/>
  <c r="I32" i="33" s="1"/>
  <c r="F33" i="33"/>
  <c r="G33" i="32"/>
  <c r="I33" i="32" s="1"/>
  <c r="F34" i="32"/>
  <c r="M25" i="30"/>
  <c r="L25" i="30"/>
  <c r="G20" i="29"/>
  <c r="I20" i="29" s="1"/>
  <c r="F21" i="29"/>
  <c r="F30" i="4"/>
  <c r="G30" i="4" s="1"/>
  <c r="I29" i="4"/>
  <c r="Y27" i="30" l="1"/>
  <c r="U27" i="30" s="1"/>
  <c r="G15" i="28" s="1"/>
  <c r="F14" i="43" s="1"/>
  <c r="AE38" i="4"/>
  <c r="AG38" i="4" s="1"/>
  <c r="AJ38" i="4" s="1"/>
  <c r="AD39" i="4"/>
  <c r="AE37" i="5"/>
  <c r="AG37" i="5" s="1"/>
  <c r="AD38" i="5"/>
  <c r="G33" i="33"/>
  <c r="I33" i="33" s="1"/>
  <c r="F34" i="33"/>
  <c r="G34" i="32"/>
  <c r="I34" i="32" s="1"/>
  <c r="F35" i="32"/>
  <c r="M27" i="30"/>
  <c r="G21" i="29"/>
  <c r="I21" i="29" s="1"/>
  <c r="F22" i="29"/>
  <c r="G22" i="29" s="1"/>
  <c r="I22" i="29" s="1"/>
  <c r="F31" i="4"/>
  <c r="G31" i="4" s="1"/>
  <c r="I30" i="4"/>
  <c r="I27" i="30" l="1"/>
  <c r="N31" i="39" s="1"/>
  <c r="AE39" i="4"/>
  <c r="AG39" i="4" s="1"/>
  <c r="AJ39" i="4" s="1"/>
  <c r="AD40" i="4"/>
  <c r="AE38" i="5"/>
  <c r="AG38" i="5" s="1"/>
  <c r="AD39" i="5"/>
  <c r="F35" i="33"/>
  <c r="G34" i="33"/>
  <c r="I34" i="33" s="1"/>
  <c r="G35" i="32"/>
  <c r="I35" i="32" s="1"/>
  <c r="F36" i="32"/>
  <c r="F32" i="4"/>
  <c r="G32" i="4" s="1"/>
  <c r="I31" i="4"/>
  <c r="AD41" i="4" l="1"/>
  <c r="AE41" i="4" s="1"/>
  <c r="AG41" i="4" s="1"/>
  <c r="AE40" i="4"/>
  <c r="AG40" i="4" s="1"/>
  <c r="AJ40" i="4" s="1"/>
  <c r="AE39" i="5"/>
  <c r="AG39" i="5" s="1"/>
  <c r="AD40" i="5"/>
  <c r="F36" i="33"/>
  <c r="G35" i="33"/>
  <c r="I35" i="33" s="1"/>
  <c r="F37" i="32"/>
  <c r="G36" i="32"/>
  <c r="I36" i="32" s="1"/>
  <c r="F33" i="4"/>
  <c r="G33" i="4" s="1"/>
  <c r="I32" i="4"/>
  <c r="AF46" i="4" l="1"/>
  <c r="F30" i="27" s="1"/>
  <c r="H30" i="27" s="1"/>
  <c r="AJ41" i="4"/>
  <c r="AE40" i="5"/>
  <c r="AG40" i="5" s="1"/>
  <c r="AD41" i="5"/>
  <c r="F37" i="33"/>
  <c r="G36" i="33"/>
  <c r="I36" i="33" s="1"/>
  <c r="F38" i="32"/>
  <c r="G37" i="32"/>
  <c r="I37" i="32" s="1"/>
  <c r="F34" i="4"/>
  <c r="G34" i="4" s="1"/>
  <c r="I33" i="4"/>
  <c r="I30" i="27" l="1"/>
  <c r="AD42" i="5"/>
  <c r="AE41" i="5"/>
  <c r="AG41" i="5" s="1"/>
  <c r="G37" i="33"/>
  <c r="I37" i="33" s="1"/>
  <c r="F38" i="33"/>
  <c r="G38" i="32"/>
  <c r="I38" i="32" s="1"/>
  <c r="F39" i="32"/>
  <c r="F35" i="4"/>
  <c r="G35" i="4" s="1"/>
  <c r="I34" i="4"/>
  <c r="AD43" i="5" l="1"/>
  <c r="AE42" i="5"/>
  <c r="AG42" i="5" s="1"/>
  <c r="G38" i="33"/>
  <c r="I38" i="33" s="1"/>
  <c r="F39" i="33"/>
  <c r="G39" i="32"/>
  <c r="I39" i="32" s="1"/>
  <c r="F40" i="32"/>
  <c r="G40" i="32" s="1"/>
  <c r="I40" i="32" s="1"/>
  <c r="F36" i="4"/>
  <c r="G36" i="4" s="1"/>
  <c r="I35" i="4"/>
  <c r="AE43" i="5" l="1"/>
  <c r="AG43" i="5" s="1"/>
  <c r="AD44" i="5"/>
  <c r="G39" i="33"/>
  <c r="I39" i="33" s="1"/>
  <c r="F40" i="33"/>
  <c r="I42" i="32"/>
  <c r="M33" i="39" s="1"/>
  <c r="F37" i="4"/>
  <c r="G37" i="4" s="1"/>
  <c r="I36" i="4"/>
  <c r="Y10" i="32" l="1"/>
  <c r="Y14" i="32"/>
  <c r="Y9" i="32"/>
  <c r="Y18" i="32"/>
  <c r="Y12" i="32"/>
  <c r="Y16" i="32"/>
  <c r="Y17" i="32"/>
  <c r="Y19" i="32"/>
  <c r="Y8" i="32"/>
  <c r="Y11" i="32"/>
  <c r="Y13" i="32"/>
  <c r="Y15" i="32"/>
  <c r="Y21" i="32"/>
  <c r="Y20" i="32"/>
  <c r="Y22" i="32"/>
  <c r="Y23" i="32"/>
  <c r="Y24" i="32"/>
  <c r="Y25" i="32"/>
  <c r="Y26" i="32"/>
  <c r="Y27" i="32"/>
  <c r="Y28" i="32"/>
  <c r="Y29" i="32"/>
  <c r="Y30" i="32"/>
  <c r="Y31" i="32"/>
  <c r="Y32" i="32"/>
  <c r="Y33" i="32"/>
  <c r="Y34" i="32"/>
  <c r="Y35" i="32"/>
  <c r="Y36" i="32"/>
  <c r="Y37" i="32"/>
  <c r="Y38" i="32"/>
  <c r="Y39" i="32"/>
  <c r="Y40" i="32"/>
  <c r="Y7" i="32"/>
  <c r="AE44" i="5"/>
  <c r="AG44" i="5" s="1"/>
  <c r="AD45" i="5"/>
  <c r="L39" i="32"/>
  <c r="M39" i="32" s="1"/>
  <c r="G40" i="33"/>
  <c r="I40" i="33" s="1"/>
  <c r="F41" i="33"/>
  <c r="L11" i="32"/>
  <c r="M11" i="32" s="1"/>
  <c r="L12" i="32"/>
  <c r="M12" i="32" s="1"/>
  <c r="L17" i="32"/>
  <c r="M17" i="32" s="1"/>
  <c r="L18" i="32"/>
  <c r="M18" i="32" s="1"/>
  <c r="L15" i="32"/>
  <c r="M15" i="32" s="1"/>
  <c r="L19" i="32"/>
  <c r="M19" i="32" s="1"/>
  <c r="L13" i="32"/>
  <c r="M13" i="32" s="1"/>
  <c r="L14" i="32"/>
  <c r="M14" i="32" s="1"/>
  <c r="L10" i="32"/>
  <c r="M10" i="32" s="1"/>
  <c r="L8" i="32"/>
  <c r="M8" i="32" s="1"/>
  <c r="L9" i="32"/>
  <c r="M9" i="32" s="1"/>
  <c r="L16" i="32"/>
  <c r="M16" i="32" s="1"/>
  <c r="L7" i="32"/>
  <c r="M7" i="32" s="1"/>
  <c r="L21" i="32"/>
  <c r="M21" i="32" s="1"/>
  <c r="L20" i="32"/>
  <c r="M20" i="32" s="1"/>
  <c r="L22" i="32"/>
  <c r="M22" i="32" s="1"/>
  <c r="L23" i="32"/>
  <c r="M23" i="32" s="1"/>
  <c r="L24" i="32"/>
  <c r="M24" i="32" s="1"/>
  <c r="L25" i="32"/>
  <c r="M25" i="32" s="1"/>
  <c r="L26" i="32"/>
  <c r="M26" i="32" s="1"/>
  <c r="L27" i="32"/>
  <c r="M27" i="32" s="1"/>
  <c r="L28" i="32"/>
  <c r="M28" i="32" s="1"/>
  <c r="L29" i="32"/>
  <c r="M29" i="32" s="1"/>
  <c r="L30" i="32"/>
  <c r="M30" i="32" s="1"/>
  <c r="L31" i="32"/>
  <c r="M31" i="32" s="1"/>
  <c r="L32" i="32"/>
  <c r="M32" i="32" s="1"/>
  <c r="L33" i="32"/>
  <c r="M33" i="32" s="1"/>
  <c r="L34" i="32"/>
  <c r="M34" i="32" s="1"/>
  <c r="L35" i="32"/>
  <c r="M35" i="32" s="1"/>
  <c r="L36" i="32"/>
  <c r="M36" i="32" s="1"/>
  <c r="L37" i="32"/>
  <c r="M37" i="32" s="1"/>
  <c r="L38" i="32"/>
  <c r="M38" i="32" s="1"/>
  <c r="L40" i="32"/>
  <c r="M40" i="32" s="1"/>
  <c r="F38" i="4"/>
  <c r="G38" i="4" s="1"/>
  <c r="I37" i="4"/>
  <c r="X41" i="32" l="1"/>
  <c r="Y41" i="32"/>
  <c r="AE45" i="5"/>
  <c r="AG45" i="5" s="1"/>
  <c r="AD46" i="5"/>
  <c r="G41" i="33"/>
  <c r="I41" i="33" s="1"/>
  <c r="F42" i="33"/>
  <c r="M41" i="32"/>
  <c r="L41" i="32"/>
  <c r="F39" i="4"/>
  <c r="G39" i="4" s="1"/>
  <c r="I38" i="4"/>
  <c r="Y43" i="32" l="1"/>
  <c r="U43" i="32" s="1"/>
  <c r="G17" i="28" s="1"/>
  <c r="F16" i="43" s="1"/>
  <c r="AE46" i="5"/>
  <c r="AG46" i="5" s="1"/>
  <c r="AD47" i="5"/>
  <c r="F43" i="33"/>
  <c r="G42" i="33"/>
  <c r="I42" i="33" s="1"/>
  <c r="M43" i="32"/>
  <c r="F40" i="4"/>
  <c r="I39" i="4"/>
  <c r="I43" i="32" l="1"/>
  <c r="N33" i="39" s="1"/>
  <c r="G40" i="4"/>
  <c r="I40" i="4" s="1"/>
  <c r="AE47" i="5"/>
  <c r="AG47" i="5" s="1"/>
  <c r="AD48" i="5"/>
  <c r="AE48" i="5" s="1"/>
  <c r="AG48" i="5" s="1"/>
  <c r="F44" i="33"/>
  <c r="G43" i="33"/>
  <c r="I43" i="33" s="1"/>
  <c r="F45" i="33" l="1"/>
  <c r="G44" i="33"/>
  <c r="I44" i="33" s="1"/>
  <c r="G45" i="33" l="1"/>
  <c r="I45" i="33" s="1"/>
  <c r="F46" i="33"/>
  <c r="G46" i="33" l="1"/>
  <c r="I46" i="33" s="1"/>
  <c r="F47" i="33"/>
  <c r="G47" i="33" s="1"/>
  <c r="I47" i="33" s="1"/>
  <c r="I49" i="33" l="1"/>
  <c r="M34" i="39" s="1"/>
  <c r="Y15" i="33" l="1"/>
  <c r="Y9" i="33"/>
  <c r="Y19" i="33"/>
  <c r="Y12" i="33"/>
  <c r="Y14" i="33"/>
  <c r="Y20" i="33"/>
  <c r="Y16" i="33"/>
  <c r="Y18" i="33"/>
  <c r="Y11" i="33"/>
  <c r="Y13" i="33"/>
  <c r="Y17" i="33"/>
  <c r="Y21" i="33"/>
  <c r="Y10" i="33"/>
  <c r="Y8" i="33"/>
  <c r="Y22" i="33"/>
  <c r="Y23" i="33"/>
  <c r="Y24" i="33"/>
  <c r="Y25" i="33"/>
  <c r="Y26" i="33"/>
  <c r="Y27" i="33"/>
  <c r="Y28" i="33"/>
  <c r="Y29" i="33"/>
  <c r="Y30" i="33"/>
  <c r="Y31" i="33"/>
  <c r="Y32" i="33"/>
  <c r="Y33" i="33"/>
  <c r="Y34" i="33"/>
  <c r="Y35" i="33"/>
  <c r="Y36" i="33"/>
  <c r="Y37" i="33"/>
  <c r="Y38" i="33"/>
  <c r="Y39" i="33"/>
  <c r="Y40" i="33"/>
  <c r="Y41" i="33"/>
  <c r="Y42" i="33"/>
  <c r="Y43" i="33"/>
  <c r="Y44" i="33"/>
  <c r="Y45" i="33"/>
  <c r="Y47" i="33"/>
  <c r="Y46" i="33"/>
  <c r="Y7" i="33"/>
  <c r="L46" i="33"/>
  <c r="M46" i="33" s="1"/>
  <c r="L12" i="33"/>
  <c r="M12" i="33" s="1"/>
  <c r="L10" i="33"/>
  <c r="M10" i="33" s="1"/>
  <c r="L18" i="33"/>
  <c r="M18" i="33" s="1"/>
  <c r="L15" i="33"/>
  <c r="M15" i="33" s="1"/>
  <c r="L9" i="33"/>
  <c r="M9" i="33" s="1"/>
  <c r="L14" i="33"/>
  <c r="M14" i="33" s="1"/>
  <c r="L13" i="33"/>
  <c r="M13" i="33" s="1"/>
  <c r="L16" i="33"/>
  <c r="M16" i="33" s="1"/>
  <c r="L17" i="33"/>
  <c r="M17" i="33" s="1"/>
  <c r="L11" i="33"/>
  <c r="M11" i="33" s="1"/>
  <c r="L8" i="33"/>
  <c r="M8" i="33" s="1"/>
  <c r="L19" i="33"/>
  <c r="M19" i="33" s="1"/>
  <c r="L7" i="33"/>
  <c r="M7" i="33" s="1"/>
  <c r="L20" i="33"/>
  <c r="M20" i="33" s="1"/>
  <c r="L21" i="33"/>
  <c r="M21" i="33" s="1"/>
  <c r="L22" i="33"/>
  <c r="M22" i="33" s="1"/>
  <c r="L23" i="33"/>
  <c r="M23" i="33" s="1"/>
  <c r="L24" i="33"/>
  <c r="M24" i="33" s="1"/>
  <c r="L25" i="33"/>
  <c r="M25" i="33" s="1"/>
  <c r="L26" i="33"/>
  <c r="M26" i="33" s="1"/>
  <c r="L27" i="33"/>
  <c r="M27" i="33" s="1"/>
  <c r="L28" i="33"/>
  <c r="M28" i="33" s="1"/>
  <c r="L29" i="33"/>
  <c r="M29" i="33" s="1"/>
  <c r="L30" i="33"/>
  <c r="M30" i="33" s="1"/>
  <c r="L31" i="33"/>
  <c r="M31" i="33" s="1"/>
  <c r="L32" i="33"/>
  <c r="M32" i="33" s="1"/>
  <c r="L33" i="33"/>
  <c r="M33" i="33" s="1"/>
  <c r="L34" i="33"/>
  <c r="M34" i="33" s="1"/>
  <c r="L35" i="33"/>
  <c r="M35" i="33" s="1"/>
  <c r="L36" i="33"/>
  <c r="M36" i="33" s="1"/>
  <c r="L37" i="33"/>
  <c r="M37" i="33" s="1"/>
  <c r="L38" i="33"/>
  <c r="M38" i="33" s="1"/>
  <c r="L39" i="33"/>
  <c r="M39" i="33" s="1"/>
  <c r="L40" i="33"/>
  <c r="M40" i="33" s="1"/>
  <c r="L41" i="33"/>
  <c r="M41" i="33" s="1"/>
  <c r="L42" i="33"/>
  <c r="M42" i="33" s="1"/>
  <c r="L43" i="33"/>
  <c r="M43" i="33" s="1"/>
  <c r="L44" i="33"/>
  <c r="M44" i="33" s="1"/>
  <c r="L45" i="33"/>
  <c r="M45" i="33" s="1"/>
  <c r="L47" i="33"/>
  <c r="M47" i="33" s="1"/>
  <c r="X48" i="33" l="1"/>
  <c r="Y48" i="33"/>
  <c r="L48" i="33"/>
  <c r="M48" i="33"/>
  <c r="Y50" i="33" l="1"/>
  <c r="U50" i="33" s="1"/>
  <c r="G18" i="28" s="1"/>
  <c r="F17" i="43" s="1"/>
  <c r="M50" i="33"/>
  <c r="I50" i="33" l="1"/>
  <c r="N34" i="39" s="1"/>
  <c r="H21" i="5" l="1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20" i="5"/>
  <c r="H14" i="2" l="1"/>
  <c r="H15" i="2" l="1"/>
  <c r="AR14" i="2"/>
  <c r="H14" i="7"/>
  <c r="H15" i="7"/>
  <c r="H16" i="7"/>
  <c r="H17" i="7"/>
  <c r="H18" i="7"/>
  <c r="H19" i="7"/>
  <c r="H20" i="7"/>
  <c r="H21" i="7"/>
  <c r="H22" i="7"/>
  <c r="H13" i="7"/>
  <c r="H16" i="2" l="1"/>
  <c r="AR15" i="2"/>
  <c r="F7" i="7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F14" i="6"/>
  <c r="G13" i="6"/>
  <c r="I13" i="6" s="1"/>
  <c r="G12" i="6"/>
  <c r="I12" i="6" s="1"/>
  <c r="G11" i="6"/>
  <c r="I11" i="6" s="1"/>
  <c r="G10" i="6"/>
  <c r="I10" i="6" s="1"/>
  <c r="G9" i="6"/>
  <c r="I9" i="6" s="1"/>
  <c r="F19" i="5"/>
  <c r="G18" i="5"/>
  <c r="G17" i="5"/>
  <c r="I17" i="5" s="1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10" i="5"/>
  <c r="I10" i="5" s="1"/>
  <c r="G9" i="5"/>
  <c r="I9" i="5" s="1"/>
  <c r="H36" i="3"/>
  <c r="H35" i="3"/>
  <c r="H34" i="3"/>
  <c r="H33" i="3"/>
  <c r="H32" i="3"/>
  <c r="H31" i="3"/>
  <c r="H30" i="3"/>
  <c r="H29" i="3"/>
  <c r="H28" i="3"/>
  <c r="H27" i="3"/>
  <c r="F28" i="3" s="1"/>
  <c r="G27" i="3"/>
  <c r="G26" i="3"/>
  <c r="I26" i="3" s="1"/>
  <c r="G25" i="3"/>
  <c r="I25" i="3" s="1"/>
  <c r="G24" i="3"/>
  <c r="I24" i="3" s="1"/>
  <c r="G23" i="3"/>
  <c r="I23" i="3" s="1"/>
  <c r="G22" i="3"/>
  <c r="I22" i="3" s="1"/>
  <c r="G21" i="3"/>
  <c r="I21" i="3" s="1"/>
  <c r="G20" i="3"/>
  <c r="I20" i="3" s="1"/>
  <c r="G19" i="3"/>
  <c r="I19" i="3" s="1"/>
  <c r="G18" i="3"/>
  <c r="I18" i="3" s="1"/>
  <c r="G17" i="3"/>
  <c r="I17" i="3" s="1"/>
  <c r="G16" i="3"/>
  <c r="I16" i="3" s="1"/>
  <c r="G15" i="3"/>
  <c r="I15" i="3" s="1"/>
  <c r="G14" i="3"/>
  <c r="I14" i="3" s="1"/>
  <c r="G13" i="3"/>
  <c r="I13" i="3" s="1"/>
  <c r="G12" i="3"/>
  <c r="I12" i="3" s="1"/>
  <c r="G11" i="3"/>
  <c r="I11" i="3" s="1"/>
  <c r="G10" i="3"/>
  <c r="I10" i="3" s="1"/>
  <c r="K8" i="3"/>
  <c r="K9" i="3"/>
  <c r="K10" i="3"/>
  <c r="K11" i="3"/>
  <c r="F13" i="2"/>
  <c r="G12" i="2"/>
  <c r="G11" i="2"/>
  <c r="G9" i="2"/>
  <c r="G8" i="2"/>
  <c r="G7" i="2"/>
  <c r="K6" i="2"/>
  <c r="K7" i="2"/>
  <c r="K8" i="2"/>
  <c r="K9" i="2"/>
  <c r="I7" i="2" l="1"/>
  <c r="AS7" i="2" s="1"/>
  <c r="I8" i="2"/>
  <c r="AS8" i="2" s="1"/>
  <c r="I9" i="2"/>
  <c r="AS9" i="2" s="1"/>
  <c r="I11" i="2"/>
  <c r="AS11" i="2" s="1"/>
  <c r="I10" i="2"/>
  <c r="AS10" i="2" s="1"/>
  <c r="I12" i="2"/>
  <c r="AS12" i="2" s="1"/>
  <c r="F14" i="2"/>
  <c r="F15" i="6"/>
  <c r="G15" i="6" s="1"/>
  <c r="I15" i="6" s="1"/>
  <c r="H17" i="2"/>
  <c r="AR16" i="2"/>
  <c r="I6" i="2"/>
  <c r="AS6" i="2" s="1"/>
  <c r="I27" i="3"/>
  <c r="F8" i="6"/>
  <c r="G8" i="6" s="1"/>
  <c r="I8" i="6" s="1"/>
  <c r="I8" i="3"/>
  <c r="I18" i="5"/>
  <c r="F9" i="3"/>
  <c r="G9" i="3" s="1"/>
  <c r="F8" i="7"/>
  <c r="G7" i="7"/>
  <c r="I7" i="7" s="1"/>
  <c r="G14" i="6"/>
  <c r="I14" i="6" s="1"/>
  <c r="G19" i="5"/>
  <c r="I19" i="5" s="1"/>
  <c r="F20" i="5"/>
  <c r="F8" i="5"/>
  <c r="G8" i="5" s="1"/>
  <c r="G28" i="3"/>
  <c r="I28" i="3" s="1"/>
  <c r="F29" i="3"/>
  <c r="G13" i="2"/>
  <c r="I8" i="5" l="1"/>
  <c r="I9" i="3"/>
  <c r="G45" i="3"/>
  <c r="G46" i="3" s="1"/>
  <c r="F15" i="2"/>
  <c r="H18" i="2"/>
  <c r="AR17" i="2"/>
  <c r="I13" i="2"/>
  <c r="AS13" i="2" s="1"/>
  <c r="F16" i="6"/>
  <c r="F17" i="6" s="1"/>
  <c r="G14" i="2"/>
  <c r="F9" i="7"/>
  <c r="G8" i="7"/>
  <c r="I8" i="7" s="1"/>
  <c r="F21" i="5"/>
  <c r="G20" i="5"/>
  <c r="I20" i="5" s="1"/>
  <c r="F30" i="3"/>
  <c r="G29" i="3"/>
  <c r="I29" i="3" s="1"/>
  <c r="F16" i="2"/>
  <c r="G15" i="2"/>
  <c r="G16" i="6" l="1"/>
  <c r="I16" i="6" s="1"/>
  <c r="I14" i="2"/>
  <c r="AS14" i="2" s="1"/>
  <c r="I15" i="2"/>
  <c r="AS15" i="2" s="1"/>
  <c r="H19" i="2"/>
  <c r="AR18" i="2"/>
  <c r="F10" i="7"/>
  <c r="G9" i="7"/>
  <c r="I9" i="7" s="1"/>
  <c r="G17" i="6"/>
  <c r="I17" i="6" s="1"/>
  <c r="F18" i="6"/>
  <c r="F22" i="5"/>
  <c r="G21" i="5"/>
  <c r="I21" i="5" s="1"/>
  <c r="G30" i="3"/>
  <c r="I30" i="3" s="1"/>
  <c r="F31" i="3"/>
  <c r="F17" i="2"/>
  <c r="G16" i="2"/>
  <c r="I16" i="2" l="1"/>
  <c r="AS16" i="2" s="1"/>
  <c r="H20" i="2"/>
  <c r="AR19" i="2"/>
  <c r="K15" i="29"/>
  <c r="K9" i="29"/>
  <c r="K22" i="29"/>
  <c r="K14" i="29"/>
  <c r="K8" i="29"/>
  <c r="K10" i="29"/>
  <c r="K21" i="29"/>
  <c r="K13" i="29"/>
  <c r="K12" i="29"/>
  <c r="K16" i="29"/>
  <c r="K20" i="29"/>
  <c r="K7" i="29"/>
  <c r="K18" i="29"/>
  <c r="K19" i="29"/>
  <c r="K17" i="29"/>
  <c r="K11" i="29"/>
  <c r="K6" i="29"/>
  <c r="I6" i="29" s="1"/>
  <c r="I24" i="29" s="1"/>
  <c r="M30" i="39" s="1"/>
  <c r="F11" i="7"/>
  <c r="G10" i="7"/>
  <c r="I10" i="7" s="1"/>
  <c r="F19" i="6"/>
  <c r="G18" i="6"/>
  <c r="I18" i="6" s="1"/>
  <c r="F23" i="5"/>
  <c r="G22" i="5"/>
  <c r="I22" i="5" s="1"/>
  <c r="F32" i="3"/>
  <c r="G31" i="3"/>
  <c r="I31" i="3" s="1"/>
  <c r="F18" i="2"/>
  <c r="G17" i="2"/>
  <c r="K10" i="6"/>
  <c r="K18" i="6"/>
  <c r="K26" i="6"/>
  <c r="K34" i="6"/>
  <c r="K42" i="6"/>
  <c r="K50" i="6"/>
  <c r="K38" i="6"/>
  <c r="K47" i="6"/>
  <c r="K16" i="6"/>
  <c r="K17" i="6"/>
  <c r="K57" i="6"/>
  <c r="K11" i="6"/>
  <c r="K19" i="6"/>
  <c r="K27" i="6"/>
  <c r="K35" i="6"/>
  <c r="K43" i="6"/>
  <c r="K51" i="6"/>
  <c r="K12" i="6"/>
  <c r="K20" i="6"/>
  <c r="K28" i="6"/>
  <c r="K36" i="6"/>
  <c r="K44" i="6"/>
  <c r="K52" i="6"/>
  <c r="K30" i="6"/>
  <c r="K46" i="6"/>
  <c r="K54" i="6"/>
  <c r="K39" i="6"/>
  <c r="K55" i="6"/>
  <c r="K32" i="6"/>
  <c r="K56" i="6"/>
  <c r="K25" i="6"/>
  <c r="K13" i="6"/>
  <c r="K21" i="6"/>
  <c r="K29" i="6"/>
  <c r="K37" i="6"/>
  <c r="K45" i="6"/>
  <c r="K53" i="6"/>
  <c r="K22" i="6"/>
  <c r="K8" i="6"/>
  <c r="K48" i="6"/>
  <c r="K33" i="6"/>
  <c r="K14" i="6"/>
  <c r="K40" i="6"/>
  <c r="K9" i="6"/>
  <c r="K49" i="6"/>
  <c r="K7" i="6"/>
  <c r="I7" i="6" s="1"/>
  <c r="K15" i="6"/>
  <c r="K23" i="6"/>
  <c r="K31" i="6"/>
  <c r="K24" i="6"/>
  <c r="K41" i="6"/>
  <c r="I17" i="2" l="1"/>
  <c r="AS17" i="2" s="1"/>
  <c r="H21" i="2"/>
  <c r="AR20" i="2"/>
  <c r="Y7" i="29"/>
  <c r="Y8" i="29"/>
  <c r="Y9" i="29"/>
  <c r="Y10" i="29"/>
  <c r="Y11" i="29"/>
  <c r="Y12" i="29"/>
  <c r="Y13" i="29"/>
  <c r="Y14" i="29"/>
  <c r="Y15" i="29"/>
  <c r="Y16" i="29"/>
  <c r="Y17" i="29"/>
  <c r="Y18" i="29"/>
  <c r="Y19" i="29"/>
  <c r="Y20" i="29"/>
  <c r="Y22" i="29"/>
  <c r="Y21" i="29"/>
  <c r="Y6" i="29"/>
  <c r="L10" i="29"/>
  <c r="M10" i="29" s="1"/>
  <c r="L18" i="29"/>
  <c r="M18" i="29" s="1"/>
  <c r="L20" i="29"/>
  <c r="M20" i="29" s="1"/>
  <c r="L16" i="29"/>
  <c r="M16" i="29" s="1"/>
  <c r="L11" i="29"/>
  <c r="M11" i="29" s="1"/>
  <c r="L19" i="29"/>
  <c r="M19" i="29" s="1"/>
  <c r="L7" i="29"/>
  <c r="M7" i="29" s="1"/>
  <c r="L12" i="29"/>
  <c r="M12" i="29" s="1"/>
  <c r="L13" i="29"/>
  <c r="M13" i="29" s="1"/>
  <c r="L22" i="29"/>
  <c r="M22" i="29" s="1"/>
  <c r="L14" i="29"/>
  <c r="M14" i="29" s="1"/>
  <c r="L15" i="29"/>
  <c r="M15" i="29" s="1"/>
  <c r="L8" i="29"/>
  <c r="M8" i="29" s="1"/>
  <c r="L17" i="29"/>
  <c r="M17" i="29" s="1"/>
  <c r="L21" i="29"/>
  <c r="M21" i="29" s="1"/>
  <c r="L9" i="29"/>
  <c r="M9" i="29" s="1"/>
  <c r="L6" i="29"/>
  <c r="M6" i="29" s="1"/>
  <c r="K9" i="5"/>
  <c r="K10" i="5"/>
  <c r="K7" i="5"/>
  <c r="I7" i="5" s="1"/>
  <c r="K8" i="5"/>
  <c r="I6" i="7"/>
  <c r="I24" i="7" s="1"/>
  <c r="K7" i="7"/>
  <c r="K8" i="7"/>
  <c r="K9" i="7"/>
  <c r="G11" i="7"/>
  <c r="I11" i="7" s="1"/>
  <c r="F12" i="7"/>
  <c r="F20" i="6"/>
  <c r="G19" i="6"/>
  <c r="I19" i="6" s="1"/>
  <c r="G23" i="5"/>
  <c r="I23" i="5" s="1"/>
  <c r="F24" i="5"/>
  <c r="G32" i="3"/>
  <c r="I32" i="3" s="1"/>
  <c r="F33" i="3"/>
  <c r="G18" i="2"/>
  <c r="F19" i="2"/>
  <c r="K17" i="7"/>
  <c r="K21" i="7"/>
  <c r="K15" i="7"/>
  <c r="K16" i="7"/>
  <c r="K10" i="7"/>
  <c r="K18" i="7"/>
  <c r="K20" i="7"/>
  <c r="K14" i="7"/>
  <c r="K11" i="7"/>
  <c r="K19" i="7"/>
  <c r="K12" i="7"/>
  <c r="K22" i="7"/>
  <c r="K13" i="7"/>
  <c r="K16" i="5"/>
  <c r="K24" i="5"/>
  <c r="K32" i="5"/>
  <c r="K40" i="5"/>
  <c r="K30" i="5"/>
  <c r="K23" i="5"/>
  <c r="K17" i="5"/>
  <c r="K25" i="5"/>
  <c r="K33" i="5"/>
  <c r="K41" i="5"/>
  <c r="K18" i="5"/>
  <c r="K26" i="5"/>
  <c r="K34" i="5"/>
  <c r="K42" i="5"/>
  <c r="K44" i="5"/>
  <c r="K47" i="5"/>
  <c r="K11" i="5"/>
  <c r="K19" i="5"/>
  <c r="K27" i="5"/>
  <c r="K35" i="5"/>
  <c r="K43" i="5"/>
  <c r="K28" i="5"/>
  <c r="K22" i="5"/>
  <c r="K12" i="5"/>
  <c r="K20" i="5"/>
  <c r="K36" i="5"/>
  <c r="K46" i="5"/>
  <c r="K15" i="5"/>
  <c r="K13" i="5"/>
  <c r="K21" i="5"/>
  <c r="K29" i="5"/>
  <c r="K37" i="5"/>
  <c r="K45" i="5"/>
  <c r="K38" i="5"/>
  <c r="K31" i="5"/>
  <c r="K14" i="5"/>
  <c r="K39" i="5"/>
  <c r="I18" i="2" l="1"/>
  <c r="AS18" i="2" s="1"/>
  <c r="H22" i="2"/>
  <c r="AR21" i="2"/>
  <c r="X23" i="29"/>
  <c r="Y23" i="29"/>
  <c r="M23" i="29"/>
  <c r="L23" i="29"/>
  <c r="F13" i="7"/>
  <c r="G12" i="7"/>
  <c r="I12" i="7" s="1"/>
  <c r="F21" i="6"/>
  <c r="G20" i="6"/>
  <c r="I20" i="6" s="1"/>
  <c r="F25" i="5"/>
  <c r="G24" i="5"/>
  <c r="I24" i="5" s="1"/>
  <c r="F34" i="3"/>
  <c r="G33" i="3"/>
  <c r="I33" i="3" s="1"/>
  <c r="F20" i="2"/>
  <c r="G19" i="2"/>
  <c r="H23" i="2" l="1"/>
  <c r="AR22" i="2"/>
  <c r="I19" i="2"/>
  <c r="AS19" i="2" s="1"/>
  <c r="Y25" i="29"/>
  <c r="U25" i="29" s="1"/>
  <c r="G14" i="28" s="1"/>
  <c r="F13" i="43" s="1"/>
  <c r="M25" i="29"/>
  <c r="F14" i="7"/>
  <c r="G13" i="7"/>
  <c r="I13" i="7" s="1"/>
  <c r="G21" i="6"/>
  <c r="I21" i="6" s="1"/>
  <c r="F22" i="6"/>
  <c r="G25" i="5"/>
  <c r="I25" i="5" s="1"/>
  <c r="F26" i="5"/>
  <c r="G34" i="3"/>
  <c r="I34" i="3" s="1"/>
  <c r="F35" i="3"/>
  <c r="G20" i="2"/>
  <c r="F21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I20" i="2" l="1"/>
  <c r="AS20" i="2" s="1"/>
  <c r="H24" i="2"/>
  <c r="AR24" i="2" s="1"/>
  <c r="AR23" i="2"/>
  <c r="I25" i="29"/>
  <c r="N30" i="39" s="1"/>
  <c r="F15" i="7"/>
  <c r="G14" i="7"/>
  <c r="I14" i="7" s="1"/>
  <c r="F23" i="6"/>
  <c r="G22" i="6"/>
  <c r="I22" i="6" s="1"/>
  <c r="F27" i="5"/>
  <c r="G26" i="5"/>
  <c r="I26" i="5" s="1"/>
  <c r="F36" i="3"/>
  <c r="G36" i="3" s="1"/>
  <c r="I36" i="3" s="1"/>
  <c r="G35" i="3"/>
  <c r="I35" i="3" s="1"/>
  <c r="F22" i="2"/>
  <c r="G21" i="2"/>
  <c r="K23" i="3"/>
  <c r="K28" i="3"/>
  <c r="K22" i="3"/>
  <c r="K14" i="3"/>
  <c r="K35" i="3"/>
  <c r="K27" i="3"/>
  <c r="K21" i="3"/>
  <c r="K13" i="3"/>
  <c r="K34" i="3"/>
  <c r="K36" i="3"/>
  <c r="K20" i="3"/>
  <c r="K12" i="3"/>
  <c r="K33" i="3"/>
  <c r="K19" i="3"/>
  <c r="K32" i="3"/>
  <c r="K15" i="3"/>
  <c r="K26" i="3"/>
  <c r="K18" i="3"/>
  <c r="K31" i="3"/>
  <c r="K25" i="3"/>
  <c r="K17" i="3"/>
  <c r="K30" i="3"/>
  <c r="K24" i="3"/>
  <c r="K16" i="3"/>
  <c r="K29" i="3"/>
  <c r="I21" i="2" l="1"/>
  <c r="AS21" i="2" s="1"/>
  <c r="F16" i="7"/>
  <c r="G15" i="7"/>
  <c r="I15" i="7" s="1"/>
  <c r="G23" i="6"/>
  <c r="I23" i="6" s="1"/>
  <c r="F24" i="6"/>
  <c r="G27" i="5"/>
  <c r="I27" i="5" s="1"/>
  <c r="F28" i="5"/>
  <c r="G22" i="2"/>
  <c r="F23" i="2"/>
  <c r="I22" i="2" l="1"/>
  <c r="AS22" i="2" s="1"/>
  <c r="G16" i="7"/>
  <c r="I16" i="7" s="1"/>
  <c r="F17" i="7"/>
  <c r="F25" i="6"/>
  <c r="G24" i="6"/>
  <c r="I24" i="6" s="1"/>
  <c r="F29" i="5"/>
  <c r="G28" i="5"/>
  <c r="I28" i="5" s="1"/>
  <c r="F24" i="2"/>
  <c r="G23" i="2"/>
  <c r="G24" i="2" l="1"/>
  <c r="I23" i="2"/>
  <c r="AS23" i="2" s="1"/>
  <c r="F18" i="7"/>
  <c r="G17" i="7"/>
  <c r="I17" i="7" s="1"/>
  <c r="G25" i="6"/>
  <c r="I25" i="6" s="1"/>
  <c r="F26" i="6"/>
  <c r="G29" i="5"/>
  <c r="I29" i="5" s="1"/>
  <c r="F30" i="5"/>
  <c r="I24" i="2" l="1"/>
  <c r="AS24" i="2" s="1"/>
  <c r="F19" i="7"/>
  <c r="G18" i="7"/>
  <c r="I18" i="7" s="1"/>
  <c r="F27" i="6"/>
  <c r="G26" i="6"/>
  <c r="I26" i="6" s="1"/>
  <c r="F31" i="5"/>
  <c r="G30" i="5"/>
  <c r="I30" i="5" s="1"/>
  <c r="F20" i="7" l="1"/>
  <c r="G19" i="7"/>
  <c r="I19" i="7" s="1"/>
  <c r="F28" i="6"/>
  <c r="G27" i="6"/>
  <c r="I27" i="6" s="1"/>
  <c r="G31" i="5"/>
  <c r="I31" i="5" s="1"/>
  <c r="F32" i="5"/>
  <c r="G20" i="7" l="1"/>
  <c r="I20" i="7" s="1"/>
  <c r="F21" i="7"/>
  <c r="F29" i="6"/>
  <c r="G28" i="6"/>
  <c r="I28" i="6" s="1"/>
  <c r="F33" i="5"/>
  <c r="G32" i="5"/>
  <c r="I32" i="5" s="1"/>
  <c r="F22" i="7" l="1"/>
  <c r="G21" i="7"/>
  <c r="I21" i="7" s="1"/>
  <c r="G29" i="6"/>
  <c r="I29" i="6" s="1"/>
  <c r="F30" i="6"/>
  <c r="F34" i="5"/>
  <c r="G33" i="5"/>
  <c r="I33" i="5" s="1"/>
  <c r="G22" i="7" l="1"/>
  <c r="I22" i="7" s="1"/>
  <c r="F31" i="6"/>
  <c r="G30" i="6"/>
  <c r="I30" i="6" s="1"/>
  <c r="F35" i="5"/>
  <c r="G34" i="5"/>
  <c r="I34" i="5" s="1"/>
  <c r="G31" i="6" l="1"/>
  <c r="I31" i="6" s="1"/>
  <c r="F32" i="6"/>
  <c r="F36" i="5"/>
  <c r="G35" i="5"/>
  <c r="I35" i="5" s="1"/>
  <c r="F33" i="6" l="1"/>
  <c r="G32" i="6"/>
  <c r="I32" i="6" s="1"/>
  <c r="F37" i="5"/>
  <c r="G36" i="5"/>
  <c r="I36" i="5" s="1"/>
  <c r="G33" i="6" l="1"/>
  <c r="I33" i="6" s="1"/>
  <c r="F34" i="6"/>
  <c r="G37" i="5"/>
  <c r="I37" i="5" s="1"/>
  <c r="F38" i="5"/>
  <c r="F35" i="6" l="1"/>
  <c r="G34" i="6"/>
  <c r="I34" i="6" s="1"/>
  <c r="F39" i="5"/>
  <c r="G38" i="5"/>
  <c r="I38" i="5" s="1"/>
  <c r="G35" i="6" l="1"/>
  <c r="I35" i="6" s="1"/>
  <c r="F36" i="6"/>
  <c r="G39" i="5"/>
  <c r="I39" i="5" s="1"/>
  <c r="F40" i="5"/>
  <c r="F37" i="6" l="1"/>
  <c r="G36" i="6"/>
  <c r="I36" i="6" s="1"/>
  <c r="F41" i="5"/>
  <c r="G40" i="5"/>
  <c r="I40" i="5" s="1"/>
  <c r="G37" i="6" l="1"/>
  <c r="I37" i="6" s="1"/>
  <c r="F38" i="6"/>
  <c r="G41" i="5"/>
  <c r="I41" i="5" s="1"/>
  <c r="F42" i="5"/>
  <c r="F39" i="6" l="1"/>
  <c r="G38" i="6"/>
  <c r="I38" i="6" s="1"/>
  <c r="F43" i="5"/>
  <c r="G42" i="5"/>
  <c r="I42" i="5" s="1"/>
  <c r="G39" i="6" l="1"/>
  <c r="I39" i="6" s="1"/>
  <c r="F40" i="6"/>
  <c r="G43" i="5"/>
  <c r="I43" i="5" s="1"/>
  <c r="F44" i="5"/>
  <c r="F41" i="6" l="1"/>
  <c r="G40" i="6"/>
  <c r="I40" i="6" s="1"/>
  <c r="F45" i="5"/>
  <c r="G44" i="5"/>
  <c r="I44" i="5" s="1"/>
  <c r="G41" i="6" l="1"/>
  <c r="I41" i="6" s="1"/>
  <c r="F42" i="6"/>
  <c r="G45" i="5"/>
  <c r="I45" i="5" s="1"/>
  <c r="F46" i="5"/>
  <c r="F43" i="6" l="1"/>
  <c r="G42" i="6"/>
  <c r="I42" i="6" s="1"/>
  <c r="F47" i="5"/>
  <c r="G47" i="5" s="1"/>
  <c r="I47" i="5" s="1"/>
  <c r="G46" i="5"/>
  <c r="I46" i="5" s="1"/>
  <c r="F44" i="6" l="1"/>
  <c r="G43" i="6"/>
  <c r="I43" i="6" s="1"/>
  <c r="F45" i="6" l="1"/>
  <c r="G44" i="6"/>
  <c r="I44" i="6" s="1"/>
  <c r="G45" i="6" l="1"/>
  <c r="I45" i="6" s="1"/>
  <c r="F46" i="6"/>
  <c r="F47" i="6" l="1"/>
  <c r="G46" i="6"/>
  <c r="I46" i="6" s="1"/>
  <c r="G47" i="6" l="1"/>
  <c r="I47" i="6" s="1"/>
  <c r="F48" i="6"/>
  <c r="F49" i="6" l="1"/>
  <c r="G48" i="6"/>
  <c r="I48" i="6" s="1"/>
  <c r="G49" i="6" l="1"/>
  <c r="I49" i="6" s="1"/>
  <c r="F50" i="6"/>
  <c r="F51" i="6" l="1"/>
  <c r="G50" i="6"/>
  <c r="I50" i="6" s="1"/>
  <c r="G51" i="6" l="1"/>
  <c r="I51" i="6" s="1"/>
  <c r="F52" i="6"/>
  <c r="F53" i="6" l="1"/>
  <c r="G52" i="6"/>
  <c r="I52" i="6" s="1"/>
  <c r="G53" i="6" l="1"/>
  <c r="I53" i="6" s="1"/>
  <c r="F54" i="6"/>
  <c r="F55" i="6" l="1"/>
  <c r="G54" i="6"/>
  <c r="I54" i="6" s="1"/>
  <c r="G55" i="6" l="1"/>
  <c r="I55" i="6" s="1"/>
  <c r="F56" i="6"/>
  <c r="F57" i="6" l="1"/>
  <c r="G57" i="6" s="1"/>
  <c r="I57" i="6" s="1"/>
  <c r="G56" i="6"/>
  <c r="I56" i="6" s="1"/>
  <c r="I59" i="6" l="1"/>
  <c r="M35" i="39" s="1"/>
  <c r="Y12" i="6" l="1"/>
  <c r="Y13" i="6"/>
  <c r="Y8" i="6"/>
  <c r="Y11" i="6"/>
  <c r="Y9" i="6"/>
  <c r="Y10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7" i="6"/>
  <c r="Y54" i="6"/>
  <c r="Y55" i="6"/>
  <c r="Y57" i="6"/>
  <c r="Y56" i="6"/>
  <c r="L12" i="6"/>
  <c r="M12" i="6" s="1"/>
  <c r="L9" i="6"/>
  <c r="M9" i="6" s="1"/>
  <c r="L11" i="6"/>
  <c r="M11" i="6" s="1"/>
  <c r="L18" i="6"/>
  <c r="M18" i="6" s="1"/>
  <c r="L16" i="6"/>
  <c r="M16" i="6" s="1"/>
  <c r="L8" i="6"/>
  <c r="M8" i="6" s="1"/>
  <c r="L17" i="6"/>
  <c r="M17" i="6" s="1"/>
  <c r="L7" i="6"/>
  <c r="M7" i="6" s="1"/>
  <c r="L19" i="6"/>
  <c r="M19" i="6" s="1"/>
  <c r="L15" i="6"/>
  <c r="M15" i="6" s="1"/>
  <c r="L14" i="6"/>
  <c r="M14" i="6" s="1"/>
  <c r="L13" i="6"/>
  <c r="M13" i="6" s="1"/>
  <c r="L10" i="6"/>
  <c r="M10" i="6" s="1"/>
  <c r="L20" i="6"/>
  <c r="M20" i="6" s="1"/>
  <c r="L21" i="6"/>
  <c r="M21" i="6" s="1"/>
  <c r="L22" i="6"/>
  <c r="M22" i="6" s="1"/>
  <c r="L23" i="6"/>
  <c r="M23" i="6" s="1"/>
  <c r="L24" i="6"/>
  <c r="M24" i="6" s="1"/>
  <c r="L25" i="6"/>
  <c r="M25" i="6" s="1"/>
  <c r="L26" i="6"/>
  <c r="M26" i="6" s="1"/>
  <c r="L27" i="6"/>
  <c r="M27" i="6" s="1"/>
  <c r="L28" i="6"/>
  <c r="M28" i="6" s="1"/>
  <c r="L29" i="6"/>
  <c r="M29" i="6" s="1"/>
  <c r="L30" i="6"/>
  <c r="M30" i="6" s="1"/>
  <c r="L31" i="6"/>
  <c r="M31" i="6" s="1"/>
  <c r="L32" i="6"/>
  <c r="M32" i="6" s="1"/>
  <c r="L33" i="6"/>
  <c r="M33" i="6" s="1"/>
  <c r="L34" i="6"/>
  <c r="M34" i="6" s="1"/>
  <c r="L35" i="6"/>
  <c r="M35" i="6" s="1"/>
  <c r="L36" i="6"/>
  <c r="M36" i="6" s="1"/>
  <c r="L37" i="6"/>
  <c r="M37" i="6" s="1"/>
  <c r="L38" i="6"/>
  <c r="M38" i="6" s="1"/>
  <c r="L39" i="6"/>
  <c r="M39" i="6" s="1"/>
  <c r="L40" i="6"/>
  <c r="M40" i="6" s="1"/>
  <c r="L41" i="6"/>
  <c r="M41" i="6" s="1"/>
  <c r="L42" i="6"/>
  <c r="M42" i="6" s="1"/>
  <c r="L43" i="6"/>
  <c r="M43" i="6" s="1"/>
  <c r="L44" i="6"/>
  <c r="M44" i="6" s="1"/>
  <c r="L45" i="6"/>
  <c r="M45" i="6" s="1"/>
  <c r="L46" i="6"/>
  <c r="M46" i="6" s="1"/>
  <c r="L47" i="6"/>
  <c r="M47" i="6" s="1"/>
  <c r="L48" i="6"/>
  <c r="M48" i="6" s="1"/>
  <c r="L49" i="6"/>
  <c r="M49" i="6" s="1"/>
  <c r="L50" i="6"/>
  <c r="M50" i="6" s="1"/>
  <c r="L51" i="6"/>
  <c r="M51" i="6" s="1"/>
  <c r="L52" i="6"/>
  <c r="M52" i="6" s="1"/>
  <c r="L53" i="6"/>
  <c r="M53" i="6" s="1"/>
  <c r="L54" i="6"/>
  <c r="M54" i="6" s="1"/>
  <c r="L55" i="6"/>
  <c r="M55" i="6" s="1"/>
  <c r="L57" i="6"/>
  <c r="M57" i="6" s="1"/>
  <c r="L56" i="6"/>
  <c r="M56" i="6" s="1"/>
  <c r="X58" i="6" l="1"/>
  <c r="Y58" i="6"/>
  <c r="M58" i="6"/>
  <c r="L58" i="6"/>
  <c r="Y60" i="6" l="1"/>
  <c r="U60" i="6" s="1"/>
  <c r="G19" i="28" s="1"/>
  <c r="F18" i="43" s="1"/>
  <c r="M60" i="6"/>
  <c r="AF51" i="5"/>
  <c r="AF53" i="5" l="1"/>
  <c r="F32" i="27" s="1"/>
  <c r="H32" i="27" s="1"/>
  <c r="AJ12" i="5"/>
  <c r="AK12" i="5" s="1"/>
  <c r="AJ17" i="5"/>
  <c r="AJ25" i="5"/>
  <c r="AJ33" i="5"/>
  <c r="AJ41" i="5"/>
  <c r="AJ13" i="5"/>
  <c r="AJ18" i="5"/>
  <c r="AJ26" i="5"/>
  <c r="AJ34" i="5"/>
  <c r="AJ42" i="5"/>
  <c r="AJ48" i="5"/>
  <c r="AJ19" i="5"/>
  <c r="AJ27" i="5"/>
  <c r="AJ35" i="5"/>
  <c r="AJ43" i="5"/>
  <c r="AJ38" i="5"/>
  <c r="AJ16" i="5"/>
  <c r="AJ20" i="5"/>
  <c r="AJ28" i="5"/>
  <c r="AJ36" i="5"/>
  <c r="AJ44" i="5"/>
  <c r="AJ32" i="5"/>
  <c r="AJ21" i="5"/>
  <c r="AJ29" i="5"/>
  <c r="AJ37" i="5"/>
  <c r="AJ45" i="5"/>
  <c r="AJ46" i="5"/>
  <c r="AJ40" i="5"/>
  <c r="AJ14" i="5"/>
  <c r="AJ22" i="5"/>
  <c r="AJ30" i="5"/>
  <c r="AJ15" i="5"/>
  <c r="AJ23" i="5"/>
  <c r="AJ31" i="5"/>
  <c r="AJ39" i="5"/>
  <c r="AJ47" i="5"/>
  <c r="AJ24" i="5"/>
  <c r="I60" i="6"/>
  <c r="N35" i="39" s="1"/>
  <c r="I32" i="27" l="1"/>
  <c r="I34" i="27" s="1"/>
  <c r="H34" i="27"/>
  <c r="L6" i="7" l="1"/>
  <c r="M6" i="7" s="1"/>
  <c r="Y9" i="7"/>
  <c r="Y8" i="7"/>
  <c r="Y10" i="7"/>
  <c r="Y11" i="7"/>
  <c r="Y12" i="7"/>
  <c r="Y13" i="7"/>
  <c r="Y14" i="7"/>
  <c r="Y15" i="7"/>
  <c r="Y16" i="7"/>
  <c r="Y17" i="7"/>
  <c r="Y18" i="7"/>
  <c r="Y19" i="7"/>
  <c r="Y20" i="7"/>
  <c r="Y21" i="7"/>
  <c r="Y23" i="7"/>
  <c r="Y22" i="7"/>
  <c r="Y7" i="7"/>
  <c r="L7" i="7"/>
  <c r="M7" i="7" s="1"/>
  <c r="L17" i="7"/>
  <c r="M17" i="7" s="1"/>
  <c r="L15" i="7"/>
  <c r="M15" i="7" s="1"/>
  <c r="L19" i="7"/>
  <c r="M19" i="7" s="1"/>
  <c r="L8" i="7"/>
  <c r="M8" i="7" s="1"/>
  <c r="L21" i="7"/>
  <c r="M21" i="7" s="1"/>
  <c r="L9" i="7"/>
  <c r="M9" i="7" s="1"/>
  <c r="L13" i="7"/>
  <c r="M13" i="7" s="1"/>
  <c r="L14" i="7"/>
  <c r="M14" i="7" s="1"/>
  <c r="L11" i="7"/>
  <c r="M11" i="7" s="1"/>
  <c r="L18" i="7"/>
  <c r="M18" i="7" s="1"/>
  <c r="L16" i="7"/>
  <c r="M16" i="7" s="1"/>
  <c r="F8" i="28"/>
  <c r="E8" i="43" s="1"/>
  <c r="L12" i="7"/>
  <c r="M12" i="7" s="1"/>
  <c r="L20" i="7"/>
  <c r="M20" i="7" s="1"/>
  <c r="L10" i="7"/>
  <c r="M10" i="7" s="1"/>
  <c r="L22" i="7"/>
  <c r="M22" i="7" s="1"/>
  <c r="I26" i="2"/>
  <c r="D7" i="27" l="1"/>
  <c r="D7" i="37"/>
  <c r="Y12" i="2"/>
  <c r="Y9" i="2"/>
  <c r="Y11" i="2"/>
  <c r="Y8" i="2"/>
  <c r="Y10" i="2"/>
  <c r="Y13" i="2"/>
  <c r="Y14" i="2"/>
  <c r="Y15" i="2"/>
  <c r="Y16" i="2"/>
  <c r="Y17" i="2"/>
  <c r="Y18" i="2"/>
  <c r="Y19" i="2"/>
  <c r="Y20" i="2"/>
  <c r="Y21" i="2"/>
  <c r="Y22" i="2"/>
  <c r="Y23" i="2"/>
  <c r="Y25" i="2"/>
  <c r="Y24" i="2"/>
  <c r="Y7" i="2"/>
  <c r="X24" i="7"/>
  <c r="Y6" i="7"/>
  <c r="Y24" i="7" s="1"/>
  <c r="L23" i="7"/>
  <c r="M23" i="7"/>
  <c r="I38" i="3"/>
  <c r="L7" i="2"/>
  <c r="M7" i="2" s="1"/>
  <c r="AK13" i="2"/>
  <c r="AK23" i="2"/>
  <c r="AK19" i="2"/>
  <c r="L20" i="2"/>
  <c r="M20" i="2" s="1"/>
  <c r="L15" i="2"/>
  <c r="M15" i="2" s="1"/>
  <c r="L16" i="2"/>
  <c r="M16" i="2" s="1"/>
  <c r="L18" i="2"/>
  <c r="M18" i="2" s="1"/>
  <c r="AK16" i="2"/>
  <c r="L19" i="2"/>
  <c r="M19" i="2" s="1"/>
  <c r="L8" i="2"/>
  <c r="M8" i="2" s="1"/>
  <c r="L17" i="2"/>
  <c r="M17" i="2" s="1"/>
  <c r="AK21" i="2"/>
  <c r="L12" i="2"/>
  <c r="M12" i="2" s="1"/>
  <c r="AK14" i="2"/>
  <c r="AK22" i="2"/>
  <c r="AK17" i="2"/>
  <c r="L9" i="2"/>
  <c r="M9" i="2" s="1"/>
  <c r="AK20" i="2"/>
  <c r="L13" i="2"/>
  <c r="M13" i="2" s="1"/>
  <c r="L6" i="2"/>
  <c r="M6" i="2" s="1"/>
  <c r="AK25" i="2"/>
  <c r="AK15" i="2"/>
  <c r="L10" i="2"/>
  <c r="M10" i="2" s="1"/>
  <c r="AK18" i="2"/>
  <c r="L23" i="2"/>
  <c r="M23" i="2" s="1"/>
  <c r="L21" i="2"/>
  <c r="M21" i="2" s="1"/>
  <c r="L11" i="2"/>
  <c r="M11" i="2" s="1"/>
  <c r="L22" i="2"/>
  <c r="M22" i="2" s="1"/>
  <c r="AK24" i="2"/>
  <c r="L24" i="2"/>
  <c r="M24" i="2" s="1"/>
  <c r="F9" i="28"/>
  <c r="E9" i="43" s="1"/>
  <c r="L14" i="2"/>
  <c r="M14" i="2" s="1"/>
  <c r="D8" i="27" l="1"/>
  <c r="D8" i="37"/>
  <c r="Y26" i="7"/>
  <c r="Y16" i="3"/>
  <c r="Y12" i="3"/>
  <c r="Y22" i="3"/>
  <c r="Y24" i="3"/>
  <c r="Y13" i="3"/>
  <c r="Y25" i="3"/>
  <c r="Y21" i="3"/>
  <c r="Y28" i="3"/>
  <c r="Y19" i="3"/>
  <c r="Y27" i="3"/>
  <c r="Y17" i="3"/>
  <c r="Y11" i="3"/>
  <c r="Y26" i="3"/>
  <c r="Y20" i="3"/>
  <c r="Y23" i="3"/>
  <c r="Y18" i="3"/>
  <c r="Y29" i="3"/>
  <c r="Y14" i="3"/>
  <c r="Y15" i="3"/>
  <c r="Y30" i="3"/>
  <c r="Y10" i="3"/>
  <c r="Y31" i="3"/>
  <c r="Y32" i="3"/>
  <c r="Y33" i="3"/>
  <c r="Y34" i="3"/>
  <c r="Y35" i="3"/>
  <c r="Y36" i="3"/>
  <c r="Y9" i="3"/>
  <c r="Y26" i="2"/>
  <c r="X26" i="2"/>
  <c r="M25" i="7"/>
  <c r="AK12" i="2"/>
  <c r="AK26" i="2" s="1"/>
  <c r="I49" i="5"/>
  <c r="L25" i="2"/>
  <c r="M25" i="2"/>
  <c r="I42" i="4"/>
  <c r="L11" i="3"/>
  <c r="M11" i="3" s="1"/>
  <c r="L36" i="3"/>
  <c r="M36" i="3" s="1"/>
  <c r="L28" i="3"/>
  <c r="M28" i="3" s="1"/>
  <c r="L17" i="3"/>
  <c r="M17" i="3" s="1"/>
  <c r="L9" i="3"/>
  <c r="M9" i="3" s="1"/>
  <c r="L30" i="3"/>
  <c r="M30" i="3" s="1"/>
  <c r="L20" i="3"/>
  <c r="M20" i="3" s="1"/>
  <c r="L14" i="3"/>
  <c r="M14" i="3" s="1"/>
  <c r="L10" i="3"/>
  <c r="M10" i="3" s="1"/>
  <c r="L26" i="3"/>
  <c r="M26" i="3" s="1"/>
  <c r="L35" i="3"/>
  <c r="M35" i="3" s="1"/>
  <c r="L13" i="3"/>
  <c r="M13" i="3" s="1"/>
  <c r="L22" i="3"/>
  <c r="M22" i="3" s="1"/>
  <c r="L33" i="3"/>
  <c r="M33" i="3" s="1"/>
  <c r="L32" i="3"/>
  <c r="M32" i="3" s="1"/>
  <c r="L27" i="3"/>
  <c r="M27" i="3" s="1"/>
  <c r="L18" i="3"/>
  <c r="M18" i="3" s="1"/>
  <c r="L8" i="3"/>
  <c r="M8" i="3" s="1"/>
  <c r="L31" i="3"/>
  <c r="M31" i="3" s="1"/>
  <c r="L15" i="3"/>
  <c r="M15" i="3" s="1"/>
  <c r="L34" i="3"/>
  <c r="M34" i="3" s="1"/>
  <c r="F10" i="28"/>
  <c r="E10" i="43" s="1"/>
  <c r="L12" i="3"/>
  <c r="M12" i="3" s="1"/>
  <c r="L16" i="3"/>
  <c r="M16" i="3" s="1"/>
  <c r="L19" i="3"/>
  <c r="M19" i="3" s="1"/>
  <c r="L25" i="3"/>
  <c r="M25" i="3" s="1"/>
  <c r="L24" i="3"/>
  <c r="M24" i="3" s="1"/>
  <c r="L21" i="3"/>
  <c r="M21" i="3" s="1"/>
  <c r="L23" i="3"/>
  <c r="M23" i="3" s="1"/>
  <c r="L29" i="3"/>
  <c r="M29" i="3" s="1"/>
  <c r="U26" i="7" l="1"/>
  <c r="M6" i="39" s="1"/>
  <c r="D9" i="27"/>
  <c r="D9" i="37"/>
  <c r="Y11" i="5"/>
  <c r="Y14" i="5"/>
  <c r="Y15" i="5"/>
  <c r="Y17" i="5"/>
  <c r="Y13" i="5"/>
  <c r="Y10" i="5"/>
  <c r="Y12" i="5"/>
  <c r="Y18" i="5"/>
  <c r="Y9" i="5"/>
  <c r="Y16" i="5"/>
  <c r="Y19" i="5"/>
  <c r="Y20" i="5"/>
  <c r="Y8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7" i="5"/>
  <c r="Y46" i="5"/>
  <c r="Y7" i="5"/>
  <c r="Y13" i="4"/>
  <c r="Y11" i="4"/>
  <c r="Y8" i="4"/>
  <c r="Y12" i="4"/>
  <c r="Y17" i="4"/>
  <c r="Y18" i="4"/>
  <c r="Y9" i="4"/>
  <c r="Y19" i="4"/>
  <c r="Y15" i="4"/>
  <c r="Y14" i="4"/>
  <c r="Y16" i="4"/>
  <c r="Y10" i="4"/>
  <c r="Y21" i="4"/>
  <c r="Y20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40" i="4"/>
  <c r="Y39" i="4"/>
  <c r="Y7" i="4"/>
  <c r="Y8" i="3"/>
  <c r="Y38" i="3" s="1"/>
  <c r="X38" i="3"/>
  <c r="Y28" i="2"/>
  <c r="U28" i="2" s="1"/>
  <c r="M7" i="39" s="1"/>
  <c r="I25" i="7"/>
  <c r="G8" i="28" s="1"/>
  <c r="F8" i="43" s="1"/>
  <c r="M27" i="2"/>
  <c r="L12" i="5"/>
  <c r="M12" i="5" s="1"/>
  <c r="L31" i="5"/>
  <c r="M31" i="5" s="1"/>
  <c r="L21" i="5"/>
  <c r="M21" i="5" s="1"/>
  <c r="L16" i="5"/>
  <c r="M16" i="5" s="1"/>
  <c r="L26" i="5"/>
  <c r="M26" i="5" s="1"/>
  <c r="L44" i="5"/>
  <c r="M44" i="5" s="1"/>
  <c r="AK42" i="5"/>
  <c r="L27" i="5"/>
  <c r="M27" i="5" s="1"/>
  <c r="AK43" i="5"/>
  <c r="L35" i="5"/>
  <c r="M35" i="5" s="1"/>
  <c r="AK39" i="5"/>
  <c r="AK15" i="5"/>
  <c r="AK21" i="5"/>
  <c r="AK46" i="5"/>
  <c r="AK48" i="5"/>
  <c r="AK33" i="5"/>
  <c r="AK28" i="5"/>
  <c r="AK29" i="5"/>
  <c r="L7" i="5"/>
  <c r="M7" i="5" s="1"/>
  <c r="L22" i="5"/>
  <c r="M22" i="5" s="1"/>
  <c r="AK41" i="5"/>
  <c r="AK16" i="5"/>
  <c r="L29" i="5"/>
  <c r="M29" i="5" s="1"/>
  <c r="L47" i="5"/>
  <c r="M47" i="5" s="1"/>
  <c r="AK30" i="5"/>
  <c r="AK31" i="5"/>
  <c r="AK17" i="5"/>
  <c r="AK45" i="5"/>
  <c r="AK32" i="5"/>
  <c r="L9" i="5"/>
  <c r="M9" i="5" s="1"/>
  <c r="L15" i="5"/>
  <c r="M15" i="5" s="1"/>
  <c r="L33" i="5"/>
  <c r="M33" i="5" s="1"/>
  <c r="L10" i="5"/>
  <c r="M10" i="5" s="1"/>
  <c r="AK14" i="5"/>
  <c r="L20" i="5"/>
  <c r="M20" i="5" s="1"/>
  <c r="L11" i="5"/>
  <c r="M11" i="5" s="1"/>
  <c r="L8" i="5"/>
  <c r="M8" i="5" s="1"/>
  <c r="AK20" i="5"/>
  <c r="AK26" i="5"/>
  <c r="L40" i="5"/>
  <c r="M40" i="5" s="1"/>
  <c r="L28" i="5"/>
  <c r="M28" i="5" s="1"/>
  <c r="AK36" i="5"/>
  <c r="AK37" i="5"/>
  <c r="L18" i="5"/>
  <c r="M18" i="5" s="1"/>
  <c r="L17" i="5"/>
  <c r="M17" i="5" s="1"/>
  <c r="L14" i="5"/>
  <c r="M14" i="5" s="1"/>
  <c r="F12" i="28"/>
  <c r="E12" i="43" s="1"/>
  <c r="AK38" i="5"/>
  <c r="AK25" i="5"/>
  <c r="L39" i="5"/>
  <c r="M39" i="5" s="1"/>
  <c r="L41" i="5"/>
  <c r="M41" i="5" s="1"/>
  <c r="L43" i="5"/>
  <c r="M43" i="5" s="1"/>
  <c r="AK40" i="5"/>
  <c r="AK27" i="5"/>
  <c r="L46" i="5"/>
  <c r="M46" i="5" s="1"/>
  <c r="L42" i="5"/>
  <c r="M42" i="5" s="1"/>
  <c r="L13" i="5"/>
  <c r="M13" i="5" s="1"/>
  <c r="AK47" i="5"/>
  <c r="AK35" i="5"/>
  <c r="L19" i="5"/>
  <c r="M19" i="5" s="1"/>
  <c r="L34" i="5"/>
  <c r="M34" i="5" s="1"/>
  <c r="AK24" i="5"/>
  <c r="AK34" i="5"/>
  <c r="L25" i="5"/>
  <c r="M25" i="5" s="1"/>
  <c r="L30" i="5"/>
  <c r="M30" i="5" s="1"/>
  <c r="L32" i="5"/>
  <c r="M32" i="5" s="1"/>
  <c r="L24" i="5"/>
  <c r="M24" i="5" s="1"/>
  <c r="AK19" i="5"/>
  <c r="L38" i="5"/>
  <c r="M38" i="5" s="1"/>
  <c r="AK44" i="5"/>
  <c r="L37" i="5"/>
  <c r="M37" i="5" s="1"/>
  <c r="AK18" i="5"/>
  <c r="L23" i="5"/>
  <c r="M23" i="5" s="1"/>
  <c r="AK22" i="5"/>
  <c r="L45" i="5"/>
  <c r="M45" i="5" s="1"/>
  <c r="L36" i="5"/>
  <c r="M36" i="5" s="1"/>
  <c r="AK23" i="5"/>
  <c r="L27" i="4"/>
  <c r="M27" i="4" s="1"/>
  <c r="L21" i="4"/>
  <c r="M21" i="4" s="1"/>
  <c r="L12" i="4"/>
  <c r="M12" i="4" s="1"/>
  <c r="AK39" i="4"/>
  <c r="AK19" i="4"/>
  <c r="L23" i="4"/>
  <c r="M23" i="4" s="1"/>
  <c r="AK38" i="4"/>
  <c r="L26" i="4"/>
  <c r="M26" i="4" s="1"/>
  <c r="L24" i="4"/>
  <c r="M24" i="4" s="1"/>
  <c r="AK31" i="4"/>
  <c r="L40" i="4"/>
  <c r="M40" i="4" s="1"/>
  <c r="AK28" i="4"/>
  <c r="L25" i="4"/>
  <c r="M25" i="4" s="1"/>
  <c r="AK36" i="4"/>
  <c r="AK22" i="4"/>
  <c r="L19" i="4"/>
  <c r="M19" i="4" s="1"/>
  <c r="L13" i="4"/>
  <c r="M13" i="4" s="1"/>
  <c r="AK21" i="4"/>
  <c r="L11" i="4"/>
  <c r="M11" i="4" s="1"/>
  <c r="AK40" i="4"/>
  <c r="AK34" i="4"/>
  <c r="L28" i="4"/>
  <c r="M28" i="4" s="1"/>
  <c r="AK16" i="4"/>
  <c r="L10" i="4"/>
  <c r="M10" i="4" s="1"/>
  <c r="L22" i="4"/>
  <c r="M22" i="4" s="1"/>
  <c r="AK25" i="4"/>
  <c r="AK29" i="4"/>
  <c r="L30" i="4"/>
  <c r="M30" i="4" s="1"/>
  <c r="L34" i="4"/>
  <c r="M34" i="4" s="1"/>
  <c r="L39" i="4"/>
  <c r="M39" i="4" s="1"/>
  <c r="AK24" i="4"/>
  <c r="AK17" i="4"/>
  <c r="L31" i="4"/>
  <c r="M31" i="4" s="1"/>
  <c r="AK23" i="4"/>
  <c r="L35" i="4"/>
  <c r="M35" i="4" s="1"/>
  <c r="L29" i="4"/>
  <c r="M29" i="4" s="1"/>
  <c r="L9" i="4"/>
  <c r="M9" i="4" s="1"/>
  <c r="L7" i="4"/>
  <c r="M7" i="4" s="1"/>
  <c r="L37" i="4"/>
  <c r="M37" i="4" s="1"/>
  <c r="AK30" i="4"/>
  <c r="L18" i="4"/>
  <c r="M18" i="4" s="1"/>
  <c r="L38" i="4"/>
  <c r="M38" i="4" s="1"/>
  <c r="AK14" i="4"/>
  <c r="AK41" i="4"/>
  <c r="AK37" i="4"/>
  <c r="L32" i="4"/>
  <c r="M32" i="4" s="1"/>
  <c r="L16" i="4"/>
  <c r="M16" i="4" s="1"/>
  <c r="AK27" i="4"/>
  <c r="AK15" i="4"/>
  <c r="L15" i="4"/>
  <c r="M15" i="4" s="1"/>
  <c r="L8" i="4"/>
  <c r="M8" i="4" s="1"/>
  <c r="AK33" i="4"/>
  <c r="L20" i="4"/>
  <c r="M20" i="4" s="1"/>
  <c r="AK18" i="4"/>
  <c r="L36" i="4"/>
  <c r="M36" i="4" s="1"/>
  <c r="L17" i="4"/>
  <c r="M17" i="4" s="1"/>
  <c r="AK20" i="4"/>
  <c r="AK32" i="4"/>
  <c r="F11" i="28"/>
  <c r="E11" i="43" s="1"/>
  <c r="L33" i="4"/>
  <c r="M33" i="4" s="1"/>
  <c r="AK35" i="4"/>
  <c r="AK26" i="4"/>
  <c r="L14" i="4"/>
  <c r="M14" i="4" s="1"/>
  <c r="L37" i="3"/>
  <c r="M37" i="3"/>
  <c r="AK28" i="2"/>
  <c r="AF28" i="2" s="1"/>
  <c r="E29" i="27" s="1"/>
  <c r="D11" i="27" l="1"/>
  <c r="D11" i="37"/>
  <c r="D10" i="27"/>
  <c r="D10" i="37"/>
  <c r="X48" i="5"/>
  <c r="Y48" i="5"/>
  <c r="X41" i="4"/>
  <c r="Y41" i="4"/>
  <c r="Y40" i="3"/>
  <c r="U40" i="3" s="1"/>
  <c r="M8" i="39" s="1"/>
  <c r="G13" i="27"/>
  <c r="E7" i="27"/>
  <c r="I27" i="2"/>
  <c r="G9" i="28" s="1"/>
  <c r="F9" i="43" s="1"/>
  <c r="M39" i="3"/>
  <c r="M48" i="5"/>
  <c r="L48" i="5"/>
  <c r="AJ49" i="5"/>
  <c r="AK13" i="5"/>
  <c r="AK49" i="5" s="1"/>
  <c r="AJ42" i="4"/>
  <c r="AK13" i="4"/>
  <c r="AK42" i="4" s="1"/>
  <c r="M41" i="4"/>
  <c r="L41" i="4"/>
  <c r="Y43" i="4" l="1"/>
  <c r="U43" i="4" s="1"/>
  <c r="M9" i="39" s="1"/>
  <c r="Y50" i="5"/>
  <c r="U50" i="5" s="1"/>
  <c r="M10" i="39" s="1"/>
  <c r="D13" i="27"/>
  <c r="E8" i="27"/>
  <c r="I39" i="3"/>
  <c r="G10" i="28" s="1"/>
  <c r="F10" i="43" s="1"/>
  <c r="AK51" i="5"/>
  <c r="AF52" i="5" s="1"/>
  <c r="E32" i="27" s="1"/>
  <c r="AK44" i="4"/>
  <c r="AF45" i="4" s="1"/>
  <c r="E30" i="27" s="1"/>
  <c r="M43" i="4"/>
  <c r="M50" i="5"/>
  <c r="E9" i="27" l="1"/>
  <c r="I50" i="5"/>
  <c r="G12" i="28" s="1"/>
  <c r="F12" i="43" s="1"/>
  <c r="I43" i="4"/>
  <c r="G11" i="28" s="1"/>
  <c r="F11" i="43" s="1"/>
  <c r="E10" i="27" l="1"/>
  <c r="E11" i="27"/>
  <c r="AV16" i="2"/>
  <c r="AV24" i="2"/>
  <c r="AV8" i="2"/>
  <c r="AV6" i="2"/>
  <c r="AV18" i="2"/>
  <c r="AV9" i="2"/>
  <c r="M8" i="37" s="1"/>
  <c r="AV5" i="2"/>
  <c r="AV20" i="2"/>
  <c r="AV11" i="2"/>
  <c r="N8" i="37" s="1"/>
  <c r="AV22" i="2"/>
  <c r="AV12" i="2"/>
  <c r="AV10" i="2"/>
  <c r="AV7" i="2"/>
  <c r="AV14" i="2"/>
  <c r="AV21" i="2"/>
  <c r="T23" i="37" s="1"/>
  <c r="V23" i="37" s="1"/>
  <c r="W23" i="37" s="1"/>
  <c r="AV19" i="2"/>
  <c r="R8" i="37" s="1"/>
  <c r="AV15" i="2"/>
  <c r="T26" i="37" s="1"/>
  <c r="V26" i="37" s="1"/>
  <c r="W26" i="37" s="1"/>
  <c r="AV17" i="2"/>
  <c r="T25" i="37" s="1"/>
  <c r="V25" i="37" s="1"/>
  <c r="W25" i="37" s="1"/>
  <c r="AV13" i="2"/>
  <c r="O8" i="37" s="1"/>
  <c r="AV23" i="2"/>
  <c r="T22" i="37" s="1"/>
  <c r="V22" i="37" s="1"/>
  <c r="W22" i="37" s="1"/>
  <c r="AV25" i="2"/>
  <c r="T21" i="37" s="1"/>
  <c r="V21" i="37" s="1"/>
  <c r="W21" i="37" s="1"/>
  <c r="E8" i="37" l="1"/>
  <c r="E21" i="37"/>
  <c r="F8" i="37"/>
  <c r="F21" i="37"/>
  <c r="J8" i="37"/>
  <c r="J21" i="37"/>
  <c r="G8" i="37"/>
  <c r="G21" i="37"/>
  <c r="Q8" i="37"/>
  <c r="T27" i="37"/>
  <c r="V27" i="37" s="1"/>
  <c r="W27" i="37" s="1"/>
  <c r="BB6" i="4" s="1"/>
  <c r="BB42" i="4" s="1"/>
  <c r="T24" i="37"/>
  <c r="V24" i="37" s="1"/>
  <c r="W24" i="37" s="1"/>
  <c r="P8" i="37"/>
  <c r="H8" i="37" l="1"/>
  <c r="H21" i="37"/>
  <c r="I8" i="37"/>
  <c r="I21" i="37"/>
</calcChain>
</file>

<file path=xl/sharedStrings.xml><?xml version="1.0" encoding="utf-8"?>
<sst xmlns="http://schemas.openxmlformats.org/spreadsheetml/2006/main" count="981" uniqueCount="219">
  <si>
    <t>Fecha</t>
  </si>
  <si>
    <t>VR</t>
  </si>
  <si>
    <t>Interes</t>
  </si>
  <si>
    <t>Amort.</t>
  </si>
  <si>
    <t>Total</t>
  </si>
  <si>
    <t>TIR</t>
  </si>
  <si>
    <t>Días</t>
  </si>
  <si>
    <t>Duration</t>
  </si>
  <si>
    <t>DM</t>
  </si>
  <si>
    <t>t (días)</t>
  </si>
  <si>
    <t>VPFF</t>
  </si>
  <si>
    <t>t x VPFF</t>
  </si>
  <si>
    <t>Px.</t>
  </si>
  <si>
    <t>Promedio</t>
  </si>
  <si>
    <t>Fuente: BAVSA Research en base a cálculos propios</t>
  </si>
  <si>
    <t>AL30</t>
  </si>
  <si>
    <t>AL35</t>
  </si>
  <si>
    <t>AE38</t>
  </si>
  <si>
    <t>Px. USD</t>
  </si>
  <si>
    <t>Px. ARS</t>
  </si>
  <si>
    <t>AL29</t>
  </si>
  <si>
    <t>AL41</t>
  </si>
  <si>
    <t>MD</t>
  </si>
  <si>
    <t>VT</t>
  </si>
  <si>
    <t>Paridad</t>
  </si>
  <si>
    <t>GD29</t>
  </si>
  <si>
    <t>GD30</t>
  </si>
  <si>
    <t>GD35</t>
  </si>
  <si>
    <t>GD38</t>
  </si>
  <si>
    <t>GD41</t>
  </si>
  <si>
    <t>GD46</t>
  </si>
  <si>
    <t>Título</t>
  </si>
  <si>
    <t>Retorno Total</t>
  </si>
  <si>
    <t>Cuadro VIII</t>
  </si>
  <si>
    <t>Volumen VN (ARS) T+2</t>
  </si>
  <si>
    <t>VN</t>
  </si>
  <si>
    <t>Fecha emisión</t>
  </si>
  <si>
    <t>Cupón</t>
  </si>
  <si>
    <t>Días corridos</t>
  </si>
  <si>
    <t>Intereses</t>
  </si>
  <si>
    <t>Fuente: BAVSA Research en base a BYMA</t>
  </si>
  <si>
    <t>Cuadro II</t>
  </si>
  <si>
    <t>Ley ARG</t>
  </si>
  <si>
    <t>Ley NY</t>
  </si>
  <si>
    <t>Promedio simple</t>
  </si>
  <si>
    <t>Spread de bonos entre legislaciones</t>
  </si>
  <si>
    <t>Bonar USD 2029 1% - Precio MEP</t>
  </si>
  <si>
    <t>Bonar USD 2029 1% - Precio CCL</t>
  </si>
  <si>
    <t>-</t>
  </si>
  <si>
    <t>Cuadro IV</t>
  </si>
  <si>
    <t>AL29/AL30</t>
  </si>
  <si>
    <t>Liq.</t>
  </si>
  <si>
    <t>Bonos ley ARG</t>
  </si>
  <si>
    <t>Bonos ley NY</t>
  </si>
  <si>
    <t>Bonar USD 2030 - Precio MEP</t>
  </si>
  <si>
    <t>Bonar USD 2035 - Precio MEP</t>
  </si>
  <si>
    <t>Bonar USD 2030 - Precio CCL</t>
  </si>
  <si>
    <t>Bonar USD 2035 - Precio CCL</t>
  </si>
  <si>
    <t>Bonar USD 2030 - Calculadora</t>
  </si>
  <si>
    <t>Bonar USD 2035 - Calculadora</t>
  </si>
  <si>
    <t>Bonar USD 2035 - Calculadora 2023</t>
  </si>
  <si>
    <t>VPN</t>
  </si>
  <si>
    <t>Bonar USD 2030 - Calculadora al 2023</t>
  </si>
  <si>
    <t>Bonar USD 2038 - Precio MEP</t>
  </si>
  <si>
    <t>Bonar USD 2038 - Precio CCL</t>
  </si>
  <si>
    <t>Bonar USD 2038 - Calculadora 2023</t>
  </si>
  <si>
    <t>Bonar USD 2041 - Precio MEP</t>
  </si>
  <si>
    <t>Bonar USD 2041 - Precio CCL</t>
  </si>
  <si>
    <t>Bonar USD 2041 - Calculadora 2023</t>
  </si>
  <si>
    <t>New USD 2029 1% - Precio OTC</t>
  </si>
  <si>
    <t>New USD 2029 1% - Precio CCL</t>
  </si>
  <si>
    <t>New USD 2029 1% - Precio MEP</t>
  </si>
  <si>
    <t>New USD 2030 - Precio OTC</t>
  </si>
  <si>
    <t>New USD 2030 - Precio MEP</t>
  </si>
  <si>
    <t>New USD 2035 - Precio OTC</t>
  </si>
  <si>
    <t>New USD 2035 - Precio MEP</t>
  </si>
  <si>
    <t>New USD 2038 - Precio OTC</t>
  </si>
  <si>
    <t>New USD 2038 - Precio MEP</t>
  </si>
  <si>
    <t>New USD 2041 - Precio OTC</t>
  </si>
  <si>
    <t>New USD 2041 - Precio MEP</t>
  </si>
  <si>
    <t>New USD 2046 - Precios OTC</t>
  </si>
  <si>
    <t>Px. Cable</t>
  </si>
  <si>
    <t>CCL Implícito</t>
  </si>
  <si>
    <t>CCL AL30</t>
  </si>
  <si>
    <t>Spread CCL ($)</t>
  </si>
  <si>
    <t>New USD 2035 - Precio CCL</t>
  </si>
  <si>
    <t>New USD 2038 - Precio CCL</t>
  </si>
  <si>
    <t>New USD 2041 - Precio CCL</t>
  </si>
  <si>
    <t>Desarbitrajes de dólar CCL en bonos</t>
  </si>
  <si>
    <t>Datos técnicos de bonos al CCL</t>
  </si>
  <si>
    <t>Spread CCL (%)</t>
  </si>
  <si>
    <t>Ley Argentina</t>
  </si>
  <si>
    <t>Ley New York</t>
  </si>
  <si>
    <t>Spread NY-ARG</t>
  </si>
  <si>
    <t>ARS</t>
  </si>
  <si>
    <t>%</t>
  </si>
  <si>
    <t>Px. MEP</t>
  </si>
  <si>
    <t>Mid Px.</t>
  </si>
  <si>
    <t>Datos técnicos de bonos ley NY - Precios OTC</t>
  </si>
  <si>
    <t>Bonos ley NY (arbitrados al CCL AL30)</t>
  </si>
  <si>
    <t>Bonos ley ARG (arbitrados al CCL AL30)</t>
  </si>
  <si>
    <t>Ley NY vs ley ARG - Spread en dólar MEP</t>
  </si>
  <si>
    <t>Bonar USD 2029 1% - Calculadora</t>
  </si>
  <si>
    <t>Bonar USD 2041 - Calculadora</t>
  </si>
  <si>
    <t>Bonos en dólares bajo ley Argentina</t>
  </si>
  <si>
    <t>Datos técnicos con precios en dólares BYMA T+2</t>
  </si>
  <si>
    <t>Upside de bonos en dólares ley Argentina</t>
  </si>
  <si>
    <t>Tasas de mercado</t>
  </si>
  <si>
    <t>Spread (%)</t>
  </si>
  <si>
    <t>New USD 2046 - Precios MEP</t>
  </si>
  <si>
    <t>New USD 2046 - Precios CCL</t>
  </si>
  <si>
    <t>Var (%)</t>
  </si>
  <si>
    <t>Variables desde el 15/09 (medidas BCRA)</t>
  </si>
  <si>
    <t>Variaciones de las principales variables</t>
  </si>
  <si>
    <t>Variable</t>
  </si>
  <si>
    <t>Último dato*</t>
  </si>
  <si>
    <t>Var. ($)</t>
  </si>
  <si>
    <t>Var. (%)</t>
  </si>
  <si>
    <t>Depósitos USD</t>
  </si>
  <si>
    <t>Reservas BCRA</t>
  </si>
  <si>
    <t>CCL T+2 (AL30)</t>
  </si>
  <si>
    <t>Brecha cambiaria</t>
  </si>
  <si>
    <t>GD30 (px. OTC)</t>
  </si>
  <si>
    <t>Dólar Com. A3500</t>
  </si>
  <si>
    <t>AL30/AL35</t>
  </si>
  <si>
    <t>AL29/AL41</t>
  </si>
  <si>
    <t>AL30/AE38</t>
  </si>
  <si>
    <t>AL30/AL41</t>
  </si>
  <si>
    <t>AE38/AL41</t>
  </si>
  <si>
    <t>Upside</t>
  </si>
  <si>
    <t>Spread (BPs)</t>
  </si>
  <si>
    <t>Spreads que igualan upside a partir de px actuales</t>
  </si>
  <si>
    <t>Spread de de legislación medido a través del precio en pesos BYMA T+2</t>
  </si>
  <si>
    <t>TX28</t>
  </si>
  <si>
    <t>DICP</t>
  </si>
  <si>
    <t>PARP</t>
  </si>
  <si>
    <t>CUAP</t>
  </si>
  <si>
    <t>AL29D/AL30D</t>
  </si>
  <si>
    <t>Comparación AL41 vs AL35</t>
  </si>
  <si>
    <t>Precio</t>
  </si>
  <si>
    <t>Amortiz.</t>
  </si>
  <si>
    <t>Flujo 3 años*</t>
  </si>
  <si>
    <t>* Expresado cada VN 100</t>
  </si>
  <si>
    <t>Principales datos técnicos</t>
  </si>
  <si>
    <t>Cuadro VI</t>
  </si>
  <si>
    <t>Cuadro V</t>
  </si>
  <si>
    <t>Fuente: BAVSA Research en base a BYMA y cálculos propios</t>
  </si>
  <si>
    <t>AE38/AL35</t>
  </si>
  <si>
    <t>Volumen VN (USD) T+2</t>
  </si>
  <si>
    <t>GD30/AL30</t>
  </si>
  <si>
    <t>GD29/AL29</t>
  </si>
  <si>
    <t>GD35/AL35</t>
  </si>
  <si>
    <t>GD41/AL41</t>
  </si>
  <si>
    <t>GD38/AL38</t>
  </si>
  <si>
    <t>Diferenciales entre OTC y MEP local</t>
  </si>
  <si>
    <t>Medido entre plaza externa y plaza local en MEP (D)</t>
  </si>
  <si>
    <t>OTC</t>
  </si>
  <si>
    <t>BYMA</t>
  </si>
  <si>
    <t>Mid. Px.</t>
  </si>
  <si>
    <t>AL29/AE38</t>
  </si>
  <si>
    <t>AL29/AL35</t>
  </si>
  <si>
    <t>Spread de legislación ley NY vs ARG</t>
  </si>
  <si>
    <t>Upsides potenciales a distintas tasas de mercado</t>
  </si>
  <si>
    <t>AE38/AL30</t>
  </si>
  <si>
    <t>Cuadro I</t>
  </si>
  <si>
    <t>Datos técnicos de bonos en dólares</t>
  </si>
  <si>
    <t>Datos calculados con precios en dólar MEP BYMA T+2</t>
  </si>
  <si>
    <t>USD</t>
  </si>
  <si>
    <t>AL30/GD35</t>
  </si>
  <si>
    <t>GD30D/AL30D</t>
  </si>
  <si>
    <t>TEA</t>
  </si>
  <si>
    <t>Px. 2023</t>
  </si>
  <si>
    <t>Px. Actual</t>
  </si>
  <si>
    <t>Bono</t>
  </si>
  <si>
    <t>Cobro</t>
  </si>
  <si>
    <t>Precios en ARS ley ARG vs ley NY</t>
  </si>
  <si>
    <t>Bonares (Ley Argentina)</t>
  </si>
  <si>
    <t>Globales (Ley Extranjera)</t>
  </si>
  <si>
    <t>Cuadro elaborando tomando los precios en dólar MEP BYMA T+2</t>
  </si>
  <si>
    <t>Cuadro VII</t>
  </si>
  <si>
    <t>AL30D/GD35D</t>
  </si>
  <si>
    <t>Variaciones de los bonos soberanos USD Year-to-date</t>
  </si>
  <si>
    <t xml:space="preserve">Variaciones de los bonos soberanos USD </t>
  </si>
  <si>
    <t>YTD</t>
  </si>
  <si>
    <t>Spread de de legislación medido a través del px USD MEP BYMA T+2</t>
  </si>
  <si>
    <t>(-) 9pp</t>
  </si>
  <si>
    <t>* Último dato disponible de depósitos 10/03/2021</t>
  </si>
  <si>
    <t>Fuente: BAVSA Research en base a BYMA, BCRA y BBG</t>
  </si>
  <si>
    <t>Upside de bonos en dólares ley NY</t>
  </si>
  <si>
    <t>AL41/AL35</t>
  </si>
  <si>
    <t>Breakeven AL30 vs AE38</t>
  </si>
  <si>
    <t>Upside potencial bonos ARGY rindiendo 12% en May-23</t>
  </si>
  <si>
    <t>Globales</t>
  </si>
  <si>
    <t>Bonares</t>
  </si>
  <si>
    <t>Last Px. (MEP)</t>
  </si>
  <si>
    <t>Variaciones</t>
  </si>
  <si>
    <t>Datos técnicos y variaciones bonos hard dollar soberanos</t>
  </si>
  <si>
    <t>Mediana Bonares</t>
  </si>
  <si>
    <t>Mediana Globales</t>
  </si>
  <si>
    <t>Cuadro III</t>
  </si>
  <si>
    <t>GD29-GD30</t>
  </si>
  <si>
    <t>AL29-AL30</t>
  </si>
  <si>
    <t>GD30-GD35</t>
  </si>
  <si>
    <t>AL30-AL35</t>
  </si>
  <si>
    <t>GD38-GD30</t>
  </si>
  <si>
    <t>AE38-AL30</t>
  </si>
  <si>
    <t>GD38-GD41</t>
  </si>
  <si>
    <t>AE38-AL41</t>
  </si>
  <si>
    <t>GD41-GD35</t>
  </si>
  <si>
    <t>AL35-AL41</t>
  </si>
  <si>
    <t>Spread</t>
  </si>
  <si>
    <t>Par</t>
  </si>
  <si>
    <t>Diferencia (USD)</t>
  </si>
  <si>
    <t>Spreads entre pares Globales vs. Bonares</t>
  </si>
  <si>
    <t>Diferencia de spread entre pares tomando px OTC para Globales</t>
  </si>
  <si>
    <t>Fuente: BAVSA Research en base a BYMA, BBG y cálculos propios</t>
  </si>
  <si>
    <t>Cuadro X</t>
  </si>
  <si>
    <t>Last 1M</t>
  </si>
  <si>
    <t>Last 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</si>
</sst>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/mm/yyyy;@"/>
    <numFmt numFmtId="165" formatCode="0.0000"/>
    <numFmt numFmtId="166" formatCode="0.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Arial Nova"/>
      <family val="2"/>
    </font>
    <font>
      <sz val="11"/>
      <color theme="1"/>
      <name val="Arial Nova"/>
      <family val="2"/>
    </font>
    <font>
      <b/>
      <sz val="11"/>
      <color theme="1"/>
      <name val="Arial Nova"/>
      <family val="2"/>
    </font>
    <font>
      <i/>
      <sz val="8"/>
      <color theme="1" tint="0.34998626667073579"/>
      <name val="Arial Nova Light"/>
      <family val="2"/>
    </font>
    <font>
      <i/>
      <sz val="10"/>
      <color theme="1"/>
      <name val="Arial Nova"/>
      <family val="2"/>
    </font>
    <font>
      <sz val="11"/>
      <color theme="1"/>
      <name val="Bahnschrift SemiBold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i/>
      <sz val="11"/>
      <color theme="1"/>
      <name val="Arial"/>
      <family val="2"/>
    </font>
    <font>
      <i/>
      <sz val="8"/>
      <color theme="0"/>
      <name val="Arial Nova Light"/>
      <family val="2"/>
    </font>
    <font>
      <sz val="11"/>
      <color theme="0"/>
      <name val="Bahnschrift SemiBold"/>
      <family val="2"/>
    </font>
    <font>
      <b/>
      <sz val="12"/>
      <color theme="1"/>
      <name val="Arial Nova"/>
      <family val="2"/>
    </font>
    <font>
      <sz val="11"/>
      <color theme="0"/>
      <name val="Arial"/>
      <family val="2"/>
    </font>
    <font>
      <i/>
      <sz val="10"/>
      <color theme="1"/>
      <name val="Arial"/>
      <family val="2"/>
    </font>
    <font>
      <sz val="10"/>
      <color theme="1"/>
      <name val="Bahnschrift SemiBold"/>
      <family val="2"/>
    </font>
    <font>
      <i/>
      <sz val="9"/>
      <color theme="0"/>
      <name val="Arial"/>
      <family val="2"/>
    </font>
    <font>
      <i/>
      <sz val="8"/>
      <name val="Arial Nova Light"/>
      <family val="2"/>
    </font>
    <font>
      <i/>
      <sz val="9"/>
      <name val="Arial"/>
      <family val="2"/>
    </font>
    <font>
      <b/>
      <i/>
      <sz val="10"/>
      <color theme="0"/>
      <name val="Arial Nova"/>
      <family val="2"/>
    </font>
    <font>
      <b/>
      <sz val="10"/>
      <color theme="0"/>
      <name val="Arial Nova"/>
      <family val="2"/>
    </font>
    <font>
      <i/>
      <sz val="9"/>
      <color theme="1"/>
      <name val="Arial Nova"/>
      <family val="2"/>
    </font>
    <font>
      <sz val="11"/>
      <color theme="0"/>
      <name val="Arial Nova"/>
      <family val="2"/>
    </font>
    <font>
      <sz val="11"/>
      <color theme="1"/>
      <name val="Arial Nova Light"/>
      <family val="2"/>
    </font>
    <font>
      <sz val="11"/>
      <color rgb="FFFF0000"/>
      <name val="Arial Nova Light"/>
      <family val="2"/>
    </font>
    <font>
      <sz val="11"/>
      <name val="Bahnschrift SemiBold"/>
      <family val="2"/>
    </font>
    <font>
      <sz val="9"/>
      <color theme="1"/>
      <name val="Arial Nova"/>
      <family val="2"/>
    </font>
    <font>
      <sz val="11"/>
      <color theme="9" tint="-0.249977111117893"/>
      <name val="Arial Nova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/>
      </left>
      <right style="thin">
        <color theme="0" tint="-4.9989318521683403E-2"/>
      </right>
      <top style="thin">
        <color theme="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2" tint="-0.499984740745262"/>
      </top>
      <bottom/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3">
    <xf numFmtId="0" fontId="0" fillId="0" borderId="0" xfId="0"/>
    <xf numFmtId="0" fontId="3" fillId="2" borderId="0" xfId="0" applyFont="1" applyFill="1" applyAlignment="1">
      <alignment horizontal="center"/>
    </xf>
    <xf numFmtId="164" fontId="4" fillId="0" borderId="0" xfId="0" applyNumberFormat="1" applyFont="1"/>
    <xf numFmtId="2" fontId="4" fillId="0" borderId="0" xfId="0" applyNumberFormat="1" applyFont="1"/>
    <xf numFmtId="0" fontId="4" fillId="0" borderId="0" xfId="0" applyFont="1"/>
    <xf numFmtId="10" fontId="4" fillId="0" borderId="0" xfId="1" applyNumberFormat="1" applyFont="1"/>
    <xf numFmtId="0" fontId="2" fillId="0" borderId="0" xfId="0" applyFont="1"/>
    <xf numFmtId="165" fontId="4" fillId="0" borderId="0" xfId="0" applyNumberFormat="1" applyFont="1"/>
    <xf numFmtId="2" fontId="4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2" fontId="6" fillId="4" borderId="0" xfId="0" applyNumberFormat="1" applyFont="1" applyFill="1" applyAlignment="1">
      <alignment horizontal="center"/>
    </xf>
    <xf numFmtId="10" fontId="6" fillId="4" borderId="0" xfId="1" applyNumberFormat="1" applyFont="1" applyFill="1" applyAlignment="1">
      <alignment horizontal="center"/>
    </xf>
    <xf numFmtId="0" fontId="6" fillId="0" borderId="0" xfId="0" applyFont="1"/>
    <xf numFmtId="1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2" fontId="4" fillId="5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Border="1"/>
    <xf numFmtId="0" fontId="4" fillId="0" borderId="0" xfId="0" applyFon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3" fontId="4" fillId="0" borderId="0" xfId="0" applyNumberFormat="1" applyFont="1"/>
    <xf numFmtId="10" fontId="7" fillId="0" borderId="1" xfId="1" applyNumberFormat="1" applyFont="1" applyBorder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/>
    <xf numFmtId="3" fontId="4" fillId="0" borderId="0" xfId="0" applyNumberFormat="1" applyFont="1" applyBorder="1"/>
    <xf numFmtId="3" fontId="4" fillId="0" borderId="5" xfId="0" applyNumberFormat="1" applyFont="1" applyBorder="1"/>
    <xf numFmtId="166" fontId="4" fillId="0" borderId="0" xfId="0" applyNumberFormat="1" applyFont="1"/>
    <xf numFmtId="164" fontId="4" fillId="6" borderId="0" xfId="0" applyNumberFormat="1" applyFont="1" applyFill="1"/>
    <xf numFmtId="4" fontId="4" fillId="0" borderId="0" xfId="0" applyNumberFormat="1" applyFont="1" applyBorder="1"/>
    <xf numFmtId="164" fontId="4" fillId="0" borderId="8" xfId="0" applyNumberFormat="1" applyFont="1" applyBorder="1"/>
    <xf numFmtId="2" fontId="4" fillId="4" borderId="0" xfId="0" applyNumberFormat="1" applyFont="1" applyFill="1"/>
    <xf numFmtId="164" fontId="4" fillId="0" borderId="5" xfId="0" applyNumberFormat="1" applyFont="1" applyBorder="1"/>
    <xf numFmtId="14" fontId="4" fillId="0" borderId="0" xfId="0" applyNumberFormat="1" applyFont="1"/>
    <xf numFmtId="2" fontId="4" fillId="5" borderId="0" xfId="0" applyNumberFormat="1" applyFont="1" applyFill="1"/>
    <xf numFmtId="0" fontId="3" fillId="2" borderId="0" xfId="0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/>
    </xf>
    <xf numFmtId="10" fontId="4" fillId="4" borderId="0" xfId="0" applyNumberFormat="1" applyFont="1" applyFill="1" applyAlignment="1">
      <alignment horizontal="center"/>
    </xf>
    <xf numFmtId="10" fontId="4" fillId="4" borderId="0" xfId="1" applyNumberFormat="1" applyFont="1" applyFill="1" applyAlignment="1">
      <alignment horizontal="center"/>
    </xf>
    <xf numFmtId="10" fontId="4" fillId="4" borderId="0" xfId="0" applyNumberFormat="1" applyFont="1" applyFill="1" applyAlignment="1"/>
    <xf numFmtId="0" fontId="4" fillId="4" borderId="0" xfId="0" applyFont="1" applyFill="1" applyAlignment="1">
      <alignment horizontal="center"/>
    </xf>
    <xf numFmtId="4" fontId="4" fillId="4" borderId="0" xfId="0" applyNumberFormat="1" applyFont="1" applyFill="1" applyAlignment="1">
      <alignment horizontal="center"/>
    </xf>
    <xf numFmtId="164" fontId="4" fillId="0" borderId="9" xfId="0" applyNumberFormat="1" applyFont="1" applyBorder="1"/>
    <xf numFmtId="10" fontId="6" fillId="4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0" fontId="6" fillId="0" borderId="0" xfId="1" applyNumberFormat="1" applyFont="1"/>
    <xf numFmtId="0" fontId="5" fillId="3" borderId="0" xfId="0" applyFont="1" applyFill="1" applyAlignment="1">
      <alignment horizontal="center"/>
    </xf>
    <xf numFmtId="3" fontId="6" fillId="0" borderId="0" xfId="0" applyNumberFormat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Fill="1" applyAlignment="1"/>
    <xf numFmtId="0" fontId="4" fillId="0" borderId="0" xfId="0" applyFont="1" applyFill="1"/>
    <xf numFmtId="10" fontId="4" fillId="0" borderId="0" xfId="1" applyNumberFormat="1" applyFont="1" applyAlignment="1">
      <alignment horizontal="center"/>
    </xf>
    <xf numFmtId="2" fontId="4" fillId="5" borderId="0" xfId="0" applyNumberFormat="1" applyFont="1" applyFill="1" applyAlignment="1">
      <alignment horizontal="center" vertical="center"/>
    </xf>
    <xf numFmtId="43" fontId="0" fillId="0" borderId="0" xfId="2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/>
    </xf>
    <xf numFmtId="4" fontId="4" fillId="5" borderId="0" xfId="0" applyNumberFormat="1" applyFont="1" applyFill="1" applyBorder="1" applyAlignment="1">
      <alignment horizontal="center"/>
    </xf>
    <xf numFmtId="2" fontId="4" fillId="5" borderId="0" xfId="0" applyNumberFormat="1" applyFont="1" applyFill="1" applyBorder="1" applyAlignment="1">
      <alignment horizontal="center"/>
    </xf>
    <xf numFmtId="164" fontId="4" fillId="0" borderId="0" xfId="0" applyNumberFormat="1" applyFont="1" applyBorder="1"/>
    <xf numFmtId="0" fontId="3" fillId="2" borderId="0" xfId="0" applyFont="1" applyFill="1" applyAlignment="1">
      <alignment horizontal="center" vertical="center" wrapText="1"/>
    </xf>
    <xf numFmtId="2" fontId="4" fillId="4" borderId="0" xfId="0" applyNumberFormat="1" applyFont="1" applyFill="1" applyBorder="1" applyAlignment="1">
      <alignment horizontal="center"/>
    </xf>
    <xf numFmtId="0" fontId="2" fillId="0" borderId="0" xfId="0" applyFont="1" applyAlignment="1"/>
    <xf numFmtId="2" fontId="4" fillId="0" borderId="0" xfId="0" applyNumberFormat="1" applyFont="1" applyFill="1"/>
    <xf numFmtId="0" fontId="13" fillId="0" borderId="0" xfId="0" applyFont="1" applyAlignment="1"/>
    <xf numFmtId="10" fontId="4" fillId="4" borderId="0" xfId="0" applyNumberFormat="1" applyFont="1" applyFill="1" applyBorder="1" applyAlignment="1">
      <alignment horizontal="center"/>
    </xf>
    <xf numFmtId="0" fontId="4" fillId="5" borderId="0" xfId="0" applyFont="1" applyFill="1"/>
    <xf numFmtId="0" fontId="2" fillId="5" borderId="0" xfId="0" applyFont="1" applyFill="1" applyAlignment="1">
      <alignment horizontal="center"/>
    </xf>
    <xf numFmtId="165" fontId="4" fillId="5" borderId="0" xfId="0" applyNumberFormat="1" applyFont="1" applyFill="1"/>
    <xf numFmtId="0" fontId="3" fillId="0" borderId="0" xfId="0" applyFont="1" applyFill="1" applyBorder="1" applyAlignment="1"/>
    <xf numFmtId="0" fontId="4" fillId="0" borderId="16" xfId="0" applyFont="1" applyBorder="1"/>
    <xf numFmtId="14" fontId="4" fillId="0" borderId="17" xfId="0" applyNumberFormat="1" applyFont="1" applyBorder="1"/>
    <xf numFmtId="0" fontId="4" fillId="0" borderId="18" xfId="0" applyFont="1" applyBorder="1"/>
    <xf numFmtId="10" fontId="4" fillId="0" borderId="15" xfId="1" applyNumberFormat="1" applyFont="1" applyBorder="1"/>
    <xf numFmtId="0" fontId="4" fillId="0" borderId="15" xfId="0" applyFont="1" applyBorder="1"/>
    <xf numFmtId="2" fontId="4" fillId="0" borderId="15" xfId="0" applyNumberFormat="1" applyFont="1" applyBorder="1"/>
    <xf numFmtId="0" fontId="4" fillId="0" borderId="19" xfId="0" applyFont="1" applyBorder="1"/>
    <xf numFmtId="2" fontId="4" fillId="0" borderId="20" xfId="0" applyNumberFormat="1" applyFont="1" applyBorder="1"/>
    <xf numFmtId="166" fontId="4" fillId="0" borderId="15" xfId="0" applyNumberFormat="1" applyFont="1" applyBorder="1"/>
    <xf numFmtId="0" fontId="2" fillId="0" borderId="1" xfId="0" applyFont="1" applyBorder="1"/>
    <xf numFmtId="2" fontId="2" fillId="0" borderId="1" xfId="0" applyNumberFormat="1" applyFont="1" applyBorder="1"/>
    <xf numFmtId="4" fontId="4" fillId="0" borderId="0" xfId="0" applyNumberFormat="1" applyFont="1" applyFill="1" applyAlignment="1">
      <alignment horizontal="center"/>
    </xf>
    <xf numFmtId="10" fontId="4" fillId="0" borderId="0" xfId="0" applyNumberFormat="1" applyFont="1" applyFill="1"/>
    <xf numFmtId="43" fontId="4" fillId="0" borderId="0" xfId="2" applyFont="1"/>
    <xf numFmtId="43" fontId="4" fillId="0" borderId="0" xfId="2" applyFont="1" applyFill="1" applyAlignment="1">
      <alignment horizontal="center"/>
    </xf>
    <xf numFmtId="43" fontId="4" fillId="0" borderId="0" xfId="2" applyFont="1" applyFill="1"/>
    <xf numFmtId="43" fontId="3" fillId="0" borderId="0" xfId="2" applyFont="1" applyFill="1" applyAlignment="1">
      <alignment horizontal="center" vertical="center"/>
    </xf>
    <xf numFmtId="43" fontId="4" fillId="0" borderId="0" xfId="2" applyFont="1" applyFill="1" applyBorder="1" applyAlignment="1">
      <alignment horizontal="center"/>
    </xf>
    <xf numFmtId="43" fontId="3" fillId="0" borderId="0" xfId="2" applyFont="1" applyFill="1" applyAlignment="1"/>
    <xf numFmtId="10" fontId="4" fillId="0" borderId="0" xfId="1" applyNumberFormat="1" applyFont="1" applyFill="1"/>
    <xf numFmtId="0" fontId="3" fillId="2" borderId="1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4" fontId="4" fillId="4" borderId="18" xfId="0" applyNumberFormat="1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14" fillId="0" borderId="0" xfId="0" applyFont="1" applyAlignment="1"/>
    <xf numFmtId="0" fontId="15" fillId="4" borderId="0" xfId="0" applyFont="1" applyFill="1" applyAlignment="1">
      <alignment horizontal="center"/>
    </xf>
    <xf numFmtId="10" fontId="15" fillId="4" borderId="0" xfId="1" applyNumberFormat="1" applyFont="1" applyFill="1"/>
    <xf numFmtId="0" fontId="15" fillId="4" borderId="0" xfId="0" applyFont="1" applyFill="1" applyBorder="1" applyAlignment="1">
      <alignment horizontal="center"/>
    </xf>
    <xf numFmtId="10" fontId="15" fillId="0" borderId="0" xfId="1" applyNumberFormat="1" applyFont="1" applyFill="1" applyAlignment="1">
      <alignment horizontal="center"/>
    </xf>
    <xf numFmtId="0" fontId="15" fillId="0" borderId="0" xfId="0" applyFont="1" applyFill="1"/>
    <xf numFmtId="0" fontId="13" fillId="0" borderId="3" xfId="0" applyFont="1" applyBorder="1" applyAlignment="1"/>
    <xf numFmtId="43" fontId="14" fillId="0" borderId="0" xfId="2" applyFont="1" applyAlignment="1">
      <alignment horizontal="center"/>
    </xf>
    <xf numFmtId="10" fontId="6" fillId="0" borderId="25" xfId="1" applyNumberFormat="1" applyFont="1" applyBorder="1"/>
    <xf numFmtId="10" fontId="6" fillId="0" borderId="13" xfId="1" applyNumberFormat="1" applyFont="1" applyBorder="1"/>
    <xf numFmtId="2" fontId="6" fillId="0" borderId="0" xfId="0" applyNumberFormat="1" applyFont="1"/>
    <xf numFmtId="10" fontId="6" fillId="0" borderId="2" xfId="1" applyNumberFormat="1" applyFont="1" applyBorder="1" applyAlignment="1">
      <alignment horizontal="center"/>
    </xf>
    <xf numFmtId="43" fontId="6" fillId="4" borderId="15" xfId="2" applyNumberFormat="1" applyFont="1" applyFill="1" applyBorder="1" applyAlignment="1">
      <alignment horizontal="center"/>
    </xf>
    <xf numFmtId="10" fontId="6" fillId="7" borderId="0" xfId="1" applyNumberFormat="1" applyFont="1" applyFill="1" applyAlignment="1">
      <alignment horizontal="center"/>
    </xf>
    <xf numFmtId="43" fontId="14" fillId="0" borderId="0" xfId="2" applyFont="1" applyAlignment="1">
      <alignment horizontal="center"/>
    </xf>
    <xf numFmtId="4" fontId="4" fillId="0" borderId="0" xfId="0" applyNumberFormat="1" applyFont="1"/>
    <xf numFmtId="21" fontId="4" fillId="0" borderId="0" xfId="0" applyNumberFormat="1" applyFont="1"/>
    <xf numFmtId="4" fontId="4" fillId="0" borderId="4" xfId="0" applyNumberFormat="1" applyFont="1" applyBorder="1"/>
    <xf numFmtId="0" fontId="17" fillId="4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16" fontId="5" fillId="3" borderId="0" xfId="0" applyNumberFormat="1" applyFont="1" applyFill="1" applyAlignment="1">
      <alignment horizontal="center" vertical="center" wrapText="1"/>
    </xf>
    <xf numFmtId="4" fontId="6" fillId="0" borderId="0" xfId="0" applyNumberFormat="1" applyFont="1" applyAlignment="1">
      <alignment horizontal="center"/>
    </xf>
    <xf numFmtId="16" fontId="5" fillId="3" borderId="23" xfId="0" applyNumberFormat="1" applyFont="1" applyFill="1" applyBorder="1" applyAlignment="1">
      <alignment horizontal="center" vertical="center" wrapText="1"/>
    </xf>
    <xf numFmtId="3" fontId="6" fillId="0" borderId="15" xfId="0" applyNumberFormat="1" applyFont="1" applyBorder="1" applyAlignment="1">
      <alignment horizontal="center"/>
    </xf>
    <xf numFmtId="4" fontId="6" fillId="0" borderId="15" xfId="0" applyNumberFormat="1" applyFont="1" applyBorder="1" applyAlignment="1">
      <alignment horizontal="center"/>
    </xf>
    <xf numFmtId="10" fontId="6" fillId="0" borderId="15" xfId="1" applyNumberFormat="1" applyFont="1" applyBorder="1" applyAlignment="1">
      <alignment horizontal="center"/>
    </xf>
    <xf numFmtId="0" fontId="20" fillId="2" borderId="14" xfId="0" applyFont="1" applyFill="1" applyBorder="1" applyAlignment="1">
      <alignment horizontal="center"/>
    </xf>
    <xf numFmtId="0" fontId="20" fillId="2" borderId="22" xfId="0" applyFont="1" applyFill="1" applyBorder="1" applyAlignment="1">
      <alignment horizontal="center"/>
    </xf>
    <xf numFmtId="0" fontId="20" fillId="2" borderId="27" xfId="0" applyFont="1" applyFill="1" applyBorder="1" applyAlignment="1">
      <alignment horizontal="center"/>
    </xf>
    <xf numFmtId="10" fontId="4" fillId="7" borderId="0" xfId="1" applyNumberFormat="1" applyFont="1" applyFill="1" applyAlignment="1">
      <alignment horizontal="center"/>
    </xf>
    <xf numFmtId="2" fontId="4" fillId="0" borderId="18" xfId="0" applyNumberFormat="1" applyFont="1" applyBorder="1" applyAlignment="1">
      <alignment horizontal="center"/>
    </xf>
    <xf numFmtId="0" fontId="18" fillId="4" borderId="0" xfId="0" applyFont="1" applyFill="1"/>
    <xf numFmtId="0" fontId="6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7" fillId="0" borderId="0" xfId="0" applyFont="1" applyAlignment="1"/>
    <xf numFmtId="17" fontId="6" fillId="0" borderId="0" xfId="0" applyNumberFormat="1" applyFont="1" applyAlignment="1">
      <alignment horizontal="center"/>
    </xf>
    <xf numFmtId="0" fontId="22" fillId="0" borderId="0" xfId="0" applyFont="1"/>
    <xf numFmtId="0" fontId="4" fillId="0" borderId="0" xfId="0" applyFont="1" applyFill="1" applyAlignment="1">
      <alignment horizontal="left"/>
    </xf>
    <xf numFmtId="4" fontId="4" fillId="0" borderId="28" xfId="0" applyNumberFormat="1" applyFont="1" applyBorder="1"/>
    <xf numFmtId="3" fontId="4" fillId="0" borderId="29" xfId="0" applyNumberFormat="1" applyFont="1" applyBorder="1"/>
    <xf numFmtId="3" fontId="4" fillId="0" borderId="8" xfId="0" applyNumberFormat="1" applyFont="1" applyBorder="1"/>
    <xf numFmtId="4" fontId="4" fillId="0" borderId="29" xfId="0" applyNumberFormat="1" applyFont="1" applyBorder="1" applyAlignment="1">
      <alignment horizontal="center"/>
    </xf>
    <xf numFmtId="4" fontId="4" fillId="0" borderId="0" xfId="0" applyNumberFormat="1" applyFont="1" applyBorder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0" fontId="12" fillId="0" borderId="0" xfId="0" applyFont="1"/>
    <xf numFmtId="10" fontId="0" fillId="0" borderId="0" xfId="1" applyNumberFormat="1" applyFont="1"/>
    <xf numFmtId="0" fontId="18" fillId="0" borderId="0" xfId="0" applyFont="1"/>
    <xf numFmtId="0" fontId="6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3" fillId="0" borderId="0" xfId="0" applyFont="1" applyFill="1" applyAlignment="1">
      <alignment horizontal="center" vertical="center" wrapText="1"/>
    </xf>
    <xf numFmtId="0" fontId="13" fillId="0" borderId="0" xfId="0" applyFont="1" applyFill="1" applyBorder="1" applyAlignment="1"/>
    <xf numFmtId="0" fontId="16" fillId="0" borderId="0" xfId="0" applyFont="1" applyAlignment="1">
      <alignment vertical="center"/>
    </xf>
    <xf numFmtId="0" fontId="0" fillId="0" borderId="0" xfId="0" applyFill="1"/>
    <xf numFmtId="0" fontId="10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  <xf numFmtId="10" fontId="6" fillId="0" borderId="0" xfId="1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0" fontId="7" fillId="0" borderId="0" xfId="1" applyNumberFormat="1" applyFont="1" applyFill="1" applyBorder="1" applyAlignment="1">
      <alignment horizontal="center"/>
    </xf>
    <xf numFmtId="10" fontId="0" fillId="0" borderId="0" xfId="0" applyNumberFormat="1"/>
    <xf numFmtId="165" fontId="4" fillId="4" borderId="0" xfId="0" applyNumberFormat="1" applyFont="1" applyFill="1" applyAlignment="1">
      <alignment horizontal="center"/>
    </xf>
    <xf numFmtId="0" fontId="14" fillId="0" borderId="0" xfId="0" applyFont="1" applyFill="1" applyAlignment="1"/>
    <xf numFmtId="10" fontId="4" fillId="7" borderId="18" xfId="1" applyNumberFormat="1" applyFont="1" applyFill="1" applyBorder="1" applyAlignment="1">
      <alignment horizontal="center"/>
    </xf>
    <xf numFmtId="10" fontId="4" fillId="7" borderId="0" xfId="1" applyNumberFormat="1" applyFont="1" applyFill="1" applyBorder="1" applyAlignment="1">
      <alignment horizontal="center"/>
    </xf>
    <xf numFmtId="10" fontId="2" fillId="0" borderId="1" xfId="0" applyNumberFormat="1" applyFont="1" applyBorder="1"/>
    <xf numFmtId="0" fontId="3" fillId="2" borderId="1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4" fontId="6" fillId="4" borderId="0" xfId="0" applyNumberFormat="1" applyFont="1" applyFill="1" applyAlignment="1">
      <alignment horizontal="center"/>
    </xf>
    <xf numFmtId="10" fontId="7" fillId="0" borderId="1" xfId="0" applyNumberFormat="1" applyFont="1" applyBorder="1"/>
    <xf numFmtId="0" fontId="27" fillId="3" borderId="0" xfId="0" applyFont="1" applyFill="1" applyAlignment="1">
      <alignment horizontal="center" vertical="center"/>
    </xf>
    <xf numFmtId="0" fontId="27" fillId="3" borderId="2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/>
    </xf>
    <xf numFmtId="4" fontId="4" fillId="0" borderId="0" xfId="0" applyNumberFormat="1" applyFont="1" applyFill="1" applyAlignment="1">
      <alignment horizontal="right"/>
    </xf>
    <xf numFmtId="16" fontId="27" fillId="3" borderId="22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/>
    <xf numFmtId="16" fontId="3" fillId="2" borderId="0" xfId="0" applyNumberFormat="1" applyFont="1" applyFill="1" applyAlignment="1">
      <alignment horizontal="center" vertical="center"/>
    </xf>
    <xf numFmtId="164" fontId="4" fillId="5" borderId="5" xfId="0" applyNumberFormat="1" applyFont="1" applyFill="1" applyBorder="1"/>
    <xf numFmtId="4" fontId="4" fillId="5" borderId="4" xfId="0" applyNumberFormat="1" applyFont="1" applyFill="1" applyBorder="1"/>
    <xf numFmtId="3" fontId="4" fillId="5" borderId="0" xfId="0" applyNumberFormat="1" applyFont="1" applyFill="1" applyBorder="1"/>
    <xf numFmtId="3" fontId="4" fillId="5" borderId="5" xfId="0" applyNumberFormat="1" applyFont="1" applyFill="1" applyBorder="1"/>
    <xf numFmtId="4" fontId="4" fillId="5" borderId="0" xfId="0" applyNumberFormat="1" applyFont="1" applyFill="1" applyBorder="1"/>
    <xf numFmtId="2" fontId="4" fillId="5" borderId="0" xfId="0" applyNumberFormat="1" applyFont="1" applyFill="1" applyBorder="1"/>
    <xf numFmtId="43" fontId="14" fillId="0" borderId="0" xfId="2" applyFont="1" applyAlignment="1"/>
    <xf numFmtId="164" fontId="4" fillId="0" borderId="5" xfId="0" applyNumberFormat="1" applyFont="1" applyFill="1" applyBorder="1"/>
    <xf numFmtId="4" fontId="4" fillId="0" borderId="4" xfId="0" applyNumberFormat="1" applyFont="1" applyFill="1" applyBorder="1"/>
    <xf numFmtId="4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/>
    <xf numFmtId="3" fontId="4" fillId="0" borderId="5" xfId="0" applyNumberFormat="1" applyFont="1" applyFill="1" applyBorder="1"/>
    <xf numFmtId="4" fontId="4" fillId="0" borderId="0" xfId="0" applyNumberFormat="1" applyFont="1" applyFill="1" applyBorder="1"/>
    <xf numFmtId="2" fontId="4" fillId="0" borderId="0" xfId="0" applyNumberFormat="1" applyFont="1" applyFill="1" applyBorder="1"/>
    <xf numFmtId="0" fontId="4" fillId="0" borderId="0" xfId="0" applyFont="1" applyFill="1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25" fillId="0" borderId="0" xfId="0" applyFont="1" applyFill="1" applyAlignment="1">
      <alignment horizontal="right" vertical="center"/>
    </xf>
    <xf numFmtId="0" fontId="22" fillId="0" borderId="0" xfId="0" applyFont="1" applyFill="1"/>
    <xf numFmtId="0" fontId="9" fillId="0" borderId="0" xfId="0" applyFont="1" applyFill="1" applyAlignment="1"/>
    <xf numFmtId="0" fontId="5" fillId="0" borderId="0" xfId="0" applyFont="1" applyFill="1" applyAlignment="1">
      <alignment horizontal="center" vertical="center" wrapText="1"/>
    </xf>
    <xf numFmtId="2" fontId="0" fillId="0" borderId="0" xfId="0" applyNumberForma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8" fillId="0" borderId="0" xfId="0" applyFont="1" applyFill="1" applyAlignment="1"/>
    <xf numFmtId="0" fontId="0" fillId="0" borderId="0" xfId="0" applyFont="1"/>
    <xf numFmtId="2" fontId="0" fillId="0" borderId="0" xfId="0" applyNumberFormat="1" applyFont="1"/>
    <xf numFmtId="14" fontId="4" fillId="0" borderId="0" xfId="0" applyNumberFormat="1" applyFont="1" applyFill="1" applyBorder="1"/>
    <xf numFmtId="4" fontId="4" fillId="5" borderId="0" xfId="0" applyNumberFormat="1" applyFont="1" applyFill="1" applyAlignment="1"/>
    <xf numFmtId="4" fontId="4" fillId="5" borderId="0" xfId="0" applyNumberFormat="1" applyFont="1" applyFill="1" applyBorder="1" applyAlignment="1"/>
    <xf numFmtId="0" fontId="4" fillId="0" borderId="0" xfId="0" applyFont="1" applyAlignment="1"/>
    <xf numFmtId="0" fontId="0" fillId="0" borderId="3" xfId="0" applyBorder="1"/>
    <xf numFmtId="10" fontId="6" fillId="4" borderId="0" xfId="1" applyNumberFormat="1" applyFont="1" applyFill="1"/>
    <xf numFmtId="0" fontId="6" fillId="0" borderId="3" xfId="0" applyFont="1" applyBorder="1"/>
    <xf numFmtId="10" fontId="6" fillId="4" borderId="3" xfId="0" applyNumberFormat="1" applyFont="1" applyFill="1" applyBorder="1" applyAlignment="1">
      <alignment horizontal="center"/>
    </xf>
    <xf numFmtId="10" fontId="6" fillId="4" borderId="3" xfId="1" applyNumberFormat="1" applyFont="1" applyFill="1" applyBorder="1"/>
    <xf numFmtId="2" fontId="6" fillId="4" borderId="15" xfId="0" applyNumberFormat="1" applyFont="1" applyFill="1" applyBorder="1" applyAlignment="1">
      <alignment horizontal="center"/>
    </xf>
    <xf numFmtId="2" fontId="6" fillId="4" borderId="20" xfId="0" applyNumberFormat="1" applyFont="1" applyFill="1" applyBorder="1" applyAlignment="1">
      <alignment horizontal="center"/>
    </xf>
    <xf numFmtId="10" fontId="6" fillId="4" borderId="0" xfId="0" applyNumberFormat="1" applyFont="1" applyFill="1" applyBorder="1" applyAlignment="1">
      <alignment horizontal="center"/>
    </xf>
    <xf numFmtId="4" fontId="6" fillId="0" borderId="16" xfId="0" applyNumberFormat="1" applyFont="1" applyFill="1" applyBorder="1" applyAlignment="1">
      <alignment horizontal="center"/>
    </xf>
    <xf numFmtId="4" fontId="6" fillId="0" borderId="18" xfId="0" applyNumberFormat="1" applyFont="1" applyFill="1" applyBorder="1" applyAlignment="1">
      <alignment horizontal="center"/>
    </xf>
    <xf numFmtId="4" fontId="6" fillId="0" borderId="19" xfId="0" applyNumberFormat="1" applyFont="1" applyFill="1" applyBorder="1" applyAlignment="1">
      <alignment horizontal="center"/>
    </xf>
    <xf numFmtId="10" fontId="31" fillId="0" borderId="33" xfId="0" applyNumberFormat="1" applyFont="1" applyBorder="1"/>
    <xf numFmtId="10" fontId="31" fillId="0" borderId="34" xfId="0" applyNumberFormat="1" applyFont="1" applyBorder="1"/>
    <xf numFmtId="4" fontId="6" fillId="8" borderId="17" xfId="0" applyNumberFormat="1" applyFont="1" applyFill="1" applyBorder="1" applyAlignment="1">
      <alignment horizontal="center"/>
    </xf>
    <xf numFmtId="4" fontId="6" fillId="8" borderId="15" xfId="0" applyNumberFormat="1" applyFont="1" applyFill="1" applyBorder="1" applyAlignment="1">
      <alignment horizontal="center"/>
    </xf>
    <xf numFmtId="4" fontId="6" fillId="8" borderId="20" xfId="0" applyNumberFormat="1" applyFont="1" applyFill="1" applyBorder="1" applyAlignment="1">
      <alignment horizontal="center"/>
    </xf>
    <xf numFmtId="0" fontId="32" fillId="0" borderId="0" xfId="0" applyFont="1"/>
    <xf numFmtId="0" fontId="6" fillId="8" borderId="35" xfId="0" applyFont="1" applyFill="1" applyBorder="1" applyAlignment="1">
      <alignment horizontal="center"/>
    </xf>
    <xf numFmtId="10" fontId="6" fillId="4" borderId="35" xfId="0" applyNumberFormat="1" applyFont="1" applyFill="1" applyBorder="1" applyAlignment="1">
      <alignment horizontal="center"/>
    </xf>
    <xf numFmtId="0" fontId="29" fillId="3" borderId="3" xfId="0" applyFont="1" applyFill="1" applyBorder="1" applyAlignment="1">
      <alignment horizontal="center" vertical="center"/>
    </xf>
    <xf numFmtId="16" fontId="29" fillId="3" borderId="32" xfId="0" applyNumberFormat="1" applyFont="1" applyFill="1" applyBorder="1" applyAlignment="1">
      <alignment horizontal="center" vertical="center"/>
    </xf>
    <xf numFmtId="16" fontId="29" fillId="3" borderId="3" xfId="0" applyNumberFormat="1" applyFont="1" applyFill="1" applyBorder="1" applyAlignment="1">
      <alignment horizontal="center" vertical="center"/>
    </xf>
    <xf numFmtId="10" fontId="29" fillId="3" borderId="22" xfId="1" applyNumberFormat="1" applyFont="1" applyFill="1" applyBorder="1" applyAlignment="1">
      <alignment horizontal="center"/>
    </xf>
    <xf numFmtId="10" fontId="29" fillId="3" borderId="24" xfId="1" applyNumberFormat="1" applyFont="1" applyFill="1" applyBorder="1" applyAlignment="1">
      <alignment horizontal="center"/>
    </xf>
    <xf numFmtId="0" fontId="29" fillId="3" borderId="0" xfId="0" applyFont="1" applyFill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43" fontId="6" fillId="0" borderId="0" xfId="2" applyFont="1" applyAlignment="1">
      <alignment horizontal="center"/>
    </xf>
    <xf numFmtId="2" fontId="6" fillId="0" borderId="36" xfId="0" applyNumberFormat="1" applyFont="1" applyBorder="1" applyAlignment="1">
      <alignment horizontal="center"/>
    </xf>
    <xf numFmtId="43" fontId="6" fillId="0" borderId="0" xfId="2" applyFont="1"/>
    <xf numFmtId="0" fontId="29" fillId="3" borderId="13" xfId="0" applyFont="1" applyFill="1" applyBorder="1" applyAlignment="1">
      <alignment horizontal="center" vertical="center"/>
    </xf>
    <xf numFmtId="2" fontId="6" fillId="8" borderId="36" xfId="0" applyNumberFormat="1" applyFont="1" applyFill="1" applyBorder="1" applyAlignment="1">
      <alignment horizontal="center"/>
    </xf>
    <xf numFmtId="10" fontId="34" fillId="0" borderId="33" xfId="0" applyNumberFormat="1" applyFont="1" applyBorder="1"/>
    <xf numFmtId="10" fontId="34" fillId="0" borderId="34" xfId="0" applyNumberFormat="1" applyFont="1" applyBorder="1"/>
    <xf numFmtId="4" fontId="4" fillId="5" borderId="0" xfId="0" applyNumberFormat="1" applyFont="1" applyFill="1"/>
    <xf numFmtId="14" fontId="4" fillId="5" borderId="0" xfId="0" applyNumberFormat="1" applyFont="1" applyFill="1"/>
    <xf numFmtId="4" fontId="4" fillId="0" borderId="0" xfId="0" applyNumberFormat="1" applyFont="1" applyFill="1"/>
    <xf numFmtId="14" fontId="4" fillId="0" borderId="0" xfId="0" applyNumberFormat="1" applyFont="1" applyFill="1"/>
    <xf numFmtId="164" fontId="4" fillId="9" borderId="5" xfId="0" applyNumberFormat="1" applyFont="1" applyFill="1" applyBorder="1"/>
    <xf numFmtId="4" fontId="4" fillId="9" borderId="0" xfId="0" applyNumberFormat="1" applyFont="1" applyFill="1"/>
    <xf numFmtId="4" fontId="4" fillId="9" borderId="0" xfId="0" applyNumberFormat="1" applyFont="1" applyFill="1" applyBorder="1" applyAlignment="1">
      <alignment horizontal="center"/>
    </xf>
    <xf numFmtId="3" fontId="4" fillId="9" borderId="5" xfId="0" applyNumberFormat="1" applyFont="1" applyFill="1" applyBorder="1"/>
    <xf numFmtId="4" fontId="4" fillId="9" borderId="0" xfId="0" applyNumberFormat="1" applyFont="1" applyFill="1" applyBorder="1"/>
    <xf numFmtId="2" fontId="4" fillId="9" borderId="0" xfId="0" applyNumberFormat="1" applyFont="1" applyFill="1"/>
    <xf numFmtId="2" fontId="4" fillId="9" borderId="0" xfId="0" applyNumberFormat="1" applyFont="1" applyFill="1" applyBorder="1"/>
    <xf numFmtId="0" fontId="4" fillId="9" borderId="0" xfId="0" applyFont="1" applyFill="1"/>
    <xf numFmtId="4" fontId="4" fillId="9" borderId="4" xfId="0" applyNumberFormat="1" applyFont="1" applyFill="1" applyBorder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23" fillId="0" borderId="0" xfId="0" applyFont="1" applyFill="1" applyAlignment="1">
      <alignment horizontal="right"/>
    </xf>
    <xf numFmtId="0" fontId="3" fillId="2" borderId="2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9" fillId="3" borderId="12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0" fillId="0" borderId="33" xfId="0" applyFont="1" applyBorder="1" applyAlignment="1">
      <alignment horizontal="center"/>
    </xf>
    <xf numFmtId="0" fontId="30" fillId="0" borderId="34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29" fillId="3" borderId="13" xfId="0" applyFont="1" applyFill="1" applyBorder="1" applyAlignment="1">
      <alignment horizontal="center" vertical="center" wrapText="1"/>
    </xf>
    <xf numFmtId="0" fontId="29" fillId="3" borderId="30" xfId="0" applyFont="1" applyFill="1" applyBorder="1" applyAlignment="1">
      <alignment horizontal="center" vertical="center" wrapText="1"/>
    </xf>
    <xf numFmtId="0" fontId="29" fillId="3" borderId="23" xfId="0" applyFont="1" applyFill="1" applyBorder="1" applyAlignment="1">
      <alignment horizontal="center" vertical="center" wrapText="1"/>
    </xf>
    <xf numFmtId="0" fontId="29" fillId="3" borderId="31" xfId="0" applyFont="1" applyFill="1" applyBorder="1" applyAlignment="1">
      <alignment horizontal="center" vertical="center" wrapText="1"/>
    </xf>
    <xf numFmtId="0" fontId="29" fillId="3" borderId="0" xfId="0" applyFont="1" applyFill="1" applyBorder="1" applyAlignment="1">
      <alignment horizontal="center" vertical="center" wrapText="1"/>
    </xf>
    <xf numFmtId="0" fontId="29" fillId="3" borderId="3" xfId="0" applyFont="1" applyFill="1" applyBorder="1" applyAlignment="1">
      <alignment horizontal="center" vertical="center" wrapText="1"/>
    </xf>
    <xf numFmtId="0" fontId="29" fillId="3" borderId="10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13" xfId="0" applyFont="1" applyFill="1" applyBorder="1" applyAlignment="1">
      <alignment horizontal="center" wrapText="1"/>
    </xf>
    <xf numFmtId="43" fontId="14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164" fontId="4" fillId="5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29" fillId="3" borderId="23" xfId="0" applyFont="1" applyFill="1" applyBorder="1" applyAlignment="1">
      <alignment horizontal="center" vertical="center"/>
    </xf>
    <xf numFmtId="0" fontId="29" fillId="3" borderId="0" xfId="0" applyFont="1" applyFill="1" applyAlignment="1">
      <alignment horizontal="center" vertical="center" wrapText="1"/>
    </xf>
    <xf numFmtId="0" fontId="29" fillId="3" borderId="21" xfId="0" applyFont="1" applyFill="1" applyBorder="1" applyAlignment="1">
      <alignment horizontal="center"/>
    </xf>
    <xf numFmtId="0" fontId="24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0" fillId="2" borderId="21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0" fillId="2" borderId="26" xfId="0" applyFont="1" applyFill="1" applyBorder="1" applyAlignment="1">
      <alignment horizontal="center" wrapText="1"/>
    </xf>
    <xf numFmtId="0" fontId="20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6" fillId="3" borderId="21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MX" sz="11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Curva de bonos en dólares ley NY</a:t>
            </a:r>
            <a:endParaRPr lang="es-AR" sz="1100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7330638803229446"/>
          <c:y val="4.134022904476454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53485098507007"/>
          <c:y val="0.17485264416912649"/>
          <c:w val="0.82709667132557763"/>
          <c:h val="0.6786871794871794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4.2433765792612883E-2"/>
                  <c:y val="3.4393765130737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381-4F03-8A8D-263CBADD1530}"/>
                </c:ext>
              </c:extLst>
            </c:dLbl>
            <c:dLbl>
              <c:idx val="1"/>
              <c:layout>
                <c:manualLayout>
                  <c:x val="-4.547157157405844E-3"/>
                  <c:y val="3.849751895914067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381-4F03-8A8D-263CBADD1530}"/>
                </c:ext>
              </c:extLst>
            </c:dLbl>
            <c:dLbl>
              <c:idx val="2"/>
              <c:layout>
                <c:manualLayout>
                  <c:x val="-8.5849800030935938E-3"/>
                  <c:y val="1.330947495244420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381-4F03-8A8D-263CBADD1530}"/>
                </c:ext>
              </c:extLst>
            </c:dLbl>
            <c:dLbl>
              <c:idx val="3"/>
              <c:layout>
                <c:manualLayout>
                  <c:x val="-5.4861770038997587E-2"/>
                  <c:y val="2.91109654680804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381-4F03-8A8D-263CBADD1530}"/>
                </c:ext>
              </c:extLst>
            </c:dLbl>
            <c:dLbl>
              <c:idx val="4"/>
              <c:layout>
                <c:manualLayout>
                  <c:x val="-8.4240041833294962E-3"/>
                  <c:y val="-1.30310183908034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381-4F03-8A8D-263CBADD1530}"/>
                </c:ext>
              </c:extLst>
            </c:dLbl>
            <c:dLbl>
              <c:idx val="5"/>
              <c:layout>
                <c:manualLayout>
                  <c:x val="-1.2818594473347288E-2"/>
                  <c:y val="-1.17303971357688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GD46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381-4F03-8A8D-263CBADD1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525">
                <a:solidFill>
                  <a:schemeClr val="accent5">
                    <a:lumMod val="50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Monitor!$G$14:$G$19</c:f>
              <c:numCache>
                <c:formatCode>0.00</c:formatCode>
                <c:ptCount val="6"/>
                <c:pt idx="0">
                  <c:v>4.7038208985776873</c:v>
                </c:pt>
                <c:pt idx="1">
                  <c:v>5.0228680048178713</c:v>
                </c:pt>
                <c:pt idx="2">
                  <c:v>7.8957170172658149</c:v>
                </c:pt>
                <c:pt idx="3">
                  <c:v>6.8082582641755565</c:v>
                </c:pt>
                <c:pt idx="4">
                  <c:v>7.6978776266562452</c:v>
                </c:pt>
                <c:pt idx="5">
                  <c:v>7.2044001676840024</c:v>
                </c:pt>
              </c:numCache>
            </c:numRef>
          </c:xVal>
          <c:yVal>
            <c:numRef>
              <c:f>Monitor!$F$14:$F$19</c:f>
              <c:numCache>
                <c:formatCode>0.00%</c:formatCode>
                <c:ptCount val="6"/>
                <c:pt idx="0">
                  <c:v>0.18260790705680849</c:v>
                </c:pt>
                <c:pt idx="1">
                  <c:v>0.18306362032890325</c:v>
                </c:pt>
                <c:pt idx="2">
                  <c:v>0.16240534186363223</c:v>
                </c:pt>
                <c:pt idx="3">
                  <c:v>0.16229885220527654</c:v>
                </c:pt>
                <c:pt idx="4">
                  <c:v>0.14720516800880437</c:v>
                </c:pt>
                <c:pt idx="5">
                  <c:v>0.15977626442909246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Curva implícita actual</c:v>
                </c15:tx>
              </c15:filteredSeriesTitle>
            </c:ext>
            <c:ext xmlns:c16="http://schemas.microsoft.com/office/drawing/2014/chart" uri="{C3380CC4-5D6E-409C-BE32-E72D297353CC}">
              <c16:uniqueId val="{00000006-2381-4F03-8A8D-263CBADD1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57792"/>
        <c:axId val="223081600"/>
      </c:scatterChart>
      <c:valAx>
        <c:axId val="223057792"/>
        <c:scaling>
          <c:orientation val="minMax"/>
          <c:max val="8.5"/>
          <c:min val="4.5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s-AR" sz="700">
                    <a:latin typeface="Bahnschrift SemiBold" panose="020B0502040204020203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52677784098280489"/>
              <c:y val="0.88266908206691641"/>
            </c:manualLayout>
          </c:layout>
          <c:overlay val="0"/>
        </c:title>
        <c:numFmt formatCode="0.0;[Red]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ea typeface="Microsoft JhengHei" panose="020B0604030504040204" pitchFamily="34" charset="-120"/>
                <a:cs typeface="Calibri" panose="020F0502020204030204" pitchFamily="34" charset="0"/>
              </a:defRPr>
            </a:pPr>
            <a:endParaRPr lang="es-AR"/>
          </a:p>
        </c:txPr>
        <c:crossAx val="223081600"/>
        <c:crosses val="autoZero"/>
        <c:crossBetween val="midCat"/>
        <c:minorUnit val="0.5"/>
      </c:valAx>
      <c:valAx>
        <c:axId val="223081600"/>
        <c:scaling>
          <c:orientation val="minMax"/>
          <c:max val="0.18000000000000002"/>
          <c:min val="0.1480000000000000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700"/>
                </a:pPr>
                <a:r>
                  <a:rPr lang="en-US" sz="700" b="1">
                    <a:latin typeface="Bahnschrift SemiBold" panose="020B0502040204020203" pitchFamily="34" charset="0"/>
                    <a:cs typeface="Arial" panose="020B0604020202020204" pitchFamily="34" charset="0"/>
                  </a:rPr>
                  <a:t>TIR</a:t>
                </a:r>
              </a:p>
            </c:rich>
          </c:tx>
          <c:layout>
            <c:manualLayout>
              <c:xMode val="edge"/>
              <c:yMode val="edge"/>
              <c:x val="3.816328700418585E-2"/>
              <c:y val="0.47145586222904656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ea typeface="Microsoft JhengHei" panose="020B0604030504040204" pitchFamily="34" charset="-120"/>
                <a:cs typeface="Calibri" panose="020F0502020204030204" pitchFamily="34" charset="0"/>
              </a:defRPr>
            </a:pPr>
            <a:endParaRPr lang="es-AR"/>
          </a:p>
        </c:txPr>
        <c:crossAx val="223057792"/>
        <c:crossesAt val="0"/>
        <c:crossBetween val="midCat"/>
        <c:majorUnit val="8.0000000000000019E-3"/>
      </c:valAx>
      <c:spPr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MX" sz="1200" b="1" i="0" baseline="0">
                <a:effectLst/>
                <a:latin typeface="Arial" pitchFamily="34" charset="0"/>
                <a:cs typeface="Arial" pitchFamily="34" charset="0"/>
              </a:rPr>
              <a:t>Ratio AL29/AL30</a:t>
            </a:r>
            <a:endParaRPr lang="es-AR" sz="1200">
              <a:effectLst/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6927564537709212"/>
          <c:y val="5.768286484935155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7713452916831"/>
          <c:y val="0.19820639465521353"/>
          <c:w val="0.74937220930285264"/>
          <c:h val="0.66260319732760675"/>
        </c:manualLayout>
      </c:layout>
      <c:scatterChart>
        <c:scatterStyle val="lineMarker"/>
        <c:varyColors val="0"/>
        <c:ser>
          <c:idx val="0"/>
          <c:order val="0"/>
          <c:tx>
            <c:v>Ratio AL29/AL30</c:v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'Ratios ley ARG'!$A$3:$A$204</c:f>
              <c:numCache>
                <c:formatCode>dd/mm/yyyy;@</c:formatCode>
                <c:ptCount val="202"/>
                <c:pt idx="0">
                  <c:v>44081</c:v>
                </c:pt>
                <c:pt idx="1">
                  <c:v>44082</c:v>
                </c:pt>
                <c:pt idx="2">
                  <c:v>44083</c:v>
                </c:pt>
                <c:pt idx="3">
                  <c:v>44084</c:v>
                </c:pt>
                <c:pt idx="4">
                  <c:v>44085</c:v>
                </c:pt>
                <c:pt idx="5">
                  <c:v>44088</c:v>
                </c:pt>
                <c:pt idx="6">
                  <c:v>44089</c:v>
                </c:pt>
                <c:pt idx="7">
                  <c:v>44090</c:v>
                </c:pt>
                <c:pt idx="8">
                  <c:v>44091</c:v>
                </c:pt>
                <c:pt idx="9">
                  <c:v>44092</c:v>
                </c:pt>
                <c:pt idx="10">
                  <c:v>44095</c:v>
                </c:pt>
                <c:pt idx="11">
                  <c:v>44096</c:v>
                </c:pt>
                <c:pt idx="12">
                  <c:v>44097</c:v>
                </c:pt>
                <c:pt idx="13">
                  <c:v>44098</c:v>
                </c:pt>
                <c:pt idx="14">
                  <c:v>44099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44133</c:v>
                </c:pt>
                <c:pt idx="38">
                  <c:v>44134</c:v>
                </c:pt>
                <c:pt idx="39">
                  <c:v>44137</c:v>
                </c:pt>
                <c:pt idx="40">
                  <c:v>44138</c:v>
                </c:pt>
                <c:pt idx="41">
                  <c:v>44139</c:v>
                </c:pt>
                <c:pt idx="42">
                  <c:v>44140</c:v>
                </c:pt>
                <c:pt idx="43">
                  <c:v>44141</c:v>
                </c:pt>
                <c:pt idx="44">
                  <c:v>44144</c:v>
                </c:pt>
                <c:pt idx="45">
                  <c:v>44145</c:v>
                </c:pt>
                <c:pt idx="46">
                  <c:v>44146</c:v>
                </c:pt>
                <c:pt idx="47">
                  <c:v>44147</c:v>
                </c:pt>
                <c:pt idx="48">
                  <c:v>44148</c:v>
                </c:pt>
                <c:pt idx="49">
                  <c:v>44151</c:v>
                </c:pt>
                <c:pt idx="50">
                  <c:v>44152</c:v>
                </c:pt>
                <c:pt idx="51">
                  <c:v>44153</c:v>
                </c:pt>
                <c:pt idx="52">
                  <c:v>44154</c:v>
                </c:pt>
                <c:pt idx="53">
                  <c:v>44155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44174</c:v>
                </c:pt>
                <c:pt idx="64">
                  <c:v>44175</c:v>
                </c:pt>
                <c:pt idx="65">
                  <c:v>44176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44183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44193</c:v>
                </c:pt>
                <c:pt idx="75">
                  <c:v>44194</c:v>
                </c:pt>
                <c:pt idx="76">
                  <c:v>44195</c:v>
                </c:pt>
                <c:pt idx="77">
                  <c:v>44200</c:v>
                </c:pt>
                <c:pt idx="78">
                  <c:v>44201</c:v>
                </c:pt>
                <c:pt idx="79">
                  <c:v>44202</c:v>
                </c:pt>
                <c:pt idx="80">
                  <c:v>44203</c:v>
                </c:pt>
                <c:pt idx="81">
                  <c:v>44204</c:v>
                </c:pt>
                <c:pt idx="82">
                  <c:v>44207</c:v>
                </c:pt>
                <c:pt idx="83">
                  <c:v>44208</c:v>
                </c:pt>
                <c:pt idx="84">
                  <c:v>44209</c:v>
                </c:pt>
                <c:pt idx="85">
                  <c:v>44210</c:v>
                </c:pt>
                <c:pt idx="86">
                  <c:v>44211</c:v>
                </c:pt>
                <c:pt idx="87">
                  <c:v>44214</c:v>
                </c:pt>
                <c:pt idx="88">
                  <c:v>44215</c:v>
                </c:pt>
                <c:pt idx="89">
                  <c:v>44216</c:v>
                </c:pt>
                <c:pt idx="90">
                  <c:v>44217</c:v>
                </c:pt>
                <c:pt idx="91">
                  <c:v>44218</c:v>
                </c:pt>
                <c:pt idx="92">
                  <c:v>44221</c:v>
                </c:pt>
                <c:pt idx="93">
                  <c:v>44222</c:v>
                </c:pt>
                <c:pt idx="94">
                  <c:v>44223</c:v>
                </c:pt>
                <c:pt idx="95">
                  <c:v>44224</c:v>
                </c:pt>
                <c:pt idx="96">
                  <c:v>44225</c:v>
                </c:pt>
                <c:pt idx="97">
                  <c:v>44228</c:v>
                </c:pt>
                <c:pt idx="98">
                  <c:v>44229</c:v>
                </c:pt>
                <c:pt idx="99">
                  <c:v>44230</c:v>
                </c:pt>
                <c:pt idx="100">
                  <c:v>44231</c:v>
                </c:pt>
                <c:pt idx="101">
                  <c:v>44232</c:v>
                </c:pt>
                <c:pt idx="102">
                  <c:v>44235</c:v>
                </c:pt>
                <c:pt idx="103">
                  <c:v>44236</c:v>
                </c:pt>
                <c:pt idx="104">
                  <c:v>44237</c:v>
                </c:pt>
                <c:pt idx="105">
                  <c:v>44238</c:v>
                </c:pt>
                <c:pt idx="106">
                  <c:v>44239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44249</c:v>
                </c:pt>
                <c:pt idx="111">
                  <c:v>44250</c:v>
                </c:pt>
                <c:pt idx="112">
                  <c:v>44251</c:v>
                </c:pt>
                <c:pt idx="113">
                  <c:v>44252</c:v>
                </c:pt>
                <c:pt idx="114">
                  <c:v>44253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44270</c:v>
                </c:pt>
                <c:pt idx="126">
                  <c:v>44271</c:v>
                </c:pt>
                <c:pt idx="127">
                  <c:v>44272</c:v>
                </c:pt>
                <c:pt idx="128">
                  <c:v>44273</c:v>
                </c:pt>
                <c:pt idx="129">
                  <c:v>44274</c:v>
                </c:pt>
                <c:pt idx="130">
                  <c:v>44277</c:v>
                </c:pt>
                <c:pt idx="131">
                  <c:v>44278</c:v>
                </c:pt>
                <c:pt idx="132">
                  <c:v>44280</c:v>
                </c:pt>
                <c:pt idx="133">
                  <c:v>44281</c:v>
                </c:pt>
                <c:pt idx="134">
                  <c:v>44284</c:v>
                </c:pt>
                <c:pt idx="135">
                  <c:v>44285</c:v>
                </c:pt>
                <c:pt idx="136">
                  <c:v>44286</c:v>
                </c:pt>
                <c:pt idx="137">
                  <c:v>44291</c:v>
                </c:pt>
                <c:pt idx="138">
                  <c:v>44292</c:v>
                </c:pt>
                <c:pt idx="139">
                  <c:v>44293</c:v>
                </c:pt>
                <c:pt idx="140">
                  <c:v>44294</c:v>
                </c:pt>
                <c:pt idx="141">
                  <c:v>44295</c:v>
                </c:pt>
                <c:pt idx="142">
                  <c:v>44298</c:v>
                </c:pt>
                <c:pt idx="143">
                  <c:v>44299</c:v>
                </c:pt>
                <c:pt idx="144">
                  <c:v>44300</c:v>
                </c:pt>
                <c:pt idx="145">
                  <c:v>44301</c:v>
                </c:pt>
                <c:pt idx="146">
                  <c:v>44302</c:v>
                </c:pt>
                <c:pt idx="147">
                  <c:v>44305</c:v>
                </c:pt>
                <c:pt idx="148">
                  <c:v>44306</c:v>
                </c:pt>
                <c:pt idx="149">
                  <c:v>44307</c:v>
                </c:pt>
                <c:pt idx="150">
                  <c:v>44308</c:v>
                </c:pt>
                <c:pt idx="151">
                  <c:v>44309</c:v>
                </c:pt>
                <c:pt idx="152">
                  <c:v>44312</c:v>
                </c:pt>
                <c:pt idx="153">
                  <c:v>44313</c:v>
                </c:pt>
                <c:pt idx="154">
                  <c:v>44314</c:v>
                </c:pt>
                <c:pt idx="155">
                  <c:v>44315</c:v>
                </c:pt>
                <c:pt idx="156">
                  <c:v>44316</c:v>
                </c:pt>
                <c:pt idx="157">
                  <c:v>44319</c:v>
                </c:pt>
                <c:pt idx="158">
                  <c:v>44320</c:v>
                </c:pt>
                <c:pt idx="159">
                  <c:v>44321</c:v>
                </c:pt>
                <c:pt idx="160">
                  <c:v>44322</c:v>
                </c:pt>
                <c:pt idx="161">
                  <c:v>44323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44342</c:v>
                </c:pt>
                <c:pt idx="173">
                  <c:v>44343</c:v>
                </c:pt>
                <c:pt idx="174">
                  <c:v>44344</c:v>
                </c:pt>
                <c:pt idx="175">
                  <c:v>44347</c:v>
                </c:pt>
                <c:pt idx="176">
                  <c:v>44348</c:v>
                </c:pt>
                <c:pt idx="177">
                  <c:v>44349</c:v>
                </c:pt>
                <c:pt idx="178">
                  <c:v>44350</c:v>
                </c:pt>
                <c:pt idx="179">
                  <c:v>44351</c:v>
                </c:pt>
                <c:pt idx="180">
                  <c:v>44354</c:v>
                </c:pt>
                <c:pt idx="181">
                  <c:v>44355</c:v>
                </c:pt>
                <c:pt idx="182">
                  <c:v>44356</c:v>
                </c:pt>
                <c:pt idx="183">
                  <c:v>44357</c:v>
                </c:pt>
                <c:pt idx="184">
                  <c:v>44358</c:v>
                </c:pt>
                <c:pt idx="185">
                  <c:v>44361</c:v>
                </c:pt>
              </c:numCache>
            </c:numRef>
          </c:xVal>
          <c:yVal>
            <c:numRef>
              <c:f>'Ratios ley ARG'!$B$3:$B$204</c:f>
              <c:numCache>
                <c:formatCode>0.000</c:formatCode>
                <c:ptCount val="202"/>
                <c:pt idx="0">
                  <c:v>1.012200956937799</c:v>
                </c:pt>
                <c:pt idx="1">
                  <c:v>1.0090189873417721</c:v>
                </c:pt>
                <c:pt idx="2">
                  <c:v>1.0202289477810882</c:v>
                </c:pt>
                <c:pt idx="3">
                  <c:v>1.0225253312548714</c:v>
                </c:pt>
                <c:pt idx="4">
                  <c:v>1.0143727542571472</c:v>
                </c:pt>
                <c:pt idx="5">
                  <c:v>1.0061023314035362</c:v>
                </c:pt>
                <c:pt idx="6">
                  <c:v>1.0024057738572574</c:v>
                </c:pt>
                <c:pt idx="7">
                  <c:v>1.0034313725490196</c:v>
                </c:pt>
                <c:pt idx="8">
                  <c:v>1.0227848101265822</c:v>
                </c:pt>
                <c:pt idx="9">
                  <c:v>1.0163666121112929</c:v>
                </c:pt>
                <c:pt idx="10">
                  <c:v>1.0312862108922365</c:v>
                </c:pt>
                <c:pt idx="11">
                  <c:v>1.0262295081967212</c:v>
                </c:pt>
                <c:pt idx="12">
                  <c:v>1.0226475279106859</c:v>
                </c:pt>
                <c:pt idx="13">
                  <c:v>1.0299003322259137</c:v>
                </c:pt>
                <c:pt idx="14">
                  <c:v>1.0212591986917416</c:v>
                </c:pt>
                <c:pt idx="15">
                  <c:v>1.0230332522303325</c:v>
                </c:pt>
                <c:pt idx="16">
                  <c:v>1.0264516129032257</c:v>
                </c:pt>
                <c:pt idx="17">
                  <c:v>1.0369951534733441</c:v>
                </c:pt>
                <c:pt idx="18">
                  <c:v>1.0281576830249397</c:v>
                </c:pt>
                <c:pt idx="19">
                  <c:v>1.0501633986928105</c:v>
                </c:pt>
                <c:pt idx="20">
                  <c:v>1.0286354183330668</c:v>
                </c:pt>
                <c:pt idx="21">
                  <c:v>1.0271268057784912</c:v>
                </c:pt>
                <c:pt idx="22">
                  <c:v>1.0231288146482493</c:v>
                </c:pt>
                <c:pt idx="23">
                  <c:v>1.0206349206349206</c:v>
                </c:pt>
                <c:pt idx="24">
                  <c:v>1.0226032735775525</c:v>
                </c:pt>
                <c:pt idx="25">
                  <c:v>1.0177332305319968</c:v>
                </c:pt>
                <c:pt idx="26">
                  <c:v>1.0029940119760479</c:v>
                </c:pt>
                <c:pt idx="27">
                  <c:v>1.0105370249255141</c:v>
                </c:pt>
                <c:pt idx="28">
                  <c:v>1.0141369047619047</c:v>
                </c:pt>
                <c:pt idx="29">
                  <c:v>1.0210526315789474</c:v>
                </c:pt>
                <c:pt idx="30">
                  <c:v>1.0061570806427391</c:v>
                </c:pt>
                <c:pt idx="31">
                  <c:v>1.0418001525553013</c:v>
                </c:pt>
                <c:pt idx="32">
                  <c:v>1.0610091743119265</c:v>
                </c:pt>
                <c:pt idx="33">
                  <c:v>1.0922953451043338</c:v>
                </c:pt>
                <c:pt idx="34">
                  <c:v>1.0690515806988352</c:v>
                </c:pt>
                <c:pt idx="35">
                  <c:v>1.0820000000000001</c:v>
                </c:pt>
                <c:pt idx="36">
                  <c:v>1.143238434163701</c:v>
                </c:pt>
                <c:pt idx="37">
                  <c:v>1.1603942652329748</c:v>
                </c:pt>
                <c:pt idx="38">
                  <c:v>1.1761467889908257</c:v>
                </c:pt>
                <c:pt idx="39">
                  <c:v>1.1366171003717471</c:v>
                </c:pt>
                <c:pt idx="40">
                  <c:v>1.1680297397769517</c:v>
                </c:pt>
                <c:pt idx="41">
                  <c:v>1.1929170549860204</c:v>
                </c:pt>
                <c:pt idx="42">
                  <c:v>1.1985157699443414</c:v>
                </c:pt>
                <c:pt idx="43">
                  <c:v>1.18364312267658</c:v>
                </c:pt>
                <c:pt idx="44">
                  <c:v>1.1810835629017447</c:v>
                </c:pt>
                <c:pt idx="45">
                  <c:v>1.1763027066838521</c:v>
                </c:pt>
                <c:pt idx="46">
                  <c:v>1.1095530236634532</c:v>
                </c:pt>
                <c:pt idx="47">
                  <c:v>1.1101163831692031</c:v>
                </c:pt>
                <c:pt idx="48">
                  <c:v>1.1320319432120673</c:v>
                </c:pt>
                <c:pt idx="49">
                  <c:v>1.1139130434782609</c:v>
                </c:pt>
                <c:pt idx="50">
                  <c:v>1.0931778929188256</c:v>
                </c:pt>
                <c:pt idx="51">
                  <c:v>1.1024137931034483</c:v>
                </c:pt>
                <c:pt idx="52">
                  <c:v>1.0887061877974902</c:v>
                </c:pt>
                <c:pt idx="53">
                  <c:v>1.0937010614233513</c:v>
                </c:pt>
                <c:pt idx="54">
                  <c:v>1.0982593559617058</c:v>
                </c:pt>
                <c:pt idx="55">
                  <c:v>1.1000000000000001</c:v>
                </c:pt>
                <c:pt idx="56">
                  <c:v>1.1075739023963618</c:v>
                </c:pt>
                <c:pt idx="57">
                  <c:v>1.1015156855833628</c:v>
                </c:pt>
                <c:pt idx="58">
                  <c:v>1.1075076151227379</c:v>
                </c:pt>
                <c:pt idx="59">
                  <c:v>1.0955459770114941</c:v>
                </c:pt>
                <c:pt idx="60">
                  <c:v>1.0764405412671387</c:v>
                </c:pt>
                <c:pt idx="61">
                  <c:v>1.073394495412844</c:v>
                </c:pt>
                <c:pt idx="62">
                  <c:v>1.0797008936713477</c:v>
                </c:pt>
                <c:pt idx="63">
                  <c:v>1.0711013377313543</c:v>
                </c:pt>
                <c:pt idx="64">
                  <c:v>1.0623746124384461</c:v>
                </c:pt>
                <c:pt idx="65">
                  <c:v>1.0574506283662477</c:v>
                </c:pt>
                <c:pt idx="66">
                  <c:v>1.0357016613644396</c:v>
                </c:pt>
                <c:pt idx="67">
                  <c:v>1.0357583230579532</c:v>
                </c:pt>
                <c:pt idx="68">
                  <c:v>1.03834860752736</c:v>
                </c:pt>
                <c:pt idx="69">
                  <c:v>1.0376181137457656</c:v>
                </c:pt>
                <c:pt idx="70">
                  <c:v>1.0348056537102472</c:v>
                </c:pt>
                <c:pt idx="71">
                  <c:v>1.0380194518125552</c:v>
                </c:pt>
                <c:pt idx="72">
                  <c:v>1.0368356428696719</c:v>
                </c:pt>
                <c:pt idx="73">
                  <c:v>1.0436765479740397</c:v>
                </c:pt>
                <c:pt idx="74">
                  <c:v>1.0461054837582955</c:v>
                </c:pt>
                <c:pt idx="75">
                  <c:v>1.0493719469644103</c:v>
                </c:pt>
                <c:pt idx="76">
                  <c:v>1.0451928110277438</c:v>
                </c:pt>
                <c:pt idx="77">
                  <c:v>1.0344827586206897</c:v>
                </c:pt>
                <c:pt idx="78">
                  <c:v>1.0356524749048113</c:v>
                </c:pt>
                <c:pt idx="79">
                  <c:v>1.0424870466321243</c:v>
                </c:pt>
                <c:pt idx="80">
                  <c:v>1.044382801664355</c:v>
                </c:pt>
                <c:pt idx="81">
                  <c:v>1.0471204188481675</c:v>
                </c:pt>
                <c:pt idx="82">
                  <c:v>1.0500702740688685</c:v>
                </c:pt>
                <c:pt idx="83">
                  <c:v>1.0512367491166077</c:v>
                </c:pt>
                <c:pt idx="84">
                  <c:v>1.0510547775217161</c:v>
                </c:pt>
                <c:pt idx="85">
                  <c:v>1.0436557231588288</c:v>
                </c:pt>
                <c:pt idx="86">
                  <c:v>1.0471111111111111</c:v>
                </c:pt>
                <c:pt idx="87">
                  <c:v>1.0379432624113476</c:v>
                </c:pt>
                <c:pt idx="88">
                  <c:v>1.0435938330675172</c:v>
                </c:pt>
                <c:pt idx="89">
                  <c:v>1.04162976085031</c:v>
                </c:pt>
                <c:pt idx="90">
                  <c:v>1.0315211616787674</c:v>
                </c:pt>
                <c:pt idx="91">
                  <c:v>1.0338412473423104</c:v>
                </c:pt>
                <c:pt idx="92">
                  <c:v>1.0378359264497878</c:v>
                </c:pt>
                <c:pt idx="93">
                  <c:v>1.0393506264337391</c:v>
                </c:pt>
                <c:pt idx="94">
                  <c:v>1.0354872881355932</c:v>
                </c:pt>
                <c:pt idx="95">
                  <c:v>1.034452296819788</c:v>
                </c:pt>
                <c:pt idx="96">
                  <c:v>1.0421099290780143</c:v>
                </c:pt>
                <c:pt idx="97">
                  <c:v>1.0433628318584072</c:v>
                </c:pt>
                <c:pt idx="98">
                  <c:v>1.0513183507343833</c:v>
                </c:pt>
                <c:pt idx="99">
                  <c:v>1.0455512229705779</c:v>
                </c:pt>
                <c:pt idx="100">
                  <c:v>1.05</c:v>
                </c:pt>
                <c:pt idx="101">
                  <c:v>1.0563255152807391</c:v>
                </c:pt>
                <c:pt idx="102">
                  <c:v>1.0502842928216063</c:v>
                </c:pt>
                <c:pt idx="103">
                  <c:v>1.0504619758351101</c:v>
                </c:pt>
                <c:pt idx="104">
                  <c:v>1.0538516405135521</c:v>
                </c:pt>
                <c:pt idx="105">
                  <c:v>1.052823315118397</c:v>
                </c:pt>
                <c:pt idx="106">
                  <c:v>1.0572277963582311</c:v>
                </c:pt>
                <c:pt idx="107">
                  <c:v>1.0607521697203472</c:v>
                </c:pt>
                <c:pt idx="108">
                  <c:v>1.0575815738963532</c:v>
                </c:pt>
                <c:pt idx="109">
                  <c:v>1.0597484276729561</c:v>
                </c:pt>
                <c:pt idx="110">
                  <c:v>1.0336967294350843</c:v>
                </c:pt>
                <c:pt idx="111">
                  <c:v>1.0429999999999999</c:v>
                </c:pt>
                <c:pt idx="112">
                  <c:v>1.0532940019665684</c:v>
                </c:pt>
                <c:pt idx="113">
                  <c:v>1.0423106646058733</c:v>
                </c:pt>
                <c:pt idx="114">
                  <c:v>1.042528735632184</c:v>
                </c:pt>
                <c:pt idx="115">
                  <c:v>1.0363017583664209</c:v>
                </c:pt>
                <c:pt idx="116">
                  <c:v>1.0350744861399208</c:v>
                </c:pt>
                <c:pt idx="117">
                  <c:v>1.0336356764928194</c:v>
                </c:pt>
                <c:pt idx="118">
                  <c:v>1.036181094904338</c:v>
                </c:pt>
                <c:pt idx="119">
                  <c:v>1.0479386385426654</c:v>
                </c:pt>
                <c:pt idx="120">
                  <c:v>1.0353486575236623</c:v>
                </c:pt>
                <c:pt idx="121">
                  <c:v>1.0301428851047172</c:v>
                </c:pt>
                <c:pt idx="122">
                  <c:v>1.0386363636363636</c:v>
                </c:pt>
                <c:pt idx="123">
                  <c:v>1.036008230452675</c:v>
                </c:pt>
                <c:pt idx="124">
                  <c:v>1.0318209194940775</c:v>
                </c:pt>
                <c:pt idx="125">
                  <c:v>1.0405539070227499</c:v>
                </c:pt>
                <c:pt idx="126">
                  <c:v>1.0353584684508692</c:v>
                </c:pt>
                <c:pt idx="127">
                  <c:v>1.0276869832724476</c:v>
                </c:pt>
                <c:pt idx="128">
                  <c:v>1.0217034822031446</c:v>
                </c:pt>
                <c:pt idx="129">
                  <c:v>1.0323827936201064</c:v>
                </c:pt>
                <c:pt idx="130">
                  <c:v>1.0283960092095166</c:v>
                </c:pt>
                <c:pt idx="131">
                  <c:v>1.0365758754863814</c:v>
                </c:pt>
                <c:pt idx="132">
                  <c:v>1.0294471153846154</c:v>
                </c:pt>
                <c:pt idx="133">
                  <c:v>1.0353783231083844</c:v>
                </c:pt>
                <c:pt idx="134">
                  <c:v>1.0456154967715059</c:v>
                </c:pt>
                <c:pt idx="135">
                  <c:v>1.0303282093892812</c:v>
                </c:pt>
                <c:pt idx="136">
                  <c:v>1.0457502840028916</c:v>
                </c:pt>
                <c:pt idx="137">
                  <c:v>1.0368271954674222</c:v>
                </c:pt>
                <c:pt idx="138">
                  <c:v>1.0379899497487437</c:v>
                </c:pt>
                <c:pt idx="139">
                  <c:v>1.0358148893360162</c:v>
                </c:pt>
                <c:pt idx="140">
                  <c:v>1.0341708542713568</c:v>
                </c:pt>
                <c:pt idx="141">
                  <c:v>1.0425531914893618</c:v>
                </c:pt>
                <c:pt idx="142">
                  <c:v>1.041574167507568</c:v>
                </c:pt>
                <c:pt idx="143">
                  <c:v>1.0390185036202735</c:v>
                </c:pt>
                <c:pt idx="144">
                  <c:v>1.0438543552605111</c:v>
                </c:pt>
                <c:pt idx="145">
                  <c:v>1.0477642276422765</c:v>
                </c:pt>
                <c:pt idx="146">
                  <c:v>1.0587995930824008</c:v>
                </c:pt>
                <c:pt idx="147">
                  <c:v>1.0499798468359531</c:v>
                </c:pt>
                <c:pt idx="148">
                  <c:v>1.0489999999999999</c:v>
                </c:pt>
                <c:pt idx="149">
                  <c:v>1.0588470776621297</c:v>
                </c:pt>
                <c:pt idx="150">
                  <c:v>1.0671865626874626</c:v>
                </c:pt>
                <c:pt idx="151">
                  <c:v>1.0636202481780579</c:v>
                </c:pt>
                <c:pt idx="152">
                  <c:v>1.0534351145038168</c:v>
                </c:pt>
                <c:pt idx="153">
                  <c:v>1.0468164794007491</c:v>
                </c:pt>
                <c:pt idx="154">
                  <c:v>1.0547894148341408</c:v>
                </c:pt>
                <c:pt idx="155">
                  <c:v>1.0505408429690415</c:v>
                </c:pt>
                <c:pt idx="156">
                  <c:v>1.0525135488693702</c:v>
                </c:pt>
                <c:pt idx="157">
                  <c:v>1.053707489314254</c:v>
                </c:pt>
                <c:pt idx="158">
                  <c:v>1.0516248839368616</c:v>
                </c:pt>
                <c:pt idx="159">
                  <c:v>1.0528756957328387</c:v>
                </c:pt>
                <c:pt idx="160">
                  <c:v>1.0512581547064306</c:v>
                </c:pt>
                <c:pt idx="161">
                  <c:v>1.0568353474320242</c:v>
                </c:pt>
                <c:pt idx="162">
                  <c:v>1.054380664652568</c:v>
                </c:pt>
                <c:pt idx="163">
                  <c:v>1.0569498069498069</c:v>
                </c:pt>
                <c:pt idx="164">
                  <c:v>1.0610409491006505</c:v>
                </c:pt>
                <c:pt idx="165">
                  <c:v>1.0682509505703421</c:v>
                </c:pt>
                <c:pt idx="166">
                  <c:v>1.0646950092421441</c:v>
                </c:pt>
                <c:pt idx="167">
                  <c:v>1.067741351204492</c:v>
                </c:pt>
                <c:pt idx="168">
                  <c:v>1.0673528349584687</c:v>
                </c:pt>
                <c:pt idx="169">
                  <c:v>1.0659620991253644</c:v>
                </c:pt>
                <c:pt idx="170">
                  <c:v>1.0696781272860278</c:v>
                </c:pt>
                <c:pt idx="171">
                  <c:v>1.0736049926578561</c:v>
                </c:pt>
                <c:pt idx="172">
                  <c:v>1.0708548991611637</c:v>
                </c:pt>
                <c:pt idx="173">
                  <c:v>1.0741166077738515</c:v>
                </c:pt>
                <c:pt idx="174">
                  <c:v>1.0642071656615821</c:v>
                </c:pt>
                <c:pt idx="175">
                  <c:v>1.0661244695898162</c:v>
                </c:pt>
                <c:pt idx="176">
                  <c:v>1.0610820244328099</c:v>
                </c:pt>
                <c:pt idx="177">
                  <c:v>1.0678023850085179</c:v>
                </c:pt>
                <c:pt idx="178">
                  <c:v>1.0608665749656121</c:v>
                </c:pt>
                <c:pt idx="179">
                  <c:v>1.0560083232183111</c:v>
                </c:pt>
                <c:pt idx="180">
                  <c:v>1.0494880546075085</c:v>
                </c:pt>
                <c:pt idx="181">
                  <c:v>1.0452785726308702</c:v>
                </c:pt>
                <c:pt idx="182">
                  <c:v>1.0525615435795077</c:v>
                </c:pt>
                <c:pt idx="183">
                  <c:v>1.0413907284768211</c:v>
                </c:pt>
                <c:pt idx="184">
                  <c:v>1.046242774566474</c:v>
                </c:pt>
                <c:pt idx="185">
                  <c:v>1.0414083808579222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1-4CE1-8B7C-F245F484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64768"/>
        <c:axId val="168875136"/>
      </c:scatterChart>
      <c:valAx>
        <c:axId val="168864768"/>
        <c:scaling>
          <c:orientation val="minMax"/>
          <c:max val="44370"/>
          <c:min val="44081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168875136"/>
        <c:crosses val="autoZero"/>
        <c:crossBetween val="midCat"/>
        <c:majorUnit val="40"/>
      </c:valAx>
      <c:valAx>
        <c:axId val="168875136"/>
        <c:scaling>
          <c:orientation val="minMax"/>
          <c:max val="1.1000000000000001"/>
          <c:min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5.5372837426271117E-2"/>
              <c:y val="0.45577340609342154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168864768"/>
        <c:crossesAt val="0"/>
        <c:crossBetween val="midCat"/>
        <c:majorUnit val="1.0000000000000002E-2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  <a:latin typeface="Arial" pitchFamily="34" charset="0"/>
                <a:cs typeface="Arial" pitchFamily="34" charset="0"/>
              </a:rPr>
              <a:t>Ratio AL30/AE38</a:t>
            </a:r>
            <a:endParaRPr lang="en-US" sz="1200">
              <a:effectLst/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7609253652404395"/>
          <c:y val="7.763425844065707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7713452916831"/>
          <c:y val="0.19820639465521353"/>
          <c:w val="0.74937220930285264"/>
          <c:h val="0.66260319732760675"/>
        </c:manualLayout>
      </c:layout>
      <c:scatterChart>
        <c:scatterStyle val="lineMarker"/>
        <c:varyColors val="0"/>
        <c:ser>
          <c:idx val="0"/>
          <c:order val="0"/>
          <c:tx>
            <c:v>Ratio AL30/AE38</c:v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'Ratios ley ARG'!$A$3:$A$204</c:f>
              <c:numCache>
                <c:formatCode>dd/mm/yyyy;@</c:formatCode>
                <c:ptCount val="202"/>
                <c:pt idx="0">
                  <c:v>44081</c:v>
                </c:pt>
                <c:pt idx="1">
                  <c:v>44082</c:v>
                </c:pt>
                <c:pt idx="2">
                  <c:v>44083</c:v>
                </c:pt>
                <c:pt idx="3">
                  <c:v>44084</c:v>
                </c:pt>
                <c:pt idx="4">
                  <c:v>44085</c:v>
                </c:pt>
                <c:pt idx="5">
                  <c:v>44088</c:v>
                </c:pt>
                <c:pt idx="6">
                  <c:v>44089</c:v>
                </c:pt>
                <c:pt idx="7">
                  <c:v>44090</c:v>
                </c:pt>
                <c:pt idx="8">
                  <c:v>44091</c:v>
                </c:pt>
                <c:pt idx="9">
                  <c:v>44092</c:v>
                </c:pt>
                <c:pt idx="10">
                  <c:v>44095</c:v>
                </c:pt>
                <c:pt idx="11">
                  <c:v>44096</c:v>
                </c:pt>
                <c:pt idx="12">
                  <c:v>44097</c:v>
                </c:pt>
                <c:pt idx="13">
                  <c:v>44098</c:v>
                </c:pt>
                <c:pt idx="14">
                  <c:v>44099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44133</c:v>
                </c:pt>
                <c:pt idx="38">
                  <c:v>44134</c:v>
                </c:pt>
                <c:pt idx="39">
                  <c:v>44137</c:v>
                </c:pt>
                <c:pt idx="40">
                  <c:v>44138</c:v>
                </c:pt>
                <c:pt idx="41">
                  <c:v>44139</c:v>
                </c:pt>
                <c:pt idx="42">
                  <c:v>44140</c:v>
                </c:pt>
                <c:pt idx="43">
                  <c:v>44141</c:v>
                </c:pt>
                <c:pt idx="44">
                  <c:v>44144</c:v>
                </c:pt>
                <c:pt idx="45">
                  <c:v>44145</c:v>
                </c:pt>
                <c:pt idx="46">
                  <c:v>44146</c:v>
                </c:pt>
                <c:pt idx="47">
                  <c:v>44147</c:v>
                </c:pt>
                <c:pt idx="48">
                  <c:v>44148</c:v>
                </c:pt>
                <c:pt idx="49">
                  <c:v>44151</c:v>
                </c:pt>
                <c:pt idx="50">
                  <c:v>44152</c:v>
                </c:pt>
                <c:pt idx="51">
                  <c:v>44153</c:v>
                </c:pt>
                <c:pt idx="52">
                  <c:v>44154</c:v>
                </c:pt>
                <c:pt idx="53">
                  <c:v>44155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44174</c:v>
                </c:pt>
                <c:pt idx="64">
                  <c:v>44175</c:v>
                </c:pt>
                <c:pt idx="65">
                  <c:v>44176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44183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44193</c:v>
                </c:pt>
                <c:pt idx="75">
                  <c:v>44194</c:v>
                </c:pt>
                <c:pt idx="76">
                  <c:v>44195</c:v>
                </c:pt>
                <c:pt idx="77">
                  <c:v>44200</c:v>
                </c:pt>
                <c:pt idx="78">
                  <c:v>44201</c:v>
                </c:pt>
                <c:pt idx="79">
                  <c:v>44202</c:v>
                </c:pt>
                <c:pt idx="80">
                  <c:v>44203</c:v>
                </c:pt>
                <c:pt idx="81">
                  <c:v>44204</c:v>
                </c:pt>
                <c:pt idx="82">
                  <c:v>44207</c:v>
                </c:pt>
                <c:pt idx="83">
                  <c:v>44208</c:v>
                </c:pt>
                <c:pt idx="84">
                  <c:v>44209</c:v>
                </c:pt>
                <c:pt idx="85">
                  <c:v>44210</c:v>
                </c:pt>
                <c:pt idx="86">
                  <c:v>44211</c:v>
                </c:pt>
                <c:pt idx="87">
                  <c:v>44214</c:v>
                </c:pt>
                <c:pt idx="88">
                  <c:v>44215</c:v>
                </c:pt>
                <c:pt idx="89">
                  <c:v>44216</c:v>
                </c:pt>
                <c:pt idx="90">
                  <c:v>44217</c:v>
                </c:pt>
                <c:pt idx="91">
                  <c:v>44218</c:v>
                </c:pt>
                <c:pt idx="92">
                  <c:v>44221</c:v>
                </c:pt>
                <c:pt idx="93">
                  <c:v>44222</c:v>
                </c:pt>
                <c:pt idx="94">
                  <c:v>44223</c:v>
                </c:pt>
                <c:pt idx="95">
                  <c:v>44224</c:v>
                </c:pt>
                <c:pt idx="96">
                  <c:v>44225</c:v>
                </c:pt>
                <c:pt idx="97">
                  <c:v>44228</c:v>
                </c:pt>
                <c:pt idx="98">
                  <c:v>44229</c:v>
                </c:pt>
                <c:pt idx="99">
                  <c:v>44230</c:v>
                </c:pt>
                <c:pt idx="100">
                  <c:v>44231</c:v>
                </c:pt>
                <c:pt idx="101">
                  <c:v>44232</c:v>
                </c:pt>
                <c:pt idx="102">
                  <c:v>44235</c:v>
                </c:pt>
                <c:pt idx="103">
                  <c:v>44236</c:v>
                </c:pt>
                <c:pt idx="104">
                  <c:v>44237</c:v>
                </c:pt>
                <c:pt idx="105">
                  <c:v>44238</c:v>
                </c:pt>
                <c:pt idx="106">
                  <c:v>44239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44249</c:v>
                </c:pt>
                <c:pt idx="111">
                  <c:v>44250</c:v>
                </c:pt>
                <c:pt idx="112">
                  <c:v>44251</c:v>
                </c:pt>
                <c:pt idx="113">
                  <c:v>44252</c:v>
                </c:pt>
                <c:pt idx="114">
                  <c:v>44253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44270</c:v>
                </c:pt>
                <c:pt idx="126">
                  <c:v>44271</c:v>
                </c:pt>
                <c:pt idx="127">
                  <c:v>44272</c:v>
                </c:pt>
                <c:pt idx="128">
                  <c:v>44273</c:v>
                </c:pt>
                <c:pt idx="129">
                  <c:v>44274</c:v>
                </c:pt>
                <c:pt idx="130">
                  <c:v>44277</c:v>
                </c:pt>
                <c:pt idx="131">
                  <c:v>44278</c:v>
                </c:pt>
                <c:pt idx="132">
                  <c:v>44280</c:v>
                </c:pt>
                <c:pt idx="133">
                  <c:v>44281</c:v>
                </c:pt>
                <c:pt idx="134">
                  <c:v>44284</c:v>
                </c:pt>
                <c:pt idx="135">
                  <c:v>44285</c:v>
                </c:pt>
                <c:pt idx="136">
                  <c:v>44286</c:v>
                </c:pt>
                <c:pt idx="137">
                  <c:v>44291</c:v>
                </c:pt>
                <c:pt idx="138">
                  <c:v>44292</c:v>
                </c:pt>
                <c:pt idx="139">
                  <c:v>44293</c:v>
                </c:pt>
                <c:pt idx="140">
                  <c:v>44294</c:v>
                </c:pt>
                <c:pt idx="141">
                  <c:v>44295</c:v>
                </c:pt>
                <c:pt idx="142">
                  <c:v>44298</c:v>
                </c:pt>
                <c:pt idx="143">
                  <c:v>44299</c:v>
                </c:pt>
                <c:pt idx="144">
                  <c:v>44300</c:v>
                </c:pt>
                <c:pt idx="145">
                  <c:v>44301</c:v>
                </c:pt>
                <c:pt idx="146">
                  <c:v>44302</c:v>
                </c:pt>
                <c:pt idx="147">
                  <c:v>44305</c:v>
                </c:pt>
                <c:pt idx="148">
                  <c:v>44306</c:v>
                </c:pt>
                <c:pt idx="149">
                  <c:v>44307</c:v>
                </c:pt>
                <c:pt idx="150">
                  <c:v>44308</c:v>
                </c:pt>
                <c:pt idx="151">
                  <c:v>44309</c:v>
                </c:pt>
                <c:pt idx="152">
                  <c:v>44312</c:v>
                </c:pt>
                <c:pt idx="153">
                  <c:v>44313</c:v>
                </c:pt>
                <c:pt idx="154">
                  <c:v>44314</c:v>
                </c:pt>
                <c:pt idx="155">
                  <c:v>44315</c:v>
                </c:pt>
                <c:pt idx="156">
                  <c:v>44316</c:v>
                </c:pt>
                <c:pt idx="157">
                  <c:v>44319</c:v>
                </c:pt>
                <c:pt idx="158">
                  <c:v>44320</c:v>
                </c:pt>
                <c:pt idx="159">
                  <c:v>44321</c:v>
                </c:pt>
                <c:pt idx="160">
                  <c:v>44322</c:v>
                </c:pt>
                <c:pt idx="161">
                  <c:v>44323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44342</c:v>
                </c:pt>
                <c:pt idx="173">
                  <c:v>44343</c:v>
                </c:pt>
                <c:pt idx="174">
                  <c:v>44344</c:v>
                </c:pt>
                <c:pt idx="175">
                  <c:v>44347</c:v>
                </c:pt>
                <c:pt idx="176">
                  <c:v>44348</c:v>
                </c:pt>
                <c:pt idx="177">
                  <c:v>44349</c:v>
                </c:pt>
                <c:pt idx="178">
                  <c:v>44350</c:v>
                </c:pt>
                <c:pt idx="179">
                  <c:v>44351</c:v>
                </c:pt>
                <c:pt idx="180">
                  <c:v>44354</c:v>
                </c:pt>
                <c:pt idx="181">
                  <c:v>44355</c:v>
                </c:pt>
                <c:pt idx="182">
                  <c:v>44356</c:v>
                </c:pt>
                <c:pt idx="183">
                  <c:v>44357</c:v>
                </c:pt>
                <c:pt idx="184">
                  <c:v>44358</c:v>
                </c:pt>
                <c:pt idx="185">
                  <c:v>44361</c:v>
                </c:pt>
              </c:numCache>
            </c:numRef>
          </c:xVal>
          <c:yVal>
            <c:numRef>
              <c:f>'Ratios ley ARG'!$D$3:$D$204</c:f>
              <c:numCache>
                <c:formatCode>0.000</c:formatCode>
                <c:ptCount val="202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1.0705182667799491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1.0910582444626744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1.0351377018043684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1.0663187855787477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1.0672811059907834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1.0512396694214876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1.0711814655624279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1.0258514567090686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0.9713153587733655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0.96387520525451564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0.97342192691029905</c:v>
                </c:pt>
                <c:pt idx="181">
                  <c:v>0.98475053870379581</c:v>
                </c:pt>
                <c:pt idx="182">
                  <c:v>0.9888157894736842</c:v>
                </c:pt>
                <c:pt idx="183">
                  <c:v>0.99358447113012005</c:v>
                </c:pt>
                <c:pt idx="184">
                  <c:v>0.9893790849673203</c:v>
                </c:pt>
                <c:pt idx="185">
                  <c:v>0.99498355263157889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6-450F-994E-5D4C63F8B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86816"/>
        <c:axId val="169188736"/>
      </c:scatterChart>
      <c:valAx>
        <c:axId val="169186816"/>
        <c:scaling>
          <c:orientation val="minMax"/>
          <c:max val="44370"/>
          <c:min val="44081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69188736"/>
        <c:crosses val="autoZero"/>
        <c:crossBetween val="midCat"/>
        <c:majorUnit val="40"/>
      </c:valAx>
      <c:valAx>
        <c:axId val="169188736"/>
        <c:scaling>
          <c:orientation val="minMax"/>
          <c:max val="1.1100000000000001"/>
          <c:min val="0.96000000000000008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800">
                    <a:latin typeface="Arial" panose="020B0604020202020204" pitchFamily="34" charset="0"/>
                    <a:cs typeface="Arial" panose="020B0604020202020204" pitchFamily="34" charset="0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6.446202562220682E-2"/>
              <c:y val="0.47465983733402656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69186816"/>
        <c:crossesAt val="0"/>
        <c:crossBetween val="midCat"/>
        <c:majorUnit val="2.0000000000000004E-2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MX" sz="1200" b="1" i="0" baseline="0">
                <a:effectLst/>
                <a:latin typeface="Arial" pitchFamily="34" charset="0"/>
                <a:cs typeface="Arial" pitchFamily="34" charset="0"/>
              </a:rPr>
              <a:t>Ratio AL30/AL41</a:t>
            </a:r>
            <a:endParaRPr lang="es-AR" sz="1200">
              <a:effectLst/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9654320996489928"/>
          <c:y val="5.957070772823169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7713452916831"/>
          <c:y val="0.19820639465521353"/>
          <c:w val="0.74937220930285264"/>
          <c:h val="0.66260319732760675"/>
        </c:manualLayout>
      </c:layout>
      <c:scatterChart>
        <c:scatterStyle val="lineMarker"/>
        <c:varyColors val="0"/>
        <c:ser>
          <c:idx val="0"/>
          <c:order val="0"/>
          <c:tx>
            <c:v>Ratio AL30/AL41</c:v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'Ratios ley ARG'!$A$3:$A$204</c:f>
              <c:numCache>
                <c:formatCode>dd/mm/yyyy;@</c:formatCode>
                <c:ptCount val="202"/>
                <c:pt idx="0">
                  <c:v>44081</c:v>
                </c:pt>
                <c:pt idx="1">
                  <c:v>44082</c:v>
                </c:pt>
                <c:pt idx="2">
                  <c:v>44083</c:v>
                </c:pt>
                <c:pt idx="3">
                  <c:v>44084</c:v>
                </c:pt>
                <c:pt idx="4">
                  <c:v>44085</c:v>
                </c:pt>
                <c:pt idx="5">
                  <c:v>44088</c:v>
                </c:pt>
                <c:pt idx="6">
                  <c:v>44089</c:v>
                </c:pt>
                <c:pt idx="7">
                  <c:v>44090</c:v>
                </c:pt>
                <c:pt idx="8">
                  <c:v>44091</c:v>
                </c:pt>
                <c:pt idx="9">
                  <c:v>44092</c:v>
                </c:pt>
                <c:pt idx="10">
                  <c:v>44095</c:v>
                </c:pt>
                <c:pt idx="11">
                  <c:v>44096</c:v>
                </c:pt>
                <c:pt idx="12">
                  <c:v>44097</c:v>
                </c:pt>
                <c:pt idx="13">
                  <c:v>44098</c:v>
                </c:pt>
                <c:pt idx="14">
                  <c:v>44099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44133</c:v>
                </c:pt>
                <c:pt idx="38">
                  <c:v>44134</c:v>
                </c:pt>
                <c:pt idx="39">
                  <c:v>44137</c:v>
                </c:pt>
                <c:pt idx="40">
                  <c:v>44138</c:v>
                </c:pt>
                <c:pt idx="41">
                  <c:v>44139</c:v>
                </c:pt>
                <c:pt idx="42">
                  <c:v>44140</c:v>
                </c:pt>
                <c:pt idx="43">
                  <c:v>44141</c:v>
                </c:pt>
                <c:pt idx="44">
                  <c:v>44144</c:v>
                </c:pt>
                <c:pt idx="45">
                  <c:v>44145</c:v>
                </c:pt>
                <c:pt idx="46">
                  <c:v>44146</c:v>
                </c:pt>
                <c:pt idx="47">
                  <c:v>44147</c:v>
                </c:pt>
                <c:pt idx="48">
                  <c:v>44148</c:v>
                </c:pt>
                <c:pt idx="49">
                  <c:v>44151</c:v>
                </c:pt>
                <c:pt idx="50">
                  <c:v>44152</c:v>
                </c:pt>
                <c:pt idx="51">
                  <c:v>44153</c:v>
                </c:pt>
                <c:pt idx="52">
                  <c:v>44154</c:v>
                </c:pt>
                <c:pt idx="53">
                  <c:v>44155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44174</c:v>
                </c:pt>
                <c:pt idx="64">
                  <c:v>44175</c:v>
                </c:pt>
                <c:pt idx="65">
                  <c:v>44176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44183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44193</c:v>
                </c:pt>
                <c:pt idx="75">
                  <c:v>44194</c:v>
                </c:pt>
                <c:pt idx="76">
                  <c:v>44195</c:v>
                </c:pt>
                <c:pt idx="77">
                  <c:v>44200</c:v>
                </c:pt>
                <c:pt idx="78">
                  <c:v>44201</c:v>
                </c:pt>
                <c:pt idx="79">
                  <c:v>44202</c:v>
                </c:pt>
                <c:pt idx="80">
                  <c:v>44203</c:v>
                </c:pt>
                <c:pt idx="81">
                  <c:v>44204</c:v>
                </c:pt>
                <c:pt idx="82">
                  <c:v>44207</c:v>
                </c:pt>
                <c:pt idx="83">
                  <c:v>44208</c:v>
                </c:pt>
                <c:pt idx="84">
                  <c:v>44209</c:v>
                </c:pt>
                <c:pt idx="85">
                  <c:v>44210</c:v>
                </c:pt>
                <c:pt idx="86">
                  <c:v>44211</c:v>
                </c:pt>
                <c:pt idx="87">
                  <c:v>44214</c:v>
                </c:pt>
                <c:pt idx="88">
                  <c:v>44215</c:v>
                </c:pt>
                <c:pt idx="89">
                  <c:v>44216</c:v>
                </c:pt>
                <c:pt idx="90">
                  <c:v>44217</c:v>
                </c:pt>
                <c:pt idx="91">
                  <c:v>44218</c:v>
                </c:pt>
                <c:pt idx="92">
                  <c:v>44221</c:v>
                </c:pt>
                <c:pt idx="93">
                  <c:v>44222</c:v>
                </c:pt>
                <c:pt idx="94">
                  <c:v>44223</c:v>
                </c:pt>
                <c:pt idx="95">
                  <c:v>44224</c:v>
                </c:pt>
                <c:pt idx="96">
                  <c:v>44225</c:v>
                </c:pt>
                <c:pt idx="97">
                  <c:v>44228</c:v>
                </c:pt>
                <c:pt idx="98">
                  <c:v>44229</c:v>
                </c:pt>
                <c:pt idx="99">
                  <c:v>44230</c:v>
                </c:pt>
                <c:pt idx="100">
                  <c:v>44231</c:v>
                </c:pt>
                <c:pt idx="101">
                  <c:v>44232</c:v>
                </c:pt>
                <c:pt idx="102">
                  <c:v>44235</c:v>
                </c:pt>
                <c:pt idx="103">
                  <c:v>44236</c:v>
                </c:pt>
                <c:pt idx="104">
                  <c:v>44237</c:v>
                </c:pt>
                <c:pt idx="105">
                  <c:v>44238</c:v>
                </c:pt>
                <c:pt idx="106">
                  <c:v>44239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44249</c:v>
                </c:pt>
                <c:pt idx="111">
                  <c:v>44250</c:v>
                </c:pt>
                <c:pt idx="112">
                  <c:v>44251</c:v>
                </c:pt>
                <c:pt idx="113">
                  <c:v>44252</c:v>
                </c:pt>
                <c:pt idx="114">
                  <c:v>44253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44270</c:v>
                </c:pt>
                <c:pt idx="126">
                  <c:v>44271</c:v>
                </c:pt>
                <c:pt idx="127">
                  <c:v>44272</c:v>
                </c:pt>
                <c:pt idx="128">
                  <c:v>44273</c:v>
                </c:pt>
                <c:pt idx="129">
                  <c:v>44274</c:v>
                </c:pt>
                <c:pt idx="130">
                  <c:v>44277</c:v>
                </c:pt>
                <c:pt idx="131">
                  <c:v>44278</c:v>
                </c:pt>
                <c:pt idx="132">
                  <c:v>44280</c:v>
                </c:pt>
                <c:pt idx="133">
                  <c:v>44281</c:v>
                </c:pt>
                <c:pt idx="134">
                  <c:v>44284</c:v>
                </c:pt>
                <c:pt idx="135">
                  <c:v>44285</c:v>
                </c:pt>
                <c:pt idx="136">
                  <c:v>44286</c:v>
                </c:pt>
                <c:pt idx="137">
                  <c:v>44291</c:v>
                </c:pt>
                <c:pt idx="138">
                  <c:v>44292</c:v>
                </c:pt>
                <c:pt idx="139">
                  <c:v>44293</c:v>
                </c:pt>
                <c:pt idx="140">
                  <c:v>44294</c:v>
                </c:pt>
                <c:pt idx="141">
                  <c:v>44295</c:v>
                </c:pt>
                <c:pt idx="142">
                  <c:v>44298</c:v>
                </c:pt>
                <c:pt idx="143">
                  <c:v>44299</c:v>
                </c:pt>
                <c:pt idx="144">
                  <c:v>44300</c:v>
                </c:pt>
                <c:pt idx="145">
                  <c:v>44301</c:v>
                </c:pt>
                <c:pt idx="146">
                  <c:v>44302</c:v>
                </c:pt>
                <c:pt idx="147">
                  <c:v>44305</c:v>
                </c:pt>
                <c:pt idx="148">
                  <c:v>44306</c:v>
                </c:pt>
                <c:pt idx="149">
                  <c:v>44307</c:v>
                </c:pt>
                <c:pt idx="150">
                  <c:v>44308</c:v>
                </c:pt>
                <c:pt idx="151">
                  <c:v>44309</c:v>
                </c:pt>
                <c:pt idx="152">
                  <c:v>44312</c:v>
                </c:pt>
                <c:pt idx="153">
                  <c:v>44313</c:v>
                </c:pt>
                <c:pt idx="154">
                  <c:v>44314</c:v>
                </c:pt>
                <c:pt idx="155">
                  <c:v>44315</c:v>
                </c:pt>
                <c:pt idx="156">
                  <c:v>44316</c:v>
                </c:pt>
                <c:pt idx="157">
                  <c:v>44319</c:v>
                </c:pt>
                <c:pt idx="158">
                  <c:v>44320</c:v>
                </c:pt>
                <c:pt idx="159">
                  <c:v>44321</c:v>
                </c:pt>
                <c:pt idx="160">
                  <c:v>44322</c:v>
                </c:pt>
                <c:pt idx="161">
                  <c:v>44323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44342</c:v>
                </c:pt>
                <c:pt idx="173">
                  <c:v>44343</c:v>
                </c:pt>
                <c:pt idx="174">
                  <c:v>44344</c:v>
                </c:pt>
                <c:pt idx="175">
                  <c:v>44347</c:v>
                </c:pt>
                <c:pt idx="176">
                  <c:v>44348</c:v>
                </c:pt>
                <c:pt idx="177">
                  <c:v>44349</c:v>
                </c:pt>
                <c:pt idx="178">
                  <c:v>44350</c:v>
                </c:pt>
                <c:pt idx="179">
                  <c:v>44351</c:v>
                </c:pt>
                <c:pt idx="180">
                  <c:v>44354</c:v>
                </c:pt>
                <c:pt idx="181">
                  <c:v>44355</c:v>
                </c:pt>
                <c:pt idx="182">
                  <c:v>44356</c:v>
                </c:pt>
                <c:pt idx="183">
                  <c:v>44357</c:v>
                </c:pt>
                <c:pt idx="184">
                  <c:v>44358</c:v>
                </c:pt>
                <c:pt idx="185">
                  <c:v>44361</c:v>
                </c:pt>
              </c:numCache>
            </c:numRef>
          </c:xVal>
          <c:yVal>
            <c:numRef>
              <c:f>'Ratios ley ARG'!$E$3:$E$204</c:f>
              <c:numCache>
                <c:formatCode>0.000</c:formatCode>
                <c:ptCount val="202"/>
                <c:pt idx="0">
                  <c:v>1.1422845691382766</c:v>
                </c:pt>
                <c:pt idx="1">
                  <c:v>1.144927536231884</c:v>
                </c:pt>
                <c:pt idx="2">
                  <c:v>1.1387499999999999</c:v>
                </c:pt>
                <c:pt idx="3">
                  <c:v>1.1514988332435829</c:v>
                </c:pt>
                <c:pt idx="4">
                  <c:v>1.1617059891107078</c:v>
                </c:pt>
                <c:pt idx="5">
                  <c:v>1.1769797421731123</c:v>
                </c:pt>
                <c:pt idx="6">
                  <c:v>1.1699033680457829</c:v>
                </c:pt>
                <c:pt idx="7">
                  <c:v>1.1727507904570278</c:v>
                </c:pt>
                <c:pt idx="8">
                  <c:v>1.1779324055666005</c:v>
                </c:pt>
                <c:pt idx="9">
                  <c:v>1.1956947162426614</c:v>
                </c:pt>
                <c:pt idx="10">
                  <c:v>1.1873034591194969</c:v>
                </c:pt>
                <c:pt idx="11">
                  <c:v>1.2007874015748032</c:v>
                </c:pt>
                <c:pt idx="12">
                  <c:v>1.1830188679245284</c:v>
                </c:pt>
                <c:pt idx="13">
                  <c:v>1.144486692015209</c:v>
                </c:pt>
                <c:pt idx="14">
                  <c:v>1.1539913191168145</c:v>
                </c:pt>
                <c:pt idx="15">
                  <c:v>1.1570945945945945</c:v>
                </c:pt>
                <c:pt idx="16">
                  <c:v>1.1439114391143912</c:v>
                </c:pt>
                <c:pt idx="17">
                  <c:v>1.1399631675874771</c:v>
                </c:pt>
                <c:pt idx="18">
                  <c:v>1.1248868778280543</c:v>
                </c:pt>
                <c:pt idx="19">
                  <c:v>1.1007194244604317</c:v>
                </c:pt>
                <c:pt idx="20">
                  <c:v>1.1134663341645885</c:v>
                </c:pt>
                <c:pt idx="21">
                  <c:v>1.1125</c:v>
                </c:pt>
                <c:pt idx="22">
                  <c:v>1.1179745017058718</c:v>
                </c:pt>
                <c:pt idx="23">
                  <c:v>1.1351351351351351</c:v>
                </c:pt>
                <c:pt idx="24">
                  <c:v>1.1264266900790167</c:v>
                </c:pt>
                <c:pt idx="25">
                  <c:v>1.1345346396081175</c:v>
                </c:pt>
                <c:pt idx="26">
                  <c:v>1.1770925110132158</c:v>
                </c:pt>
                <c:pt idx="27">
                  <c:v>1.2286607142857142</c:v>
                </c:pt>
                <c:pt idx="28">
                  <c:v>1.21805328983143</c:v>
                </c:pt>
                <c:pt idx="29">
                  <c:v>1.2328513162773451</c:v>
                </c:pt>
                <c:pt idx="30">
                  <c:v>1.2263351749539595</c:v>
                </c:pt>
                <c:pt idx="31">
                  <c:v>1.1686575147085041</c:v>
                </c:pt>
                <c:pt idx="32">
                  <c:v>1.1647373107747105</c:v>
                </c:pt>
                <c:pt idx="33">
                  <c:v>1.141025641025641</c:v>
                </c:pt>
                <c:pt idx="34">
                  <c:v>1.1513409961685823</c:v>
                </c:pt>
                <c:pt idx="35">
                  <c:v>1.1764705882352942</c:v>
                </c:pt>
                <c:pt idx="36">
                  <c:v>1.143438453713123</c:v>
                </c:pt>
                <c:pt idx="37">
                  <c:v>1.134607564050427</c:v>
                </c:pt>
                <c:pt idx="38">
                  <c:v>1.1264985531211245</c:v>
                </c:pt>
                <c:pt idx="39">
                  <c:v>1.1243469174503657</c:v>
                </c:pt>
                <c:pt idx="40">
                  <c:v>1.109278350515464</c:v>
                </c:pt>
                <c:pt idx="41">
                  <c:v>1.1005128205128205</c:v>
                </c:pt>
                <c:pt idx="42">
                  <c:v>1.0823293172690762</c:v>
                </c:pt>
                <c:pt idx="43">
                  <c:v>1.0764305722288916</c:v>
                </c:pt>
                <c:pt idx="44">
                  <c:v>1.0868263473053892</c:v>
                </c:pt>
                <c:pt idx="45">
                  <c:v>1.0797216699801193</c:v>
                </c:pt>
                <c:pt idx="46">
                  <c:v>1.1186274509803922</c:v>
                </c:pt>
                <c:pt idx="47">
                  <c:v>1.0961727183513248</c:v>
                </c:pt>
                <c:pt idx="48">
                  <c:v>1.0963035019455254</c:v>
                </c:pt>
                <c:pt idx="49">
                  <c:v>1.1100386100386099</c:v>
                </c:pt>
                <c:pt idx="50">
                  <c:v>1.1254738069783263</c:v>
                </c:pt>
                <c:pt idx="51">
                  <c:v>1.1047619047619048</c:v>
                </c:pt>
                <c:pt idx="52">
                  <c:v>1.1072249904177847</c:v>
                </c:pt>
                <c:pt idx="53">
                  <c:v>1.0989578353571088</c:v>
                </c:pt>
                <c:pt idx="54">
                  <c:v>1.1048076923076924</c:v>
                </c:pt>
                <c:pt idx="55">
                  <c:v>1.1081133166313355</c:v>
                </c:pt>
                <c:pt idx="56">
                  <c:v>1.1124732438217553</c:v>
                </c:pt>
                <c:pt idx="57">
                  <c:v>1.1041058571706557</c:v>
                </c:pt>
                <c:pt idx="58">
                  <c:v>1.1051485148514852</c:v>
                </c:pt>
                <c:pt idx="59">
                  <c:v>1.1071783654802148</c:v>
                </c:pt>
                <c:pt idx="60">
                  <c:v>1.1158999999999999</c:v>
                </c:pt>
                <c:pt idx="61">
                  <c:v>1.1102057445508251</c:v>
                </c:pt>
                <c:pt idx="62">
                  <c:v>1.1263352506162696</c:v>
                </c:pt>
                <c:pt idx="63">
                  <c:v>1.1347473487211479</c:v>
                </c:pt>
                <c:pt idx="64">
                  <c:v>1.1485127775450357</c:v>
                </c:pt>
                <c:pt idx="65">
                  <c:v>1.1413934426229508</c:v>
                </c:pt>
                <c:pt idx="66">
                  <c:v>1.1615684664339971</c:v>
                </c:pt>
                <c:pt idx="67">
                  <c:v>1.1526903553299492</c:v>
                </c:pt>
                <c:pt idx="68">
                  <c:v>1.1445010183299389</c:v>
                </c:pt>
                <c:pt idx="69">
                  <c:v>1.1412004069175992</c:v>
                </c:pt>
                <c:pt idx="70">
                  <c:v>1.1319999999999999</c:v>
                </c:pt>
                <c:pt idx="71">
                  <c:v>1.1475243506493507</c:v>
                </c:pt>
                <c:pt idx="72">
                  <c:v>1.1336249751441638</c:v>
                </c:pt>
                <c:pt idx="73">
                  <c:v>1.1402000000000001</c:v>
                </c:pt>
                <c:pt idx="74">
                  <c:v>1.1249508840864439</c:v>
                </c:pt>
                <c:pt idx="75">
                  <c:v>1.1218318817888246</c:v>
                </c:pt>
                <c:pt idx="76">
                  <c:v>1.1237254901960785</c:v>
                </c:pt>
                <c:pt idx="77">
                  <c:v>1.1611670020120723</c:v>
                </c:pt>
                <c:pt idx="78">
                  <c:v>1.1556</c:v>
                </c:pt>
                <c:pt idx="79">
                  <c:v>1.153386454183267</c:v>
                </c:pt>
                <c:pt idx="80">
                  <c:v>1.1267825747216254</c:v>
                </c:pt>
                <c:pt idx="81">
                  <c:v>1.1137026239067056</c:v>
                </c:pt>
                <c:pt idx="82">
                  <c:v>1.1161878615550545</c:v>
                </c:pt>
                <c:pt idx="83">
                  <c:v>1.1207920792079209</c:v>
                </c:pt>
                <c:pt idx="84">
                  <c:v>1.1395959595959595</c:v>
                </c:pt>
                <c:pt idx="85">
                  <c:v>1.1430020283975659</c:v>
                </c:pt>
                <c:pt idx="86">
                  <c:v>1.1386639676113359</c:v>
                </c:pt>
                <c:pt idx="87">
                  <c:v>1.1382441977800202</c:v>
                </c:pt>
                <c:pt idx="88">
                  <c:v>1.1372430471584039</c:v>
                </c:pt>
                <c:pt idx="89">
                  <c:v>1.1421345472938795</c:v>
                </c:pt>
                <c:pt idx="90">
                  <c:v>1.1489318413021363</c:v>
                </c:pt>
                <c:pt idx="91">
                  <c:v>1.1450598498681275</c:v>
                </c:pt>
                <c:pt idx="92">
                  <c:v>1.1507629704984741</c:v>
                </c:pt>
                <c:pt idx="93">
                  <c:v>1.1402414486921528</c:v>
                </c:pt>
                <c:pt idx="94">
                  <c:v>1.143087790110999</c:v>
                </c:pt>
                <c:pt idx="95">
                  <c:v>1.1331331331331331</c:v>
                </c:pt>
                <c:pt idx="96">
                  <c:v>1.1393939393939394</c:v>
                </c:pt>
                <c:pt idx="97">
                  <c:v>1.138195004029009</c:v>
                </c:pt>
                <c:pt idx="98">
                  <c:v>1.1317844982976166</c:v>
                </c:pt>
                <c:pt idx="99">
                  <c:v>1.1306613226452906</c:v>
                </c:pt>
                <c:pt idx="100">
                  <c:v>1.1223880597014926</c:v>
                </c:pt>
                <c:pt idx="101">
                  <c:v>1.1144554455445546</c:v>
                </c:pt>
                <c:pt idx="102">
                  <c:v>1.1188866799204771</c:v>
                </c:pt>
                <c:pt idx="103">
                  <c:v>1.1179976162097736</c:v>
                </c:pt>
                <c:pt idx="104">
                  <c:v>1.1194730012975347</c:v>
                </c:pt>
                <c:pt idx="105">
                  <c:v>1.1070780399274047</c:v>
                </c:pt>
                <c:pt idx="106">
                  <c:v>1.0894736842105264</c:v>
                </c:pt>
                <c:pt idx="107">
                  <c:v>1.1031914893617021</c:v>
                </c:pt>
                <c:pt idx="108">
                  <c:v>1.1253915109623069</c:v>
                </c:pt>
                <c:pt idx="109">
                  <c:v>1.0941935483870968</c:v>
                </c:pt>
                <c:pt idx="110">
                  <c:v>1.1161504424778761</c:v>
                </c:pt>
                <c:pt idx="111">
                  <c:v>1.103996467211305</c:v>
                </c:pt>
                <c:pt idx="112">
                  <c:v>1.0935483870967742</c:v>
                </c:pt>
                <c:pt idx="113">
                  <c:v>1.0899136660349547</c:v>
                </c:pt>
                <c:pt idx="114">
                  <c:v>1.0991787744788377</c:v>
                </c:pt>
                <c:pt idx="115">
                  <c:v>1.1125368111064367</c:v>
                </c:pt>
                <c:pt idx="116">
                  <c:v>1.1247083775185578</c:v>
                </c:pt>
                <c:pt idx="117">
                  <c:v>1.111764705882353</c:v>
                </c:pt>
                <c:pt idx="118">
                  <c:v>1.117485182049111</c:v>
                </c:pt>
                <c:pt idx="119">
                  <c:v>1.1227125941872982</c:v>
                </c:pt>
                <c:pt idx="120">
                  <c:v>1.1109442060085837</c:v>
                </c:pt>
                <c:pt idx="121">
                  <c:v>1.1082429501084599</c:v>
                </c:pt>
                <c:pt idx="122">
                  <c:v>1.0950226244343892</c:v>
                </c:pt>
                <c:pt idx="123">
                  <c:v>1.0737958462218293</c:v>
                </c:pt>
                <c:pt idx="124">
                  <c:v>1.0597872340425532</c:v>
                </c:pt>
                <c:pt idx="125">
                  <c:v>1.0326864147088866</c:v>
                </c:pt>
                <c:pt idx="126">
                  <c:v>1.048330944091747</c:v>
                </c:pt>
                <c:pt idx="127">
                  <c:v>1.066871794871795</c:v>
                </c:pt>
                <c:pt idx="128">
                  <c:v>1.0557026476578411</c:v>
                </c:pt>
                <c:pt idx="129">
                  <c:v>1.0481256332320161</c:v>
                </c:pt>
                <c:pt idx="130">
                  <c:v>1.0341269841269842</c:v>
                </c:pt>
                <c:pt idx="131">
                  <c:v>1.0265628120631116</c:v>
                </c:pt>
                <c:pt idx="132">
                  <c:v>1.0273718872195925</c:v>
                </c:pt>
                <c:pt idx="133">
                  <c:v>1.0242982823627984</c:v>
                </c:pt>
                <c:pt idx="134">
                  <c:v>1.0369330453563714</c:v>
                </c:pt>
                <c:pt idx="135">
                  <c:v>1.0286324786324785</c:v>
                </c:pt>
                <c:pt idx="136">
                  <c:v>1.0214135021097046</c:v>
                </c:pt>
                <c:pt idx="137">
                  <c:v>1.0514893617021277</c:v>
                </c:pt>
                <c:pt idx="138">
                  <c:v>1.0386221294363256</c:v>
                </c:pt>
                <c:pt idx="139">
                  <c:v>1.0354166666666667</c:v>
                </c:pt>
                <c:pt idx="140">
                  <c:v>1.0407949790794979</c:v>
                </c:pt>
                <c:pt idx="141">
                  <c:v>1.0345911949685536</c:v>
                </c:pt>
                <c:pt idx="142">
                  <c:v>1.0322916666666666</c:v>
                </c:pt>
                <c:pt idx="143">
                  <c:v>1.0401673640167364</c:v>
                </c:pt>
                <c:pt idx="144">
                  <c:v>1.0369211514392991</c:v>
                </c:pt>
                <c:pt idx="145">
                  <c:v>1.040169133192389</c:v>
                </c:pt>
                <c:pt idx="146">
                  <c:v>1.0396615547329455</c:v>
                </c:pt>
                <c:pt idx="147">
                  <c:v>1.0468354430379747</c:v>
                </c:pt>
                <c:pt idx="148">
                  <c:v>1.0441683199331733</c:v>
                </c:pt>
                <c:pt idx="149">
                  <c:v>1.0462827225130891</c:v>
                </c:pt>
                <c:pt idx="150">
                  <c:v>1.0354037267080745</c:v>
                </c:pt>
                <c:pt idx="151">
                  <c:v>1.0535380784395103</c:v>
                </c:pt>
                <c:pt idx="152">
                  <c:v>1.071793822867662</c:v>
                </c:pt>
                <c:pt idx="153">
                  <c:v>1.0811905243976514</c:v>
                </c:pt>
                <c:pt idx="154">
                  <c:v>1.0653166567401231</c:v>
                </c:pt>
                <c:pt idx="155">
                  <c:v>1.064522533253921</c:v>
                </c:pt>
                <c:pt idx="156">
                  <c:v>1.0597088820675313</c:v>
                </c:pt>
                <c:pt idx="157">
                  <c:v>1.0676587301587301</c:v>
                </c:pt>
                <c:pt idx="158">
                  <c:v>1.0652818991097923</c:v>
                </c:pt>
                <c:pt idx="159">
                  <c:v>1.066904196357878</c:v>
                </c:pt>
                <c:pt idx="160">
                  <c:v>1.073</c:v>
                </c:pt>
                <c:pt idx="161">
                  <c:v>1.0626003210272874</c:v>
                </c:pt>
                <c:pt idx="162">
                  <c:v>1.0662371652909202</c:v>
                </c:pt>
                <c:pt idx="163">
                  <c:v>1.0487953026928527</c:v>
                </c:pt>
                <c:pt idx="164">
                  <c:v>1.0641417226634087</c:v>
                </c:pt>
                <c:pt idx="165">
                  <c:v>1.0541082164328657</c:v>
                </c:pt>
                <c:pt idx="166">
                  <c:v>1.0612004707728522</c:v>
                </c:pt>
                <c:pt idx="167">
                  <c:v>1.0598963332693416</c:v>
                </c:pt>
                <c:pt idx="168">
                  <c:v>1.0488636363636363</c:v>
                </c:pt>
                <c:pt idx="169">
                  <c:v>1.0382141505864548</c:v>
                </c:pt>
                <c:pt idx="170">
                  <c:v>1.0297551789077213</c:v>
                </c:pt>
                <c:pt idx="171">
                  <c:v>1.0221388367729831</c:v>
                </c:pt>
                <c:pt idx="172">
                  <c:v>1.0243144424131627</c:v>
                </c:pt>
                <c:pt idx="173">
                  <c:v>1.0017699115044247</c:v>
                </c:pt>
                <c:pt idx="174">
                  <c:v>1.0195298372513562</c:v>
                </c:pt>
                <c:pt idx="175">
                  <c:v>1.0255666364460563</c:v>
                </c:pt>
                <c:pt idx="176">
                  <c:v>1.019935920256319</c:v>
                </c:pt>
                <c:pt idx="177">
                  <c:v>1.0217580504786772</c:v>
                </c:pt>
                <c:pt idx="178">
                  <c:v>1.0192779530318963</c:v>
                </c:pt>
                <c:pt idx="179">
                  <c:v>1.0106905012267788</c:v>
                </c:pt>
                <c:pt idx="180">
                  <c:v>1.0278898438870374</c:v>
                </c:pt>
                <c:pt idx="181">
                  <c:v>1.0332173913043479</c:v>
                </c:pt>
                <c:pt idx="182">
                  <c:v>1.0278680116259189</c:v>
                </c:pt>
                <c:pt idx="183">
                  <c:v>1.0237288135593221</c:v>
                </c:pt>
                <c:pt idx="184">
                  <c:v>1.0125418060200668</c:v>
                </c:pt>
                <c:pt idx="185">
                  <c:v>1.0153575025176234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E-4FDA-B14F-C98BDF07F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1968"/>
        <c:axId val="169813888"/>
      </c:scatterChart>
      <c:valAx>
        <c:axId val="169811968"/>
        <c:scaling>
          <c:orientation val="minMax"/>
          <c:max val="44370"/>
          <c:min val="44081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69813888"/>
        <c:crosses val="autoZero"/>
        <c:crossBetween val="midCat"/>
        <c:majorUnit val="40"/>
      </c:valAx>
      <c:valAx>
        <c:axId val="169813888"/>
        <c:scaling>
          <c:orientation val="minMax"/>
          <c:max val="1.2"/>
          <c:min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800">
                    <a:latin typeface="Arial" panose="020B0604020202020204" pitchFamily="34" charset="0"/>
                    <a:cs typeface="Arial" panose="020B0604020202020204" pitchFamily="34" charset="0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5.0828243328303269E-2"/>
              <c:y val="0.47465992133872875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69811968"/>
        <c:crossesAt val="0"/>
        <c:crossBetween val="midCat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400" b="1" i="0" baseline="0">
                <a:effectLst/>
                <a:latin typeface="Arial" pitchFamily="34" charset="0"/>
                <a:cs typeface="Arial" pitchFamily="34" charset="0"/>
              </a:rPr>
              <a:t>Ratio AL41/AL35</a:t>
            </a:r>
            <a:endParaRPr lang="es-AR" sz="1400">
              <a:effectLst/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6747442466299207"/>
          <c:y val="4.73232158120585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7713452916831"/>
          <c:y val="0.19820639465521353"/>
          <c:w val="0.74937220930285264"/>
          <c:h val="0.66260319732760675"/>
        </c:manualLayout>
      </c:layout>
      <c:scatterChart>
        <c:scatterStyle val="lineMarker"/>
        <c:varyColors val="0"/>
        <c:ser>
          <c:idx val="0"/>
          <c:order val="0"/>
          <c:tx>
            <c:v>Ratio AL35/AL41</c:v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'Ratios ley ARG'!$A$3:$A$204</c:f>
              <c:numCache>
                <c:formatCode>dd/mm/yyyy;@</c:formatCode>
                <c:ptCount val="202"/>
                <c:pt idx="0">
                  <c:v>44081</c:v>
                </c:pt>
                <c:pt idx="1">
                  <c:v>44082</c:v>
                </c:pt>
                <c:pt idx="2">
                  <c:v>44083</c:v>
                </c:pt>
                <c:pt idx="3">
                  <c:v>44084</c:v>
                </c:pt>
                <c:pt idx="4">
                  <c:v>44085</c:v>
                </c:pt>
                <c:pt idx="5">
                  <c:v>44088</c:v>
                </c:pt>
                <c:pt idx="6">
                  <c:v>44089</c:v>
                </c:pt>
                <c:pt idx="7">
                  <c:v>44090</c:v>
                </c:pt>
                <c:pt idx="8">
                  <c:v>44091</c:v>
                </c:pt>
                <c:pt idx="9">
                  <c:v>44092</c:v>
                </c:pt>
                <c:pt idx="10">
                  <c:v>44095</c:v>
                </c:pt>
                <c:pt idx="11">
                  <c:v>44096</c:v>
                </c:pt>
                <c:pt idx="12">
                  <c:v>44097</c:v>
                </c:pt>
                <c:pt idx="13">
                  <c:v>44098</c:v>
                </c:pt>
                <c:pt idx="14">
                  <c:v>44099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44133</c:v>
                </c:pt>
                <c:pt idx="38">
                  <c:v>44134</c:v>
                </c:pt>
                <c:pt idx="39">
                  <c:v>44137</c:v>
                </c:pt>
                <c:pt idx="40">
                  <c:v>44138</c:v>
                </c:pt>
                <c:pt idx="41">
                  <c:v>44139</c:v>
                </c:pt>
                <c:pt idx="42">
                  <c:v>44140</c:v>
                </c:pt>
                <c:pt idx="43">
                  <c:v>44141</c:v>
                </c:pt>
                <c:pt idx="44">
                  <c:v>44144</c:v>
                </c:pt>
                <c:pt idx="45">
                  <c:v>44145</c:v>
                </c:pt>
                <c:pt idx="46">
                  <c:v>44146</c:v>
                </c:pt>
                <c:pt idx="47">
                  <c:v>44147</c:v>
                </c:pt>
                <c:pt idx="48">
                  <c:v>44148</c:v>
                </c:pt>
                <c:pt idx="49">
                  <c:v>44151</c:v>
                </c:pt>
                <c:pt idx="50">
                  <c:v>44152</c:v>
                </c:pt>
                <c:pt idx="51">
                  <c:v>44153</c:v>
                </c:pt>
                <c:pt idx="52">
                  <c:v>44154</c:v>
                </c:pt>
                <c:pt idx="53">
                  <c:v>44155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44174</c:v>
                </c:pt>
                <c:pt idx="64">
                  <c:v>44175</c:v>
                </c:pt>
                <c:pt idx="65">
                  <c:v>44176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44183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44193</c:v>
                </c:pt>
                <c:pt idx="75">
                  <c:v>44194</c:v>
                </c:pt>
                <c:pt idx="76">
                  <c:v>44195</c:v>
                </c:pt>
                <c:pt idx="77">
                  <c:v>44200</c:v>
                </c:pt>
                <c:pt idx="78">
                  <c:v>44201</c:v>
                </c:pt>
                <c:pt idx="79">
                  <c:v>44202</c:v>
                </c:pt>
                <c:pt idx="80">
                  <c:v>44203</c:v>
                </c:pt>
                <c:pt idx="81">
                  <c:v>44204</c:v>
                </c:pt>
                <c:pt idx="82">
                  <c:v>44207</c:v>
                </c:pt>
                <c:pt idx="83">
                  <c:v>44208</c:v>
                </c:pt>
                <c:pt idx="84">
                  <c:v>44209</c:v>
                </c:pt>
                <c:pt idx="85">
                  <c:v>44210</c:v>
                </c:pt>
                <c:pt idx="86">
                  <c:v>44211</c:v>
                </c:pt>
                <c:pt idx="87">
                  <c:v>44214</c:v>
                </c:pt>
                <c:pt idx="88">
                  <c:v>44215</c:v>
                </c:pt>
                <c:pt idx="89">
                  <c:v>44216</c:v>
                </c:pt>
                <c:pt idx="90">
                  <c:v>44217</c:v>
                </c:pt>
                <c:pt idx="91">
                  <c:v>44218</c:v>
                </c:pt>
                <c:pt idx="92">
                  <c:v>44221</c:v>
                </c:pt>
                <c:pt idx="93">
                  <c:v>44222</c:v>
                </c:pt>
                <c:pt idx="94">
                  <c:v>44223</c:v>
                </c:pt>
                <c:pt idx="95">
                  <c:v>44224</c:v>
                </c:pt>
                <c:pt idx="96">
                  <c:v>44225</c:v>
                </c:pt>
                <c:pt idx="97">
                  <c:v>44228</c:v>
                </c:pt>
                <c:pt idx="98">
                  <c:v>44229</c:v>
                </c:pt>
                <c:pt idx="99">
                  <c:v>44230</c:v>
                </c:pt>
                <c:pt idx="100">
                  <c:v>44231</c:v>
                </c:pt>
                <c:pt idx="101">
                  <c:v>44232</c:v>
                </c:pt>
                <c:pt idx="102">
                  <c:v>44235</c:v>
                </c:pt>
                <c:pt idx="103">
                  <c:v>44236</c:v>
                </c:pt>
                <c:pt idx="104">
                  <c:v>44237</c:v>
                </c:pt>
                <c:pt idx="105">
                  <c:v>44238</c:v>
                </c:pt>
                <c:pt idx="106">
                  <c:v>44239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44249</c:v>
                </c:pt>
                <c:pt idx="111">
                  <c:v>44250</c:v>
                </c:pt>
                <c:pt idx="112">
                  <c:v>44251</c:v>
                </c:pt>
                <c:pt idx="113">
                  <c:v>44252</c:v>
                </c:pt>
                <c:pt idx="114">
                  <c:v>44253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44270</c:v>
                </c:pt>
                <c:pt idx="126">
                  <c:v>44271</c:v>
                </c:pt>
                <c:pt idx="127">
                  <c:v>44272</c:v>
                </c:pt>
                <c:pt idx="128">
                  <c:v>44273</c:v>
                </c:pt>
                <c:pt idx="129">
                  <c:v>44274</c:v>
                </c:pt>
                <c:pt idx="130">
                  <c:v>44277</c:v>
                </c:pt>
                <c:pt idx="131">
                  <c:v>44278</c:v>
                </c:pt>
                <c:pt idx="132">
                  <c:v>44280</c:v>
                </c:pt>
                <c:pt idx="133">
                  <c:v>44281</c:v>
                </c:pt>
                <c:pt idx="134">
                  <c:v>44284</c:v>
                </c:pt>
                <c:pt idx="135">
                  <c:v>44285</c:v>
                </c:pt>
                <c:pt idx="136">
                  <c:v>44286</c:v>
                </c:pt>
                <c:pt idx="137">
                  <c:v>44291</c:v>
                </c:pt>
                <c:pt idx="138">
                  <c:v>44292</c:v>
                </c:pt>
                <c:pt idx="139">
                  <c:v>44293</c:v>
                </c:pt>
                <c:pt idx="140">
                  <c:v>44294</c:v>
                </c:pt>
                <c:pt idx="141">
                  <c:v>44295</c:v>
                </c:pt>
                <c:pt idx="142">
                  <c:v>44298</c:v>
                </c:pt>
                <c:pt idx="143">
                  <c:v>44299</c:v>
                </c:pt>
                <c:pt idx="144">
                  <c:v>44300</c:v>
                </c:pt>
                <c:pt idx="145">
                  <c:v>44301</c:v>
                </c:pt>
                <c:pt idx="146">
                  <c:v>44302</c:v>
                </c:pt>
                <c:pt idx="147">
                  <c:v>44305</c:v>
                </c:pt>
                <c:pt idx="148">
                  <c:v>44306</c:v>
                </c:pt>
                <c:pt idx="149">
                  <c:v>44307</c:v>
                </c:pt>
                <c:pt idx="150">
                  <c:v>44308</c:v>
                </c:pt>
                <c:pt idx="151">
                  <c:v>44309</c:v>
                </c:pt>
                <c:pt idx="152">
                  <c:v>44312</c:v>
                </c:pt>
                <c:pt idx="153">
                  <c:v>44313</c:v>
                </c:pt>
                <c:pt idx="154">
                  <c:v>44314</c:v>
                </c:pt>
                <c:pt idx="155">
                  <c:v>44315</c:v>
                </c:pt>
                <c:pt idx="156">
                  <c:v>44316</c:v>
                </c:pt>
                <c:pt idx="157">
                  <c:v>44319</c:v>
                </c:pt>
                <c:pt idx="158">
                  <c:v>44320</c:v>
                </c:pt>
                <c:pt idx="159">
                  <c:v>44321</c:v>
                </c:pt>
                <c:pt idx="160">
                  <c:v>44322</c:v>
                </c:pt>
                <c:pt idx="161">
                  <c:v>44323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44342</c:v>
                </c:pt>
                <c:pt idx="173">
                  <c:v>44343</c:v>
                </c:pt>
                <c:pt idx="174">
                  <c:v>44344</c:v>
                </c:pt>
                <c:pt idx="175">
                  <c:v>44347</c:v>
                </c:pt>
                <c:pt idx="176">
                  <c:v>44348</c:v>
                </c:pt>
                <c:pt idx="177">
                  <c:v>44349</c:v>
                </c:pt>
                <c:pt idx="178">
                  <c:v>44350</c:v>
                </c:pt>
                <c:pt idx="179">
                  <c:v>44351</c:v>
                </c:pt>
                <c:pt idx="180">
                  <c:v>44354</c:v>
                </c:pt>
                <c:pt idx="181">
                  <c:v>44355</c:v>
                </c:pt>
                <c:pt idx="182">
                  <c:v>44356</c:v>
                </c:pt>
                <c:pt idx="183">
                  <c:v>44357</c:v>
                </c:pt>
                <c:pt idx="184">
                  <c:v>44358</c:v>
                </c:pt>
                <c:pt idx="185">
                  <c:v>44361</c:v>
                </c:pt>
              </c:numCache>
            </c:numRef>
          </c:xVal>
          <c:yVal>
            <c:numRef>
              <c:f>'Ratios ley ARG'!$F$3:$F$204</c:f>
              <c:numCache>
                <c:formatCode>0.000</c:formatCode>
                <c:ptCount val="202"/>
                <c:pt idx="0">
                  <c:v>0.96637323943661968</c:v>
                </c:pt>
                <c:pt idx="1">
                  <c:v>0.965034965034965</c:v>
                </c:pt>
                <c:pt idx="2">
                  <c:v>0.98765432098765427</c:v>
                </c:pt>
                <c:pt idx="3">
                  <c:v>0.98794112431282144</c:v>
                </c:pt>
                <c:pt idx="4">
                  <c:v>0.98922800718132853</c:v>
                </c:pt>
                <c:pt idx="5">
                  <c:v>0.98369565217391308</c:v>
                </c:pt>
                <c:pt idx="6">
                  <c:v>0.98167249953951008</c:v>
                </c:pt>
                <c:pt idx="7">
                  <c:v>0.97724719101123592</c:v>
                </c:pt>
                <c:pt idx="8">
                  <c:v>0.96712170736396852</c:v>
                </c:pt>
                <c:pt idx="9">
                  <c:v>0.95692883895131087</c:v>
                </c:pt>
                <c:pt idx="10">
                  <c:v>0.95729068673565376</c:v>
                </c:pt>
                <c:pt idx="11">
                  <c:v>0.95849056603773586</c:v>
                </c:pt>
                <c:pt idx="12">
                  <c:v>0.98129975930383262</c:v>
                </c:pt>
                <c:pt idx="13">
                  <c:v>0.96513761467889914</c:v>
                </c:pt>
                <c:pt idx="14">
                  <c:v>0.95822784810126582</c:v>
                </c:pt>
                <c:pt idx="15">
                  <c:v>0.9505798394290812</c:v>
                </c:pt>
                <c:pt idx="16">
                  <c:v>0.97745716862037868</c:v>
                </c:pt>
                <c:pt idx="17">
                  <c:v>0.96964285714285714</c:v>
                </c:pt>
                <c:pt idx="18">
                  <c:v>0.98996595592187775</c:v>
                </c:pt>
                <c:pt idx="19">
                  <c:v>1.0009000900090008</c:v>
                </c:pt>
                <c:pt idx="20">
                  <c:v>0.9980444444444444</c:v>
                </c:pt>
                <c:pt idx="21">
                  <c:v>1.0019681517266059</c:v>
                </c:pt>
                <c:pt idx="22">
                  <c:v>1.0068703670222383</c:v>
                </c:pt>
                <c:pt idx="23">
                  <c:v>0.98579040852575484</c:v>
                </c:pt>
                <c:pt idx="24">
                  <c:v>0.98529411764705888</c:v>
                </c:pt>
                <c:pt idx="25">
                  <c:v>0.99218885610137131</c:v>
                </c:pt>
                <c:pt idx="26">
                  <c:v>0.96678023850085182</c:v>
                </c:pt>
                <c:pt idx="27">
                  <c:v>0.95238095238095233</c:v>
                </c:pt>
                <c:pt idx="28">
                  <c:v>0.93938361995572961</c:v>
                </c:pt>
                <c:pt idx="29">
                  <c:v>0.94631578947368422</c:v>
                </c:pt>
                <c:pt idx="30">
                  <c:v>0.95013123359580054</c:v>
                </c:pt>
                <c:pt idx="31">
                  <c:v>0.97888307155322862</c:v>
                </c:pt>
                <c:pt idx="32">
                  <c:v>0.97482638888888884</c:v>
                </c:pt>
                <c:pt idx="33">
                  <c:v>0.96637168141592922</c:v>
                </c:pt>
                <c:pt idx="34">
                  <c:v>0.95779816513761473</c:v>
                </c:pt>
                <c:pt idx="35">
                  <c:v>0.96226415094339623</c:v>
                </c:pt>
                <c:pt idx="36">
                  <c:v>0.94519230769230766</c:v>
                </c:pt>
                <c:pt idx="37">
                  <c:v>0.95495145631067957</c:v>
                </c:pt>
                <c:pt idx="38">
                  <c:v>0.96355307707627957</c:v>
                </c:pt>
                <c:pt idx="39">
                  <c:v>0.96180904522613064</c:v>
                </c:pt>
                <c:pt idx="40">
                  <c:v>0.95944609297725025</c:v>
                </c:pt>
                <c:pt idx="41">
                  <c:v>0.95307917888563054</c:v>
                </c:pt>
                <c:pt idx="42">
                  <c:v>0.96231884057971018</c:v>
                </c:pt>
                <c:pt idx="43">
                  <c:v>0.97048543689320388</c:v>
                </c:pt>
                <c:pt idx="44">
                  <c:v>0.93644859813084114</c:v>
                </c:pt>
                <c:pt idx="45">
                  <c:v>0.95265151515151514</c:v>
                </c:pt>
                <c:pt idx="46">
                  <c:v>0.96371882086167804</c:v>
                </c:pt>
                <c:pt idx="47">
                  <c:v>0.97773939742851657</c:v>
                </c:pt>
                <c:pt idx="48">
                  <c:v>0.9819466997803038</c:v>
                </c:pt>
                <c:pt idx="49">
                  <c:v>0.9684053094036269</c:v>
                </c:pt>
                <c:pt idx="50">
                  <c:v>0.95004616805170827</c:v>
                </c:pt>
                <c:pt idx="51">
                  <c:v>0.95100081514355583</c:v>
                </c:pt>
                <c:pt idx="52">
                  <c:v>0.95743119266055043</c:v>
                </c:pt>
                <c:pt idx="53">
                  <c:v>0.96165869805075399</c:v>
                </c:pt>
                <c:pt idx="54">
                  <c:v>0.97396516201535865</c:v>
                </c:pt>
                <c:pt idx="55">
                  <c:v>0.9794261985654964</c:v>
                </c:pt>
                <c:pt idx="56">
                  <c:v>0.98072519083969467</c:v>
                </c:pt>
                <c:pt idx="57">
                  <c:v>0.97163925127623374</c:v>
                </c:pt>
                <c:pt idx="58">
                  <c:v>0.96947590708389331</c:v>
                </c:pt>
                <c:pt idx="59">
                  <c:v>0.97470685143909297</c:v>
                </c:pt>
                <c:pt idx="60">
                  <c:v>0.97751710654936463</c:v>
                </c:pt>
                <c:pt idx="61">
                  <c:v>0.97886340977068798</c:v>
                </c:pt>
                <c:pt idx="62">
                  <c:v>0.96779324055666005</c:v>
                </c:pt>
                <c:pt idx="63">
                  <c:v>0.98142857142857143</c:v>
                </c:pt>
                <c:pt idx="64">
                  <c:v>0.97032520325203253</c:v>
                </c:pt>
                <c:pt idx="65">
                  <c:v>0.98090452261306538</c:v>
                </c:pt>
                <c:pt idx="66">
                  <c:v>0.97517517517517516</c:v>
                </c:pt>
                <c:pt idx="67">
                  <c:v>0.98499999999999999</c:v>
                </c:pt>
                <c:pt idx="68">
                  <c:v>0.99191919191919187</c:v>
                </c:pt>
                <c:pt idx="69">
                  <c:v>0.9755855498213577</c:v>
                </c:pt>
                <c:pt idx="70">
                  <c:v>0.97408922657315411</c:v>
                </c:pt>
                <c:pt idx="71">
                  <c:v>0.96062378167641327</c:v>
                </c:pt>
                <c:pt idx="72">
                  <c:v>0.97745383867832847</c:v>
                </c:pt>
                <c:pt idx="73">
                  <c:v>0.96711798839458418</c:v>
                </c:pt>
                <c:pt idx="74">
                  <c:v>0.97696737044145876</c:v>
                </c:pt>
                <c:pt idx="75">
                  <c:v>0.97976989453499519</c:v>
                </c:pt>
                <c:pt idx="76">
                  <c:v>0.98646034816247585</c:v>
                </c:pt>
                <c:pt idx="77">
                  <c:v>0.95983005021243728</c:v>
                </c:pt>
                <c:pt idx="78">
                  <c:v>0.96993210475266733</c:v>
                </c:pt>
                <c:pt idx="79">
                  <c:v>0.96260786193672099</c:v>
                </c:pt>
                <c:pt idx="80">
                  <c:v>0.99234273529126682</c:v>
                </c:pt>
                <c:pt idx="81">
                  <c:v>0.99728629579375849</c:v>
                </c:pt>
                <c:pt idx="82">
                  <c:v>0.99212062256809341</c:v>
                </c:pt>
                <c:pt idx="83">
                  <c:v>0.9874853343762221</c:v>
                </c:pt>
                <c:pt idx="84">
                  <c:v>0.98019801980198018</c:v>
                </c:pt>
                <c:pt idx="85">
                  <c:v>0.98403193612774453</c:v>
                </c:pt>
                <c:pt idx="86">
                  <c:v>0.9782178217821782</c:v>
                </c:pt>
                <c:pt idx="87">
                  <c:v>0.99199199199199195</c:v>
                </c:pt>
                <c:pt idx="88">
                  <c:v>0.99121054734318814</c:v>
                </c:pt>
                <c:pt idx="89">
                  <c:v>0.99266921068487646</c:v>
                </c:pt>
                <c:pt idx="90">
                  <c:v>1.0018344883815735</c:v>
                </c:pt>
                <c:pt idx="91">
                  <c:v>0.99726858877086499</c:v>
                </c:pt>
                <c:pt idx="92">
                  <c:v>0.98793969849246233</c:v>
                </c:pt>
                <c:pt idx="93">
                  <c:v>0.98807157057654071</c:v>
                </c:pt>
                <c:pt idx="94">
                  <c:v>0.98099386260146504</c:v>
                </c:pt>
                <c:pt idx="95">
                  <c:v>0.99028548770816816</c:v>
                </c:pt>
                <c:pt idx="96">
                  <c:v>0.99019803960792163</c:v>
                </c:pt>
                <c:pt idx="97">
                  <c:v>0.9872712808273667</c:v>
                </c:pt>
                <c:pt idx="98">
                  <c:v>0.99323652277700414</c:v>
                </c:pt>
                <c:pt idx="99">
                  <c:v>0.98344501379582183</c:v>
                </c:pt>
                <c:pt idx="100">
                  <c:v>0.98240469208211145</c:v>
                </c:pt>
                <c:pt idx="101">
                  <c:v>0.98729227761485827</c:v>
                </c:pt>
                <c:pt idx="102">
                  <c:v>0.99191480970222834</c:v>
                </c:pt>
                <c:pt idx="103">
                  <c:v>0.99407582938388628</c:v>
                </c:pt>
                <c:pt idx="104">
                  <c:v>0.99612248956054883</c:v>
                </c:pt>
                <c:pt idx="105">
                  <c:v>1.0018181818181817</c:v>
                </c:pt>
                <c:pt idx="106">
                  <c:v>1.0062124452591914</c:v>
                </c:pt>
                <c:pt idx="107">
                  <c:v>1.0034158838599487</c:v>
                </c:pt>
                <c:pt idx="108">
                  <c:v>0.99666307857911729</c:v>
                </c:pt>
                <c:pt idx="109">
                  <c:v>1.0219780219780219</c:v>
                </c:pt>
                <c:pt idx="110">
                  <c:v>1.0168728908886389</c:v>
                </c:pt>
                <c:pt idx="111">
                  <c:v>1.0138795612267741</c:v>
                </c:pt>
                <c:pt idx="112">
                  <c:v>1.0080208107522219</c:v>
                </c:pt>
                <c:pt idx="113">
                  <c:v>1.0158288770053476</c:v>
                </c:pt>
                <c:pt idx="114">
                  <c:v>1.0040169133192389</c:v>
                </c:pt>
                <c:pt idx="115">
                  <c:v>0.99685468651708953</c:v>
                </c:pt>
                <c:pt idx="116">
                  <c:v>1.0042598509052183</c:v>
                </c:pt>
                <c:pt idx="117">
                  <c:v>1.0127659574468084</c:v>
                </c:pt>
                <c:pt idx="118">
                  <c:v>1.0002117298327335</c:v>
                </c:pt>
                <c:pt idx="119">
                  <c:v>1.0097826086956523</c:v>
                </c:pt>
                <c:pt idx="120">
                  <c:v>1.0330303702061627</c:v>
                </c:pt>
                <c:pt idx="121">
                  <c:v>1.0382882882882882</c:v>
                </c:pt>
                <c:pt idx="122">
                  <c:v>1.0339181286549708</c:v>
                </c:pt>
                <c:pt idx="123">
                  <c:v>1.0404597701149425</c:v>
                </c:pt>
                <c:pt idx="124">
                  <c:v>1.070615034168565</c:v>
                </c:pt>
                <c:pt idx="125">
                  <c:v>1.0975336322869955</c:v>
                </c:pt>
                <c:pt idx="126">
                  <c:v>1.0755506607929515</c:v>
                </c:pt>
                <c:pt idx="127">
                  <c:v>1.0634816753926701</c:v>
                </c:pt>
                <c:pt idx="128">
                  <c:v>1.0704163941574014</c:v>
                </c:pt>
                <c:pt idx="129">
                  <c:v>1.0612903225806452</c:v>
                </c:pt>
                <c:pt idx="130">
                  <c:v>1.0757737459978656</c:v>
                </c:pt>
                <c:pt idx="131">
                  <c:v>1.0837662337662337</c:v>
                </c:pt>
                <c:pt idx="132">
                  <c:v>1.0919101123595505</c:v>
                </c:pt>
                <c:pt idx="133">
                  <c:v>1.1025404157043881</c:v>
                </c:pt>
                <c:pt idx="134">
                  <c:v>1.0881316098707403</c:v>
                </c:pt>
                <c:pt idx="135">
                  <c:v>1.0934579439252337</c:v>
                </c:pt>
                <c:pt idx="136">
                  <c:v>1.097349230234981</c:v>
                </c:pt>
                <c:pt idx="137">
                  <c:v>1.0829493087557605</c:v>
                </c:pt>
                <c:pt idx="138">
                  <c:v>1.0898748577929465</c:v>
                </c:pt>
                <c:pt idx="139">
                  <c:v>1.0962658444672833</c:v>
                </c:pt>
                <c:pt idx="140">
                  <c:v>1.0885902983375086</c:v>
                </c:pt>
                <c:pt idx="141">
                  <c:v>1.096551724137931</c:v>
                </c:pt>
                <c:pt idx="142">
                  <c:v>1.0914051841746248</c:v>
                </c:pt>
                <c:pt idx="143">
                  <c:v>1.0868576625738973</c:v>
                </c:pt>
                <c:pt idx="144">
                  <c:v>1.0821670428893906</c:v>
                </c:pt>
                <c:pt idx="145">
                  <c:v>1.0631602607327488</c:v>
                </c:pt>
                <c:pt idx="146">
                  <c:v>1.0618823000898472</c:v>
                </c:pt>
                <c:pt idx="147">
                  <c:v>1.0637342908438061</c:v>
                </c:pt>
                <c:pt idx="148">
                  <c:v>1.0664810690423163</c:v>
                </c:pt>
                <c:pt idx="149">
                  <c:v>1.0539675532501931</c:v>
                </c:pt>
                <c:pt idx="150">
                  <c:v>1.0488599348534202</c:v>
                </c:pt>
                <c:pt idx="151">
                  <c:v>1.0350085910652922</c:v>
                </c:pt>
                <c:pt idx="152">
                  <c:v>1.0290465165228373</c:v>
                </c:pt>
                <c:pt idx="153">
                  <c:v>1.0141683778234085</c:v>
                </c:pt>
                <c:pt idx="154">
                  <c:v>1.0279591836734694</c:v>
                </c:pt>
                <c:pt idx="155">
                  <c:v>1.0349291144442161</c:v>
                </c:pt>
                <c:pt idx="156">
                  <c:v>1.0376040275351897</c:v>
                </c:pt>
                <c:pt idx="157">
                  <c:v>1.024390243902439</c:v>
                </c:pt>
                <c:pt idx="158">
                  <c:v>1.0222446916076846</c:v>
                </c:pt>
                <c:pt idx="159">
                  <c:v>1.0293398533007334</c:v>
                </c:pt>
                <c:pt idx="160">
                  <c:v>1.0405827263267429</c:v>
                </c:pt>
                <c:pt idx="161">
                  <c:v>1.0318840579710145</c:v>
                </c:pt>
                <c:pt idx="162">
                  <c:v>1.0336073249401727</c:v>
                </c:pt>
                <c:pt idx="163">
                  <c:v>1.0452910052910054</c:v>
                </c:pt>
                <c:pt idx="164">
                  <c:v>1.0380469245402664</c:v>
                </c:pt>
                <c:pt idx="165">
                  <c:v>1.0363447559709242</c:v>
                </c:pt>
                <c:pt idx="166">
                  <c:v>1.0216432865731464</c:v>
                </c:pt>
                <c:pt idx="167">
                  <c:v>1.0217732444095724</c:v>
                </c:pt>
                <c:pt idx="168">
                  <c:v>1.0213753747944676</c:v>
                </c:pt>
                <c:pt idx="169">
                  <c:v>1.0204633204633204</c:v>
                </c:pt>
                <c:pt idx="170">
                  <c:v>1.0182166826462129</c:v>
                </c:pt>
                <c:pt idx="171">
                  <c:v>1.0379746835443038</c:v>
                </c:pt>
                <c:pt idx="172">
                  <c:v>1.0419047619047619</c:v>
                </c:pt>
                <c:pt idx="173">
                  <c:v>1.0531220876048462</c:v>
                </c:pt>
                <c:pt idx="174">
                  <c:v>1.0375234521575984</c:v>
                </c:pt>
                <c:pt idx="175">
                  <c:v>1.0289179104477613</c:v>
                </c:pt>
                <c:pt idx="176">
                  <c:v>1.0298808432630615</c:v>
                </c:pt>
                <c:pt idx="177">
                  <c:v>1.0370972109396155</c:v>
                </c:pt>
                <c:pt idx="178">
                  <c:v>1.0517972350230416</c:v>
                </c:pt>
                <c:pt idx="179">
                  <c:v>1.0578420467185763</c:v>
                </c:pt>
                <c:pt idx="180">
                  <c:v>1.0596654275092936</c:v>
                </c:pt>
                <c:pt idx="181">
                  <c:v>1.0628465804066543</c:v>
                </c:pt>
                <c:pt idx="182">
                  <c:v>1.0596014492753623</c:v>
                </c:pt>
                <c:pt idx="183">
                  <c:v>1.0611510791366907</c:v>
                </c:pt>
                <c:pt idx="184">
                  <c:v>1.080495076339326</c:v>
                </c:pt>
                <c:pt idx="185">
                  <c:v>1.0773960216998191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8-43E7-AB0F-58091D643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51136"/>
        <c:axId val="169861504"/>
      </c:scatterChart>
      <c:valAx>
        <c:axId val="169851136"/>
        <c:scaling>
          <c:orientation val="minMax"/>
          <c:max val="44370"/>
          <c:min val="44081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69861504"/>
        <c:crosses val="autoZero"/>
        <c:crossBetween val="midCat"/>
        <c:majorUnit val="40"/>
      </c:valAx>
      <c:valAx>
        <c:axId val="169861504"/>
        <c:scaling>
          <c:orientation val="minMax"/>
          <c:max val="1.1200000000000001"/>
          <c:min val="0.9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>
            <c:manualLayout>
              <c:xMode val="edge"/>
              <c:yMode val="edge"/>
              <c:x val="5.0828243328303269E-2"/>
              <c:y val="0.47465992133872875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/>
          <a:lstStyle/>
          <a:p>
            <a:pPr>
              <a:defRPr b="1"/>
            </a:pPr>
            <a:endParaRPr lang="es-AR"/>
          </a:p>
        </c:txPr>
        <c:crossAx val="169851136"/>
        <c:crossesAt val="0"/>
        <c:crossBetween val="midCat"/>
        <c:majorUnit val="2.0000000000000004E-2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400" b="1" i="0" baseline="0">
                <a:effectLst/>
                <a:latin typeface="Arial" pitchFamily="34" charset="0"/>
                <a:cs typeface="Arial" pitchFamily="34" charset="0"/>
              </a:rPr>
              <a:t>Ratio AE38/AL41</a:t>
            </a:r>
            <a:endParaRPr lang="es-AR" sz="1400">
              <a:effectLst/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5564186308318857"/>
          <c:y val="4.73231872251702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7713452916831"/>
          <c:y val="0.19820639465521353"/>
          <c:w val="0.74937220930285264"/>
          <c:h val="0.66260319732760675"/>
        </c:manualLayout>
      </c:layout>
      <c:scatterChart>
        <c:scatterStyle val="lineMarker"/>
        <c:varyColors val="0"/>
        <c:ser>
          <c:idx val="0"/>
          <c:order val="0"/>
          <c:tx>
            <c:v>Ratio AE38/AL41</c:v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'Ratios ley ARG'!$A$3:$A$204</c:f>
              <c:numCache>
                <c:formatCode>dd/mm/yyyy;@</c:formatCode>
                <c:ptCount val="202"/>
                <c:pt idx="0">
                  <c:v>44081</c:v>
                </c:pt>
                <c:pt idx="1">
                  <c:v>44082</c:v>
                </c:pt>
                <c:pt idx="2">
                  <c:v>44083</c:v>
                </c:pt>
                <c:pt idx="3">
                  <c:v>44084</c:v>
                </c:pt>
                <c:pt idx="4">
                  <c:v>44085</c:v>
                </c:pt>
                <c:pt idx="5">
                  <c:v>44088</c:v>
                </c:pt>
                <c:pt idx="6">
                  <c:v>44089</c:v>
                </c:pt>
                <c:pt idx="7">
                  <c:v>44090</c:v>
                </c:pt>
                <c:pt idx="8">
                  <c:v>44091</c:v>
                </c:pt>
                <c:pt idx="9">
                  <c:v>44092</c:v>
                </c:pt>
                <c:pt idx="10">
                  <c:v>44095</c:v>
                </c:pt>
                <c:pt idx="11">
                  <c:v>44096</c:v>
                </c:pt>
                <c:pt idx="12">
                  <c:v>44097</c:v>
                </c:pt>
                <c:pt idx="13">
                  <c:v>44098</c:v>
                </c:pt>
                <c:pt idx="14">
                  <c:v>44099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44133</c:v>
                </c:pt>
                <c:pt idx="38">
                  <c:v>44134</c:v>
                </c:pt>
                <c:pt idx="39">
                  <c:v>44137</c:v>
                </c:pt>
                <c:pt idx="40">
                  <c:v>44138</c:v>
                </c:pt>
                <c:pt idx="41">
                  <c:v>44139</c:v>
                </c:pt>
                <c:pt idx="42">
                  <c:v>44140</c:v>
                </c:pt>
                <c:pt idx="43">
                  <c:v>44141</c:v>
                </c:pt>
                <c:pt idx="44">
                  <c:v>44144</c:v>
                </c:pt>
                <c:pt idx="45">
                  <c:v>44145</c:v>
                </c:pt>
                <c:pt idx="46">
                  <c:v>44146</c:v>
                </c:pt>
                <c:pt idx="47">
                  <c:v>44147</c:v>
                </c:pt>
                <c:pt idx="48">
                  <c:v>44148</c:v>
                </c:pt>
                <c:pt idx="49">
                  <c:v>44151</c:v>
                </c:pt>
                <c:pt idx="50">
                  <c:v>44152</c:v>
                </c:pt>
                <c:pt idx="51">
                  <c:v>44153</c:v>
                </c:pt>
                <c:pt idx="52">
                  <c:v>44154</c:v>
                </c:pt>
                <c:pt idx="53">
                  <c:v>44155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44174</c:v>
                </c:pt>
                <c:pt idx="64">
                  <c:v>44175</c:v>
                </c:pt>
                <c:pt idx="65">
                  <c:v>44176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44183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44193</c:v>
                </c:pt>
                <c:pt idx="75">
                  <c:v>44194</c:v>
                </c:pt>
                <c:pt idx="76">
                  <c:v>44195</c:v>
                </c:pt>
                <c:pt idx="77">
                  <c:v>44200</c:v>
                </c:pt>
                <c:pt idx="78">
                  <c:v>44201</c:v>
                </c:pt>
                <c:pt idx="79">
                  <c:v>44202</c:v>
                </c:pt>
                <c:pt idx="80">
                  <c:v>44203</c:v>
                </c:pt>
                <c:pt idx="81">
                  <c:v>44204</c:v>
                </c:pt>
                <c:pt idx="82">
                  <c:v>44207</c:v>
                </c:pt>
                <c:pt idx="83">
                  <c:v>44208</c:v>
                </c:pt>
                <c:pt idx="84">
                  <c:v>44209</c:v>
                </c:pt>
                <c:pt idx="85">
                  <c:v>44210</c:v>
                </c:pt>
                <c:pt idx="86">
                  <c:v>44211</c:v>
                </c:pt>
                <c:pt idx="87">
                  <c:v>44214</c:v>
                </c:pt>
                <c:pt idx="88">
                  <c:v>44215</c:v>
                </c:pt>
                <c:pt idx="89">
                  <c:v>44216</c:v>
                </c:pt>
                <c:pt idx="90">
                  <c:v>44217</c:v>
                </c:pt>
                <c:pt idx="91">
                  <c:v>44218</c:v>
                </c:pt>
                <c:pt idx="92">
                  <c:v>44221</c:v>
                </c:pt>
                <c:pt idx="93">
                  <c:v>44222</c:v>
                </c:pt>
                <c:pt idx="94">
                  <c:v>44223</c:v>
                </c:pt>
                <c:pt idx="95">
                  <c:v>44224</c:v>
                </c:pt>
                <c:pt idx="96">
                  <c:v>44225</c:v>
                </c:pt>
                <c:pt idx="97">
                  <c:v>44228</c:v>
                </c:pt>
                <c:pt idx="98">
                  <c:v>44229</c:v>
                </c:pt>
                <c:pt idx="99">
                  <c:v>44230</c:v>
                </c:pt>
                <c:pt idx="100">
                  <c:v>44231</c:v>
                </c:pt>
                <c:pt idx="101">
                  <c:v>44232</c:v>
                </c:pt>
                <c:pt idx="102">
                  <c:v>44235</c:v>
                </c:pt>
                <c:pt idx="103">
                  <c:v>44236</c:v>
                </c:pt>
                <c:pt idx="104">
                  <c:v>44237</c:v>
                </c:pt>
                <c:pt idx="105">
                  <c:v>44238</c:v>
                </c:pt>
                <c:pt idx="106">
                  <c:v>44239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44249</c:v>
                </c:pt>
                <c:pt idx="111">
                  <c:v>44250</c:v>
                </c:pt>
                <c:pt idx="112">
                  <c:v>44251</c:v>
                </c:pt>
                <c:pt idx="113">
                  <c:v>44252</c:v>
                </c:pt>
                <c:pt idx="114">
                  <c:v>44253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44270</c:v>
                </c:pt>
                <c:pt idx="126">
                  <c:v>44271</c:v>
                </c:pt>
                <c:pt idx="127">
                  <c:v>44272</c:v>
                </c:pt>
                <c:pt idx="128">
                  <c:v>44273</c:v>
                </c:pt>
                <c:pt idx="129">
                  <c:v>44274</c:v>
                </c:pt>
                <c:pt idx="130">
                  <c:v>44277</c:v>
                </c:pt>
                <c:pt idx="131">
                  <c:v>44278</c:v>
                </c:pt>
                <c:pt idx="132">
                  <c:v>44280</c:v>
                </c:pt>
                <c:pt idx="133">
                  <c:v>44281</c:v>
                </c:pt>
                <c:pt idx="134">
                  <c:v>44284</c:v>
                </c:pt>
                <c:pt idx="135">
                  <c:v>44285</c:v>
                </c:pt>
                <c:pt idx="136">
                  <c:v>44286</c:v>
                </c:pt>
                <c:pt idx="137">
                  <c:v>44291</c:v>
                </c:pt>
                <c:pt idx="138">
                  <c:v>44292</c:v>
                </c:pt>
                <c:pt idx="139">
                  <c:v>44293</c:v>
                </c:pt>
                <c:pt idx="140">
                  <c:v>44294</c:v>
                </c:pt>
                <c:pt idx="141">
                  <c:v>44295</c:v>
                </c:pt>
                <c:pt idx="142">
                  <c:v>44298</c:v>
                </c:pt>
                <c:pt idx="143">
                  <c:v>44299</c:v>
                </c:pt>
                <c:pt idx="144">
                  <c:v>44300</c:v>
                </c:pt>
                <c:pt idx="145">
                  <c:v>44301</c:v>
                </c:pt>
                <c:pt idx="146">
                  <c:v>44302</c:v>
                </c:pt>
                <c:pt idx="147">
                  <c:v>44305</c:v>
                </c:pt>
                <c:pt idx="148">
                  <c:v>44306</c:v>
                </c:pt>
                <c:pt idx="149">
                  <c:v>44307</c:v>
                </c:pt>
                <c:pt idx="150">
                  <c:v>44308</c:v>
                </c:pt>
                <c:pt idx="151">
                  <c:v>44309</c:v>
                </c:pt>
                <c:pt idx="152">
                  <c:v>44312</c:v>
                </c:pt>
                <c:pt idx="153">
                  <c:v>44313</c:v>
                </c:pt>
                <c:pt idx="154">
                  <c:v>44314</c:v>
                </c:pt>
                <c:pt idx="155">
                  <c:v>44315</c:v>
                </c:pt>
                <c:pt idx="156">
                  <c:v>44316</c:v>
                </c:pt>
                <c:pt idx="157">
                  <c:v>44319</c:v>
                </c:pt>
                <c:pt idx="158">
                  <c:v>44320</c:v>
                </c:pt>
                <c:pt idx="159">
                  <c:v>44321</c:v>
                </c:pt>
                <c:pt idx="160">
                  <c:v>44322</c:v>
                </c:pt>
                <c:pt idx="161">
                  <c:v>44323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44342</c:v>
                </c:pt>
                <c:pt idx="173">
                  <c:v>44343</c:v>
                </c:pt>
                <c:pt idx="174">
                  <c:v>44344</c:v>
                </c:pt>
                <c:pt idx="175">
                  <c:v>44347</c:v>
                </c:pt>
                <c:pt idx="176">
                  <c:v>44348</c:v>
                </c:pt>
                <c:pt idx="177">
                  <c:v>44349</c:v>
                </c:pt>
                <c:pt idx="178">
                  <c:v>44350</c:v>
                </c:pt>
                <c:pt idx="179">
                  <c:v>44351</c:v>
                </c:pt>
                <c:pt idx="180">
                  <c:v>44354</c:v>
                </c:pt>
                <c:pt idx="181">
                  <c:v>44355</c:v>
                </c:pt>
                <c:pt idx="182">
                  <c:v>44356</c:v>
                </c:pt>
                <c:pt idx="183">
                  <c:v>44357</c:v>
                </c:pt>
                <c:pt idx="184">
                  <c:v>44358</c:v>
                </c:pt>
                <c:pt idx="185">
                  <c:v>44361</c:v>
                </c:pt>
              </c:numCache>
            </c:numRef>
          </c:xVal>
          <c:yVal>
            <c:numRef>
              <c:f>'Ratios ley ARG'!$G$3:$G$204</c:f>
              <c:numCache>
                <c:formatCode>0.000</c:formatCode>
                <c:ptCount val="202"/>
                <c:pt idx="0">
                  <c:v>1.1204226635088359</c:v>
                </c:pt>
                <c:pt idx="1">
                  <c:v>1.1213768115942029</c:v>
                </c:pt>
                <c:pt idx="2">
                  <c:v>1.1178571428571429</c:v>
                </c:pt>
                <c:pt idx="3">
                  <c:v>1.1254711900915455</c:v>
                </c:pt>
                <c:pt idx="4">
                  <c:v>1.1234119782214156</c:v>
                </c:pt>
                <c:pt idx="5">
                  <c:v>1.1279005524861878</c:v>
                </c:pt>
                <c:pt idx="6">
                  <c:v>1.1164274322169059</c:v>
                </c:pt>
                <c:pt idx="7">
                  <c:v>1.1133467471495639</c:v>
                </c:pt>
                <c:pt idx="8">
                  <c:v>1.1133200795228628</c:v>
                </c:pt>
                <c:pt idx="9">
                  <c:v>1.12426614481409</c:v>
                </c:pt>
                <c:pt idx="10">
                  <c:v>1.1399371069182389</c:v>
                </c:pt>
                <c:pt idx="11">
                  <c:v>1.1368110236220472</c:v>
                </c:pt>
                <c:pt idx="12">
                  <c:v>1.1083018867924528</c:v>
                </c:pt>
                <c:pt idx="13">
                  <c:v>1.086977186311787</c:v>
                </c:pt>
                <c:pt idx="14">
                  <c:v>1.0886959803736553</c:v>
                </c:pt>
                <c:pt idx="15">
                  <c:v>1.0941253753753755</c:v>
                </c:pt>
                <c:pt idx="16">
                  <c:v>1.0821033210332103</c:v>
                </c:pt>
                <c:pt idx="17">
                  <c:v>1.0902394106813997</c:v>
                </c:pt>
                <c:pt idx="18">
                  <c:v>1.0822624434389141</c:v>
                </c:pt>
                <c:pt idx="19">
                  <c:v>1.0821942446043165</c:v>
                </c:pt>
                <c:pt idx="20">
                  <c:v>1.0651941574634842</c:v>
                </c:pt>
                <c:pt idx="21">
                  <c:v>1.0410714285714286</c:v>
                </c:pt>
                <c:pt idx="22">
                  <c:v>1.0468665828694559</c:v>
                </c:pt>
                <c:pt idx="23">
                  <c:v>1.0603603603603604</c:v>
                </c:pt>
                <c:pt idx="24">
                  <c:v>1.0570676031606672</c:v>
                </c:pt>
                <c:pt idx="25">
                  <c:v>1.0610566829951014</c:v>
                </c:pt>
                <c:pt idx="26">
                  <c:v>1.0810572687224669</c:v>
                </c:pt>
                <c:pt idx="27">
                  <c:v>1.1116071428571428</c:v>
                </c:pt>
                <c:pt idx="28">
                  <c:v>1.1047670835599057</c:v>
                </c:pt>
                <c:pt idx="29">
                  <c:v>1.1299592139414163</c:v>
                </c:pt>
                <c:pt idx="30">
                  <c:v>1.1104972375690607</c:v>
                </c:pt>
                <c:pt idx="31">
                  <c:v>1.0873596006418256</c:v>
                </c:pt>
                <c:pt idx="32">
                  <c:v>1.0861976847729296</c:v>
                </c:pt>
                <c:pt idx="33">
                  <c:v>1.0815018315018314</c:v>
                </c:pt>
                <c:pt idx="34">
                  <c:v>1.0795019157088122</c:v>
                </c:pt>
                <c:pt idx="35">
                  <c:v>1.084313725490196</c:v>
                </c:pt>
                <c:pt idx="36">
                  <c:v>1.0783316378433367</c:v>
                </c:pt>
                <c:pt idx="37">
                  <c:v>1.0664904432696218</c:v>
                </c:pt>
                <c:pt idx="38">
                  <c:v>1.0713104588673006</c:v>
                </c:pt>
                <c:pt idx="39">
                  <c:v>1.0844305120167188</c:v>
                </c:pt>
                <c:pt idx="40">
                  <c:v>1.0886597938144329</c:v>
                </c:pt>
                <c:pt idx="41">
                  <c:v>1.0871794871794871</c:v>
                </c:pt>
                <c:pt idx="42">
                  <c:v>1.071285140562249</c:v>
                </c:pt>
                <c:pt idx="43">
                  <c:v>1.069827931172469</c:v>
                </c:pt>
                <c:pt idx="44">
                  <c:v>1.0780439121756487</c:v>
                </c:pt>
                <c:pt idx="45">
                  <c:v>1.0934393638170974</c:v>
                </c:pt>
                <c:pt idx="46">
                  <c:v>1.115686274509804</c:v>
                </c:pt>
                <c:pt idx="47">
                  <c:v>1.0912659470068695</c:v>
                </c:pt>
                <c:pt idx="48">
                  <c:v>1.0955252918287939</c:v>
                </c:pt>
                <c:pt idx="49">
                  <c:v>1.1042471042471043</c:v>
                </c:pt>
                <c:pt idx="50">
                  <c:v>1.1136164836232869</c:v>
                </c:pt>
                <c:pt idx="51">
                  <c:v>1.1009523809523809</c:v>
                </c:pt>
                <c:pt idx="52">
                  <c:v>1.100804906094289</c:v>
                </c:pt>
                <c:pt idx="53">
                  <c:v>1.0880581317525575</c:v>
                </c:pt>
                <c:pt idx="54">
                  <c:v>1.075</c:v>
                </c:pt>
                <c:pt idx="55">
                  <c:v>1.0603199074966274</c:v>
                </c:pt>
                <c:pt idx="56">
                  <c:v>1.0760848414088344</c:v>
                </c:pt>
                <c:pt idx="57">
                  <c:v>1.0653823701109164</c:v>
                </c:pt>
                <c:pt idx="58">
                  <c:v>1.0634653465346535</c:v>
                </c:pt>
                <c:pt idx="59">
                  <c:v>1.0737721216941738</c:v>
                </c:pt>
                <c:pt idx="60">
                  <c:v>1.077</c:v>
                </c:pt>
                <c:pt idx="61">
                  <c:v>1.0725198614789162</c:v>
                </c:pt>
                <c:pt idx="62">
                  <c:v>1.0753903040262942</c:v>
                </c:pt>
                <c:pt idx="63">
                  <c:v>1.0771470160116448</c:v>
                </c:pt>
                <c:pt idx="64">
                  <c:v>1.080854629241726</c:v>
                </c:pt>
                <c:pt idx="65">
                  <c:v>1.0676229508196722</c:v>
                </c:pt>
                <c:pt idx="66">
                  <c:v>1.0778074317388626</c:v>
                </c:pt>
                <c:pt idx="67">
                  <c:v>1.071269035532995</c:v>
                </c:pt>
                <c:pt idx="68">
                  <c:v>1.0733197556008147</c:v>
                </c:pt>
                <c:pt idx="69">
                  <c:v>1.0885045778229909</c:v>
                </c:pt>
                <c:pt idx="70">
                  <c:v>1.0900000000000001</c:v>
                </c:pt>
                <c:pt idx="71">
                  <c:v>1.088676948051948</c:v>
                </c:pt>
                <c:pt idx="72">
                  <c:v>1.0737721216941738</c:v>
                </c:pt>
                <c:pt idx="73">
                  <c:v>1.091</c:v>
                </c:pt>
                <c:pt idx="74">
                  <c:v>1.0864440078585462</c:v>
                </c:pt>
                <c:pt idx="75">
                  <c:v>1.0705548488110384</c:v>
                </c:pt>
                <c:pt idx="76">
                  <c:v>1.0558823529411765</c:v>
                </c:pt>
                <c:pt idx="77">
                  <c:v>1.077867203219316</c:v>
                </c:pt>
                <c:pt idx="78">
                  <c:v>1.0780000000000001</c:v>
                </c:pt>
                <c:pt idx="79">
                  <c:v>1.0806772908366533</c:v>
                </c:pt>
                <c:pt idx="80">
                  <c:v>1.068568079703067</c:v>
                </c:pt>
                <c:pt idx="81">
                  <c:v>1.055393586005831</c:v>
                </c:pt>
                <c:pt idx="82">
                  <c:v>1.0510834395528974</c:v>
                </c:pt>
                <c:pt idx="83">
                  <c:v>1.0554455445544555</c:v>
                </c:pt>
                <c:pt idx="84">
                  <c:v>1.0616161616161617</c:v>
                </c:pt>
                <c:pt idx="85">
                  <c:v>1.052738336713996</c:v>
                </c:pt>
                <c:pt idx="86">
                  <c:v>1.0566801619433199</c:v>
                </c:pt>
                <c:pt idx="87">
                  <c:v>1.0554994954591321</c:v>
                </c:pt>
                <c:pt idx="88">
                  <c:v>1.0630794034663442</c:v>
                </c:pt>
                <c:pt idx="89">
                  <c:v>1.0740515933232171</c:v>
                </c:pt>
                <c:pt idx="90">
                  <c:v>1.0732451678535098</c:v>
                </c:pt>
                <c:pt idx="91">
                  <c:v>1.0805437208358692</c:v>
                </c:pt>
                <c:pt idx="92">
                  <c:v>1.0946083418107833</c:v>
                </c:pt>
                <c:pt idx="93">
                  <c:v>1.0875251509054327</c:v>
                </c:pt>
                <c:pt idx="94">
                  <c:v>1.0968718466195762</c:v>
                </c:pt>
                <c:pt idx="95">
                  <c:v>1.0960960960960962</c:v>
                </c:pt>
                <c:pt idx="96">
                  <c:v>1.1012121212121213</c:v>
                </c:pt>
                <c:pt idx="97">
                  <c:v>1.1005237711522966</c:v>
                </c:pt>
                <c:pt idx="98">
                  <c:v>1.0964350090126176</c:v>
                </c:pt>
                <c:pt idx="99">
                  <c:v>1.0851703406813626</c:v>
                </c:pt>
                <c:pt idx="100">
                  <c:v>1.0746268656716418</c:v>
                </c:pt>
                <c:pt idx="101">
                  <c:v>1.0681188118811882</c:v>
                </c:pt>
                <c:pt idx="102">
                  <c:v>1.0695825049701788</c:v>
                </c:pt>
                <c:pt idx="103">
                  <c:v>1.0611839491458086</c:v>
                </c:pt>
                <c:pt idx="104">
                  <c:v>1.0623814751971254</c:v>
                </c:pt>
                <c:pt idx="105">
                  <c:v>1.0526315789473684</c:v>
                </c:pt>
                <c:pt idx="106">
                  <c:v>1.0425101214574899</c:v>
                </c:pt>
                <c:pt idx="107">
                  <c:v>1.0542553191489361</c:v>
                </c:pt>
                <c:pt idx="108">
                  <c:v>1.0584296360298089</c:v>
                </c:pt>
                <c:pt idx="109">
                  <c:v>1.0408602150537634</c:v>
                </c:pt>
                <c:pt idx="110">
                  <c:v>1.0497787610619469</c:v>
                </c:pt>
                <c:pt idx="111">
                  <c:v>1.0395230735261647</c:v>
                </c:pt>
                <c:pt idx="112">
                  <c:v>1.0344086021505376</c:v>
                </c:pt>
                <c:pt idx="113">
                  <c:v>1.0360075805432722</c:v>
                </c:pt>
                <c:pt idx="114">
                  <c:v>1.0465361128658666</c:v>
                </c:pt>
                <c:pt idx="115">
                  <c:v>1.0637358014303744</c:v>
                </c:pt>
                <c:pt idx="116">
                  <c:v>1.0519618239660657</c:v>
                </c:pt>
                <c:pt idx="117">
                  <c:v>1.0304621848739495</c:v>
                </c:pt>
                <c:pt idx="118">
                  <c:v>1.0455122777307366</c:v>
                </c:pt>
                <c:pt idx="119">
                  <c:v>1.0462863293864371</c:v>
                </c:pt>
                <c:pt idx="120">
                  <c:v>1.0364806866952789</c:v>
                </c:pt>
                <c:pt idx="121">
                  <c:v>1.0345986984815618</c:v>
                </c:pt>
                <c:pt idx="122">
                  <c:v>1.0359728506787331</c:v>
                </c:pt>
                <c:pt idx="123">
                  <c:v>1.0196641626159966</c:v>
                </c:pt>
                <c:pt idx="124">
                  <c:v>1.0031914893617022</c:v>
                </c:pt>
                <c:pt idx="125">
                  <c:v>0.99080694586312568</c:v>
                </c:pt>
                <c:pt idx="126">
                  <c:v>1.0055293876715135</c:v>
                </c:pt>
                <c:pt idx="127">
                  <c:v>1.0153846153846153</c:v>
                </c:pt>
                <c:pt idx="128">
                  <c:v>1.0020366598778003</c:v>
                </c:pt>
                <c:pt idx="129">
                  <c:v>1.0040526849037488</c:v>
                </c:pt>
                <c:pt idx="130">
                  <c:v>0.99484126984126986</c:v>
                </c:pt>
                <c:pt idx="131">
                  <c:v>1.0163770720990613</c:v>
                </c:pt>
                <c:pt idx="132">
                  <c:v>1.0084379501955134</c:v>
                </c:pt>
                <c:pt idx="133">
                  <c:v>1.0117302052785924</c:v>
                </c:pt>
                <c:pt idx="134">
                  <c:v>1.0237580993520519</c:v>
                </c:pt>
                <c:pt idx="135">
                  <c:v>1.0126068376068376</c:v>
                </c:pt>
                <c:pt idx="136">
                  <c:v>1.0168776371308017</c:v>
                </c:pt>
                <c:pt idx="137">
                  <c:v>1.0189361702127659</c:v>
                </c:pt>
                <c:pt idx="138">
                  <c:v>1.010438413361169</c:v>
                </c:pt>
                <c:pt idx="139">
                  <c:v>1.0060416666666667</c:v>
                </c:pt>
                <c:pt idx="140">
                  <c:v>1.0044979079497909</c:v>
                </c:pt>
                <c:pt idx="141">
                  <c:v>1.0010482180293501</c:v>
                </c:pt>
                <c:pt idx="142">
                  <c:v>1</c:v>
                </c:pt>
                <c:pt idx="143">
                  <c:v>1.0096234309623431</c:v>
                </c:pt>
                <c:pt idx="144">
                  <c:v>1.0073007926574886</c:v>
                </c:pt>
                <c:pt idx="145">
                  <c:v>1.0126849894291754</c:v>
                </c:pt>
                <c:pt idx="146">
                  <c:v>1.0153358011634057</c:v>
                </c:pt>
                <c:pt idx="147">
                  <c:v>1.0210970464135021</c:v>
                </c:pt>
                <c:pt idx="148">
                  <c:v>1.0178552782708572</c:v>
                </c:pt>
                <c:pt idx="149">
                  <c:v>1.0261780104712042</c:v>
                </c:pt>
                <c:pt idx="150">
                  <c:v>1.0227743271221532</c:v>
                </c:pt>
                <c:pt idx="151">
                  <c:v>1.0350695164971986</c:v>
                </c:pt>
                <c:pt idx="152">
                  <c:v>1.0426467580282266</c:v>
                </c:pt>
                <c:pt idx="153">
                  <c:v>1.0366470945535533</c:v>
                </c:pt>
                <c:pt idx="154">
                  <c:v>1.0353384951359936</c:v>
                </c:pt>
                <c:pt idx="155">
                  <c:v>1.0383164582092514</c:v>
                </c:pt>
                <c:pt idx="156">
                  <c:v>1.034755916427369</c:v>
                </c:pt>
                <c:pt idx="157">
                  <c:v>1.0297619047619047</c:v>
                </c:pt>
                <c:pt idx="158">
                  <c:v>1.0334322453016815</c:v>
                </c:pt>
                <c:pt idx="159">
                  <c:v>1.0312747426761679</c:v>
                </c:pt>
                <c:pt idx="160">
                  <c:v>1.036</c:v>
                </c:pt>
                <c:pt idx="161">
                  <c:v>1.0343097913322632</c:v>
                </c:pt>
                <c:pt idx="162">
                  <c:v>1.02979665794242</c:v>
                </c:pt>
                <c:pt idx="163">
                  <c:v>1.0268272929742863</c:v>
                </c:pt>
                <c:pt idx="164">
                  <c:v>1.0403176542455712</c:v>
                </c:pt>
                <c:pt idx="165">
                  <c:v>1.0320641282565131</c:v>
                </c:pt>
                <c:pt idx="166">
                  <c:v>1.0434484111416242</c:v>
                </c:pt>
                <c:pt idx="167">
                  <c:v>1.0462660779420234</c:v>
                </c:pt>
                <c:pt idx="168">
                  <c:v>1.0492424242424243</c:v>
                </c:pt>
                <c:pt idx="169">
                  <c:v>1.0461596670450246</c:v>
                </c:pt>
                <c:pt idx="170">
                  <c:v>1.0508474576271187</c:v>
                </c:pt>
                <c:pt idx="171">
                  <c:v>1.0485928705440901</c:v>
                </c:pt>
                <c:pt idx="172">
                  <c:v>1.0564899451553931</c:v>
                </c:pt>
                <c:pt idx="173">
                  <c:v>1.0380530973451327</c:v>
                </c:pt>
                <c:pt idx="174">
                  <c:v>1.0496383363471971</c:v>
                </c:pt>
                <c:pt idx="175">
                  <c:v>1.0520398912058024</c:v>
                </c:pt>
                <c:pt idx="176">
                  <c:v>1.057315770736917</c:v>
                </c:pt>
                <c:pt idx="177">
                  <c:v>1.0600522193211488</c:v>
                </c:pt>
                <c:pt idx="178">
                  <c:v>1.0515247108307044</c:v>
                </c:pt>
                <c:pt idx="179">
                  <c:v>1.0427620049071153</c:v>
                </c:pt>
                <c:pt idx="180">
                  <c:v>1.0559550955972636</c:v>
                </c:pt>
                <c:pt idx="181">
                  <c:v>1.0492173913043479</c:v>
                </c:pt>
                <c:pt idx="182">
                  <c:v>1.039493930586425</c:v>
                </c:pt>
                <c:pt idx="183">
                  <c:v>1.0303389830508474</c:v>
                </c:pt>
                <c:pt idx="184">
                  <c:v>1.0234113712374582</c:v>
                </c:pt>
                <c:pt idx="185">
                  <c:v>1.0204766700234977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8-4E70-9201-F759B5A79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21728"/>
        <c:axId val="174123648"/>
      </c:scatterChart>
      <c:valAx>
        <c:axId val="174121728"/>
        <c:scaling>
          <c:orientation val="minMax"/>
          <c:max val="44370"/>
          <c:min val="44081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74123648"/>
        <c:crosses val="autoZero"/>
        <c:crossBetween val="midCat"/>
        <c:majorUnit val="40"/>
      </c:valAx>
      <c:valAx>
        <c:axId val="174123648"/>
        <c:scaling>
          <c:orientation val="minMax"/>
          <c:max val="1.1500000000000001"/>
          <c:min val="0.98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>
            <c:manualLayout>
              <c:xMode val="edge"/>
              <c:yMode val="edge"/>
              <c:x val="4.4011352181351486E-2"/>
              <c:y val="0.47466000798119307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/>
          <a:lstStyle/>
          <a:p>
            <a:pPr>
              <a:defRPr b="1"/>
            </a:pPr>
            <a:endParaRPr lang="es-AR"/>
          </a:p>
        </c:txPr>
        <c:crossAx val="174121728"/>
        <c:crossesAt val="0"/>
        <c:crossBetween val="midCat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400" b="1" i="0" baseline="0">
                <a:effectLst/>
                <a:latin typeface="Arial" pitchFamily="34" charset="0"/>
                <a:cs typeface="Arial" pitchFamily="34" charset="0"/>
              </a:rPr>
              <a:t>Ratio AE38/AL35</a:t>
            </a:r>
            <a:endParaRPr lang="es-AR" sz="1400">
              <a:effectLst/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5564186308318857"/>
          <c:y val="4.73231872251702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7713452916831"/>
          <c:y val="0.19820639465521353"/>
          <c:w val="0.74937220930285264"/>
          <c:h val="0.66260319732760675"/>
        </c:manualLayout>
      </c:layout>
      <c:scatterChart>
        <c:scatterStyle val="lineMarker"/>
        <c:varyColors val="0"/>
        <c:ser>
          <c:idx val="0"/>
          <c:order val="0"/>
          <c:tx>
            <c:v>Ratio AL35/AE38</c:v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'Ratios ley ARG'!$A$3:$A$204</c:f>
              <c:numCache>
                <c:formatCode>dd/mm/yyyy;@</c:formatCode>
                <c:ptCount val="202"/>
                <c:pt idx="0">
                  <c:v>44081</c:v>
                </c:pt>
                <c:pt idx="1">
                  <c:v>44082</c:v>
                </c:pt>
                <c:pt idx="2">
                  <c:v>44083</c:v>
                </c:pt>
                <c:pt idx="3">
                  <c:v>44084</c:v>
                </c:pt>
                <c:pt idx="4">
                  <c:v>44085</c:v>
                </c:pt>
                <c:pt idx="5">
                  <c:v>44088</c:v>
                </c:pt>
                <c:pt idx="6">
                  <c:v>44089</c:v>
                </c:pt>
                <c:pt idx="7">
                  <c:v>44090</c:v>
                </c:pt>
                <c:pt idx="8">
                  <c:v>44091</c:v>
                </c:pt>
                <c:pt idx="9">
                  <c:v>44092</c:v>
                </c:pt>
                <c:pt idx="10">
                  <c:v>44095</c:v>
                </c:pt>
                <c:pt idx="11">
                  <c:v>44096</c:v>
                </c:pt>
                <c:pt idx="12">
                  <c:v>44097</c:v>
                </c:pt>
                <c:pt idx="13">
                  <c:v>44098</c:v>
                </c:pt>
                <c:pt idx="14">
                  <c:v>44099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44133</c:v>
                </c:pt>
                <c:pt idx="38">
                  <c:v>44134</c:v>
                </c:pt>
                <c:pt idx="39">
                  <c:v>44137</c:v>
                </c:pt>
                <c:pt idx="40">
                  <c:v>44138</c:v>
                </c:pt>
                <c:pt idx="41">
                  <c:v>44139</c:v>
                </c:pt>
                <c:pt idx="42">
                  <c:v>44140</c:v>
                </c:pt>
                <c:pt idx="43">
                  <c:v>44141</c:v>
                </c:pt>
                <c:pt idx="44">
                  <c:v>44144</c:v>
                </c:pt>
                <c:pt idx="45">
                  <c:v>44145</c:v>
                </c:pt>
                <c:pt idx="46">
                  <c:v>44146</c:v>
                </c:pt>
                <c:pt idx="47">
                  <c:v>44147</c:v>
                </c:pt>
                <c:pt idx="48">
                  <c:v>44148</c:v>
                </c:pt>
                <c:pt idx="49">
                  <c:v>44151</c:v>
                </c:pt>
                <c:pt idx="50">
                  <c:v>44152</c:v>
                </c:pt>
                <c:pt idx="51">
                  <c:v>44153</c:v>
                </c:pt>
                <c:pt idx="52">
                  <c:v>44154</c:v>
                </c:pt>
                <c:pt idx="53">
                  <c:v>44155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44174</c:v>
                </c:pt>
                <c:pt idx="64">
                  <c:v>44175</c:v>
                </c:pt>
                <c:pt idx="65">
                  <c:v>44176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44183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44193</c:v>
                </c:pt>
                <c:pt idx="75">
                  <c:v>44194</c:v>
                </c:pt>
                <c:pt idx="76">
                  <c:v>44195</c:v>
                </c:pt>
                <c:pt idx="77">
                  <c:v>44200</c:v>
                </c:pt>
                <c:pt idx="78">
                  <c:v>44201</c:v>
                </c:pt>
                <c:pt idx="79">
                  <c:v>44202</c:v>
                </c:pt>
                <c:pt idx="80">
                  <c:v>44203</c:v>
                </c:pt>
                <c:pt idx="81">
                  <c:v>44204</c:v>
                </c:pt>
                <c:pt idx="82">
                  <c:v>44207</c:v>
                </c:pt>
                <c:pt idx="83">
                  <c:v>44208</c:v>
                </c:pt>
                <c:pt idx="84">
                  <c:v>44209</c:v>
                </c:pt>
                <c:pt idx="85">
                  <c:v>44210</c:v>
                </c:pt>
                <c:pt idx="86">
                  <c:v>44211</c:v>
                </c:pt>
                <c:pt idx="87">
                  <c:v>44214</c:v>
                </c:pt>
                <c:pt idx="88">
                  <c:v>44215</c:v>
                </c:pt>
                <c:pt idx="89">
                  <c:v>44216</c:v>
                </c:pt>
                <c:pt idx="90">
                  <c:v>44217</c:v>
                </c:pt>
                <c:pt idx="91">
                  <c:v>44218</c:v>
                </c:pt>
                <c:pt idx="92">
                  <c:v>44221</c:v>
                </c:pt>
                <c:pt idx="93">
                  <c:v>44222</c:v>
                </c:pt>
                <c:pt idx="94">
                  <c:v>44223</c:v>
                </c:pt>
                <c:pt idx="95">
                  <c:v>44224</c:v>
                </c:pt>
                <c:pt idx="96">
                  <c:v>44225</c:v>
                </c:pt>
                <c:pt idx="97">
                  <c:v>44228</c:v>
                </c:pt>
                <c:pt idx="98">
                  <c:v>44229</c:v>
                </c:pt>
                <c:pt idx="99">
                  <c:v>44230</c:v>
                </c:pt>
                <c:pt idx="100">
                  <c:v>44231</c:v>
                </c:pt>
                <c:pt idx="101">
                  <c:v>44232</c:v>
                </c:pt>
                <c:pt idx="102">
                  <c:v>44235</c:v>
                </c:pt>
                <c:pt idx="103">
                  <c:v>44236</c:v>
                </c:pt>
                <c:pt idx="104">
                  <c:v>44237</c:v>
                </c:pt>
                <c:pt idx="105">
                  <c:v>44238</c:v>
                </c:pt>
                <c:pt idx="106">
                  <c:v>44239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44249</c:v>
                </c:pt>
                <c:pt idx="111">
                  <c:v>44250</c:v>
                </c:pt>
                <c:pt idx="112">
                  <c:v>44251</c:v>
                </c:pt>
                <c:pt idx="113">
                  <c:v>44252</c:v>
                </c:pt>
                <c:pt idx="114">
                  <c:v>44253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44270</c:v>
                </c:pt>
                <c:pt idx="126">
                  <c:v>44271</c:v>
                </c:pt>
                <c:pt idx="127">
                  <c:v>44272</c:v>
                </c:pt>
                <c:pt idx="128">
                  <c:v>44273</c:v>
                </c:pt>
                <c:pt idx="129">
                  <c:v>44274</c:v>
                </c:pt>
                <c:pt idx="130">
                  <c:v>44277</c:v>
                </c:pt>
                <c:pt idx="131">
                  <c:v>44278</c:v>
                </c:pt>
                <c:pt idx="132">
                  <c:v>44280</c:v>
                </c:pt>
                <c:pt idx="133">
                  <c:v>44281</c:v>
                </c:pt>
                <c:pt idx="134">
                  <c:v>44284</c:v>
                </c:pt>
                <c:pt idx="135">
                  <c:v>44285</c:v>
                </c:pt>
                <c:pt idx="136">
                  <c:v>44286</c:v>
                </c:pt>
                <c:pt idx="137">
                  <c:v>44291</c:v>
                </c:pt>
                <c:pt idx="138">
                  <c:v>44292</c:v>
                </c:pt>
                <c:pt idx="139">
                  <c:v>44293</c:v>
                </c:pt>
                <c:pt idx="140">
                  <c:v>44294</c:v>
                </c:pt>
                <c:pt idx="141">
                  <c:v>44295</c:v>
                </c:pt>
                <c:pt idx="142">
                  <c:v>44298</c:v>
                </c:pt>
                <c:pt idx="143">
                  <c:v>44299</c:v>
                </c:pt>
                <c:pt idx="144">
                  <c:v>44300</c:v>
                </c:pt>
                <c:pt idx="145">
                  <c:v>44301</c:v>
                </c:pt>
                <c:pt idx="146">
                  <c:v>44302</c:v>
                </c:pt>
                <c:pt idx="147">
                  <c:v>44305</c:v>
                </c:pt>
                <c:pt idx="148">
                  <c:v>44306</c:v>
                </c:pt>
                <c:pt idx="149">
                  <c:v>44307</c:v>
                </c:pt>
                <c:pt idx="150">
                  <c:v>44308</c:v>
                </c:pt>
                <c:pt idx="151">
                  <c:v>44309</c:v>
                </c:pt>
                <c:pt idx="152">
                  <c:v>44312</c:v>
                </c:pt>
                <c:pt idx="153">
                  <c:v>44313</c:v>
                </c:pt>
                <c:pt idx="154">
                  <c:v>44314</c:v>
                </c:pt>
                <c:pt idx="155">
                  <c:v>44315</c:v>
                </c:pt>
                <c:pt idx="156">
                  <c:v>44316</c:v>
                </c:pt>
                <c:pt idx="157">
                  <c:v>44319</c:v>
                </c:pt>
                <c:pt idx="158">
                  <c:v>44320</c:v>
                </c:pt>
                <c:pt idx="159">
                  <c:v>44321</c:v>
                </c:pt>
                <c:pt idx="160">
                  <c:v>44322</c:v>
                </c:pt>
                <c:pt idx="161">
                  <c:v>44323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44342</c:v>
                </c:pt>
                <c:pt idx="173">
                  <c:v>44343</c:v>
                </c:pt>
                <c:pt idx="174">
                  <c:v>44344</c:v>
                </c:pt>
                <c:pt idx="175">
                  <c:v>44347</c:v>
                </c:pt>
                <c:pt idx="176">
                  <c:v>44348</c:v>
                </c:pt>
                <c:pt idx="177">
                  <c:v>44349</c:v>
                </c:pt>
                <c:pt idx="178">
                  <c:v>44350</c:v>
                </c:pt>
                <c:pt idx="179">
                  <c:v>44351</c:v>
                </c:pt>
                <c:pt idx="180">
                  <c:v>44354</c:v>
                </c:pt>
                <c:pt idx="181">
                  <c:v>44355</c:v>
                </c:pt>
                <c:pt idx="182">
                  <c:v>44356</c:v>
                </c:pt>
                <c:pt idx="183">
                  <c:v>44357</c:v>
                </c:pt>
                <c:pt idx="184">
                  <c:v>44358</c:v>
                </c:pt>
                <c:pt idx="185">
                  <c:v>44361</c:v>
                </c:pt>
              </c:numCache>
            </c:numRef>
          </c:xVal>
          <c:yVal>
            <c:numRef>
              <c:f>'Ratios ley ARG'!$H$3:$H$204</c:f>
              <c:numCache>
                <c:formatCode>0.000</c:formatCode>
                <c:ptCount val="202"/>
                <c:pt idx="0">
                  <c:v>1.0827464788732395</c:v>
                </c:pt>
                <c:pt idx="1">
                  <c:v>1.0821678321678321</c:v>
                </c:pt>
                <c:pt idx="2">
                  <c:v>1.1040564373897708</c:v>
                </c:pt>
                <c:pt idx="3">
                  <c:v>1.1118992729207307</c:v>
                </c:pt>
                <c:pt idx="4">
                  <c:v>1.111310592459605</c:v>
                </c:pt>
                <c:pt idx="5">
                  <c:v>1.1095108695652174</c:v>
                </c:pt>
                <c:pt idx="6">
                  <c:v>1.095966107938847</c:v>
                </c:pt>
                <c:pt idx="7">
                  <c:v>1.0880149812734083</c:v>
                </c:pt>
                <c:pt idx="8">
                  <c:v>1.0767160161507403</c:v>
                </c:pt>
                <c:pt idx="9">
                  <c:v>1.0758426966292134</c:v>
                </c:pt>
                <c:pt idx="10">
                  <c:v>1.0912511759172154</c:v>
                </c:pt>
                <c:pt idx="11">
                  <c:v>1.0896226415094339</c:v>
                </c:pt>
                <c:pt idx="12">
                  <c:v>1.0875763747454175</c:v>
                </c:pt>
                <c:pt idx="13">
                  <c:v>1.0490825688073395</c:v>
                </c:pt>
                <c:pt idx="14">
                  <c:v>1.0432188065099457</c:v>
                </c:pt>
                <c:pt idx="15">
                  <c:v>1.0400535236396076</c:v>
                </c:pt>
                <c:pt idx="16">
                  <c:v>1.0577096483318305</c:v>
                </c:pt>
                <c:pt idx="17">
                  <c:v>1.0571428571428572</c:v>
                </c:pt>
                <c:pt idx="18">
                  <c:v>1.0714029743773517</c:v>
                </c:pt>
                <c:pt idx="19">
                  <c:v>1.0831683168316832</c:v>
                </c:pt>
                <c:pt idx="20">
                  <c:v>1.0631111111111111</c:v>
                </c:pt>
                <c:pt idx="21">
                  <c:v>1.0431204151010913</c:v>
                </c:pt>
                <c:pt idx="22">
                  <c:v>1.0540589405170855</c:v>
                </c:pt>
                <c:pt idx="23">
                  <c:v>1.0452930728241563</c:v>
                </c:pt>
                <c:pt idx="24">
                  <c:v>1.0415224913494809</c:v>
                </c:pt>
                <c:pt idx="25">
                  <c:v>1.0527686165596251</c:v>
                </c:pt>
                <c:pt idx="26">
                  <c:v>1.045144804088586</c:v>
                </c:pt>
                <c:pt idx="27">
                  <c:v>1.0586734693877551</c:v>
                </c:pt>
                <c:pt idx="28">
                  <c:v>1.0378001021624383</c:v>
                </c:pt>
                <c:pt idx="29">
                  <c:v>1.0692982456140352</c:v>
                </c:pt>
                <c:pt idx="30">
                  <c:v>1.0551181102362204</c:v>
                </c:pt>
                <c:pt idx="31">
                  <c:v>1.0643979057591624</c:v>
                </c:pt>
                <c:pt idx="32">
                  <c:v>1.0588541666666667</c:v>
                </c:pt>
                <c:pt idx="33">
                  <c:v>1.0451327433628319</c:v>
                </c:pt>
                <c:pt idx="34">
                  <c:v>1.0339449541284405</c:v>
                </c:pt>
                <c:pt idx="35">
                  <c:v>1.0433962264150944</c:v>
                </c:pt>
                <c:pt idx="36">
                  <c:v>1.0192307692307692</c:v>
                </c:pt>
                <c:pt idx="37">
                  <c:v>1.0184466019417475</c:v>
                </c:pt>
                <c:pt idx="38">
                  <c:v>1.0322644891455885</c:v>
                </c:pt>
                <c:pt idx="39">
                  <c:v>1.0430150753768843</c:v>
                </c:pt>
                <c:pt idx="40">
                  <c:v>1.0445103857566767</c:v>
                </c:pt>
                <c:pt idx="41">
                  <c:v>1.0361681329423265</c:v>
                </c:pt>
                <c:pt idx="42">
                  <c:v>1.0309178743961354</c:v>
                </c:pt>
                <c:pt idx="43">
                  <c:v>1.038252427184466</c:v>
                </c:pt>
                <c:pt idx="44">
                  <c:v>1.0095327102803737</c:v>
                </c:pt>
                <c:pt idx="45">
                  <c:v>1.0416666666666667</c:v>
                </c:pt>
                <c:pt idx="46">
                  <c:v>1.0752078609221467</c:v>
                </c:pt>
                <c:pt idx="47">
                  <c:v>1.0669737094607561</c:v>
                </c:pt>
                <c:pt idx="48">
                  <c:v>1.0757474448371382</c:v>
                </c:pt>
                <c:pt idx="49">
                  <c:v>1.0693587586464759</c:v>
                </c:pt>
                <c:pt idx="50">
                  <c:v>1.0579870729455216</c:v>
                </c:pt>
                <c:pt idx="51">
                  <c:v>1.0470066117199528</c:v>
                </c:pt>
                <c:pt idx="52">
                  <c:v>1.0539449541284405</c:v>
                </c:pt>
                <c:pt idx="53">
                  <c:v>1.0463405663847003</c:v>
                </c:pt>
                <c:pt idx="54">
                  <c:v>1.0470125491665105</c:v>
                </c:pt>
                <c:pt idx="55">
                  <c:v>1.0385050962627407</c:v>
                </c:pt>
                <c:pt idx="56">
                  <c:v>1.0553435114503817</c:v>
                </c:pt>
                <c:pt idx="57">
                  <c:v>1.0351673284174703</c:v>
                </c:pt>
                <c:pt idx="58">
                  <c:v>1.0310040314839701</c:v>
                </c:pt>
                <c:pt idx="59">
                  <c:v>1.0466130438996026</c:v>
                </c:pt>
                <c:pt idx="60">
                  <c:v>1.0527859237536656</c:v>
                </c:pt>
                <c:pt idx="61">
                  <c:v>1.0498504486540379</c:v>
                </c:pt>
                <c:pt idx="62">
                  <c:v>1.0407554671968191</c:v>
                </c:pt>
                <c:pt idx="63">
                  <c:v>1.0571428571428572</c:v>
                </c:pt>
                <c:pt idx="64">
                  <c:v>1.0487804878048781</c:v>
                </c:pt>
                <c:pt idx="65">
                  <c:v>1.0472361809045225</c:v>
                </c:pt>
                <c:pt idx="66">
                  <c:v>1.0510510510510511</c:v>
                </c:pt>
                <c:pt idx="67">
                  <c:v>1.0551999999999999</c:v>
                </c:pt>
                <c:pt idx="68">
                  <c:v>1.0646464646464646</c:v>
                </c:pt>
                <c:pt idx="69">
                  <c:v>1.0619293370385074</c:v>
                </c:pt>
                <c:pt idx="70">
                  <c:v>1.061757256964738</c:v>
                </c:pt>
                <c:pt idx="71">
                  <c:v>1.0458089668615984</c:v>
                </c:pt>
                <c:pt idx="72">
                  <c:v>1.0495626822157433</c:v>
                </c:pt>
                <c:pt idx="73">
                  <c:v>1.0551257253384914</c:v>
                </c:pt>
                <c:pt idx="74">
                  <c:v>1.0614203454894433</c:v>
                </c:pt>
                <c:pt idx="75">
                  <c:v>1.0488974113135188</c:v>
                </c:pt>
                <c:pt idx="76">
                  <c:v>1.0415860735009672</c:v>
                </c:pt>
                <c:pt idx="77">
                  <c:v>1.0345693317883353</c:v>
                </c:pt>
                <c:pt idx="78">
                  <c:v>1.0455868089233753</c:v>
                </c:pt>
                <c:pt idx="79">
                  <c:v>1.0402684563758389</c:v>
                </c:pt>
                <c:pt idx="80">
                  <c:v>1.060385771057478</c:v>
                </c:pt>
                <c:pt idx="81">
                  <c:v>1.0525295599922466</c:v>
                </c:pt>
                <c:pt idx="82">
                  <c:v>1.0428015564202335</c:v>
                </c:pt>
                <c:pt idx="83">
                  <c:v>1.0422369964802503</c:v>
                </c:pt>
                <c:pt idx="84">
                  <c:v>1.0405940594059406</c:v>
                </c:pt>
                <c:pt idx="85">
                  <c:v>1.0359281437125749</c:v>
                </c:pt>
                <c:pt idx="86">
                  <c:v>1.0336633663366337</c:v>
                </c:pt>
                <c:pt idx="87">
                  <c:v>1.047047047047047</c:v>
                </c:pt>
                <c:pt idx="88">
                  <c:v>1.0537355173791449</c:v>
                </c:pt>
                <c:pt idx="89">
                  <c:v>1.0661779473789919</c:v>
                </c:pt>
                <c:pt idx="90">
                  <c:v>1.0752140236445169</c:v>
                </c:pt>
                <c:pt idx="91">
                  <c:v>1.0775923115832069</c:v>
                </c:pt>
                <c:pt idx="92">
                  <c:v>1.0814070351758793</c:v>
                </c:pt>
                <c:pt idx="93">
                  <c:v>1.0745526838966202</c:v>
                </c:pt>
                <c:pt idx="94">
                  <c:v>1.0760245495941398</c:v>
                </c:pt>
                <c:pt idx="95">
                  <c:v>1.0854480570975416</c:v>
                </c:pt>
                <c:pt idx="96">
                  <c:v>1.0904180836167234</c:v>
                </c:pt>
                <c:pt idx="97">
                  <c:v>1.0865155131264916</c:v>
                </c:pt>
                <c:pt idx="98">
                  <c:v>1.0890192958026657</c:v>
                </c:pt>
                <c:pt idx="99">
                  <c:v>1.0672053606621994</c:v>
                </c:pt>
                <c:pt idx="100">
                  <c:v>1.0557184750733137</c:v>
                </c:pt>
                <c:pt idx="101">
                  <c:v>1.0545454545454545</c:v>
                </c:pt>
                <c:pt idx="102">
                  <c:v>1.0609347268783278</c:v>
                </c:pt>
                <c:pt idx="103">
                  <c:v>1.0548973143759874</c:v>
                </c:pt>
                <c:pt idx="104">
                  <c:v>1.0582620799363691</c:v>
                </c:pt>
                <c:pt idx="105">
                  <c:v>1.0545454545454545</c:v>
                </c:pt>
                <c:pt idx="106">
                  <c:v>1.0489866585191974</c:v>
                </c:pt>
                <c:pt idx="107">
                  <c:v>1.0578565328778822</c:v>
                </c:pt>
                <c:pt idx="108">
                  <c:v>1.054897739504844</c:v>
                </c:pt>
                <c:pt idx="109">
                  <c:v>1.0637362637362637</c:v>
                </c:pt>
                <c:pt idx="110">
                  <c:v>1.0674915635545557</c:v>
                </c:pt>
                <c:pt idx="111">
                  <c:v>1.0539511976718154</c:v>
                </c:pt>
                <c:pt idx="112">
                  <c:v>1.0427053977888576</c:v>
                </c:pt>
                <c:pt idx="113">
                  <c:v>1.0524064171122995</c:v>
                </c:pt>
                <c:pt idx="114">
                  <c:v>1.0507399577167018</c:v>
                </c:pt>
                <c:pt idx="115">
                  <c:v>1.0603900188718809</c:v>
                </c:pt>
                <c:pt idx="116">
                  <c:v>1.0564430244941427</c:v>
                </c:pt>
                <c:pt idx="117">
                  <c:v>1.0436170212765958</c:v>
                </c:pt>
                <c:pt idx="118">
                  <c:v>1.0457336438704214</c:v>
                </c:pt>
                <c:pt idx="119">
                  <c:v>1.0565217391304347</c:v>
                </c:pt>
                <c:pt idx="120">
                  <c:v>1.0707160274883618</c:v>
                </c:pt>
                <c:pt idx="121">
                  <c:v>1.0742117117117118</c:v>
                </c:pt>
                <c:pt idx="122">
                  <c:v>1.0711111111111111</c:v>
                </c:pt>
                <c:pt idx="123">
                  <c:v>1.060919540229885</c:v>
                </c:pt>
                <c:pt idx="124">
                  <c:v>1.0740318906605923</c:v>
                </c:pt>
                <c:pt idx="125">
                  <c:v>1.0874439461883407</c:v>
                </c:pt>
                <c:pt idx="126">
                  <c:v>1.0814977973568283</c:v>
                </c:pt>
                <c:pt idx="127">
                  <c:v>1.0798429319371727</c:v>
                </c:pt>
                <c:pt idx="128">
                  <c:v>1.0725964682799216</c:v>
                </c:pt>
                <c:pt idx="129">
                  <c:v>1.0655913978494624</c:v>
                </c:pt>
                <c:pt idx="130">
                  <c:v>1.0702241195304163</c:v>
                </c:pt>
                <c:pt idx="131">
                  <c:v>1.1015151515151516</c:v>
                </c:pt>
                <c:pt idx="132">
                  <c:v>1.101123595505618</c:v>
                </c:pt>
                <c:pt idx="133">
                  <c:v>1.115473441108545</c:v>
                </c:pt>
                <c:pt idx="134">
                  <c:v>1.1139835487661576</c:v>
                </c:pt>
                <c:pt idx="135">
                  <c:v>1.1072429906542056</c:v>
                </c:pt>
                <c:pt idx="136">
                  <c:v>1.1158698923486514</c:v>
                </c:pt>
                <c:pt idx="137">
                  <c:v>1.1034562211981567</c:v>
                </c:pt>
                <c:pt idx="138">
                  <c:v>1.1012514220705347</c:v>
                </c:pt>
                <c:pt idx="139">
                  <c:v>1.1028891172776065</c:v>
                </c:pt>
                <c:pt idx="140">
                  <c:v>1.093486677294466</c:v>
                </c:pt>
                <c:pt idx="141">
                  <c:v>1.0977011494252873</c:v>
                </c:pt>
                <c:pt idx="142">
                  <c:v>1.0914051841746248</c:v>
                </c:pt>
                <c:pt idx="143">
                  <c:v>1.0973169622555707</c:v>
                </c:pt>
                <c:pt idx="144">
                  <c:v>1.0900677200902935</c:v>
                </c:pt>
                <c:pt idx="145">
                  <c:v>1.0766464374016633</c:v>
                </c:pt>
                <c:pt idx="146">
                  <c:v>1.0781671159029649</c:v>
                </c:pt>
                <c:pt idx="147">
                  <c:v>1.0861759425493716</c:v>
                </c:pt>
                <c:pt idx="148">
                  <c:v>1.0855233853006681</c:v>
                </c:pt>
                <c:pt idx="149">
                  <c:v>1.0815583268954863</c:v>
                </c:pt>
                <c:pt idx="150">
                  <c:v>1.0727470141150923</c:v>
                </c:pt>
                <c:pt idx="151">
                  <c:v>1.0713058419243986</c:v>
                </c:pt>
                <c:pt idx="152">
                  <c:v>1.0729320143127763</c:v>
                </c:pt>
                <c:pt idx="153">
                  <c:v>1.0513347022587269</c:v>
                </c:pt>
                <c:pt idx="154">
                  <c:v>1.0642857142857143</c:v>
                </c:pt>
                <c:pt idx="155">
                  <c:v>1.0745839326073556</c:v>
                </c:pt>
                <c:pt idx="156">
                  <c:v>1.0736669064009041</c:v>
                </c:pt>
                <c:pt idx="157">
                  <c:v>1.0548780487804879</c:v>
                </c:pt>
                <c:pt idx="158">
                  <c:v>1.0564206268958545</c:v>
                </c:pt>
                <c:pt idx="159">
                  <c:v>1.0615321923390384</c:v>
                </c:pt>
                <c:pt idx="160">
                  <c:v>1.0780437044745057</c:v>
                </c:pt>
                <c:pt idx="161">
                  <c:v>1.0672877846790891</c:v>
                </c:pt>
                <c:pt idx="162">
                  <c:v>1.0644053688481947</c:v>
                </c:pt>
                <c:pt idx="163">
                  <c:v>1.0733333333333333</c:v>
                </c:pt>
                <c:pt idx="164">
                  <c:v>1.0798985415345592</c:v>
                </c:pt>
                <c:pt idx="165">
                  <c:v>1.0695742471443406</c:v>
                </c:pt>
                <c:pt idx="166">
                  <c:v>1.0660320641282566</c:v>
                </c:pt>
                <c:pt idx="167">
                  <c:v>1.0690466849744997</c:v>
                </c:pt>
                <c:pt idx="168">
                  <c:v>1.0716703743108618</c:v>
                </c:pt>
                <c:pt idx="169">
                  <c:v>1.0675675675675675</c:v>
                </c:pt>
                <c:pt idx="170">
                  <c:v>1.0699904122722914</c:v>
                </c:pt>
                <c:pt idx="171">
                  <c:v>1.0884128529698149</c:v>
                </c:pt>
                <c:pt idx="172">
                  <c:v>1.1007619047619048</c:v>
                </c:pt>
                <c:pt idx="173">
                  <c:v>1.0931966449207828</c:v>
                </c:pt>
                <c:pt idx="174">
                  <c:v>1.0890243902439025</c:v>
                </c:pt>
                <c:pt idx="175">
                  <c:v>1.0824626865671643</c:v>
                </c:pt>
                <c:pt idx="176">
                  <c:v>1.0889092575618697</c:v>
                </c:pt>
                <c:pt idx="177">
                  <c:v>1.0993772001083131</c:v>
                </c:pt>
                <c:pt idx="178">
                  <c:v>1.1059907834101383</c:v>
                </c:pt>
                <c:pt idx="179">
                  <c:v>1.1030774935113088</c:v>
                </c:pt>
                <c:pt idx="180">
                  <c:v>1.1189591078066914</c:v>
                </c:pt>
                <c:pt idx="181">
                  <c:v>1.1151571164510166</c:v>
                </c:pt>
                <c:pt idx="182">
                  <c:v>1.1014492753623188</c:v>
                </c:pt>
                <c:pt idx="183">
                  <c:v>1.0933453237410071</c:v>
                </c:pt>
                <c:pt idx="184">
                  <c:v>1.1057909476917518</c:v>
                </c:pt>
                <c:pt idx="185">
                  <c:v>1.0994575045207957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C-47E3-B588-B372C17BA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7088"/>
        <c:axId val="175773184"/>
      </c:scatterChart>
      <c:valAx>
        <c:axId val="175177088"/>
        <c:scaling>
          <c:orientation val="minMax"/>
          <c:max val="44370"/>
          <c:min val="44081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75773184"/>
        <c:crosses val="autoZero"/>
        <c:crossBetween val="midCat"/>
        <c:majorUnit val="30"/>
      </c:valAx>
      <c:valAx>
        <c:axId val="175773184"/>
        <c:scaling>
          <c:orientation val="minMax"/>
          <c:max val="1.1200000000000001"/>
          <c:min val="1.0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>
            <c:manualLayout>
              <c:xMode val="edge"/>
              <c:yMode val="edge"/>
              <c:x val="3.9208578188201178E-2"/>
              <c:y val="0.4706574763705789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/>
          <a:lstStyle/>
          <a:p>
            <a:pPr>
              <a:defRPr b="1"/>
            </a:pPr>
            <a:endParaRPr lang="es-AR"/>
          </a:p>
        </c:txPr>
        <c:crossAx val="175177088"/>
        <c:crossesAt val="0"/>
        <c:crossBetween val="midCat"/>
        <c:majorUnit val="1.0000000000000002E-2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MX" sz="1200" b="1" i="0" baseline="0">
                <a:effectLst/>
                <a:latin typeface="Arial" pitchFamily="34" charset="0"/>
                <a:cs typeface="Arial" pitchFamily="34" charset="0"/>
              </a:rPr>
              <a:t>Ratio AL29/AL41</a:t>
            </a:r>
            <a:endParaRPr lang="es-AR" sz="1200">
              <a:effectLst/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6927564537709212"/>
          <c:y val="5.768286484935155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7713452916831"/>
          <c:y val="0.19820639465521353"/>
          <c:w val="0.74937220930285264"/>
          <c:h val="0.66260319732760675"/>
        </c:manualLayout>
      </c:layout>
      <c:scatterChart>
        <c:scatterStyle val="lineMarker"/>
        <c:varyColors val="0"/>
        <c:ser>
          <c:idx val="0"/>
          <c:order val="0"/>
          <c:tx>
            <c:v>Ratio AL29/AL41</c:v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'Ratios ley ARG'!$A$3:$A$204</c:f>
              <c:numCache>
                <c:formatCode>dd/mm/yyyy;@</c:formatCode>
                <c:ptCount val="202"/>
                <c:pt idx="0">
                  <c:v>44081</c:v>
                </c:pt>
                <c:pt idx="1">
                  <c:v>44082</c:v>
                </c:pt>
                <c:pt idx="2">
                  <c:v>44083</c:v>
                </c:pt>
                <c:pt idx="3">
                  <c:v>44084</c:v>
                </c:pt>
                <c:pt idx="4">
                  <c:v>44085</c:v>
                </c:pt>
                <c:pt idx="5">
                  <c:v>44088</c:v>
                </c:pt>
                <c:pt idx="6">
                  <c:v>44089</c:v>
                </c:pt>
                <c:pt idx="7">
                  <c:v>44090</c:v>
                </c:pt>
                <c:pt idx="8">
                  <c:v>44091</c:v>
                </c:pt>
                <c:pt idx="9">
                  <c:v>44092</c:v>
                </c:pt>
                <c:pt idx="10">
                  <c:v>44095</c:v>
                </c:pt>
                <c:pt idx="11">
                  <c:v>44096</c:v>
                </c:pt>
                <c:pt idx="12">
                  <c:v>44097</c:v>
                </c:pt>
                <c:pt idx="13">
                  <c:v>44098</c:v>
                </c:pt>
                <c:pt idx="14">
                  <c:v>44099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44133</c:v>
                </c:pt>
                <c:pt idx="38">
                  <c:v>44134</c:v>
                </c:pt>
                <c:pt idx="39">
                  <c:v>44137</c:v>
                </c:pt>
                <c:pt idx="40">
                  <c:v>44138</c:v>
                </c:pt>
                <c:pt idx="41">
                  <c:v>44139</c:v>
                </c:pt>
                <c:pt idx="42">
                  <c:v>44140</c:v>
                </c:pt>
                <c:pt idx="43">
                  <c:v>44141</c:v>
                </c:pt>
                <c:pt idx="44">
                  <c:v>44144</c:v>
                </c:pt>
                <c:pt idx="45">
                  <c:v>44145</c:v>
                </c:pt>
                <c:pt idx="46">
                  <c:v>44146</c:v>
                </c:pt>
                <c:pt idx="47">
                  <c:v>44147</c:v>
                </c:pt>
                <c:pt idx="48">
                  <c:v>44148</c:v>
                </c:pt>
                <c:pt idx="49">
                  <c:v>44151</c:v>
                </c:pt>
                <c:pt idx="50">
                  <c:v>44152</c:v>
                </c:pt>
                <c:pt idx="51">
                  <c:v>44153</c:v>
                </c:pt>
                <c:pt idx="52">
                  <c:v>44154</c:v>
                </c:pt>
                <c:pt idx="53">
                  <c:v>44155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44174</c:v>
                </c:pt>
                <c:pt idx="64">
                  <c:v>44175</c:v>
                </c:pt>
                <c:pt idx="65">
                  <c:v>44176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44183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44193</c:v>
                </c:pt>
                <c:pt idx="75">
                  <c:v>44194</c:v>
                </c:pt>
                <c:pt idx="76">
                  <c:v>44195</c:v>
                </c:pt>
                <c:pt idx="77">
                  <c:v>44200</c:v>
                </c:pt>
                <c:pt idx="78">
                  <c:v>44201</c:v>
                </c:pt>
                <c:pt idx="79">
                  <c:v>44202</c:v>
                </c:pt>
                <c:pt idx="80">
                  <c:v>44203</c:v>
                </c:pt>
                <c:pt idx="81">
                  <c:v>44204</c:v>
                </c:pt>
                <c:pt idx="82">
                  <c:v>44207</c:v>
                </c:pt>
                <c:pt idx="83">
                  <c:v>44208</c:v>
                </c:pt>
                <c:pt idx="84">
                  <c:v>44209</c:v>
                </c:pt>
                <c:pt idx="85">
                  <c:v>44210</c:v>
                </c:pt>
                <c:pt idx="86">
                  <c:v>44211</c:v>
                </c:pt>
                <c:pt idx="87">
                  <c:v>44214</c:v>
                </c:pt>
                <c:pt idx="88">
                  <c:v>44215</c:v>
                </c:pt>
                <c:pt idx="89">
                  <c:v>44216</c:v>
                </c:pt>
                <c:pt idx="90">
                  <c:v>44217</c:v>
                </c:pt>
                <c:pt idx="91">
                  <c:v>44218</c:v>
                </c:pt>
                <c:pt idx="92">
                  <c:v>44221</c:v>
                </c:pt>
                <c:pt idx="93">
                  <c:v>44222</c:v>
                </c:pt>
                <c:pt idx="94">
                  <c:v>44223</c:v>
                </c:pt>
                <c:pt idx="95">
                  <c:v>44224</c:v>
                </c:pt>
                <c:pt idx="96">
                  <c:v>44225</c:v>
                </c:pt>
                <c:pt idx="97">
                  <c:v>44228</c:v>
                </c:pt>
                <c:pt idx="98">
                  <c:v>44229</c:v>
                </c:pt>
                <c:pt idx="99">
                  <c:v>44230</c:v>
                </c:pt>
                <c:pt idx="100">
                  <c:v>44231</c:v>
                </c:pt>
                <c:pt idx="101">
                  <c:v>44232</c:v>
                </c:pt>
                <c:pt idx="102">
                  <c:v>44235</c:v>
                </c:pt>
                <c:pt idx="103">
                  <c:v>44236</c:v>
                </c:pt>
                <c:pt idx="104">
                  <c:v>44237</c:v>
                </c:pt>
                <c:pt idx="105">
                  <c:v>44238</c:v>
                </c:pt>
                <c:pt idx="106">
                  <c:v>44239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44249</c:v>
                </c:pt>
                <c:pt idx="111">
                  <c:v>44250</c:v>
                </c:pt>
                <c:pt idx="112">
                  <c:v>44251</c:v>
                </c:pt>
                <c:pt idx="113">
                  <c:v>44252</c:v>
                </c:pt>
                <c:pt idx="114">
                  <c:v>44253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44270</c:v>
                </c:pt>
                <c:pt idx="126">
                  <c:v>44271</c:v>
                </c:pt>
                <c:pt idx="127">
                  <c:v>44272</c:v>
                </c:pt>
                <c:pt idx="128">
                  <c:v>44273</c:v>
                </c:pt>
                <c:pt idx="129">
                  <c:v>44274</c:v>
                </c:pt>
                <c:pt idx="130">
                  <c:v>44277</c:v>
                </c:pt>
                <c:pt idx="131">
                  <c:v>44278</c:v>
                </c:pt>
                <c:pt idx="132">
                  <c:v>44280</c:v>
                </c:pt>
                <c:pt idx="133">
                  <c:v>44281</c:v>
                </c:pt>
                <c:pt idx="134">
                  <c:v>44284</c:v>
                </c:pt>
                <c:pt idx="135">
                  <c:v>44285</c:v>
                </c:pt>
                <c:pt idx="136">
                  <c:v>44286</c:v>
                </c:pt>
                <c:pt idx="137">
                  <c:v>44291</c:v>
                </c:pt>
                <c:pt idx="138">
                  <c:v>44292</c:v>
                </c:pt>
                <c:pt idx="139">
                  <c:v>44293</c:v>
                </c:pt>
                <c:pt idx="140">
                  <c:v>44294</c:v>
                </c:pt>
                <c:pt idx="141">
                  <c:v>44295</c:v>
                </c:pt>
                <c:pt idx="142">
                  <c:v>44298</c:v>
                </c:pt>
                <c:pt idx="143">
                  <c:v>44299</c:v>
                </c:pt>
                <c:pt idx="144">
                  <c:v>44300</c:v>
                </c:pt>
                <c:pt idx="145">
                  <c:v>44301</c:v>
                </c:pt>
                <c:pt idx="146">
                  <c:v>44302</c:v>
                </c:pt>
                <c:pt idx="147">
                  <c:v>44305</c:v>
                </c:pt>
                <c:pt idx="148">
                  <c:v>44306</c:v>
                </c:pt>
                <c:pt idx="149">
                  <c:v>44307</c:v>
                </c:pt>
                <c:pt idx="150">
                  <c:v>44308</c:v>
                </c:pt>
                <c:pt idx="151">
                  <c:v>44309</c:v>
                </c:pt>
                <c:pt idx="152">
                  <c:v>44312</c:v>
                </c:pt>
                <c:pt idx="153">
                  <c:v>44313</c:v>
                </c:pt>
                <c:pt idx="154">
                  <c:v>44314</c:v>
                </c:pt>
                <c:pt idx="155">
                  <c:v>44315</c:v>
                </c:pt>
                <c:pt idx="156">
                  <c:v>44316</c:v>
                </c:pt>
                <c:pt idx="157">
                  <c:v>44319</c:v>
                </c:pt>
                <c:pt idx="158">
                  <c:v>44320</c:v>
                </c:pt>
                <c:pt idx="159">
                  <c:v>44321</c:v>
                </c:pt>
                <c:pt idx="160">
                  <c:v>44322</c:v>
                </c:pt>
                <c:pt idx="161">
                  <c:v>44323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44342</c:v>
                </c:pt>
                <c:pt idx="173">
                  <c:v>44343</c:v>
                </c:pt>
                <c:pt idx="174">
                  <c:v>44344</c:v>
                </c:pt>
                <c:pt idx="175">
                  <c:v>44347</c:v>
                </c:pt>
                <c:pt idx="176">
                  <c:v>44348</c:v>
                </c:pt>
                <c:pt idx="177">
                  <c:v>44349</c:v>
                </c:pt>
                <c:pt idx="178">
                  <c:v>44350</c:v>
                </c:pt>
                <c:pt idx="179">
                  <c:v>44351</c:v>
                </c:pt>
                <c:pt idx="180">
                  <c:v>44354</c:v>
                </c:pt>
                <c:pt idx="181">
                  <c:v>44355</c:v>
                </c:pt>
                <c:pt idx="182">
                  <c:v>44356</c:v>
                </c:pt>
                <c:pt idx="183">
                  <c:v>44357</c:v>
                </c:pt>
                <c:pt idx="184">
                  <c:v>44358</c:v>
                </c:pt>
                <c:pt idx="185">
                  <c:v>44361</c:v>
                </c:pt>
              </c:numCache>
            </c:numRef>
          </c:xVal>
          <c:yVal>
            <c:numRef>
              <c:f>'Ratios ley ARG'!$I$3:$I$204</c:f>
              <c:numCache>
                <c:formatCode>0.000</c:formatCode>
                <c:ptCount val="202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1.2054426983518589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1.1916887349765737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1.1767923422543465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1.1814328960645812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1.1595698924731184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1.152923853596971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1.0634920634920635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1.0953325676098986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1.091035683202785</c:v>
                </c:pt>
                <c:pt idx="178">
                  <c:v>1.0813179109709079</c:v>
                </c:pt>
                <c:pt idx="179">
                  <c:v>1.0672975814931651</c:v>
                </c:pt>
                <c:pt idx="180">
                  <c:v>1.0787581126118224</c:v>
                </c:pt>
                <c:pt idx="181">
                  <c:v>1.08</c:v>
                </c:pt>
                <c:pt idx="182">
                  <c:v>1.0818943409129766</c:v>
                </c:pt>
                <c:pt idx="183">
                  <c:v>1.0661016949152542</c:v>
                </c:pt>
                <c:pt idx="184">
                  <c:v>1.0593645484949832</c:v>
                </c:pt>
                <c:pt idx="185">
                  <c:v>1.0574018126888218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3-4207-9F3A-B6243592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98144"/>
        <c:axId val="175800320"/>
      </c:scatterChart>
      <c:valAx>
        <c:axId val="175798144"/>
        <c:scaling>
          <c:orientation val="minMax"/>
          <c:max val="44370"/>
          <c:min val="44081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175800320"/>
        <c:crosses val="autoZero"/>
        <c:crossBetween val="midCat"/>
        <c:majorUnit val="40"/>
      </c:valAx>
      <c:valAx>
        <c:axId val="175800320"/>
        <c:scaling>
          <c:orientation val="minMax"/>
          <c:max val="1.24"/>
          <c:min val="1.04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5.5372837426271117E-2"/>
              <c:y val="0.45577340609342154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175798144"/>
        <c:crossesAt val="0"/>
        <c:crossBetween val="midCat"/>
        <c:majorUnit val="2.0000000000000004E-2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MX" sz="1200" b="1" i="0" baseline="0">
                <a:effectLst/>
                <a:latin typeface="Arial" pitchFamily="34" charset="0"/>
                <a:cs typeface="Arial" pitchFamily="34" charset="0"/>
              </a:rPr>
              <a:t>Ratio AL29/AE38</a:t>
            </a:r>
            <a:endParaRPr lang="es-AR" sz="1200">
              <a:effectLst/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6927564537709212"/>
          <c:y val="5.768286484935155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7713452916831"/>
          <c:y val="0.19820639465521353"/>
          <c:w val="0.74937220930285264"/>
          <c:h val="0.66260319732760675"/>
        </c:manualLayout>
      </c:layout>
      <c:scatterChart>
        <c:scatterStyle val="lineMarker"/>
        <c:varyColors val="0"/>
        <c:ser>
          <c:idx val="0"/>
          <c:order val="0"/>
          <c:tx>
            <c:v>Ratio AL29/AL41</c:v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'Ratios ley ARG'!$A$3:$A$204</c:f>
              <c:numCache>
                <c:formatCode>dd/mm/yyyy;@</c:formatCode>
                <c:ptCount val="202"/>
                <c:pt idx="0">
                  <c:v>44081</c:v>
                </c:pt>
                <c:pt idx="1">
                  <c:v>44082</c:v>
                </c:pt>
                <c:pt idx="2">
                  <c:v>44083</c:v>
                </c:pt>
                <c:pt idx="3">
                  <c:v>44084</c:v>
                </c:pt>
                <c:pt idx="4">
                  <c:v>44085</c:v>
                </c:pt>
                <c:pt idx="5">
                  <c:v>44088</c:v>
                </c:pt>
                <c:pt idx="6">
                  <c:v>44089</c:v>
                </c:pt>
                <c:pt idx="7">
                  <c:v>44090</c:v>
                </c:pt>
                <c:pt idx="8">
                  <c:v>44091</c:v>
                </c:pt>
                <c:pt idx="9">
                  <c:v>44092</c:v>
                </c:pt>
                <c:pt idx="10">
                  <c:v>44095</c:v>
                </c:pt>
                <c:pt idx="11">
                  <c:v>44096</c:v>
                </c:pt>
                <c:pt idx="12">
                  <c:v>44097</c:v>
                </c:pt>
                <c:pt idx="13">
                  <c:v>44098</c:v>
                </c:pt>
                <c:pt idx="14">
                  <c:v>44099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44133</c:v>
                </c:pt>
                <c:pt idx="38">
                  <c:v>44134</c:v>
                </c:pt>
                <c:pt idx="39">
                  <c:v>44137</c:v>
                </c:pt>
                <c:pt idx="40">
                  <c:v>44138</c:v>
                </c:pt>
                <c:pt idx="41">
                  <c:v>44139</c:v>
                </c:pt>
                <c:pt idx="42">
                  <c:v>44140</c:v>
                </c:pt>
                <c:pt idx="43">
                  <c:v>44141</c:v>
                </c:pt>
                <c:pt idx="44">
                  <c:v>44144</c:v>
                </c:pt>
                <c:pt idx="45">
                  <c:v>44145</c:v>
                </c:pt>
                <c:pt idx="46">
                  <c:v>44146</c:v>
                </c:pt>
                <c:pt idx="47">
                  <c:v>44147</c:v>
                </c:pt>
                <c:pt idx="48">
                  <c:v>44148</c:v>
                </c:pt>
                <c:pt idx="49">
                  <c:v>44151</c:v>
                </c:pt>
                <c:pt idx="50">
                  <c:v>44152</c:v>
                </c:pt>
                <c:pt idx="51">
                  <c:v>44153</c:v>
                </c:pt>
                <c:pt idx="52">
                  <c:v>44154</c:v>
                </c:pt>
                <c:pt idx="53">
                  <c:v>44155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44174</c:v>
                </c:pt>
                <c:pt idx="64">
                  <c:v>44175</c:v>
                </c:pt>
                <c:pt idx="65">
                  <c:v>44176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44183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44193</c:v>
                </c:pt>
                <c:pt idx="75">
                  <c:v>44194</c:v>
                </c:pt>
                <c:pt idx="76">
                  <c:v>44195</c:v>
                </c:pt>
                <c:pt idx="77">
                  <c:v>44200</c:v>
                </c:pt>
                <c:pt idx="78">
                  <c:v>44201</c:v>
                </c:pt>
                <c:pt idx="79">
                  <c:v>44202</c:v>
                </c:pt>
                <c:pt idx="80">
                  <c:v>44203</c:v>
                </c:pt>
                <c:pt idx="81">
                  <c:v>44204</c:v>
                </c:pt>
                <c:pt idx="82">
                  <c:v>44207</c:v>
                </c:pt>
                <c:pt idx="83">
                  <c:v>44208</c:v>
                </c:pt>
                <c:pt idx="84">
                  <c:v>44209</c:v>
                </c:pt>
                <c:pt idx="85">
                  <c:v>44210</c:v>
                </c:pt>
                <c:pt idx="86">
                  <c:v>44211</c:v>
                </c:pt>
                <c:pt idx="87">
                  <c:v>44214</c:v>
                </c:pt>
                <c:pt idx="88">
                  <c:v>44215</c:v>
                </c:pt>
                <c:pt idx="89">
                  <c:v>44216</c:v>
                </c:pt>
                <c:pt idx="90">
                  <c:v>44217</c:v>
                </c:pt>
                <c:pt idx="91">
                  <c:v>44218</c:v>
                </c:pt>
                <c:pt idx="92">
                  <c:v>44221</c:v>
                </c:pt>
                <c:pt idx="93">
                  <c:v>44222</c:v>
                </c:pt>
                <c:pt idx="94">
                  <c:v>44223</c:v>
                </c:pt>
                <c:pt idx="95">
                  <c:v>44224</c:v>
                </c:pt>
                <c:pt idx="96">
                  <c:v>44225</c:v>
                </c:pt>
                <c:pt idx="97">
                  <c:v>44228</c:v>
                </c:pt>
                <c:pt idx="98">
                  <c:v>44229</c:v>
                </c:pt>
                <c:pt idx="99">
                  <c:v>44230</c:v>
                </c:pt>
                <c:pt idx="100">
                  <c:v>44231</c:v>
                </c:pt>
                <c:pt idx="101">
                  <c:v>44232</c:v>
                </c:pt>
                <c:pt idx="102">
                  <c:v>44235</c:v>
                </c:pt>
                <c:pt idx="103">
                  <c:v>44236</c:v>
                </c:pt>
                <c:pt idx="104">
                  <c:v>44237</c:v>
                </c:pt>
                <c:pt idx="105">
                  <c:v>44238</c:v>
                </c:pt>
                <c:pt idx="106">
                  <c:v>44239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44249</c:v>
                </c:pt>
                <c:pt idx="111">
                  <c:v>44250</c:v>
                </c:pt>
                <c:pt idx="112">
                  <c:v>44251</c:v>
                </c:pt>
                <c:pt idx="113">
                  <c:v>44252</c:v>
                </c:pt>
                <c:pt idx="114">
                  <c:v>44253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44270</c:v>
                </c:pt>
                <c:pt idx="126">
                  <c:v>44271</c:v>
                </c:pt>
                <c:pt idx="127">
                  <c:v>44272</c:v>
                </c:pt>
                <c:pt idx="128">
                  <c:v>44273</c:v>
                </c:pt>
                <c:pt idx="129">
                  <c:v>44274</c:v>
                </c:pt>
                <c:pt idx="130">
                  <c:v>44277</c:v>
                </c:pt>
                <c:pt idx="131">
                  <c:v>44278</c:v>
                </c:pt>
                <c:pt idx="132">
                  <c:v>44280</c:v>
                </c:pt>
                <c:pt idx="133">
                  <c:v>44281</c:v>
                </c:pt>
                <c:pt idx="134">
                  <c:v>44284</c:v>
                </c:pt>
                <c:pt idx="135">
                  <c:v>44285</c:v>
                </c:pt>
                <c:pt idx="136">
                  <c:v>44286</c:v>
                </c:pt>
                <c:pt idx="137">
                  <c:v>44291</c:v>
                </c:pt>
                <c:pt idx="138">
                  <c:v>44292</c:v>
                </c:pt>
                <c:pt idx="139">
                  <c:v>44293</c:v>
                </c:pt>
                <c:pt idx="140">
                  <c:v>44294</c:v>
                </c:pt>
                <c:pt idx="141">
                  <c:v>44295</c:v>
                </c:pt>
                <c:pt idx="142">
                  <c:v>44298</c:v>
                </c:pt>
                <c:pt idx="143">
                  <c:v>44299</c:v>
                </c:pt>
                <c:pt idx="144">
                  <c:v>44300</c:v>
                </c:pt>
                <c:pt idx="145">
                  <c:v>44301</c:v>
                </c:pt>
                <c:pt idx="146">
                  <c:v>44302</c:v>
                </c:pt>
                <c:pt idx="147">
                  <c:v>44305</c:v>
                </c:pt>
                <c:pt idx="148">
                  <c:v>44306</c:v>
                </c:pt>
                <c:pt idx="149">
                  <c:v>44307</c:v>
                </c:pt>
                <c:pt idx="150">
                  <c:v>44308</c:v>
                </c:pt>
                <c:pt idx="151">
                  <c:v>44309</c:v>
                </c:pt>
                <c:pt idx="152">
                  <c:v>44312</c:v>
                </c:pt>
                <c:pt idx="153">
                  <c:v>44313</c:v>
                </c:pt>
                <c:pt idx="154">
                  <c:v>44314</c:v>
                </c:pt>
                <c:pt idx="155">
                  <c:v>44315</c:v>
                </c:pt>
                <c:pt idx="156">
                  <c:v>44316</c:v>
                </c:pt>
                <c:pt idx="157">
                  <c:v>44319</c:v>
                </c:pt>
                <c:pt idx="158">
                  <c:v>44320</c:v>
                </c:pt>
                <c:pt idx="159">
                  <c:v>44321</c:v>
                </c:pt>
                <c:pt idx="160">
                  <c:v>44322</c:v>
                </c:pt>
                <c:pt idx="161">
                  <c:v>44323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44342</c:v>
                </c:pt>
                <c:pt idx="173">
                  <c:v>44343</c:v>
                </c:pt>
                <c:pt idx="174">
                  <c:v>44344</c:v>
                </c:pt>
                <c:pt idx="175">
                  <c:v>44347</c:v>
                </c:pt>
                <c:pt idx="176">
                  <c:v>44348</c:v>
                </c:pt>
                <c:pt idx="177">
                  <c:v>44349</c:v>
                </c:pt>
                <c:pt idx="178">
                  <c:v>44350</c:v>
                </c:pt>
                <c:pt idx="179">
                  <c:v>44351</c:v>
                </c:pt>
                <c:pt idx="180">
                  <c:v>44354</c:v>
                </c:pt>
                <c:pt idx="181">
                  <c:v>44355</c:v>
                </c:pt>
                <c:pt idx="182">
                  <c:v>44356</c:v>
                </c:pt>
                <c:pt idx="183">
                  <c:v>44357</c:v>
                </c:pt>
                <c:pt idx="184">
                  <c:v>44358</c:v>
                </c:pt>
                <c:pt idx="185">
                  <c:v>44361</c:v>
                </c:pt>
              </c:numCache>
            </c:numRef>
          </c:xVal>
          <c:yVal>
            <c:numRef>
              <c:f>'Ratios ley ARG'!$K$3:$K$204</c:f>
              <c:numCache>
                <c:formatCode>0.000</c:formatCode>
                <c:ptCount val="202"/>
                <c:pt idx="0">
                  <c:v>1.0319512195121952</c:v>
                </c:pt>
                <c:pt idx="1">
                  <c:v>1.0302100161550889</c:v>
                </c:pt>
                <c:pt idx="2">
                  <c:v>1.0392971246006391</c:v>
                </c:pt>
                <c:pt idx="3">
                  <c:v>1.0461722488038276</c:v>
                </c:pt>
                <c:pt idx="4">
                  <c:v>1.0489499192245557</c:v>
                </c:pt>
                <c:pt idx="5">
                  <c:v>1.0498816229896317</c:v>
                </c:pt>
                <c:pt idx="6">
                  <c:v>1.0504201680672269</c:v>
                </c:pt>
                <c:pt idx="7">
                  <c:v>1.0569707401032702</c:v>
                </c:pt>
                <c:pt idx="8">
                  <c:v>1.0821428571428571</c:v>
                </c:pt>
                <c:pt idx="9">
                  <c:v>1.0809399477806789</c:v>
                </c:pt>
                <c:pt idx="10">
                  <c:v>1.0741379310344827</c:v>
                </c:pt>
                <c:pt idx="11">
                  <c:v>1.083982683982684</c:v>
                </c:pt>
                <c:pt idx="12">
                  <c:v>1.0915900578821927</c:v>
                </c:pt>
                <c:pt idx="13">
                  <c:v>1.0843900306077832</c:v>
                </c:pt>
                <c:pt idx="14">
                  <c:v>1.0825099670653493</c:v>
                </c:pt>
                <c:pt idx="15">
                  <c:v>1.0819109700660434</c:v>
                </c:pt>
                <c:pt idx="16">
                  <c:v>1.0850809889173061</c:v>
                </c:pt>
                <c:pt idx="17">
                  <c:v>1.0842905405405405</c:v>
                </c:pt>
                <c:pt idx="18">
                  <c:v>1.0686512250188143</c:v>
                </c:pt>
                <c:pt idx="19">
                  <c:v>1.0681402692371613</c:v>
                </c:pt>
                <c:pt idx="20">
                  <c:v>1.0752508361204014</c:v>
                </c:pt>
                <c:pt idx="21">
                  <c:v>1.0975986277873071</c:v>
                </c:pt>
                <c:pt idx="22">
                  <c:v>1.0926243567753002</c:v>
                </c:pt>
                <c:pt idx="23">
                  <c:v>1.092608326253186</c:v>
                </c:pt>
                <c:pt idx="24">
                  <c:v>1.0897009966777409</c:v>
                </c:pt>
                <c:pt idx="25">
                  <c:v>1.0882110469909316</c:v>
                </c:pt>
                <c:pt idx="26">
                  <c:v>1.0920945395273023</c:v>
                </c:pt>
                <c:pt idx="27">
                  <c:v>1.1169477911646586</c:v>
                </c:pt>
                <c:pt idx="28">
                  <c:v>1.1181296144380639</c:v>
                </c:pt>
                <c:pt idx="29">
                  <c:v>1.1140278917145201</c:v>
                </c:pt>
                <c:pt idx="30">
                  <c:v>1.1111111111111112</c:v>
                </c:pt>
                <c:pt idx="31">
                  <c:v>1.1196917527463519</c:v>
                </c:pt>
                <c:pt idx="32">
                  <c:v>1.1377274963108706</c:v>
                </c:pt>
                <c:pt idx="33">
                  <c:v>1.1524132091447925</c:v>
                </c:pt>
                <c:pt idx="34">
                  <c:v>1.1401952085181899</c:v>
                </c:pt>
                <c:pt idx="35">
                  <c:v>1.1739602169981918</c:v>
                </c:pt>
                <c:pt idx="36">
                  <c:v>1.2122641509433962</c:v>
                </c:pt>
                <c:pt idx="37">
                  <c:v>1.2345090562440419</c:v>
                </c:pt>
                <c:pt idx="38">
                  <c:v>1.2367354813814393</c:v>
                </c:pt>
                <c:pt idx="39">
                  <c:v>1.1784544228174985</c:v>
                </c:pt>
                <c:pt idx="40">
                  <c:v>1.1901515151515152</c:v>
                </c:pt>
                <c:pt idx="41">
                  <c:v>1.2075471698113207</c:v>
                </c:pt>
                <c:pt idx="42">
                  <c:v>1.2108716026241799</c:v>
                </c:pt>
                <c:pt idx="43">
                  <c:v>1.1909481952496728</c:v>
                </c:pt>
                <c:pt idx="44">
                  <c:v>1.1907054249213109</c:v>
                </c:pt>
                <c:pt idx="45">
                  <c:v>1.1615454545454544</c:v>
                </c:pt>
                <c:pt idx="46">
                  <c:v>1.1124780316344465</c:v>
                </c:pt>
                <c:pt idx="47">
                  <c:v>1.1151079136690647</c:v>
                </c:pt>
                <c:pt idx="48">
                  <c:v>1.1328360859527615</c:v>
                </c:pt>
                <c:pt idx="49">
                  <c:v>1.1197552447552448</c:v>
                </c:pt>
                <c:pt idx="50">
                  <c:v>1.1048175946936638</c:v>
                </c:pt>
                <c:pt idx="51">
                  <c:v>1.1062283737024221</c:v>
                </c:pt>
                <c:pt idx="52">
                  <c:v>1.0950557103064067</c:v>
                </c:pt>
                <c:pt idx="53">
                  <c:v>1.1046572934973637</c:v>
                </c:pt>
                <c:pt idx="54">
                  <c:v>1.1287119856887298</c:v>
                </c:pt>
                <c:pt idx="55">
                  <c:v>1.1495819701926573</c:v>
                </c:pt>
                <c:pt idx="56">
                  <c:v>1.1450271247739603</c:v>
                </c:pt>
                <c:pt idx="57">
                  <c:v>1.1415525114155252</c:v>
                </c:pt>
                <c:pt idx="58">
                  <c:v>1.1509170468299041</c:v>
                </c:pt>
                <c:pt idx="59">
                  <c:v>1.1296296296296295</c:v>
                </c:pt>
                <c:pt idx="60">
                  <c:v>1.1153203342618385</c:v>
                </c:pt>
                <c:pt idx="61">
                  <c:v>1.1111111111111112</c:v>
                </c:pt>
                <c:pt idx="62">
                  <c:v>1.1308500477554919</c:v>
                </c:pt>
                <c:pt idx="63">
                  <c:v>1.1283783783783783</c:v>
                </c:pt>
                <c:pt idx="64">
                  <c:v>1.1288759689922481</c:v>
                </c:pt>
                <c:pt idx="65">
                  <c:v>1.1305182341650672</c:v>
                </c:pt>
                <c:pt idx="66">
                  <c:v>1.1161904761904762</c:v>
                </c:pt>
                <c:pt idx="67">
                  <c:v>1.1144806671721001</c:v>
                </c:pt>
                <c:pt idx="68">
                  <c:v>1.1072106261859582</c:v>
                </c:pt>
                <c:pt idx="69">
                  <c:v>1.0878504672897196</c:v>
                </c:pt>
                <c:pt idx="70">
                  <c:v>1.0746788990825689</c:v>
                </c:pt>
                <c:pt idx="71">
                  <c:v>1.0941286113699906</c:v>
                </c:pt>
                <c:pt idx="72">
                  <c:v>1.0946296296296296</c:v>
                </c:pt>
                <c:pt idx="73">
                  <c:v>1.0907424381301558</c:v>
                </c:pt>
                <c:pt idx="74">
                  <c:v>1.0831826401446654</c:v>
                </c:pt>
                <c:pt idx="75">
                  <c:v>1.0996343692870201</c:v>
                </c:pt>
                <c:pt idx="76">
                  <c:v>1.1123491179201486</c:v>
                </c:pt>
                <c:pt idx="77">
                  <c:v>1.1144297181258167</c:v>
                </c:pt>
                <c:pt idx="78">
                  <c:v>1.1102040816326531</c:v>
                </c:pt>
                <c:pt idx="79">
                  <c:v>1.112626728110599</c:v>
                </c:pt>
                <c:pt idx="80">
                  <c:v>1.1012797074954297</c:v>
                </c:pt>
                <c:pt idx="81">
                  <c:v>1.1049723756906078</c:v>
                </c:pt>
                <c:pt idx="82">
                  <c:v>1.1151119402985075</c:v>
                </c:pt>
                <c:pt idx="83">
                  <c:v>1.1163227016885553</c:v>
                </c:pt>
                <c:pt idx="84">
                  <c:v>1.1282588011417698</c:v>
                </c:pt>
                <c:pt idx="85">
                  <c:v>1.1331406551059731</c:v>
                </c:pt>
                <c:pt idx="86">
                  <c:v>1.1283524904214559</c:v>
                </c:pt>
                <c:pt idx="87">
                  <c:v>1.1193116634799236</c:v>
                </c:pt>
                <c:pt idx="88">
                  <c:v>1.1163981042654028</c:v>
                </c:pt>
                <c:pt idx="89">
                  <c:v>1.1076575303758123</c:v>
                </c:pt>
                <c:pt idx="90">
                  <c:v>1.1042654028436019</c:v>
                </c:pt>
                <c:pt idx="91">
                  <c:v>1.0955689072474653</c:v>
                </c:pt>
                <c:pt idx="92">
                  <c:v>1.0910780669144982</c:v>
                </c:pt>
                <c:pt idx="93">
                  <c:v>1.0897317298797409</c:v>
                </c:pt>
                <c:pt idx="94">
                  <c:v>1.079116835326587</c:v>
                </c:pt>
                <c:pt idx="95">
                  <c:v>1.069406392694064</c:v>
                </c:pt>
                <c:pt idx="96">
                  <c:v>1.0782425243074665</c:v>
                </c:pt>
                <c:pt idx="97">
                  <c:v>1.0790774299835255</c:v>
                </c:pt>
                <c:pt idx="98">
                  <c:v>1.0852132614850671</c:v>
                </c:pt>
                <c:pt idx="99">
                  <c:v>1.08938134810711</c:v>
                </c:pt>
                <c:pt idx="100">
                  <c:v>1.0966666666666667</c:v>
                </c:pt>
                <c:pt idx="101">
                  <c:v>1.1021505376344085</c:v>
                </c:pt>
                <c:pt idx="102">
                  <c:v>1.0986988847583643</c:v>
                </c:pt>
                <c:pt idx="103">
                  <c:v>1.1067016098839386</c:v>
                </c:pt>
                <c:pt idx="104">
                  <c:v>1.1104847801578355</c:v>
                </c:pt>
                <c:pt idx="105">
                  <c:v>1.1072796934865901</c:v>
                </c:pt>
                <c:pt idx="106">
                  <c:v>1.1048543689320389</c:v>
                </c:pt>
                <c:pt idx="107">
                  <c:v>1.1099899091826437</c:v>
                </c:pt>
                <c:pt idx="108">
                  <c:v>1.1244897959183673</c:v>
                </c:pt>
                <c:pt idx="109">
                  <c:v>1.1140495867768596</c:v>
                </c:pt>
                <c:pt idx="110">
                  <c:v>1.0990516332982085</c:v>
                </c:pt>
                <c:pt idx="111">
                  <c:v>1.1076890399320305</c:v>
                </c:pt>
                <c:pt idx="112">
                  <c:v>1.1135135135135135</c:v>
                </c:pt>
                <c:pt idx="113">
                  <c:v>1.0965447154471544</c:v>
                </c:pt>
                <c:pt idx="114">
                  <c:v>1.0949698189134809</c:v>
                </c:pt>
                <c:pt idx="115">
                  <c:v>1.0838441763891635</c:v>
                </c:pt>
                <c:pt idx="116">
                  <c:v>1.1066532258064516</c:v>
                </c:pt>
                <c:pt idx="117">
                  <c:v>1.1151885830784913</c:v>
                </c:pt>
                <c:pt idx="118">
                  <c:v>1.1075116420328002</c:v>
                </c:pt>
                <c:pt idx="119">
                  <c:v>1.1244855967078189</c:v>
                </c:pt>
                <c:pt idx="120">
                  <c:v>1.1097308488612836</c:v>
                </c:pt>
                <c:pt idx="121">
                  <c:v>1.1034699654051787</c:v>
                </c:pt>
                <c:pt idx="122">
                  <c:v>1.0978379558855644</c:v>
                </c:pt>
                <c:pt idx="123">
                  <c:v>1.0910075839653304</c:v>
                </c:pt>
                <c:pt idx="124">
                  <c:v>1.0900318133616118</c:v>
                </c:pt>
                <c:pt idx="125">
                  <c:v>1.0845360824742267</c:v>
                </c:pt>
                <c:pt idx="126">
                  <c:v>1.0794297352342159</c:v>
                </c:pt>
                <c:pt idx="127">
                  <c:v>1.0797979797979798</c:v>
                </c:pt>
                <c:pt idx="128">
                  <c:v>1.0764227642276423</c:v>
                </c:pt>
                <c:pt idx="129">
                  <c:v>1.0776992936427852</c:v>
                </c:pt>
                <c:pt idx="130">
                  <c:v>1.0690067810131632</c:v>
                </c:pt>
                <c:pt idx="131">
                  <c:v>1.046964040086461</c:v>
                </c:pt>
                <c:pt idx="132">
                  <c:v>1.0487755102040817</c:v>
                </c:pt>
                <c:pt idx="133">
                  <c:v>1.0482401656314699</c:v>
                </c:pt>
                <c:pt idx="134">
                  <c:v>1.0590717299578059</c:v>
                </c:pt>
                <c:pt idx="135">
                  <c:v>1.0466343110360836</c:v>
                </c:pt>
                <c:pt idx="136">
                  <c:v>1.0504149377593361</c:v>
                </c:pt>
                <c:pt idx="137">
                  <c:v>1.0699519732720819</c:v>
                </c:pt>
                <c:pt idx="138">
                  <c:v>1.0669421487603306</c:v>
                </c:pt>
                <c:pt idx="139">
                  <c:v>1.0660592255125285</c:v>
                </c:pt>
                <c:pt idx="140">
                  <c:v>1.0715401437050922</c:v>
                </c:pt>
                <c:pt idx="141">
                  <c:v>1.0774869109947645</c:v>
                </c:pt>
                <c:pt idx="142">
                  <c:v>1.0752083333333333</c:v>
                </c:pt>
                <c:pt idx="143">
                  <c:v>1.0704517198508081</c:v>
                </c:pt>
                <c:pt idx="144">
                  <c:v>1.0745495961896874</c:v>
                </c:pt>
                <c:pt idx="145">
                  <c:v>1.0762004175365345</c:v>
                </c:pt>
                <c:pt idx="146">
                  <c:v>1.0841666666666667</c:v>
                </c:pt>
                <c:pt idx="147">
                  <c:v>1.0764462809917354</c:v>
                </c:pt>
                <c:pt idx="148">
                  <c:v>1.0761181780878128</c:v>
                </c:pt>
                <c:pt idx="149">
                  <c:v>1.0795918367346939</c:v>
                </c:pt>
                <c:pt idx="150">
                  <c:v>1.0803643724696357</c:v>
                </c:pt>
                <c:pt idx="151">
                  <c:v>1.0825982357658379</c:v>
                </c:pt>
                <c:pt idx="152">
                  <c:v>1.0828837665522315</c:v>
                </c:pt>
                <c:pt idx="153">
                  <c:v>1.091796875</c:v>
                </c:pt>
                <c:pt idx="154">
                  <c:v>1.0853307766059443</c:v>
                </c:pt>
                <c:pt idx="155">
                  <c:v>1.077055449330784</c:v>
                </c:pt>
                <c:pt idx="156">
                  <c:v>1.0778947368421052</c:v>
                </c:pt>
                <c:pt idx="157">
                  <c:v>1.0924855491329479</c:v>
                </c:pt>
                <c:pt idx="158">
                  <c:v>1.0840352220520675</c:v>
                </c:pt>
                <c:pt idx="159">
                  <c:v>1.0892514395393473</c:v>
                </c:pt>
                <c:pt idx="160">
                  <c:v>1.0888030888030888</c:v>
                </c:pt>
                <c:pt idx="161">
                  <c:v>1.0857419980601357</c:v>
                </c:pt>
                <c:pt idx="162">
                  <c:v>1.0916911045943305</c:v>
                </c:pt>
                <c:pt idx="163">
                  <c:v>1.0795622596864833</c:v>
                </c:pt>
                <c:pt idx="164">
                  <c:v>1.0853395967899784</c:v>
                </c:pt>
                <c:pt idx="165">
                  <c:v>1.0910679611650484</c:v>
                </c:pt>
                <c:pt idx="166">
                  <c:v>1.082808534636714</c:v>
                </c:pt>
                <c:pt idx="167">
                  <c:v>1.081651376146789</c:v>
                </c:pt>
                <c:pt idx="168">
                  <c:v>1.0669675090252708</c:v>
                </c:pt>
                <c:pt idx="169">
                  <c:v>1.0578661844484629</c:v>
                </c:pt>
                <c:pt idx="170">
                  <c:v>1.0482078853046595</c:v>
                </c:pt>
                <c:pt idx="171">
                  <c:v>1.0465199499015925</c:v>
                </c:pt>
                <c:pt idx="172">
                  <c:v>1.038241910365115</c:v>
                </c:pt>
                <c:pt idx="173">
                  <c:v>1.0365728900255755</c:v>
                </c:pt>
                <c:pt idx="174">
                  <c:v>1.033680764923766</c:v>
                </c:pt>
                <c:pt idx="175">
                  <c:v>1.0392967942088935</c:v>
                </c:pt>
                <c:pt idx="176">
                  <c:v>1.0235690235690236</c:v>
                </c:pt>
                <c:pt idx="177">
                  <c:v>1.0292282430213464</c:v>
                </c:pt>
                <c:pt idx="178">
                  <c:v>1.0283333333333333</c:v>
                </c:pt>
                <c:pt idx="179">
                  <c:v>1.0235294117647058</c:v>
                </c:pt>
                <c:pt idx="180">
                  <c:v>1.021594684385382</c:v>
                </c:pt>
                <c:pt idx="181">
                  <c:v>1.0293386374937843</c:v>
                </c:pt>
                <c:pt idx="182">
                  <c:v>1.0407894736842105</c:v>
                </c:pt>
                <c:pt idx="183">
                  <c:v>1.0347096561934528</c:v>
                </c:pt>
                <c:pt idx="184">
                  <c:v>1.0351307189542485</c:v>
                </c:pt>
                <c:pt idx="185">
                  <c:v>1.0361842105263157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C-436C-A84D-6996F10E3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9488"/>
        <c:axId val="178481408"/>
      </c:scatterChart>
      <c:valAx>
        <c:axId val="178479488"/>
        <c:scaling>
          <c:orientation val="minMax"/>
          <c:max val="44370"/>
          <c:min val="44081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178481408"/>
        <c:crosses val="autoZero"/>
        <c:crossBetween val="midCat"/>
        <c:majorUnit val="30"/>
      </c:valAx>
      <c:valAx>
        <c:axId val="178481408"/>
        <c:scaling>
          <c:orientation val="minMax"/>
          <c:max val="1.1600000000000001"/>
          <c:min val="1.0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5.5372837426271117E-2"/>
              <c:y val="0.45577340609342154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178479488"/>
        <c:crossesAt val="0"/>
        <c:crossBetween val="midCat"/>
        <c:majorUnit val="2.0000000000000004E-2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MX" sz="1200" b="1" i="0" baseline="0">
                <a:effectLst/>
                <a:latin typeface="Arial" pitchFamily="34" charset="0"/>
                <a:cs typeface="Arial" pitchFamily="34" charset="0"/>
              </a:rPr>
              <a:t>Ratio AL29/AL35</a:t>
            </a:r>
            <a:endParaRPr lang="es-AR" sz="1200">
              <a:effectLst/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6927564537709212"/>
          <c:y val="5.768286484935155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7713452916831"/>
          <c:y val="0.19820639465521353"/>
          <c:w val="0.74937220930285264"/>
          <c:h val="0.66260319732760675"/>
        </c:manualLayout>
      </c:layout>
      <c:scatterChart>
        <c:scatterStyle val="lineMarker"/>
        <c:varyColors val="0"/>
        <c:ser>
          <c:idx val="0"/>
          <c:order val="0"/>
          <c:tx>
            <c:v>Ratio AL29/AL41</c:v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'Ratios ley ARG'!$A$3:$A$204</c:f>
              <c:numCache>
                <c:formatCode>dd/mm/yyyy;@</c:formatCode>
                <c:ptCount val="202"/>
                <c:pt idx="0">
                  <c:v>44081</c:v>
                </c:pt>
                <c:pt idx="1">
                  <c:v>44082</c:v>
                </c:pt>
                <c:pt idx="2">
                  <c:v>44083</c:v>
                </c:pt>
                <c:pt idx="3">
                  <c:v>44084</c:v>
                </c:pt>
                <c:pt idx="4">
                  <c:v>44085</c:v>
                </c:pt>
                <c:pt idx="5">
                  <c:v>44088</c:v>
                </c:pt>
                <c:pt idx="6">
                  <c:v>44089</c:v>
                </c:pt>
                <c:pt idx="7">
                  <c:v>44090</c:v>
                </c:pt>
                <c:pt idx="8">
                  <c:v>44091</c:v>
                </c:pt>
                <c:pt idx="9">
                  <c:v>44092</c:v>
                </c:pt>
                <c:pt idx="10">
                  <c:v>44095</c:v>
                </c:pt>
                <c:pt idx="11">
                  <c:v>44096</c:v>
                </c:pt>
                <c:pt idx="12">
                  <c:v>44097</c:v>
                </c:pt>
                <c:pt idx="13">
                  <c:v>44098</c:v>
                </c:pt>
                <c:pt idx="14">
                  <c:v>44099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44133</c:v>
                </c:pt>
                <c:pt idx="38">
                  <c:v>44134</c:v>
                </c:pt>
                <c:pt idx="39">
                  <c:v>44137</c:v>
                </c:pt>
                <c:pt idx="40">
                  <c:v>44138</c:v>
                </c:pt>
                <c:pt idx="41">
                  <c:v>44139</c:v>
                </c:pt>
                <c:pt idx="42">
                  <c:v>44140</c:v>
                </c:pt>
                <c:pt idx="43">
                  <c:v>44141</c:v>
                </c:pt>
                <c:pt idx="44">
                  <c:v>44144</c:v>
                </c:pt>
                <c:pt idx="45">
                  <c:v>44145</c:v>
                </c:pt>
                <c:pt idx="46">
                  <c:v>44146</c:v>
                </c:pt>
                <c:pt idx="47">
                  <c:v>44147</c:v>
                </c:pt>
                <c:pt idx="48">
                  <c:v>44148</c:v>
                </c:pt>
                <c:pt idx="49">
                  <c:v>44151</c:v>
                </c:pt>
                <c:pt idx="50">
                  <c:v>44152</c:v>
                </c:pt>
                <c:pt idx="51">
                  <c:v>44153</c:v>
                </c:pt>
                <c:pt idx="52">
                  <c:v>44154</c:v>
                </c:pt>
                <c:pt idx="53">
                  <c:v>44155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44174</c:v>
                </c:pt>
                <c:pt idx="64">
                  <c:v>44175</c:v>
                </c:pt>
                <c:pt idx="65">
                  <c:v>44176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44183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44193</c:v>
                </c:pt>
                <c:pt idx="75">
                  <c:v>44194</c:v>
                </c:pt>
                <c:pt idx="76">
                  <c:v>44195</c:v>
                </c:pt>
                <c:pt idx="77">
                  <c:v>44200</c:v>
                </c:pt>
                <c:pt idx="78">
                  <c:v>44201</c:v>
                </c:pt>
                <c:pt idx="79">
                  <c:v>44202</c:v>
                </c:pt>
                <c:pt idx="80">
                  <c:v>44203</c:v>
                </c:pt>
                <c:pt idx="81">
                  <c:v>44204</c:v>
                </c:pt>
                <c:pt idx="82">
                  <c:v>44207</c:v>
                </c:pt>
                <c:pt idx="83">
                  <c:v>44208</c:v>
                </c:pt>
                <c:pt idx="84">
                  <c:v>44209</c:v>
                </c:pt>
                <c:pt idx="85">
                  <c:v>44210</c:v>
                </c:pt>
                <c:pt idx="86">
                  <c:v>44211</c:v>
                </c:pt>
                <c:pt idx="87">
                  <c:v>44214</c:v>
                </c:pt>
                <c:pt idx="88">
                  <c:v>44215</c:v>
                </c:pt>
                <c:pt idx="89">
                  <c:v>44216</c:v>
                </c:pt>
                <c:pt idx="90">
                  <c:v>44217</c:v>
                </c:pt>
                <c:pt idx="91">
                  <c:v>44218</c:v>
                </c:pt>
                <c:pt idx="92">
                  <c:v>44221</c:v>
                </c:pt>
                <c:pt idx="93">
                  <c:v>44222</c:v>
                </c:pt>
                <c:pt idx="94">
                  <c:v>44223</c:v>
                </c:pt>
                <c:pt idx="95">
                  <c:v>44224</c:v>
                </c:pt>
                <c:pt idx="96">
                  <c:v>44225</c:v>
                </c:pt>
                <c:pt idx="97">
                  <c:v>44228</c:v>
                </c:pt>
                <c:pt idx="98">
                  <c:v>44229</c:v>
                </c:pt>
                <c:pt idx="99">
                  <c:v>44230</c:v>
                </c:pt>
                <c:pt idx="100">
                  <c:v>44231</c:v>
                </c:pt>
                <c:pt idx="101">
                  <c:v>44232</c:v>
                </c:pt>
                <c:pt idx="102">
                  <c:v>44235</c:v>
                </c:pt>
                <c:pt idx="103">
                  <c:v>44236</c:v>
                </c:pt>
                <c:pt idx="104">
                  <c:v>44237</c:v>
                </c:pt>
                <c:pt idx="105">
                  <c:v>44238</c:v>
                </c:pt>
                <c:pt idx="106">
                  <c:v>44239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44249</c:v>
                </c:pt>
                <c:pt idx="111">
                  <c:v>44250</c:v>
                </c:pt>
                <c:pt idx="112">
                  <c:v>44251</c:v>
                </c:pt>
                <c:pt idx="113">
                  <c:v>44252</c:v>
                </c:pt>
                <c:pt idx="114">
                  <c:v>44253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44270</c:v>
                </c:pt>
                <c:pt idx="126">
                  <c:v>44271</c:v>
                </c:pt>
                <c:pt idx="127">
                  <c:v>44272</c:v>
                </c:pt>
                <c:pt idx="128">
                  <c:v>44273</c:v>
                </c:pt>
                <c:pt idx="129">
                  <c:v>44274</c:v>
                </c:pt>
                <c:pt idx="130">
                  <c:v>44277</c:v>
                </c:pt>
                <c:pt idx="131">
                  <c:v>44278</c:v>
                </c:pt>
                <c:pt idx="132">
                  <c:v>44280</c:v>
                </c:pt>
                <c:pt idx="133">
                  <c:v>44281</c:v>
                </c:pt>
                <c:pt idx="134">
                  <c:v>44284</c:v>
                </c:pt>
                <c:pt idx="135">
                  <c:v>44285</c:v>
                </c:pt>
                <c:pt idx="136">
                  <c:v>44286</c:v>
                </c:pt>
                <c:pt idx="137">
                  <c:v>44291</c:v>
                </c:pt>
                <c:pt idx="138">
                  <c:v>44292</c:v>
                </c:pt>
                <c:pt idx="139">
                  <c:v>44293</c:v>
                </c:pt>
                <c:pt idx="140">
                  <c:v>44294</c:v>
                </c:pt>
                <c:pt idx="141">
                  <c:v>44295</c:v>
                </c:pt>
                <c:pt idx="142">
                  <c:v>44298</c:v>
                </c:pt>
                <c:pt idx="143">
                  <c:v>44299</c:v>
                </c:pt>
                <c:pt idx="144">
                  <c:v>44300</c:v>
                </c:pt>
                <c:pt idx="145">
                  <c:v>44301</c:v>
                </c:pt>
                <c:pt idx="146">
                  <c:v>44302</c:v>
                </c:pt>
                <c:pt idx="147">
                  <c:v>44305</c:v>
                </c:pt>
                <c:pt idx="148">
                  <c:v>44306</c:v>
                </c:pt>
                <c:pt idx="149">
                  <c:v>44307</c:v>
                </c:pt>
                <c:pt idx="150">
                  <c:v>44308</c:v>
                </c:pt>
                <c:pt idx="151">
                  <c:v>44309</c:v>
                </c:pt>
                <c:pt idx="152">
                  <c:v>44312</c:v>
                </c:pt>
                <c:pt idx="153">
                  <c:v>44313</c:v>
                </c:pt>
                <c:pt idx="154">
                  <c:v>44314</c:v>
                </c:pt>
                <c:pt idx="155">
                  <c:v>44315</c:v>
                </c:pt>
                <c:pt idx="156">
                  <c:v>44316</c:v>
                </c:pt>
                <c:pt idx="157">
                  <c:v>44319</c:v>
                </c:pt>
                <c:pt idx="158">
                  <c:v>44320</c:v>
                </c:pt>
                <c:pt idx="159">
                  <c:v>44321</c:v>
                </c:pt>
                <c:pt idx="160">
                  <c:v>44322</c:v>
                </c:pt>
                <c:pt idx="161">
                  <c:v>44323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44342</c:v>
                </c:pt>
                <c:pt idx="173">
                  <c:v>44343</c:v>
                </c:pt>
                <c:pt idx="174">
                  <c:v>44344</c:v>
                </c:pt>
                <c:pt idx="175">
                  <c:v>44347</c:v>
                </c:pt>
                <c:pt idx="176">
                  <c:v>44348</c:v>
                </c:pt>
                <c:pt idx="177">
                  <c:v>44349</c:v>
                </c:pt>
                <c:pt idx="178">
                  <c:v>44350</c:v>
                </c:pt>
                <c:pt idx="179">
                  <c:v>44351</c:v>
                </c:pt>
                <c:pt idx="180">
                  <c:v>44354</c:v>
                </c:pt>
                <c:pt idx="181">
                  <c:v>44355</c:v>
                </c:pt>
                <c:pt idx="182">
                  <c:v>44356</c:v>
                </c:pt>
                <c:pt idx="183">
                  <c:v>44357</c:v>
                </c:pt>
                <c:pt idx="184">
                  <c:v>44358</c:v>
                </c:pt>
                <c:pt idx="185">
                  <c:v>44361</c:v>
                </c:pt>
              </c:numCache>
            </c:numRef>
          </c:xVal>
          <c:yVal>
            <c:numRef>
              <c:f>'Ratios ley ARG'!$L$3:$L$204</c:f>
              <c:numCache>
                <c:formatCode>0.000</c:formatCode>
                <c:ptCount val="202"/>
                <c:pt idx="0">
                  <c:v>1.1173415492957746</c:v>
                </c:pt>
                <c:pt idx="1">
                  <c:v>1.1148601398601399</c:v>
                </c:pt>
                <c:pt idx="2">
                  <c:v>1.1474426807760141</c:v>
                </c:pt>
                <c:pt idx="3">
                  <c:v>1.1632381627948218</c:v>
                </c:pt>
                <c:pt idx="4">
                  <c:v>1.1657091561938959</c:v>
                </c:pt>
                <c:pt idx="5">
                  <c:v>1.1648550724637681</c:v>
                </c:pt>
                <c:pt idx="6">
                  <c:v>1.151224903297108</c:v>
                </c:pt>
                <c:pt idx="7">
                  <c:v>1.1499999999999999</c:v>
                </c:pt>
                <c:pt idx="8">
                  <c:v>1.1651605460488368</c:v>
                </c:pt>
                <c:pt idx="9">
                  <c:v>1.1629213483146068</c:v>
                </c:pt>
                <c:pt idx="10">
                  <c:v>1.1721542803386642</c:v>
                </c:pt>
                <c:pt idx="11">
                  <c:v>1.1811320754716981</c:v>
                </c:pt>
                <c:pt idx="12">
                  <c:v>1.1871875578596556</c:v>
                </c:pt>
                <c:pt idx="13">
                  <c:v>1.1376146788990826</c:v>
                </c:pt>
                <c:pt idx="14">
                  <c:v>1.1292947558770343</c:v>
                </c:pt>
                <c:pt idx="15">
                  <c:v>1.1252453166815344</c:v>
                </c:pt>
                <c:pt idx="16">
                  <c:v>1.1477006311992786</c:v>
                </c:pt>
                <c:pt idx="17">
                  <c:v>1.14625</c:v>
                </c:pt>
                <c:pt idx="18">
                  <c:v>1.1449561010571583</c:v>
                </c:pt>
                <c:pt idx="19">
                  <c:v>1.1569756975697569</c:v>
                </c:pt>
                <c:pt idx="20">
                  <c:v>1.1431111111111112</c:v>
                </c:pt>
                <c:pt idx="21">
                  <c:v>1.144927536231884</c:v>
                </c:pt>
                <c:pt idx="22">
                  <c:v>1.151690471885735</c:v>
                </c:pt>
                <c:pt idx="23">
                  <c:v>1.1420959147424512</c:v>
                </c:pt>
                <c:pt idx="24">
                  <c:v>1.1349480968858132</c:v>
                </c:pt>
                <c:pt idx="25">
                  <c:v>1.1456344384655441</c:v>
                </c:pt>
                <c:pt idx="26">
                  <c:v>1.141396933560477</c:v>
                </c:pt>
                <c:pt idx="27">
                  <c:v>1.1824829931972789</c:v>
                </c:pt>
                <c:pt idx="28">
                  <c:v>1.1603950280946704</c:v>
                </c:pt>
                <c:pt idx="29">
                  <c:v>1.1912280701754385</c:v>
                </c:pt>
                <c:pt idx="30">
                  <c:v>1.1723534558180226</c:v>
                </c:pt>
                <c:pt idx="31">
                  <c:v>1.1917975567190227</c:v>
                </c:pt>
                <c:pt idx="32">
                  <c:v>1.2046874999999999</c:v>
                </c:pt>
                <c:pt idx="33">
                  <c:v>1.204424778761062</c:v>
                </c:pt>
                <c:pt idx="34">
                  <c:v>1.1788990825688073</c:v>
                </c:pt>
                <c:pt idx="35">
                  <c:v>1.2249056603773585</c:v>
                </c:pt>
                <c:pt idx="36">
                  <c:v>1.2355769230769231</c:v>
                </c:pt>
                <c:pt idx="37">
                  <c:v>1.2572815533980584</c:v>
                </c:pt>
                <c:pt idx="38">
                  <c:v>1.2766381198964349</c:v>
                </c:pt>
                <c:pt idx="39">
                  <c:v>1.2291457286432161</c:v>
                </c:pt>
                <c:pt idx="40">
                  <c:v>1.2431256181998023</c:v>
                </c:pt>
                <c:pt idx="41">
                  <c:v>1.2512218963831867</c:v>
                </c:pt>
                <c:pt idx="42">
                  <c:v>1.2483091787439613</c:v>
                </c:pt>
                <c:pt idx="43">
                  <c:v>1.2365048543689321</c:v>
                </c:pt>
                <c:pt idx="44">
                  <c:v>1.2020560747663551</c:v>
                </c:pt>
                <c:pt idx="45">
                  <c:v>1.2099431818181818</c:v>
                </c:pt>
                <c:pt idx="46">
                  <c:v>1.1961451247165533</c:v>
                </c:pt>
                <c:pt idx="47">
                  <c:v>1.1897908270965265</c:v>
                </c:pt>
                <c:pt idx="48">
                  <c:v>1.2186455248829879</c:v>
                </c:pt>
                <c:pt idx="49">
                  <c:v>1.1974200785193494</c:v>
                </c:pt>
                <c:pt idx="50">
                  <c:v>1.1688827331486611</c:v>
                </c:pt>
                <c:pt idx="51">
                  <c:v>1.1582284213386469</c:v>
                </c:pt>
                <c:pt idx="52">
                  <c:v>1.1541284403669725</c:v>
                </c:pt>
                <c:pt idx="53">
                  <c:v>1.1558477381390218</c:v>
                </c:pt>
                <c:pt idx="54">
                  <c:v>1.1817756134107511</c:v>
                </c:pt>
                <c:pt idx="55">
                  <c:v>1.1938467346168364</c:v>
                </c:pt>
                <c:pt idx="56">
                  <c:v>1.2083969465648854</c:v>
                </c:pt>
                <c:pt idx="57">
                  <c:v>1.1816978634902628</c:v>
                </c:pt>
                <c:pt idx="58">
                  <c:v>1.1866001151852563</c:v>
                </c:pt>
                <c:pt idx="59">
                  <c:v>1.1822851051458474</c:v>
                </c:pt>
                <c:pt idx="60">
                  <c:v>1.1741935483870967</c:v>
                </c:pt>
                <c:pt idx="61">
                  <c:v>1.1665004985044864</c:v>
                </c:pt>
                <c:pt idx="62">
                  <c:v>1.1769383697813121</c:v>
                </c:pt>
                <c:pt idx="63">
                  <c:v>1.1928571428571428</c:v>
                </c:pt>
                <c:pt idx="64">
                  <c:v>1.1839430894308942</c:v>
                </c:pt>
                <c:pt idx="65">
                  <c:v>1.1839195979899497</c:v>
                </c:pt>
                <c:pt idx="66">
                  <c:v>1.1731731731731732</c:v>
                </c:pt>
                <c:pt idx="67">
                  <c:v>1.1759999999999999</c:v>
                </c:pt>
                <c:pt idx="68">
                  <c:v>1.1787878787878787</c:v>
                </c:pt>
                <c:pt idx="69">
                  <c:v>1.1552203255260023</c:v>
                </c:pt>
                <c:pt idx="70">
                  <c:v>1.1410481200077927</c:v>
                </c:pt>
                <c:pt idx="71">
                  <c:v>1.1442495126705654</c:v>
                </c:pt>
                <c:pt idx="72">
                  <c:v>1.1488824101069</c:v>
                </c:pt>
                <c:pt idx="73">
                  <c:v>1.1508704061895552</c:v>
                </c:pt>
                <c:pt idx="74">
                  <c:v>1.1497120921305182</c:v>
                </c:pt>
                <c:pt idx="75">
                  <c:v>1.1534036433365293</c:v>
                </c:pt>
                <c:pt idx="76">
                  <c:v>1.1586073500967118</c:v>
                </c:pt>
                <c:pt idx="77">
                  <c:v>1.1529548088064889</c:v>
                </c:pt>
                <c:pt idx="78">
                  <c:v>1.1608147429679923</c:v>
                </c:pt>
                <c:pt idx="79">
                  <c:v>1.1574304889741132</c:v>
                </c:pt>
                <c:pt idx="80">
                  <c:v>1.167781331782495</c:v>
                </c:pt>
                <c:pt idx="81">
                  <c:v>1.1630160883892227</c:v>
                </c:pt>
                <c:pt idx="82">
                  <c:v>1.1628404669260701</c:v>
                </c:pt>
                <c:pt idx="83">
                  <c:v>1.1634728197105983</c:v>
                </c:pt>
                <c:pt idx="84">
                  <c:v>1.174059405940594</c:v>
                </c:pt>
                <c:pt idx="85">
                  <c:v>1.1738522954091817</c:v>
                </c:pt>
                <c:pt idx="86">
                  <c:v>1.1663366336633663</c:v>
                </c:pt>
                <c:pt idx="87">
                  <c:v>1.1719719719719719</c:v>
                </c:pt>
                <c:pt idx="88">
                  <c:v>1.176388333999201</c:v>
                </c:pt>
                <c:pt idx="89">
                  <c:v>1.1809600321349669</c:v>
                </c:pt>
                <c:pt idx="90">
                  <c:v>1.1873216469629027</c:v>
                </c:pt>
                <c:pt idx="91">
                  <c:v>1.1805766312594841</c:v>
                </c:pt>
                <c:pt idx="92">
                  <c:v>1.1798994974874373</c:v>
                </c:pt>
                <c:pt idx="93">
                  <c:v>1.1709741550695825</c:v>
                </c:pt>
                <c:pt idx="94">
                  <c:v>1.1611562066917442</c:v>
                </c:pt>
                <c:pt idx="95">
                  <c:v>1.1607850911974624</c:v>
                </c:pt>
                <c:pt idx="96">
                  <c:v>1.175735147029406</c:v>
                </c:pt>
                <c:pt idx="97">
                  <c:v>1.1724343675417661</c:v>
                </c:pt>
                <c:pt idx="98">
                  <c:v>1.1818181818181819</c:v>
                </c:pt>
                <c:pt idx="99">
                  <c:v>1.1625936145053213</c:v>
                </c:pt>
                <c:pt idx="100">
                  <c:v>1.1577712609970674</c:v>
                </c:pt>
                <c:pt idx="101">
                  <c:v>1.1622678396871946</c:v>
                </c:pt>
                <c:pt idx="102">
                  <c:v>1.1656478012226386</c:v>
                </c:pt>
                <c:pt idx="103">
                  <c:v>1.1674565560821486</c:v>
                </c:pt>
                <c:pt idx="104">
                  <c:v>1.1751839331875125</c:v>
                </c:pt>
                <c:pt idx="105">
                  <c:v>1.1676767676767676</c:v>
                </c:pt>
                <c:pt idx="106">
                  <c:v>1.1589774926163561</c:v>
                </c:pt>
                <c:pt idx="107">
                  <c:v>1.1742100768573869</c:v>
                </c:pt>
                <c:pt idx="108">
                  <c:v>1.1862217438105489</c:v>
                </c:pt>
                <c:pt idx="109">
                  <c:v>1.185054945054945</c:v>
                </c:pt>
                <c:pt idx="110">
                  <c:v>1.1732283464566928</c:v>
                </c:pt>
                <c:pt idx="111">
                  <c:v>1.1674501902843071</c:v>
                </c:pt>
                <c:pt idx="112">
                  <c:v>1.1610665510513765</c:v>
                </c:pt>
                <c:pt idx="113">
                  <c:v>1.1540106951871658</c:v>
                </c:pt>
                <c:pt idx="114">
                  <c:v>1.1505285412262156</c:v>
                </c:pt>
                <c:pt idx="115">
                  <c:v>1.1492975466554833</c:v>
                </c:pt>
                <c:pt idx="116">
                  <c:v>1.1691160809371672</c:v>
                </c:pt>
                <c:pt idx="117">
                  <c:v>1.1638297872340426</c:v>
                </c:pt>
                <c:pt idx="118">
                  <c:v>1.1581621850518737</c:v>
                </c:pt>
                <c:pt idx="119">
                  <c:v>1.1880434782608695</c:v>
                </c:pt>
                <c:pt idx="120">
                  <c:v>1.1882066060740413</c:v>
                </c:pt>
                <c:pt idx="121">
                  <c:v>1.1853603603603604</c:v>
                </c:pt>
                <c:pt idx="122">
                  <c:v>1.175906432748538</c:v>
                </c:pt>
                <c:pt idx="123">
                  <c:v>1.157471264367816</c:v>
                </c:pt>
                <c:pt idx="124">
                  <c:v>1.1707289293849659</c:v>
                </c:pt>
                <c:pt idx="125">
                  <c:v>1.1793721973094171</c:v>
                </c:pt>
                <c:pt idx="126">
                  <c:v>1.1674008810572687</c:v>
                </c:pt>
                <c:pt idx="127">
                  <c:v>1.1660122164048865</c:v>
                </c:pt>
                <c:pt idx="128">
                  <c:v>1.1545672552866797</c:v>
                </c:pt>
                <c:pt idx="129">
                  <c:v>1.1483870967741936</c:v>
                </c:pt>
                <c:pt idx="130">
                  <c:v>1.1440768409818569</c:v>
                </c:pt>
                <c:pt idx="131">
                  <c:v>1.1532467532467532</c:v>
                </c:pt>
                <c:pt idx="132">
                  <c:v>1.1548314606741572</c:v>
                </c:pt>
                <c:pt idx="133">
                  <c:v>1.169284064665127</c:v>
                </c:pt>
                <c:pt idx="134">
                  <c:v>1.1797884841363102</c:v>
                </c:pt>
                <c:pt idx="135">
                  <c:v>1.1588785046728971</c:v>
                </c:pt>
                <c:pt idx="136">
                  <c:v>1.1721264035189258</c:v>
                </c:pt>
                <c:pt idx="137">
                  <c:v>1.1806451612903226</c:v>
                </c:pt>
                <c:pt idx="138">
                  <c:v>1.1749715585893061</c:v>
                </c:pt>
                <c:pt idx="139">
                  <c:v>1.1757451181911613</c:v>
                </c:pt>
                <c:pt idx="140">
                  <c:v>1.1717148713277157</c:v>
                </c:pt>
                <c:pt idx="141">
                  <c:v>1.1827586206896552</c:v>
                </c:pt>
                <c:pt idx="142">
                  <c:v>1.1734879490677581</c:v>
                </c:pt>
                <c:pt idx="143">
                  <c:v>1.17462482946794</c:v>
                </c:pt>
                <c:pt idx="144">
                  <c:v>1.1713318284424379</c:v>
                </c:pt>
                <c:pt idx="145">
                  <c:v>1.1586873454708924</c:v>
                </c:pt>
                <c:pt idx="146">
                  <c:v>1.1689128481581312</c:v>
                </c:pt>
                <c:pt idx="147">
                  <c:v>1.1692100538599641</c:v>
                </c:pt>
                <c:pt idx="148">
                  <c:v>1.1681514476614698</c:v>
                </c:pt>
                <c:pt idx="149">
                  <c:v>1.1676415406688003</c:v>
                </c:pt>
                <c:pt idx="150">
                  <c:v>1.1589576547231271</c:v>
                </c:pt>
                <c:pt idx="151">
                  <c:v>1.1597938144329898</c:v>
                </c:pt>
                <c:pt idx="152">
                  <c:v>1.1618606609134918</c:v>
                </c:pt>
                <c:pt idx="153">
                  <c:v>1.1478439425051334</c:v>
                </c:pt>
                <c:pt idx="154">
                  <c:v>1.1551020408163266</c:v>
                </c:pt>
                <c:pt idx="155">
                  <c:v>1.1573864803780562</c:v>
                </c:pt>
                <c:pt idx="156">
                  <c:v>1.1572999075310799</c:v>
                </c:pt>
                <c:pt idx="157">
                  <c:v>1.1524390243902438</c:v>
                </c:pt>
                <c:pt idx="158">
                  <c:v>1.1451971688574318</c:v>
                </c:pt>
                <c:pt idx="159">
                  <c:v>1.1562754686226568</c:v>
                </c:pt>
                <c:pt idx="160">
                  <c:v>1.173777315296566</c:v>
                </c:pt>
                <c:pt idx="161">
                  <c:v>1.15879917184265</c:v>
                </c:pt>
                <c:pt idx="162">
                  <c:v>1.1620018728540213</c:v>
                </c:pt>
                <c:pt idx="163">
                  <c:v>1.1587301587301588</c:v>
                </c:pt>
                <c:pt idx="164">
                  <c:v>1.1720566476432044</c:v>
                </c:pt>
                <c:pt idx="165">
                  <c:v>1.1669781931464174</c:v>
                </c:pt>
                <c:pt idx="166">
                  <c:v>1.154308617234469</c:v>
                </c:pt>
                <c:pt idx="167">
                  <c:v>1.1563358179678305</c:v>
                </c:pt>
                <c:pt idx="168">
                  <c:v>1.1434374697746397</c:v>
                </c:pt>
                <c:pt idx="169">
                  <c:v>1.1293436293436294</c:v>
                </c:pt>
                <c:pt idx="170">
                  <c:v>1.1215723873441994</c:v>
                </c:pt>
                <c:pt idx="171">
                  <c:v>1.13904576436222</c:v>
                </c:pt>
                <c:pt idx="172">
                  <c:v>1.1428571428571428</c:v>
                </c:pt>
                <c:pt idx="173">
                  <c:v>1.1331780055917986</c:v>
                </c:pt>
                <c:pt idx="174">
                  <c:v>1.125703564727955</c:v>
                </c:pt>
                <c:pt idx="175">
                  <c:v>1.125</c:v>
                </c:pt>
                <c:pt idx="176">
                  <c:v>1.1145737855178734</c:v>
                </c:pt>
                <c:pt idx="177">
                  <c:v>1.1315100640852063</c:v>
                </c:pt>
                <c:pt idx="178">
                  <c:v>1.1373271889400922</c:v>
                </c:pt>
                <c:pt idx="179">
                  <c:v>1.1290322580645162</c:v>
                </c:pt>
                <c:pt idx="180">
                  <c:v>1.1431226765799256</c:v>
                </c:pt>
                <c:pt idx="181">
                  <c:v>1.1478743068391868</c:v>
                </c:pt>
                <c:pt idx="182">
                  <c:v>1.1463768115942028</c:v>
                </c:pt>
                <c:pt idx="183">
                  <c:v>1.1312949640287771</c:v>
                </c:pt>
                <c:pt idx="184">
                  <c:v>1.1446381786972626</c:v>
                </c:pt>
                <c:pt idx="185">
                  <c:v>1.139240506329114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4-49E1-A92C-F73B55384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94080"/>
        <c:axId val="178508544"/>
      </c:scatterChart>
      <c:valAx>
        <c:axId val="178494080"/>
        <c:scaling>
          <c:orientation val="minMax"/>
          <c:max val="44350"/>
          <c:min val="44081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178508544"/>
        <c:crosses val="autoZero"/>
        <c:crossBetween val="midCat"/>
        <c:majorUnit val="30"/>
      </c:valAx>
      <c:valAx>
        <c:axId val="178508544"/>
        <c:scaling>
          <c:orientation val="minMax"/>
          <c:max val="1.2"/>
          <c:min val="1.120000000000000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5.5372837426271117E-2"/>
              <c:y val="0.45577340609342154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178494080"/>
        <c:crossesAt val="0"/>
        <c:crossBetween val="midCat"/>
        <c:majorUnit val="2.0000000000000004E-2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MX" sz="1200" b="1" i="0" baseline="0">
                <a:effectLst/>
                <a:latin typeface="Arial" pitchFamily="34" charset="0"/>
                <a:cs typeface="Arial" pitchFamily="34" charset="0"/>
              </a:rPr>
              <a:t>Ratio AL30D/GD35D</a:t>
            </a:r>
            <a:endParaRPr lang="es-AR" sz="1200">
              <a:effectLst/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6927564537709212"/>
          <c:y val="5.768286484935155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7713452916831"/>
          <c:y val="0.19820639465521353"/>
          <c:w val="0.74937220930285264"/>
          <c:h val="0.66260319732760675"/>
        </c:manualLayout>
      </c:layout>
      <c:scatterChart>
        <c:scatterStyle val="lineMarker"/>
        <c:varyColors val="0"/>
        <c:ser>
          <c:idx val="0"/>
          <c:order val="0"/>
          <c:tx>
            <c:v>Ratio AL30D/GD35D</c:v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'Ratios ley ARG'!$A$9:$A$205</c:f>
              <c:numCache>
                <c:formatCode>dd/mm/yyyy;@</c:formatCode>
                <c:ptCount val="197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44095</c:v>
                </c:pt>
                <c:pt idx="5">
                  <c:v>44096</c:v>
                </c:pt>
                <c:pt idx="6">
                  <c:v>44097</c:v>
                </c:pt>
                <c:pt idx="7">
                  <c:v>44098</c:v>
                </c:pt>
                <c:pt idx="8">
                  <c:v>44099</c:v>
                </c:pt>
                <c:pt idx="9">
                  <c:v>44102</c:v>
                </c:pt>
                <c:pt idx="10">
                  <c:v>44103</c:v>
                </c:pt>
                <c:pt idx="11">
                  <c:v>44104</c:v>
                </c:pt>
                <c:pt idx="12">
                  <c:v>44105</c:v>
                </c:pt>
                <c:pt idx="13">
                  <c:v>44106</c:v>
                </c:pt>
                <c:pt idx="14">
                  <c:v>44109</c:v>
                </c:pt>
                <c:pt idx="15">
                  <c:v>44110</c:v>
                </c:pt>
                <c:pt idx="16">
                  <c:v>44111</c:v>
                </c:pt>
                <c:pt idx="17">
                  <c:v>44112</c:v>
                </c:pt>
                <c:pt idx="18">
                  <c:v>44113</c:v>
                </c:pt>
                <c:pt idx="19">
                  <c:v>44117</c:v>
                </c:pt>
                <c:pt idx="20">
                  <c:v>44118</c:v>
                </c:pt>
                <c:pt idx="21">
                  <c:v>44119</c:v>
                </c:pt>
                <c:pt idx="22">
                  <c:v>44120</c:v>
                </c:pt>
                <c:pt idx="23">
                  <c:v>44123</c:v>
                </c:pt>
                <c:pt idx="24">
                  <c:v>44124</c:v>
                </c:pt>
                <c:pt idx="25">
                  <c:v>44125</c:v>
                </c:pt>
                <c:pt idx="26">
                  <c:v>44126</c:v>
                </c:pt>
                <c:pt idx="27">
                  <c:v>44127</c:v>
                </c:pt>
                <c:pt idx="28">
                  <c:v>44130</c:v>
                </c:pt>
                <c:pt idx="29">
                  <c:v>44131</c:v>
                </c:pt>
                <c:pt idx="30">
                  <c:v>44132</c:v>
                </c:pt>
                <c:pt idx="31">
                  <c:v>44133</c:v>
                </c:pt>
                <c:pt idx="32">
                  <c:v>44134</c:v>
                </c:pt>
                <c:pt idx="33">
                  <c:v>44137</c:v>
                </c:pt>
                <c:pt idx="34">
                  <c:v>44138</c:v>
                </c:pt>
                <c:pt idx="35">
                  <c:v>44139</c:v>
                </c:pt>
                <c:pt idx="36">
                  <c:v>44140</c:v>
                </c:pt>
                <c:pt idx="37">
                  <c:v>44141</c:v>
                </c:pt>
                <c:pt idx="38">
                  <c:v>44144</c:v>
                </c:pt>
                <c:pt idx="39">
                  <c:v>44145</c:v>
                </c:pt>
                <c:pt idx="40">
                  <c:v>44146</c:v>
                </c:pt>
                <c:pt idx="41">
                  <c:v>44147</c:v>
                </c:pt>
                <c:pt idx="42">
                  <c:v>44148</c:v>
                </c:pt>
                <c:pt idx="43">
                  <c:v>44151</c:v>
                </c:pt>
                <c:pt idx="44">
                  <c:v>44152</c:v>
                </c:pt>
                <c:pt idx="45">
                  <c:v>44153</c:v>
                </c:pt>
                <c:pt idx="46">
                  <c:v>44154</c:v>
                </c:pt>
                <c:pt idx="47">
                  <c:v>44155</c:v>
                </c:pt>
                <c:pt idx="48">
                  <c:v>44159</c:v>
                </c:pt>
                <c:pt idx="49">
                  <c:v>44160</c:v>
                </c:pt>
                <c:pt idx="50">
                  <c:v>44161</c:v>
                </c:pt>
                <c:pt idx="51">
                  <c:v>44162</c:v>
                </c:pt>
                <c:pt idx="52">
                  <c:v>44165</c:v>
                </c:pt>
                <c:pt idx="53">
                  <c:v>44166</c:v>
                </c:pt>
                <c:pt idx="54">
                  <c:v>44167</c:v>
                </c:pt>
                <c:pt idx="55">
                  <c:v>44168</c:v>
                </c:pt>
                <c:pt idx="56">
                  <c:v>44169</c:v>
                </c:pt>
                <c:pt idx="57">
                  <c:v>44174</c:v>
                </c:pt>
                <c:pt idx="58">
                  <c:v>44175</c:v>
                </c:pt>
                <c:pt idx="59">
                  <c:v>44176</c:v>
                </c:pt>
                <c:pt idx="60">
                  <c:v>44179</c:v>
                </c:pt>
                <c:pt idx="61">
                  <c:v>44180</c:v>
                </c:pt>
                <c:pt idx="62">
                  <c:v>44181</c:v>
                </c:pt>
                <c:pt idx="63">
                  <c:v>44182</c:v>
                </c:pt>
                <c:pt idx="64">
                  <c:v>44183</c:v>
                </c:pt>
                <c:pt idx="65">
                  <c:v>44186</c:v>
                </c:pt>
                <c:pt idx="66">
                  <c:v>44187</c:v>
                </c:pt>
                <c:pt idx="67">
                  <c:v>44188</c:v>
                </c:pt>
                <c:pt idx="68">
                  <c:v>44193</c:v>
                </c:pt>
                <c:pt idx="69">
                  <c:v>44194</c:v>
                </c:pt>
                <c:pt idx="70">
                  <c:v>44195</c:v>
                </c:pt>
                <c:pt idx="71">
                  <c:v>44200</c:v>
                </c:pt>
                <c:pt idx="72">
                  <c:v>44201</c:v>
                </c:pt>
                <c:pt idx="73">
                  <c:v>44202</c:v>
                </c:pt>
                <c:pt idx="74">
                  <c:v>44203</c:v>
                </c:pt>
                <c:pt idx="75">
                  <c:v>44204</c:v>
                </c:pt>
                <c:pt idx="76">
                  <c:v>44207</c:v>
                </c:pt>
                <c:pt idx="77">
                  <c:v>44208</c:v>
                </c:pt>
                <c:pt idx="78">
                  <c:v>44209</c:v>
                </c:pt>
                <c:pt idx="79">
                  <c:v>44210</c:v>
                </c:pt>
                <c:pt idx="80">
                  <c:v>44211</c:v>
                </c:pt>
                <c:pt idx="81">
                  <c:v>44214</c:v>
                </c:pt>
                <c:pt idx="82">
                  <c:v>44215</c:v>
                </c:pt>
                <c:pt idx="83">
                  <c:v>44216</c:v>
                </c:pt>
                <c:pt idx="84">
                  <c:v>44217</c:v>
                </c:pt>
                <c:pt idx="85">
                  <c:v>44218</c:v>
                </c:pt>
                <c:pt idx="86">
                  <c:v>44221</c:v>
                </c:pt>
                <c:pt idx="87">
                  <c:v>44222</c:v>
                </c:pt>
                <c:pt idx="88">
                  <c:v>44223</c:v>
                </c:pt>
                <c:pt idx="89">
                  <c:v>44224</c:v>
                </c:pt>
                <c:pt idx="90">
                  <c:v>44225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44235</c:v>
                </c:pt>
                <c:pt idx="97">
                  <c:v>44236</c:v>
                </c:pt>
                <c:pt idx="98">
                  <c:v>44237</c:v>
                </c:pt>
                <c:pt idx="99">
                  <c:v>44238</c:v>
                </c:pt>
                <c:pt idx="100">
                  <c:v>44239</c:v>
                </c:pt>
                <c:pt idx="101">
                  <c:v>44244</c:v>
                </c:pt>
                <c:pt idx="102">
                  <c:v>44245</c:v>
                </c:pt>
                <c:pt idx="103">
                  <c:v>44246</c:v>
                </c:pt>
                <c:pt idx="104">
                  <c:v>44249</c:v>
                </c:pt>
                <c:pt idx="105">
                  <c:v>44250</c:v>
                </c:pt>
                <c:pt idx="106">
                  <c:v>44251</c:v>
                </c:pt>
                <c:pt idx="107">
                  <c:v>44252</c:v>
                </c:pt>
                <c:pt idx="108">
                  <c:v>44253</c:v>
                </c:pt>
                <c:pt idx="109">
                  <c:v>44256</c:v>
                </c:pt>
                <c:pt idx="110">
                  <c:v>44257</c:v>
                </c:pt>
                <c:pt idx="111">
                  <c:v>44258</c:v>
                </c:pt>
                <c:pt idx="112">
                  <c:v>44259</c:v>
                </c:pt>
                <c:pt idx="113">
                  <c:v>44260</c:v>
                </c:pt>
                <c:pt idx="114">
                  <c:v>44263</c:v>
                </c:pt>
                <c:pt idx="115">
                  <c:v>44264</c:v>
                </c:pt>
                <c:pt idx="116">
                  <c:v>44265</c:v>
                </c:pt>
                <c:pt idx="117">
                  <c:v>44266</c:v>
                </c:pt>
                <c:pt idx="118">
                  <c:v>44267</c:v>
                </c:pt>
                <c:pt idx="119">
                  <c:v>44270</c:v>
                </c:pt>
                <c:pt idx="120">
                  <c:v>44271</c:v>
                </c:pt>
                <c:pt idx="121">
                  <c:v>44272</c:v>
                </c:pt>
                <c:pt idx="122">
                  <c:v>44273</c:v>
                </c:pt>
                <c:pt idx="123">
                  <c:v>44274</c:v>
                </c:pt>
                <c:pt idx="124">
                  <c:v>44277</c:v>
                </c:pt>
                <c:pt idx="125">
                  <c:v>44278</c:v>
                </c:pt>
                <c:pt idx="126">
                  <c:v>44280</c:v>
                </c:pt>
                <c:pt idx="127">
                  <c:v>44281</c:v>
                </c:pt>
                <c:pt idx="128">
                  <c:v>44284</c:v>
                </c:pt>
                <c:pt idx="129">
                  <c:v>44285</c:v>
                </c:pt>
                <c:pt idx="130">
                  <c:v>44286</c:v>
                </c:pt>
                <c:pt idx="131">
                  <c:v>44291</c:v>
                </c:pt>
                <c:pt idx="132">
                  <c:v>44292</c:v>
                </c:pt>
                <c:pt idx="133">
                  <c:v>44293</c:v>
                </c:pt>
                <c:pt idx="134">
                  <c:v>44294</c:v>
                </c:pt>
                <c:pt idx="135">
                  <c:v>44295</c:v>
                </c:pt>
                <c:pt idx="136">
                  <c:v>44298</c:v>
                </c:pt>
                <c:pt idx="137">
                  <c:v>44299</c:v>
                </c:pt>
                <c:pt idx="138">
                  <c:v>44300</c:v>
                </c:pt>
                <c:pt idx="139">
                  <c:v>44301</c:v>
                </c:pt>
                <c:pt idx="140">
                  <c:v>44302</c:v>
                </c:pt>
                <c:pt idx="141">
                  <c:v>44305</c:v>
                </c:pt>
                <c:pt idx="142">
                  <c:v>44306</c:v>
                </c:pt>
                <c:pt idx="143">
                  <c:v>44307</c:v>
                </c:pt>
                <c:pt idx="144">
                  <c:v>44308</c:v>
                </c:pt>
                <c:pt idx="145">
                  <c:v>44309</c:v>
                </c:pt>
                <c:pt idx="146">
                  <c:v>44312</c:v>
                </c:pt>
                <c:pt idx="147">
                  <c:v>44313</c:v>
                </c:pt>
                <c:pt idx="148">
                  <c:v>44314</c:v>
                </c:pt>
                <c:pt idx="149">
                  <c:v>44315</c:v>
                </c:pt>
                <c:pt idx="150">
                  <c:v>44316</c:v>
                </c:pt>
                <c:pt idx="151">
                  <c:v>44319</c:v>
                </c:pt>
                <c:pt idx="152">
                  <c:v>44320</c:v>
                </c:pt>
                <c:pt idx="153">
                  <c:v>44321</c:v>
                </c:pt>
                <c:pt idx="154">
                  <c:v>44322</c:v>
                </c:pt>
                <c:pt idx="155">
                  <c:v>44323</c:v>
                </c:pt>
                <c:pt idx="156">
                  <c:v>44326</c:v>
                </c:pt>
                <c:pt idx="157">
                  <c:v>44327</c:v>
                </c:pt>
                <c:pt idx="158">
                  <c:v>44328</c:v>
                </c:pt>
                <c:pt idx="159">
                  <c:v>44329</c:v>
                </c:pt>
                <c:pt idx="160">
                  <c:v>44330</c:v>
                </c:pt>
                <c:pt idx="161">
                  <c:v>44333</c:v>
                </c:pt>
                <c:pt idx="162">
                  <c:v>44334</c:v>
                </c:pt>
                <c:pt idx="163">
                  <c:v>44335</c:v>
                </c:pt>
                <c:pt idx="164">
                  <c:v>44336</c:v>
                </c:pt>
                <c:pt idx="165">
                  <c:v>44337</c:v>
                </c:pt>
                <c:pt idx="166">
                  <c:v>44342</c:v>
                </c:pt>
                <c:pt idx="167">
                  <c:v>44343</c:v>
                </c:pt>
                <c:pt idx="168">
                  <c:v>44344</c:v>
                </c:pt>
                <c:pt idx="169">
                  <c:v>44347</c:v>
                </c:pt>
                <c:pt idx="170">
                  <c:v>44348</c:v>
                </c:pt>
                <c:pt idx="171">
                  <c:v>44349</c:v>
                </c:pt>
                <c:pt idx="172">
                  <c:v>44350</c:v>
                </c:pt>
                <c:pt idx="173">
                  <c:v>44351</c:v>
                </c:pt>
                <c:pt idx="174">
                  <c:v>44354</c:v>
                </c:pt>
                <c:pt idx="175">
                  <c:v>44355</c:v>
                </c:pt>
                <c:pt idx="176">
                  <c:v>44356</c:v>
                </c:pt>
                <c:pt idx="177">
                  <c:v>44357</c:v>
                </c:pt>
                <c:pt idx="178">
                  <c:v>44358</c:v>
                </c:pt>
                <c:pt idx="179">
                  <c:v>44361</c:v>
                </c:pt>
              </c:numCache>
            </c:numRef>
          </c:xVal>
          <c:yVal>
            <c:numRef>
              <c:f>'Ratios ley ARG'!$O$9:$O$205</c:f>
              <c:numCache>
                <c:formatCode>0.000</c:formatCode>
                <c:ptCount val="197"/>
                <c:pt idx="0">
                  <c:v>1.1351111111111112</c:v>
                </c:pt>
                <c:pt idx="1">
                  <c:v>1.1156082809955803</c:v>
                </c:pt>
                <c:pt idx="2">
                  <c:v>1.1301204819277109</c:v>
                </c:pt>
                <c:pt idx="3">
                  <c:v>1.1487804878048782</c:v>
                </c:pt>
                <c:pt idx="4">
                  <c:v>1.139046678192146</c:v>
                </c:pt>
                <c:pt idx="5">
                  <c:v>1.1549618320610688</c:v>
                </c:pt>
                <c:pt idx="6">
                  <c:v>1.1522277227722773</c:v>
                </c:pt>
                <c:pt idx="7">
                  <c:v>1.1219512195121952</c:v>
                </c:pt>
                <c:pt idx="8">
                  <c:v>1.0957575757575759</c:v>
                </c:pt>
                <c:pt idx="9">
                  <c:v>1.0951219512195121</c:v>
                </c:pt>
                <c:pt idx="10">
                  <c:v>1.0921760391198045</c:v>
                </c:pt>
                <c:pt idx="11">
                  <c:v>1.0936733692986758</c:v>
                </c:pt>
                <c:pt idx="12">
                  <c:v>1.1105590062111801</c:v>
                </c:pt>
                <c:pt idx="13">
                  <c:v>1.1158690176322417</c:v>
                </c:pt>
                <c:pt idx="14">
                  <c:v>1.1271896420411271</c:v>
                </c:pt>
                <c:pt idx="15">
                  <c:v>1.1084788029925188</c:v>
                </c:pt>
                <c:pt idx="16">
                  <c:v>1.1116625310173698</c:v>
                </c:pt>
                <c:pt idx="17">
                  <c:v>1.1100074497144277</c:v>
                </c:pt>
                <c:pt idx="18">
                  <c:v>1.0990171990171989</c:v>
                </c:pt>
                <c:pt idx="19">
                  <c:v>1.1027853093418782</c:v>
                </c:pt>
                <c:pt idx="20">
                  <c:v>1.0972599358183166</c:v>
                </c:pt>
                <c:pt idx="21">
                  <c:v>1.1413881748071979</c:v>
                </c:pt>
                <c:pt idx="22">
                  <c:v>1.1389175257731958</c:v>
                </c:pt>
                <c:pt idx="23">
                  <c:v>1.1404893449092346</c:v>
                </c:pt>
                <c:pt idx="24">
                  <c:v>1.1183783783783785</c:v>
                </c:pt>
                <c:pt idx="25">
                  <c:v>1.1101928374655647</c:v>
                </c:pt>
                <c:pt idx="26">
                  <c:v>1.0779569892473118</c:v>
                </c:pt>
                <c:pt idx="27">
                  <c:v>1.0635761589403974</c:v>
                </c:pt>
                <c:pt idx="28">
                  <c:v>1.0479714912280702</c:v>
                </c:pt>
                <c:pt idx="29">
                  <c:v>1.0964495387195974</c:v>
                </c:pt>
                <c:pt idx="30">
                  <c:v>1.0777777777777777</c:v>
                </c:pt>
                <c:pt idx="31">
                  <c:v>1.0888139404159642</c:v>
                </c:pt>
                <c:pt idx="32">
                  <c:v>1.081580443433769</c:v>
                </c:pt>
                <c:pt idx="33">
                  <c:v>1.0915254237288137</c:v>
                </c:pt>
                <c:pt idx="34">
                  <c:v>1.0631578947368421</c:v>
                </c:pt>
                <c:pt idx="35">
                  <c:v>1.0426398696360673</c:v>
                </c:pt>
                <c:pt idx="36">
                  <c:v>1.0079596710002654</c:v>
                </c:pt>
                <c:pt idx="37">
                  <c:v>1.0079575596816976</c:v>
                </c:pt>
                <c:pt idx="38">
                  <c:v>1.0020904102430102</c:v>
                </c:pt>
                <c:pt idx="39">
                  <c:v>1</c:v>
                </c:pt>
                <c:pt idx="40">
                  <c:v>1.0116129032258065</c:v>
                </c:pt>
                <c:pt idx="41">
                  <c:v>1.0265279583875162</c:v>
                </c:pt>
                <c:pt idx="42">
                  <c:v>1.0262345679012346</c:v>
                </c:pt>
                <c:pt idx="43">
                  <c:v>1.0288780986455404</c:v>
                </c:pt>
                <c:pt idx="44">
                  <c:v>1.0449934980494147</c:v>
                </c:pt>
                <c:pt idx="45">
                  <c:v>1.0416775884665794</c:v>
                </c:pt>
                <c:pt idx="46">
                  <c:v>1.0571045576407507</c:v>
                </c:pt>
                <c:pt idx="47">
                  <c:v>1.0371845949535192</c:v>
                </c:pt>
                <c:pt idx="48">
                  <c:v>1.0346205059920108</c:v>
                </c:pt>
                <c:pt idx="49">
                  <c:v>1.0523489932885908</c:v>
                </c:pt>
                <c:pt idx="50">
                  <c:v>1.0427807486631016</c:v>
                </c:pt>
                <c:pt idx="51">
                  <c:v>1.0311921755220723</c:v>
                </c:pt>
                <c:pt idx="52">
                  <c:v>1.0520435967302451</c:v>
                </c:pt>
                <c:pt idx="53">
                  <c:v>1.0513661202185791</c:v>
                </c:pt>
                <c:pt idx="54">
                  <c:v>1.0647382920110193</c:v>
                </c:pt>
                <c:pt idx="55">
                  <c:v>1.0726072607260726</c:v>
                </c:pt>
                <c:pt idx="56">
                  <c:v>1.0725201444845791</c:v>
                </c:pt>
                <c:pt idx="57">
                  <c:v>1.095798319327731</c:v>
                </c:pt>
                <c:pt idx="58">
                  <c:v>1.0809264305177111</c:v>
                </c:pt>
                <c:pt idx="59">
                  <c:v>1.077027027027027</c:v>
                </c:pt>
                <c:pt idx="60">
                  <c:v>1.0870619946091644</c:v>
                </c:pt>
                <c:pt idx="61">
                  <c:v>1.0910329790133553</c:v>
                </c:pt>
                <c:pt idx="62">
                  <c:v>1.0868852459016394</c:v>
                </c:pt>
                <c:pt idx="63">
                  <c:v>1.0796747967479676</c:v>
                </c:pt>
                <c:pt idx="64">
                  <c:v>1.0838049043384532</c:v>
                </c:pt>
                <c:pt idx="65">
                  <c:v>1.0789403973509932</c:v>
                </c:pt>
                <c:pt idx="66">
                  <c:v>1.0841544607190414</c:v>
                </c:pt>
                <c:pt idx="67">
                  <c:v>1.0904697986577181</c:v>
                </c:pt>
                <c:pt idx="68">
                  <c:v>1.1024258760107817</c:v>
                </c:pt>
                <c:pt idx="69">
                  <c:v>1.1065152743984861</c:v>
                </c:pt>
                <c:pt idx="70">
                  <c:v>1.1035040431266845</c:v>
                </c:pt>
                <c:pt idx="71">
                  <c:v>1.1124828532235937</c:v>
                </c:pt>
                <c:pt idx="72">
                  <c:v>1.1149584487534625</c:v>
                </c:pt>
                <c:pt idx="73">
                  <c:v>1.0971272229822162</c:v>
                </c:pt>
                <c:pt idx="74">
                  <c:v>1.0895316804407713</c:v>
                </c:pt>
                <c:pt idx="75">
                  <c:v>1.0905577029265598</c:v>
                </c:pt>
                <c:pt idx="76">
                  <c:v>1.0844444444444443</c:v>
                </c:pt>
                <c:pt idx="77">
                  <c:v>1.0963212580735748</c:v>
                </c:pt>
                <c:pt idx="78">
                  <c:v>1.1029994340690434</c:v>
                </c:pt>
                <c:pt idx="79">
                  <c:v>1.1248185776487662</c:v>
                </c:pt>
                <c:pt idx="80">
                  <c:v>1.108595988538682</c:v>
                </c:pt>
                <c:pt idx="81">
                  <c:v>1.1149425287356323</c:v>
                </c:pt>
                <c:pt idx="82">
                  <c:v>1.0896067415730337</c:v>
                </c:pt>
                <c:pt idx="83">
                  <c:v>1.07940930621343</c:v>
                </c:pt>
                <c:pt idx="84">
                  <c:v>1.0895522388059702</c:v>
                </c:pt>
                <c:pt idx="85">
                  <c:v>1.0658402203856749</c:v>
                </c:pt>
                <c:pt idx="86">
                  <c:v>1.0745272525027809</c:v>
                </c:pt>
                <c:pt idx="87">
                  <c:v>1.068402104680144</c:v>
                </c:pt>
                <c:pt idx="88">
                  <c:v>1.0734636871508381</c:v>
                </c:pt>
                <c:pt idx="89">
                  <c:v>1.0704895104895107</c:v>
                </c:pt>
                <c:pt idx="90">
                  <c:v>1.0683473389355742</c:v>
                </c:pt>
                <c:pt idx="91">
                  <c:v>1.0654545454545457</c:v>
                </c:pt>
                <c:pt idx="92">
                  <c:v>1.0579548620785735</c:v>
                </c:pt>
                <c:pt idx="93">
                  <c:v>1.0627285513361464</c:v>
                </c:pt>
                <c:pt idx="94">
                  <c:v>1.0662889518413599</c:v>
                </c:pt>
                <c:pt idx="95">
                  <c:v>1.0582278481012659</c:v>
                </c:pt>
                <c:pt idx="96">
                  <c:v>1.0575842696629212</c:v>
                </c:pt>
                <c:pt idx="97">
                  <c:v>1.0659090909090909</c:v>
                </c:pt>
                <c:pt idx="98">
                  <c:v>1.0681688533941813</c:v>
                </c:pt>
                <c:pt idx="99">
                  <c:v>1.0589413447782545</c:v>
                </c:pt>
                <c:pt idx="100">
                  <c:v>1.0471128985923586</c:v>
                </c:pt>
                <c:pt idx="101">
                  <c:v>1.0626286386356956</c:v>
                </c:pt>
                <c:pt idx="102">
                  <c:v>1.0780287474332648</c:v>
                </c:pt>
                <c:pt idx="103">
                  <c:v>1.0743362831858407</c:v>
                </c:pt>
                <c:pt idx="104">
                  <c:v>1.0850746268656717</c:v>
                </c:pt>
                <c:pt idx="105">
                  <c:v>1.0833333333333333</c:v>
                </c:pt>
                <c:pt idx="106">
                  <c:v>1.0770149253731343</c:v>
                </c:pt>
                <c:pt idx="107">
                  <c:v>1.0919161676646707</c:v>
                </c:pt>
                <c:pt idx="108">
                  <c:v>1.1041729210447313</c:v>
                </c:pt>
                <c:pt idx="109">
                  <c:v>1.0972553699284009</c:v>
                </c:pt>
                <c:pt idx="110">
                  <c:v>1.1043822276323798</c:v>
                </c:pt>
                <c:pt idx="111">
                  <c:v>1.111383860079779</c:v>
                </c:pt>
                <c:pt idx="112">
                  <c:v>1.1091463414634148</c:v>
                </c:pt>
                <c:pt idx="113">
                  <c:v>1.1206896551724139</c:v>
                </c:pt>
                <c:pt idx="114">
                  <c:v>1.1254728877679698</c:v>
                </c:pt>
                <c:pt idx="115">
                  <c:v>1.1244799999999999</c:v>
                </c:pt>
                <c:pt idx="116">
                  <c:v>1.0922425032594523</c:v>
                </c:pt>
                <c:pt idx="117">
                  <c:v>1.0882067851373183</c:v>
                </c:pt>
                <c:pt idx="118">
                  <c:v>1.0969696969696969</c:v>
                </c:pt>
                <c:pt idx="119">
                  <c:v>1.0904553961322521</c:v>
                </c:pt>
                <c:pt idx="120">
                  <c:v>1.1000621504039776</c:v>
                </c:pt>
                <c:pt idx="121">
                  <c:v>1.0914634146341464</c:v>
                </c:pt>
                <c:pt idx="122">
                  <c:v>1.1055555555555556</c:v>
                </c:pt>
                <c:pt idx="123">
                  <c:v>1.0855243275914173</c:v>
                </c:pt>
                <c:pt idx="124">
                  <c:v>1.0865413309459862</c:v>
                </c:pt>
                <c:pt idx="125">
                  <c:v>1.0879419764279237</c:v>
                </c:pt>
                <c:pt idx="126">
                  <c:v>1.0992532669570627</c:v>
                </c:pt>
                <c:pt idx="127">
                  <c:v>1.0999688570538773</c:v>
                </c:pt>
                <c:pt idx="128">
                  <c:v>1.0971518987341773</c:v>
                </c:pt>
                <c:pt idx="129">
                  <c:v>1.0955271565495208</c:v>
                </c:pt>
                <c:pt idx="130">
                  <c:v>1.0878594249201277</c:v>
                </c:pt>
                <c:pt idx="131">
                  <c:v>1.1063492063492064</c:v>
                </c:pt>
                <c:pt idx="132">
                  <c:v>1.0993650793650795</c:v>
                </c:pt>
                <c:pt idx="133">
                  <c:v>1.1108611825192802</c:v>
                </c:pt>
                <c:pt idx="134">
                  <c:v>1.1047221329906842</c:v>
                </c:pt>
                <c:pt idx="135">
                  <c:v>1.0990353697749196</c:v>
                </c:pt>
                <c:pt idx="136">
                  <c:v>1.0828125</c:v>
                </c:pt>
                <c:pt idx="137">
                  <c:v>1.0847352024922119</c:v>
                </c:pt>
                <c:pt idx="138">
                  <c:v>1.0752721617418353</c:v>
                </c:pt>
                <c:pt idx="139">
                  <c:v>1.0686427457098284</c:v>
                </c:pt>
                <c:pt idx="140">
                  <c:v>1.0588235294117649</c:v>
                </c:pt>
                <c:pt idx="141">
                  <c:v>1.0640866873065016</c:v>
                </c:pt>
                <c:pt idx="142">
                  <c:v>1.0672897196261681</c:v>
                </c:pt>
                <c:pt idx="143">
                  <c:v>1.0572483841181901</c:v>
                </c:pt>
                <c:pt idx="144">
                  <c:v>1.0591679506933742</c:v>
                </c:pt>
                <c:pt idx="145">
                  <c:v>1.0578052550231838</c:v>
                </c:pt>
                <c:pt idx="146">
                  <c:v>1.0788985148514851</c:v>
                </c:pt>
                <c:pt idx="147">
                  <c:v>1.0846153846153845</c:v>
                </c:pt>
                <c:pt idx="148">
                  <c:v>1.0863552550706823</c:v>
                </c:pt>
                <c:pt idx="149">
                  <c:v>1.0856702619414482</c:v>
                </c:pt>
                <c:pt idx="150">
                  <c:v>1.0719512195121952</c:v>
                </c:pt>
                <c:pt idx="151">
                  <c:v>1.0774885145482389</c:v>
                </c:pt>
                <c:pt idx="152">
                  <c:v>1.0773006134969323</c:v>
                </c:pt>
                <c:pt idx="153">
                  <c:v>1.0848297213622291</c:v>
                </c:pt>
                <c:pt idx="154">
                  <c:v>1.0798136645962733</c:v>
                </c:pt>
                <c:pt idx="155">
                  <c:v>1.0748981510498274</c:v>
                </c:pt>
                <c:pt idx="156">
                  <c:v>1.0800627943485086</c:v>
                </c:pt>
                <c:pt idx="157">
                  <c:v>1.0736507936507937</c:v>
                </c:pt>
                <c:pt idx="158">
                  <c:v>1.0746691871455576</c:v>
                </c:pt>
                <c:pt idx="159">
                  <c:v>1.074074074074074</c:v>
                </c:pt>
                <c:pt idx="160">
                  <c:v>1.0601208459214502</c:v>
                </c:pt>
                <c:pt idx="161">
                  <c:v>1.0534080849808203</c:v>
                </c:pt>
                <c:pt idx="162">
                  <c:v>1.0408163265306125</c:v>
                </c:pt>
                <c:pt idx="163">
                  <c:v>1.0329896907216494</c:v>
                </c:pt>
                <c:pt idx="164">
                  <c:v>1.0259587020648968</c:v>
                </c:pt>
                <c:pt idx="165">
                  <c:v>1.0192592592592593</c:v>
                </c:pt>
                <c:pt idx="166">
                  <c:v>1.0335276967930032</c:v>
                </c:pt>
                <c:pt idx="167">
                  <c:v>1.0270737327188939</c:v>
                </c:pt>
                <c:pt idx="168">
                  <c:v>1.0261248185776488</c:v>
                </c:pt>
                <c:pt idx="169">
                  <c:v>1.0264611805757486</c:v>
                </c:pt>
                <c:pt idx="170">
                  <c:v>1.0265282583621684</c:v>
                </c:pt>
                <c:pt idx="171">
                  <c:v>1.0312499999999998</c:v>
                </c:pt>
                <c:pt idx="172">
                  <c:v>1.0374100719424459</c:v>
                </c:pt>
                <c:pt idx="173">
                  <c:v>1.0367264314632736</c:v>
                </c:pt>
                <c:pt idx="174">
                  <c:v>1.0458452722063039</c:v>
                </c:pt>
                <c:pt idx="175">
                  <c:v>1.0487252124645894</c:v>
                </c:pt>
                <c:pt idx="176">
                  <c:v>1.0458333333333334</c:v>
                </c:pt>
                <c:pt idx="177">
                  <c:v>1.0547222222222221</c:v>
                </c:pt>
                <c:pt idx="178">
                  <c:v>1.0612357993904127</c:v>
                </c:pt>
                <c:pt idx="179">
                  <c:v>1.064184495693248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F-4730-B7E9-9C4AA572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02400"/>
        <c:axId val="181304320"/>
      </c:scatterChart>
      <c:valAx>
        <c:axId val="181302400"/>
        <c:scaling>
          <c:orientation val="minMax"/>
          <c:max val="44350"/>
          <c:min val="44081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181304320"/>
        <c:crosses val="autoZero"/>
        <c:crossBetween val="midCat"/>
        <c:majorUnit val="30"/>
      </c:valAx>
      <c:valAx>
        <c:axId val="181304320"/>
        <c:scaling>
          <c:orientation val="minMax"/>
          <c:max val="1.1500000000000001"/>
          <c:min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5.5372837426271117E-2"/>
              <c:y val="0.45577340609342154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181302400"/>
        <c:crossesAt val="0"/>
        <c:crossBetween val="midCat"/>
        <c:majorUnit val="1.0000000000000002E-2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MX" sz="11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Curvas de bonos en dólares</a:t>
            </a:r>
            <a:endParaRPr lang="es-AR" sz="1100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2323654152361092"/>
          <c:y val="3.532696117929742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53485098507007"/>
          <c:y val="0.17485264416912649"/>
          <c:w val="0.82709667132557763"/>
          <c:h val="0.67868717948717949"/>
        </c:manualLayout>
      </c:layout>
      <c:scatterChart>
        <c:scatterStyle val="lineMarker"/>
        <c:varyColors val="0"/>
        <c:ser>
          <c:idx val="0"/>
          <c:order val="0"/>
          <c:tx>
            <c:v>Ley ARG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9.4581162705637233E-3"/>
                  <c:y val="-4.6465508808440838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52C-451F-894F-FB7B62CF4270}"/>
                </c:ext>
              </c:extLst>
            </c:dLbl>
            <c:dLbl>
              <c:idx val="1"/>
              <c:layout>
                <c:manualLayout>
                  <c:x val="-3.4413135338282518E-2"/>
                  <c:y val="3.03782159023201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52C-451F-894F-FB7B62CF4270}"/>
                </c:ext>
              </c:extLst>
            </c:dLbl>
            <c:dLbl>
              <c:idx val="2"/>
              <c:layout>
                <c:manualLayout>
                  <c:x val="-8.6154555236078491E-3"/>
                  <c:y val="-7.422379417312067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52C-451F-894F-FB7B62CF4270}"/>
                </c:ext>
              </c:extLst>
            </c:dLbl>
            <c:dLbl>
              <c:idx val="3"/>
              <c:layout>
                <c:manualLayout>
                  <c:x val="-6.5105604616417685E-3"/>
                  <c:y val="2.26023286389476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AE38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52C-451F-894F-FB7B62CF4270}"/>
                </c:ext>
              </c:extLst>
            </c:dLbl>
            <c:dLbl>
              <c:idx val="4"/>
              <c:layout>
                <c:manualLayout>
                  <c:x val="-9.4242935534278958E-3"/>
                  <c:y val="6.722491974139388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52C-451F-894F-FB7B62CF42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525">
                <a:solidFill>
                  <a:schemeClr val="accent5">
                    <a:lumMod val="50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Monitor!$G$8:$G$12</c:f>
              <c:numCache>
                <c:formatCode>0.00</c:formatCode>
                <c:ptCount val="5"/>
                <c:pt idx="0">
                  <c:v>4.6007759063985887</c:v>
                </c:pt>
                <c:pt idx="1">
                  <c:v>4.9549134271585</c:v>
                </c:pt>
                <c:pt idx="2">
                  <c:v>7.8101522908703531</c:v>
                </c:pt>
                <c:pt idx="3">
                  <c:v>6.5716437306641904</c:v>
                </c:pt>
                <c:pt idx="4">
                  <c:v>7.5131194205059622</c:v>
                </c:pt>
              </c:numCache>
            </c:numRef>
          </c:xVal>
          <c:yVal>
            <c:numRef>
              <c:f>Monitor!$F$8:$F$12</c:f>
              <c:numCache>
                <c:formatCode>0.00%</c:formatCode>
                <c:ptCount val="5"/>
                <c:pt idx="0">
                  <c:v>0.20530791878700264</c:v>
                </c:pt>
                <c:pt idx="1">
                  <c:v>0.19669069647789003</c:v>
                </c:pt>
                <c:pt idx="2">
                  <c:v>0.16811838746070862</c:v>
                </c:pt>
                <c:pt idx="3">
                  <c:v>0.17788648009300234</c:v>
                </c:pt>
                <c:pt idx="4">
                  <c:v>0.1556748449802399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2C-451F-894F-FB7B62CF4270}"/>
            </c:ext>
          </c:extLst>
        </c:ser>
        <c:ser>
          <c:idx val="1"/>
          <c:order val="1"/>
          <c:tx>
            <c:v>Ley NY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2.2060792338789902E-2"/>
                  <c:y val="2.7201216370392349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GD29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752C-451F-894F-FB7B62CF4270}"/>
                </c:ext>
              </c:extLst>
            </c:dLbl>
            <c:dLbl>
              <c:idx val="1"/>
              <c:layout>
                <c:manualLayout>
                  <c:x val="-8.6781976559807735E-3"/>
                  <c:y val="9.8933738850501122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752C-451F-894F-FB7B62CF4270}"/>
                </c:ext>
              </c:extLst>
            </c:dLbl>
            <c:dLbl>
              <c:idx val="2"/>
              <c:layout>
                <c:manualLayout>
                  <c:x val="-1.0145478717037736E-2"/>
                  <c:y val="1.869157319258020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752C-451F-894F-FB7B62CF4270}"/>
                </c:ext>
              </c:extLst>
            </c:dLbl>
            <c:dLbl>
              <c:idx val="3"/>
              <c:layout>
                <c:manualLayout>
                  <c:x val="-3.5627437093491567E-2"/>
                  <c:y val="-1.89194101325934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752C-451F-894F-FB7B62CF4270}"/>
                </c:ext>
              </c:extLst>
            </c:dLbl>
            <c:dLbl>
              <c:idx val="4"/>
              <c:layout>
                <c:manualLayout>
                  <c:x val="-5.0881211029743688E-3"/>
                  <c:y val="-1.42906329261152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52C-451F-894F-FB7B62CF4270}"/>
                </c:ext>
              </c:extLst>
            </c:dLbl>
            <c:dLbl>
              <c:idx val="5"/>
              <c:layout>
                <c:manualLayout>
                  <c:x val="-3.519080324173076E-2"/>
                  <c:y val="-1.85531329758379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752C-451F-894F-FB7B62CF42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chemeClr val="accent4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Monitor!$G$14:$G$19</c:f>
              <c:numCache>
                <c:formatCode>0.00</c:formatCode>
                <c:ptCount val="6"/>
                <c:pt idx="0">
                  <c:v>4.7038208985776873</c:v>
                </c:pt>
                <c:pt idx="1">
                  <c:v>5.0228680048178713</c:v>
                </c:pt>
                <c:pt idx="2">
                  <c:v>7.8957170172658149</c:v>
                </c:pt>
                <c:pt idx="3">
                  <c:v>6.8082582641755565</c:v>
                </c:pt>
                <c:pt idx="4">
                  <c:v>7.6978776266562452</c:v>
                </c:pt>
                <c:pt idx="5">
                  <c:v>7.2044001676840024</c:v>
                </c:pt>
              </c:numCache>
            </c:numRef>
          </c:xVal>
          <c:yVal>
            <c:numRef>
              <c:f>Monitor!$F$14:$F$19</c:f>
              <c:numCache>
                <c:formatCode>0.00%</c:formatCode>
                <c:ptCount val="6"/>
                <c:pt idx="0">
                  <c:v>0.18260790705680849</c:v>
                </c:pt>
                <c:pt idx="1">
                  <c:v>0.18306362032890325</c:v>
                </c:pt>
                <c:pt idx="2">
                  <c:v>0.16240534186363223</c:v>
                </c:pt>
                <c:pt idx="3">
                  <c:v>0.16229885220527654</c:v>
                </c:pt>
                <c:pt idx="4">
                  <c:v>0.14720516800880437</c:v>
                </c:pt>
                <c:pt idx="5">
                  <c:v>0.15977626442909246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2C-451F-894F-FB7B62CF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21728"/>
        <c:axId val="229352960"/>
      </c:scatterChart>
      <c:valAx>
        <c:axId val="229321728"/>
        <c:scaling>
          <c:orientation val="minMax"/>
          <c:max val="8.5"/>
          <c:min val="4.5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s-AR" sz="700">
                    <a:latin typeface="Bahnschrift SemiBold" panose="020B0502040204020203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52677775028227114"/>
              <c:y val="0.89940402872758762"/>
            </c:manualLayout>
          </c:layout>
          <c:overlay val="0"/>
        </c:title>
        <c:numFmt formatCode="0.0;[Red]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ea typeface="Microsoft JhengHei" panose="020B0604030504040204" pitchFamily="34" charset="-120"/>
                <a:cs typeface="Calibri" panose="020F0502020204030204" pitchFamily="34" charset="0"/>
              </a:defRPr>
            </a:pPr>
            <a:endParaRPr lang="es-AR"/>
          </a:p>
        </c:txPr>
        <c:crossAx val="229352960"/>
        <c:crosses val="autoZero"/>
        <c:crossBetween val="midCat"/>
        <c:minorUnit val="0.5"/>
      </c:valAx>
      <c:valAx>
        <c:axId val="229352960"/>
        <c:scaling>
          <c:orientation val="minMax"/>
          <c:max val="0.2"/>
          <c:min val="0.1440000000000000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700"/>
                </a:pPr>
                <a:r>
                  <a:rPr lang="en-US" sz="700" b="1">
                    <a:latin typeface="Bahnschrift SemiBold" panose="020B0502040204020203" pitchFamily="34" charset="0"/>
                    <a:cs typeface="Arial" panose="020B0604020202020204" pitchFamily="34" charset="0"/>
                  </a:rPr>
                  <a:t>TIR</a:t>
                </a:r>
              </a:p>
            </c:rich>
          </c:tx>
          <c:layout>
            <c:manualLayout>
              <c:xMode val="edge"/>
              <c:yMode val="edge"/>
              <c:x val="2.7377310822491337E-2"/>
              <c:y val="0.47145600511225999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ea typeface="Microsoft JhengHei" panose="020B0604030504040204" pitchFamily="34" charset="-120"/>
                <a:cs typeface="Calibri" panose="020F0502020204030204" pitchFamily="34" charset="0"/>
              </a:defRPr>
            </a:pPr>
            <a:endParaRPr lang="es-AR"/>
          </a:p>
        </c:txPr>
        <c:crossAx val="229321728"/>
        <c:crossesAt val="0"/>
        <c:crossBetween val="midCat"/>
        <c:majorUnit val="8.0000000000000019E-3"/>
      </c:valAx>
      <c:spPr>
        <a:ln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1783280100911937"/>
          <c:y val="0.19290014610079687"/>
          <c:w val="0.11747784600376679"/>
          <c:h val="0.1136369595111186"/>
        </c:manualLayout>
      </c:layout>
      <c:overlay val="0"/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 b="1" i="0" baseline="0">
                <a:effectLst/>
                <a:latin typeface="Arial" pitchFamily="34" charset="0"/>
                <a:cs typeface="Arial" pitchFamily="34" charset="0"/>
              </a:rPr>
              <a:t>Ratio AL30/GD35</a:t>
            </a:r>
            <a:endParaRPr lang="es-AR" sz="1200">
              <a:effectLst/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8745402176896349"/>
          <c:y val="7.09010088358225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7713452916831"/>
          <c:y val="0.19820639465521353"/>
          <c:w val="0.74937220930285264"/>
          <c:h val="0.66260319732760675"/>
        </c:manualLayout>
      </c:layout>
      <c:scatterChart>
        <c:scatterStyle val="lineMarker"/>
        <c:varyColors val="0"/>
        <c:ser>
          <c:idx val="0"/>
          <c:order val="0"/>
          <c:tx>
            <c:v>Ratio AL30/AL35</c:v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'Ratios ley ARG'!$A$4:$A$205</c:f>
              <c:numCache>
                <c:formatCode>dd/mm/yyyy;@</c:formatCode>
                <c:ptCount val="202"/>
                <c:pt idx="0">
                  <c:v>44082</c:v>
                </c:pt>
                <c:pt idx="1">
                  <c:v>44083</c:v>
                </c:pt>
                <c:pt idx="2">
                  <c:v>44084</c:v>
                </c:pt>
                <c:pt idx="3">
                  <c:v>44085</c:v>
                </c:pt>
                <c:pt idx="4">
                  <c:v>44088</c:v>
                </c:pt>
                <c:pt idx="5">
                  <c:v>44089</c:v>
                </c:pt>
                <c:pt idx="6">
                  <c:v>44090</c:v>
                </c:pt>
                <c:pt idx="7">
                  <c:v>44091</c:v>
                </c:pt>
                <c:pt idx="8">
                  <c:v>44092</c:v>
                </c:pt>
                <c:pt idx="9">
                  <c:v>44095</c:v>
                </c:pt>
                <c:pt idx="10">
                  <c:v>44096</c:v>
                </c:pt>
                <c:pt idx="11">
                  <c:v>44097</c:v>
                </c:pt>
                <c:pt idx="12">
                  <c:v>44098</c:v>
                </c:pt>
                <c:pt idx="13">
                  <c:v>44099</c:v>
                </c:pt>
                <c:pt idx="14">
                  <c:v>44102</c:v>
                </c:pt>
                <c:pt idx="15">
                  <c:v>44103</c:v>
                </c:pt>
                <c:pt idx="16">
                  <c:v>44104</c:v>
                </c:pt>
                <c:pt idx="17">
                  <c:v>44105</c:v>
                </c:pt>
                <c:pt idx="18">
                  <c:v>44106</c:v>
                </c:pt>
                <c:pt idx="19">
                  <c:v>44109</c:v>
                </c:pt>
                <c:pt idx="20">
                  <c:v>44110</c:v>
                </c:pt>
                <c:pt idx="21">
                  <c:v>44111</c:v>
                </c:pt>
                <c:pt idx="22">
                  <c:v>44112</c:v>
                </c:pt>
                <c:pt idx="23">
                  <c:v>44113</c:v>
                </c:pt>
                <c:pt idx="24">
                  <c:v>44117</c:v>
                </c:pt>
                <c:pt idx="25">
                  <c:v>44118</c:v>
                </c:pt>
                <c:pt idx="26">
                  <c:v>44119</c:v>
                </c:pt>
                <c:pt idx="27">
                  <c:v>44120</c:v>
                </c:pt>
                <c:pt idx="28">
                  <c:v>44123</c:v>
                </c:pt>
                <c:pt idx="29">
                  <c:v>44124</c:v>
                </c:pt>
                <c:pt idx="30">
                  <c:v>44125</c:v>
                </c:pt>
                <c:pt idx="31">
                  <c:v>44126</c:v>
                </c:pt>
                <c:pt idx="32">
                  <c:v>44127</c:v>
                </c:pt>
                <c:pt idx="33">
                  <c:v>44130</c:v>
                </c:pt>
                <c:pt idx="34">
                  <c:v>44131</c:v>
                </c:pt>
                <c:pt idx="35">
                  <c:v>44132</c:v>
                </c:pt>
                <c:pt idx="36">
                  <c:v>44133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44159</c:v>
                </c:pt>
                <c:pt idx="54">
                  <c:v>44160</c:v>
                </c:pt>
                <c:pt idx="55">
                  <c:v>44161</c:v>
                </c:pt>
                <c:pt idx="56">
                  <c:v>44162</c:v>
                </c:pt>
                <c:pt idx="57">
                  <c:v>44165</c:v>
                </c:pt>
                <c:pt idx="58">
                  <c:v>44166</c:v>
                </c:pt>
                <c:pt idx="59">
                  <c:v>44167</c:v>
                </c:pt>
                <c:pt idx="60">
                  <c:v>44168</c:v>
                </c:pt>
                <c:pt idx="61">
                  <c:v>44169</c:v>
                </c:pt>
                <c:pt idx="62">
                  <c:v>44174</c:v>
                </c:pt>
                <c:pt idx="63">
                  <c:v>44175</c:v>
                </c:pt>
                <c:pt idx="64">
                  <c:v>44176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44193</c:v>
                </c:pt>
                <c:pt idx="74">
                  <c:v>44194</c:v>
                </c:pt>
                <c:pt idx="75">
                  <c:v>44195</c:v>
                </c:pt>
                <c:pt idx="76">
                  <c:v>44200</c:v>
                </c:pt>
                <c:pt idx="77">
                  <c:v>44201</c:v>
                </c:pt>
                <c:pt idx="78">
                  <c:v>44202</c:v>
                </c:pt>
                <c:pt idx="79">
                  <c:v>44203</c:v>
                </c:pt>
                <c:pt idx="80">
                  <c:v>44204</c:v>
                </c:pt>
                <c:pt idx="81">
                  <c:v>44207</c:v>
                </c:pt>
                <c:pt idx="82">
                  <c:v>44208</c:v>
                </c:pt>
                <c:pt idx="83">
                  <c:v>44209</c:v>
                </c:pt>
                <c:pt idx="84">
                  <c:v>44210</c:v>
                </c:pt>
                <c:pt idx="85">
                  <c:v>44211</c:v>
                </c:pt>
                <c:pt idx="86">
                  <c:v>44214</c:v>
                </c:pt>
                <c:pt idx="87">
                  <c:v>44215</c:v>
                </c:pt>
                <c:pt idx="88">
                  <c:v>44216</c:v>
                </c:pt>
                <c:pt idx="89">
                  <c:v>44217</c:v>
                </c:pt>
                <c:pt idx="90">
                  <c:v>44218</c:v>
                </c:pt>
                <c:pt idx="91">
                  <c:v>44221</c:v>
                </c:pt>
                <c:pt idx="92">
                  <c:v>44222</c:v>
                </c:pt>
                <c:pt idx="93">
                  <c:v>44223</c:v>
                </c:pt>
                <c:pt idx="94">
                  <c:v>44224</c:v>
                </c:pt>
                <c:pt idx="95">
                  <c:v>44225</c:v>
                </c:pt>
                <c:pt idx="96">
                  <c:v>44228</c:v>
                </c:pt>
                <c:pt idx="97">
                  <c:v>44229</c:v>
                </c:pt>
                <c:pt idx="98">
                  <c:v>44230</c:v>
                </c:pt>
                <c:pt idx="99">
                  <c:v>44231</c:v>
                </c:pt>
                <c:pt idx="100">
                  <c:v>44232</c:v>
                </c:pt>
                <c:pt idx="101">
                  <c:v>44235</c:v>
                </c:pt>
                <c:pt idx="102">
                  <c:v>44236</c:v>
                </c:pt>
                <c:pt idx="103">
                  <c:v>44237</c:v>
                </c:pt>
                <c:pt idx="104">
                  <c:v>44238</c:v>
                </c:pt>
                <c:pt idx="105">
                  <c:v>44239</c:v>
                </c:pt>
                <c:pt idx="106">
                  <c:v>44244</c:v>
                </c:pt>
                <c:pt idx="107">
                  <c:v>44245</c:v>
                </c:pt>
                <c:pt idx="108">
                  <c:v>44246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44256</c:v>
                </c:pt>
                <c:pt idx="115">
                  <c:v>44257</c:v>
                </c:pt>
                <c:pt idx="116">
                  <c:v>44258</c:v>
                </c:pt>
                <c:pt idx="117">
                  <c:v>44259</c:v>
                </c:pt>
                <c:pt idx="118">
                  <c:v>44260</c:v>
                </c:pt>
                <c:pt idx="119">
                  <c:v>44263</c:v>
                </c:pt>
                <c:pt idx="120">
                  <c:v>44264</c:v>
                </c:pt>
                <c:pt idx="121">
                  <c:v>44265</c:v>
                </c:pt>
                <c:pt idx="122">
                  <c:v>44266</c:v>
                </c:pt>
                <c:pt idx="123">
                  <c:v>44267</c:v>
                </c:pt>
                <c:pt idx="124">
                  <c:v>44270</c:v>
                </c:pt>
                <c:pt idx="125">
                  <c:v>44271</c:v>
                </c:pt>
                <c:pt idx="126">
                  <c:v>44272</c:v>
                </c:pt>
                <c:pt idx="127">
                  <c:v>44273</c:v>
                </c:pt>
                <c:pt idx="128">
                  <c:v>44274</c:v>
                </c:pt>
                <c:pt idx="129">
                  <c:v>44277</c:v>
                </c:pt>
                <c:pt idx="130">
                  <c:v>44278</c:v>
                </c:pt>
                <c:pt idx="131">
                  <c:v>44280</c:v>
                </c:pt>
                <c:pt idx="132">
                  <c:v>44281</c:v>
                </c:pt>
                <c:pt idx="133">
                  <c:v>44284</c:v>
                </c:pt>
                <c:pt idx="134">
                  <c:v>44285</c:v>
                </c:pt>
                <c:pt idx="135">
                  <c:v>44286</c:v>
                </c:pt>
                <c:pt idx="136">
                  <c:v>44291</c:v>
                </c:pt>
                <c:pt idx="137">
                  <c:v>44292</c:v>
                </c:pt>
                <c:pt idx="138">
                  <c:v>44293</c:v>
                </c:pt>
                <c:pt idx="139">
                  <c:v>44294</c:v>
                </c:pt>
                <c:pt idx="140">
                  <c:v>44295</c:v>
                </c:pt>
                <c:pt idx="141">
                  <c:v>44298</c:v>
                </c:pt>
                <c:pt idx="142">
                  <c:v>44299</c:v>
                </c:pt>
                <c:pt idx="143">
                  <c:v>44300</c:v>
                </c:pt>
                <c:pt idx="144">
                  <c:v>44301</c:v>
                </c:pt>
                <c:pt idx="145">
                  <c:v>44302</c:v>
                </c:pt>
                <c:pt idx="146">
                  <c:v>44305</c:v>
                </c:pt>
                <c:pt idx="147">
                  <c:v>44306</c:v>
                </c:pt>
                <c:pt idx="148">
                  <c:v>44307</c:v>
                </c:pt>
                <c:pt idx="149">
                  <c:v>44308</c:v>
                </c:pt>
                <c:pt idx="150">
                  <c:v>44309</c:v>
                </c:pt>
                <c:pt idx="151">
                  <c:v>44312</c:v>
                </c:pt>
                <c:pt idx="152">
                  <c:v>44313</c:v>
                </c:pt>
                <c:pt idx="153">
                  <c:v>44314</c:v>
                </c:pt>
                <c:pt idx="154">
                  <c:v>44315</c:v>
                </c:pt>
                <c:pt idx="155">
                  <c:v>44316</c:v>
                </c:pt>
                <c:pt idx="156">
                  <c:v>44319</c:v>
                </c:pt>
                <c:pt idx="157">
                  <c:v>44320</c:v>
                </c:pt>
                <c:pt idx="158">
                  <c:v>44321</c:v>
                </c:pt>
                <c:pt idx="159">
                  <c:v>44322</c:v>
                </c:pt>
                <c:pt idx="160">
                  <c:v>44323</c:v>
                </c:pt>
                <c:pt idx="161">
                  <c:v>44326</c:v>
                </c:pt>
                <c:pt idx="162">
                  <c:v>44327</c:v>
                </c:pt>
                <c:pt idx="163">
                  <c:v>44328</c:v>
                </c:pt>
                <c:pt idx="164">
                  <c:v>44329</c:v>
                </c:pt>
                <c:pt idx="165">
                  <c:v>44330</c:v>
                </c:pt>
                <c:pt idx="166">
                  <c:v>44333</c:v>
                </c:pt>
                <c:pt idx="167">
                  <c:v>44334</c:v>
                </c:pt>
                <c:pt idx="168">
                  <c:v>44335</c:v>
                </c:pt>
                <c:pt idx="169">
                  <c:v>44336</c:v>
                </c:pt>
                <c:pt idx="170">
                  <c:v>44337</c:v>
                </c:pt>
                <c:pt idx="171">
                  <c:v>44342</c:v>
                </c:pt>
                <c:pt idx="172">
                  <c:v>44343</c:v>
                </c:pt>
                <c:pt idx="173">
                  <c:v>44344</c:v>
                </c:pt>
                <c:pt idx="174">
                  <c:v>44347</c:v>
                </c:pt>
                <c:pt idx="175">
                  <c:v>44348</c:v>
                </c:pt>
                <c:pt idx="176">
                  <c:v>44349</c:v>
                </c:pt>
                <c:pt idx="177">
                  <c:v>44350</c:v>
                </c:pt>
                <c:pt idx="178">
                  <c:v>44351</c:v>
                </c:pt>
                <c:pt idx="179">
                  <c:v>44354</c:v>
                </c:pt>
                <c:pt idx="180">
                  <c:v>44355</c:v>
                </c:pt>
                <c:pt idx="181">
                  <c:v>44356</c:v>
                </c:pt>
                <c:pt idx="182">
                  <c:v>44357</c:v>
                </c:pt>
                <c:pt idx="183">
                  <c:v>44358</c:v>
                </c:pt>
                <c:pt idx="184">
                  <c:v>44361</c:v>
                </c:pt>
              </c:numCache>
            </c:numRef>
          </c:xVal>
          <c:yVal>
            <c:numRef>
              <c:f>'Ratios ley ARG'!$P$4:$P$205</c:f>
              <c:numCache>
                <c:formatCode>0.000</c:formatCode>
                <c:ptCount val="202"/>
                <c:pt idx="0">
                  <c:v>1.1011412143914976</c:v>
                </c:pt>
                <c:pt idx="1">
                  <c:v>1.125684024713151</c:v>
                </c:pt>
                <c:pt idx="2">
                  <c:v>1.1386226482073127</c:v>
                </c:pt>
                <c:pt idx="3">
                  <c:v>1.1450805008944545</c:v>
                </c:pt>
                <c:pt idx="4">
                  <c:v>1.1484276729559748</c:v>
                </c:pt>
                <c:pt idx="5">
                  <c:v>1.1203953279424979</c:v>
                </c:pt>
                <c:pt idx="6">
                  <c:v>1.1127272727272728</c:v>
                </c:pt>
                <c:pt idx="7">
                  <c:v>1.1394230769230769</c:v>
                </c:pt>
                <c:pt idx="8">
                  <c:v>1.1335807050092765</c:v>
                </c:pt>
                <c:pt idx="9">
                  <c:v>1.1291588785046729</c:v>
                </c:pt>
                <c:pt idx="10">
                  <c:v>1.1244239631336406</c:v>
                </c:pt>
                <c:pt idx="11">
                  <c:v>1.1420765027322404</c:v>
                </c:pt>
                <c:pt idx="12">
                  <c:v>1.0711743772241993</c:v>
                </c:pt>
                <c:pt idx="13">
                  <c:v>1.0919642857142857</c:v>
                </c:pt>
                <c:pt idx="14">
                  <c:v>1.0882612533097971</c:v>
                </c:pt>
                <c:pt idx="15">
                  <c:v>1.0896309314586994</c:v>
                </c:pt>
                <c:pt idx="16">
                  <c:v>1.0936395759717314</c:v>
                </c:pt>
                <c:pt idx="17">
                  <c:v>1.1098214285714285</c:v>
                </c:pt>
                <c:pt idx="18">
                  <c:v>1.0948121645796065</c:v>
                </c:pt>
                <c:pt idx="19">
                  <c:v>1.1063716814159292</c:v>
                </c:pt>
                <c:pt idx="20">
                  <c:v>1.1125</c:v>
                </c:pt>
                <c:pt idx="21">
                  <c:v>1.1056650683715148</c:v>
                </c:pt>
                <c:pt idx="22">
                  <c:v>1.1033274956217163</c:v>
                </c:pt>
                <c:pt idx="23">
                  <c:v>1.081787521079258</c:v>
                </c:pt>
                <c:pt idx="24">
                  <c:v>1.0899159663865545</c:v>
                </c:pt>
                <c:pt idx="25">
                  <c:v>1.1041322314049586</c:v>
                </c:pt>
                <c:pt idx="26">
                  <c:v>1.1206026058631922</c:v>
                </c:pt>
                <c:pt idx="27">
                  <c:v>1.1181364392678868</c:v>
                </c:pt>
                <c:pt idx="28">
                  <c:v>1.1083333333333334</c:v>
                </c:pt>
                <c:pt idx="29">
                  <c:v>1.1116861435726211</c:v>
                </c:pt>
                <c:pt idx="30">
                  <c:v>1.0961538461538463</c:v>
                </c:pt>
                <c:pt idx="31">
                  <c:v>1.0587663914521612</c:v>
                </c:pt>
                <c:pt idx="32">
                  <c:v>1.0331674958540631</c:v>
                </c:pt>
                <c:pt idx="33">
                  <c:v>1.0637168141592921</c:v>
                </c:pt>
                <c:pt idx="34">
                  <c:v>1.0714285714285714</c:v>
                </c:pt>
                <c:pt idx="35">
                  <c:v>1.0544090056285178</c:v>
                </c:pt>
                <c:pt idx="36">
                  <c:v>1.0628571428571429</c:v>
                </c:pt>
                <c:pt idx="37">
                  <c:v>1.0709373157791315</c:v>
                </c:pt>
                <c:pt idx="38">
                  <c:v>1.0549019607843138</c:v>
                </c:pt>
                <c:pt idx="39">
                  <c:v>1.027501909854851</c:v>
                </c:pt>
                <c:pt idx="40">
                  <c:v>1.0122641509433963</c:v>
                </c:pt>
                <c:pt idx="41">
                  <c:v>0.99814814814814812</c:v>
                </c:pt>
                <c:pt idx="42">
                  <c:v>0.99537465309898243</c:v>
                </c:pt>
                <c:pt idx="43">
                  <c:v>1.0139664804469273</c:v>
                </c:pt>
                <c:pt idx="44">
                  <c:v>0.9872750409016543</c:v>
                </c:pt>
                <c:pt idx="45">
                  <c:v>1.0151245551601424</c:v>
                </c:pt>
                <c:pt idx="46">
                  <c:v>1.0238313473877176</c:v>
                </c:pt>
                <c:pt idx="47">
                  <c:v>1.010762331838565</c:v>
                </c:pt>
                <c:pt idx="48">
                  <c:v>1.0267857142857142</c:v>
                </c:pt>
                <c:pt idx="49">
                  <c:v>1.0339285714285715</c:v>
                </c:pt>
                <c:pt idx="50">
                  <c:v>1.0394265232974911</c:v>
                </c:pt>
                <c:pt idx="51">
                  <c:v>1.0466485507246377</c:v>
                </c:pt>
                <c:pt idx="52">
                  <c:v>1.0373646209386282</c:v>
                </c:pt>
                <c:pt idx="53">
                  <c:v>1.0386910142831314</c:v>
                </c:pt>
                <c:pt idx="54">
                  <c:v>1.0599078341013826</c:v>
                </c:pt>
                <c:pt idx="55">
                  <c:v>1.040400363967243</c:v>
                </c:pt>
                <c:pt idx="56">
                  <c:v>1.0177578475336322</c:v>
                </c:pt>
                <c:pt idx="57">
                  <c:v>1.0414256391117747</c:v>
                </c:pt>
                <c:pt idx="58">
                  <c:v>1.0525519848771268</c:v>
                </c:pt>
                <c:pt idx="59">
                  <c:v>1.0627619047619048</c:v>
                </c:pt>
                <c:pt idx="60">
                  <c:v>1.0642452645967584</c:v>
                </c:pt>
                <c:pt idx="61">
                  <c:v>1.0784815106215577</c:v>
                </c:pt>
                <c:pt idx="62">
                  <c:v>1.0979879275653923</c:v>
                </c:pt>
                <c:pt idx="63">
                  <c:v>1.0857425742574258</c:v>
                </c:pt>
                <c:pt idx="64">
                  <c:v>1.0708449485725271</c:v>
                </c:pt>
                <c:pt idx="65">
                  <c:v>1.0818355640535373</c:v>
                </c:pt>
                <c:pt idx="66">
                  <c:v>1.0896353166986563</c:v>
                </c:pt>
                <c:pt idx="67">
                  <c:v>1.0879961277831558</c:v>
                </c:pt>
                <c:pt idx="68">
                  <c:v>1.079692011549567</c:v>
                </c:pt>
                <c:pt idx="69">
                  <c:v>1.078095238095238</c:v>
                </c:pt>
                <c:pt idx="70">
                  <c:v>1.0771428571428572</c:v>
                </c:pt>
                <c:pt idx="71">
                  <c:v>1.0756603773584905</c:v>
                </c:pt>
                <c:pt idx="72">
                  <c:v>1.0736346516007533</c:v>
                </c:pt>
                <c:pt idx="73">
                  <c:v>1.0804792904991036</c:v>
                </c:pt>
                <c:pt idx="74">
                  <c:v>1.0866350710900474</c:v>
                </c:pt>
                <c:pt idx="75">
                  <c:v>1.0766485064813076</c:v>
                </c:pt>
                <c:pt idx="76">
                  <c:v>1.0971482889733841</c:v>
                </c:pt>
                <c:pt idx="77">
                  <c:v>1.0901886792452831</c:v>
                </c:pt>
                <c:pt idx="78">
                  <c:v>1.080223880597015</c:v>
                </c:pt>
                <c:pt idx="79">
                  <c:v>1.07012987012987</c:v>
                </c:pt>
                <c:pt idx="80">
                  <c:v>1.0720299345182414</c:v>
                </c:pt>
                <c:pt idx="81">
                  <c:v>1.0700253783250306</c:v>
                </c:pt>
                <c:pt idx="82">
                  <c:v>1.0673203846879125</c:v>
                </c:pt>
                <c:pt idx="83">
                  <c:v>1.0921587608906098</c:v>
                </c:pt>
                <c:pt idx="84">
                  <c:v>1.1105636578636184</c:v>
                </c:pt>
                <c:pt idx="85">
                  <c:v>1.0901162790697674</c:v>
                </c:pt>
                <c:pt idx="86">
                  <c:v>1.1011323701679032</c:v>
                </c:pt>
                <c:pt idx="87">
                  <c:v>1.0779369627507163</c:v>
                </c:pt>
                <c:pt idx="88">
                  <c:v>1.0752380952380953</c:v>
                </c:pt>
                <c:pt idx="89">
                  <c:v>1.0776717557251909</c:v>
                </c:pt>
                <c:pt idx="90">
                  <c:v>1.0600056343318622</c:v>
                </c:pt>
                <c:pt idx="91">
                  <c:v>1.0611632270168856</c:v>
                </c:pt>
                <c:pt idx="92">
                  <c:v>1.0692452830188679</c:v>
                </c:pt>
                <c:pt idx="93">
                  <c:v>1.0620663791486968</c:v>
                </c:pt>
                <c:pt idx="94">
                  <c:v>1.0619136960600375</c:v>
                </c:pt>
                <c:pt idx="95">
                  <c:v>1.0673732021196063</c:v>
                </c:pt>
                <c:pt idx="96">
                  <c:v>1.0560747663551402</c:v>
                </c:pt>
                <c:pt idx="97">
                  <c:v>1.0572497661365763</c:v>
                </c:pt>
                <c:pt idx="98">
                  <c:v>1.0565543071161048</c:v>
                </c:pt>
                <c:pt idx="99">
                  <c:v>1.0611476952022578</c:v>
                </c:pt>
                <c:pt idx="100">
                  <c:v>1.05</c:v>
                </c:pt>
                <c:pt idx="101">
                  <c:v>1.053932584269663</c:v>
                </c:pt>
                <c:pt idx="102">
                  <c:v>1.0618867924528301</c:v>
                </c:pt>
                <c:pt idx="103">
                  <c:v>1.062121212121212</c:v>
                </c:pt>
                <c:pt idx="104">
                  <c:v>1.0618955512572534</c:v>
                </c:pt>
                <c:pt idx="105">
                  <c:v>1.0575751621143643</c:v>
                </c:pt>
                <c:pt idx="106">
                  <c:v>1.0605440785436695</c:v>
                </c:pt>
                <c:pt idx="107">
                  <c:v>1.0968421052631578</c:v>
                </c:pt>
                <c:pt idx="108">
                  <c:v>1.0791092258748674</c:v>
                </c:pt>
                <c:pt idx="109">
                  <c:v>1.0967391304347827</c:v>
                </c:pt>
                <c:pt idx="110">
                  <c:v>1.0869565217391304</c:v>
                </c:pt>
                <c:pt idx="111">
                  <c:v>1.0660377358490567</c:v>
                </c:pt>
                <c:pt idx="112">
                  <c:v>1.0862539349422875</c:v>
                </c:pt>
                <c:pt idx="113">
                  <c:v>1.0874999999999999</c:v>
                </c:pt>
                <c:pt idx="114">
                  <c:v>1.0905154639175259</c:v>
                </c:pt>
                <c:pt idx="115">
                  <c:v>1.107098121085595</c:v>
                </c:pt>
                <c:pt idx="116">
                  <c:v>1.107112970711297</c:v>
                </c:pt>
                <c:pt idx="117">
                  <c:v>1.1113684210526316</c:v>
                </c:pt>
                <c:pt idx="118">
                  <c:v>1.1190987124463518</c:v>
                </c:pt>
                <c:pt idx="119">
                  <c:v>1.1135728113572811</c:v>
                </c:pt>
                <c:pt idx="120">
                  <c:v>1.1228571428571428</c:v>
                </c:pt>
                <c:pt idx="121">
                  <c:v>1.1000000000000001</c:v>
                </c:pt>
                <c:pt idx="122">
                  <c:v>1.0884658454647256</c:v>
                </c:pt>
                <c:pt idx="123">
                  <c:v>1.0830615351163297</c:v>
                </c:pt>
                <c:pt idx="124">
                  <c:v>1.0917926565874729</c:v>
                </c:pt>
                <c:pt idx="125">
                  <c:v>1.0984978540772532</c:v>
                </c:pt>
                <c:pt idx="126">
                  <c:v>1.090356394129979</c:v>
                </c:pt>
                <c:pt idx="127">
                  <c:v>1.1017003188097769</c:v>
                </c:pt>
                <c:pt idx="128">
                  <c:v>1.0855194123819518</c:v>
                </c:pt>
                <c:pt idx="129">
                  <c:v>1.0936942608330711</c:v>
                </c:pt>
                <c:pt idx="130">
                  <c:v>1.0890984214429495</c:v>
                </c:pt>
                <c:pt idx="131">
                  <c:v>1.0971428571428572</c:v>
                </c:pt>
                <c:pt idx="132">
                  <c:v>1.0976430976430978</c:v>
                </c:pt>
                <c:pt idx="133">
                  <c:v>1.0986270022883295</c:v>
                </c:pt>
                <c:pt idx="134">
                  <c:v>1.1002171180436522</c:v>
                </c:pt>
                <c:pt idx="135">
                  <c:v>1.0936299977411339</c:v>
                </c:pt>
                <c:pt idx="136">
                  <c:v>1.1031249999999999</c:v>
                </c:pt>
                <c:pt idx="137">
                  <c:v>1.1018826135105204</c:v>
                </c:pt>
                <c:pt idx="138">
                  <c:v>1.1044444444444443</c:v>
                </c:pt>
                <c:pt idx="139">
                  <c:v>1.1043285238623752</c:v>
                </c:pt>
                <c:pt idx="140">
                  <c:v>1.0966666666666667</c:v>
                </c:pt>
                <c:pt idx="141">
                  <c:v>1.0762380538662033</c:v>
                </c:pt>
                <c:pt idx="142">
                  <c:v>1.0801651097110581</c:v>
                </c:pt>
                <c:pt idx="143">
                  <c:v>1.075974025974026</c:v>
                </c:pt>
                <c:pt idx="144">
                  <c:v>1.0628645495787428</c:v>
                </c:pt>
                <c:pt idx="145">
                  <c:v>1.0569892473118279</c:v>
                </c:pt>
                <c:pt idx="146">
                  <c:v>1.0651497263067511</c:v>
                </c:pt>
                <c:pt idx="147">
                  <c:v>1.0683760683760684</c:v>
                </c:pt>
                <c:pt idx="148">
                  <c:v>1.0573544973544973</c:v>
                </c:pt>
                <c:pt idx="149">
                  <c:v>1.0570703868103994</c:v>
                </c:pt>
                <c:pt idx="150">
                  <c:v>1.0555093555093555</c:v>
                </c:pt>
                <c:pt idx="151">
                  <c:v>1.0759753593429158</c:v>
                </c:pt>
                <c:pt idx="152">
                  <c:v>1.0853658536585367</c:v>
                </c:pt>
                <c:pt idx="153">
                  <c:v>1.0807653575025176</c:v>
                </c:pt>
                <c:pt idx="154">
                  <c:v>1.0836701697655617</c:v>
                </c:pt>
                <c:pt idx="155">
                  <c:v>1.0691308691308692</c:v>
                </c:pt>
                <c:pt idx="156">
                  <c:v>1.0594605237251427</c:v>
                </c:pt>
                <c:pt idx="157">
                  <c:v>1.069088743299583</c:v>
                </c:pt>
                <c:pt idx="158">
                  <c:v>1.0762779552715656</c:v>
                </c:pt>
                <c:pt idx="159">
                  <c:v>1.0720351683484863</c:v>
                </c:pt>
                <c:pt idx="160">
                  <c:v>1.0613226452905811</c:v>
                </c:pt>
                <c:pt idx="161">
                  <c:v>1.0764227642276423</c:v>
                </c:pt>
                <c:pt idx="162">
                  <c:v>1.0791666666666666</c:v>
                </c:pt>
                <c:pt idx="163">
                  <c:v>1.0754192818191173</c:v>
                </c:pt>
                <c:pt idx="164">
                  <c:v>1.06888843730949</c:v>
                </c:pt>
                <c:pt idx="165">
                  <c:v>1.0612004707728522</c:v>
                </c:pt>
                <c:pt idx="166">
                  <c:v>1.0526215443279314</c:v>
                </c:pt>
                <c:pt idx="167">
                  <c:v>1.0334017540585929</c:v>
                </c:pt>
                <c:pt idx="168">
                  <c:v>1.0200743494423792</c:v>
                </c:pt>
                <c:pt idx="169">
                  <c:v>1.0127801444711984</c:v>
                </c:pt>
                <c:pt idx="170">
                  <c:v>1.0221388367729831</c:v>
                </c:pt>
                <c:pt idx="171">
                  <c:v>1.0237529691211402</c:v>
                </c:pt>
                <c:pt idx="172">
                  <c:v>1.0281562216167122</c:v>
                </c:pt>
                <c:pt idx="173">
                  <c:v>1.0214693359905789</c:v>
                </c:pt>
                <c:pt idx="174">
                  <c:v>1.026497277676951</c:v>
                </c:pt>
                <c:pt idx="175">
                  <c:v>1.0241286863270778</c:v>
                </c:pt>
                <c:pt idx="176">
                  <c:v>1.0289219982471516</c:v>
                </c:pt>
                <c:pt idx="177">
                  <c:v>1.0386641664434324</c:v>
                </c:pt>
                <c:pt idx="178">
                  <c:v>1.0336051617528452</c:v>
                </c:pt>
                <c:pt idx="179">
                  <c:v>1.043633125556545</c:v>
                </c:pt>
                <c:pt idx="180">
                  <c:v>1.0477954144620811</c:v>
                </c:pt>
                <c:pt idx="181">
                  <c:v>1.0464751958224543</c:v>
                </c:pt>
                <c:pt idx="182">
                  <c:v>1.0541012216404886</c:v>
                </c:pt>
                <c:pt idx="183">
                  <c:v>1.0613496932515338</c:v>
                </c:pt>
                <c:pt idx="184">
                  <c:v>1.0650528169014084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6-48E0-91CA-0E8A2FABE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46080"/>
        <c:axId val="168848000"/>
      </c:scatterChart>
      <c:valAx>
        <c:axId val="168846080"/>
        <c:scaling>
          <c:orientation val="minMax"/>
          <c:max val="44350"/>
          <c:min val="44081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168848000"/>
        <c:crosses val="autoZero"/>
        <c:crossBetween val="midCat"/>
        <c:majorUnit val="30"/>
      </c:valAx>
      <c:valAx>
        <c:axId val="1688480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>
                    <a:latin typeface="Arial" pitchFamily="34" charset="0"/>
                    <a:cs typeface="Arial" pitchFamily="34" charset="0"/>
                  </a:defRPr>
                </a:pPr>
                <a:r>
                  <a:rPr lang="en-US" sz="900">
                    <a:latin typeface="Arial" pitchFamily="34" charset="0"/>
                    <a:cs typeface="Arial" pitchFamily="34" charset="0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6.5591634986545216E-2"/>
              <c:y val="0.46751966788499894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168846080"/>
        <c:crossesAt val="0"/>
        <c:crossBetween val="midCat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 b="1" i="0" baseline="0">
                <a:effectLst/>
                <a:latin typeface="Arial" pitchFamily="34" charset="0"/>
                <a:cs typeface="Arial" pitchFamily="34" charset="0"/>
              </a:rPr>
              <a:t>Ratio GD29/AL29</a:t>
            </a:r>
            <a:endParaRPr lang="es-AR" sz="1200">
              <a:effectLst/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5590757996723704"/>
          <c:y val="3.955333375882378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77278571254156"/>
          <c:y val="0.18924992498086171"/>
          <c:w val="0.83504746171902633"/>
          <c:h val="0.73344845083275656"/>
        </c:manualLayout>
      </c:layout>
      <c:scatterChart>
        <c:scatterStyle val="lineMarker"/>
        <c:varyColors val="0"/>
        <c:ser>
          <c:idx val="0"/>
          <c:order val="0"/>
          <c:tx>
            <c:v>Ratio GD29/AL29</c:v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'Ratios legislación'!$A$3:$A$208</c:f>
              <c:numCache>
                <c:formatCode>dd/mm/yyyy;@</c:formatCode>
                <c:ptCount val="206"/>
                <c:pt idx="0">
                  <c:v>44082</c:v>
                </c:pt>
                <c:pt idx="1">
                  <c:v>44083</c:v>
                </c:pt>
                <c:pt idx="2">
                  <c:v>44084</c:v>
                </c:pt>
                <c:pt idx="3">
                  <c:v>44085</c:v>
                </c:pt>
                <c:pt idx="4">
                  <c:v>44088</c:v>
                </c:pt>
                <c:pt idx="5">
                  <c:v>44089</c:v>
                </c:pt>
                <c:pt idx="6">
                  <c:v>44090</c:v>
                </c:pt>
                <c:pt idx="7">
                  <c:v>44091</c:v>
                </c:pt>
                <c:pt idx="8">
                  <c:v>44092</c:v>
                </c:pt>
                <c:pt idx="9">
                  <c:v>44095</c:v>
                </c:pt>
                <c:pt idx="10">
                  <c:v>44096</c:v>
                </c:pt>
                <c:pt idx="11">
                  <c:v>44097</c:v>
                </c:pt>
                <c:pt idx="12">
                  <c:v>44098</c:v>
                </c:pt>
                <c:pt idx="13">
                  <c:v>44099</c:v>
                </c:pt>
                <c:pt idx="14">
                  <c:v>44102</c:v>
                </c:pt>
                <c:pt idx="15">
                  <c:v>44103</c:v>
                </c:pt>
                <c:pt idx="16">
                  <c:v>44104</c:v>
                </c:pt>
                <c:pt idx="17">
                  <c:v>44105</c:v>
                </c:pt>
                <c:pt idx="18">
                  <c:v>44106</c:v>
                </c:pt>
                <c:pt idx="19">
                  <c:v>44109</c:v>
                </c:pt>
                <c:pt idx="20">
                  <c:v>44110</c:v>
                </c:pt>
                <c:pt idx="21">
                  <c:v>44111</c:v>
                </c:pt>
                <c:pt idx="22">
                  <c:v>44112</c:v>
                </c:pt>
                <c:pt idx="23">
                  <c:v>44113</c:v>
                </c:pt>
                <c:pt idx="24">
                  <c:v>44117</c:v>
                </c:pt>
                <c:pt idx="25">
                  <c:v>44118</c:v>
                </c:pt>
                <c:pt idx="26">
                  <c:v>44119</c:v>
                </c:pt>
                <c:pt idx="27">
                  <c:v>44120</c:v>
                </c:pt>
                <c:pt idx="28">
                  <c:v>44123</c:v>
                </c:pt>
                <c:pt idx="29">
                  <c:v>44124</c:v>
                </c:pt>
                <c:pt idx="30">
                  <c:v>44125</c:v>
                </c:pt>
                <c:pt idx="31">
                  <c:v>44126</c:v>
                </c:pt>
                <c:pt idx="32">
                  <c:v>44127</c:v>
                </c:pt>
                <c:pt idx="33">
                  <c:v>44130</c:v>
                </c:pt>
                <c:pt idx="34">
                  <c:v>44131</c:v>
                </c:pt>
                <c:pt idx="35">
                  <c:v>44132</c:v>
                </c:pt>
                <c:pt idx="36">
                  <c:v>44133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44159</c:v>
                </c:pt>
                <c:pt idx="54">
                  <c:v>44160</c:v>
                </c:pt>
                <c:pt idx="55">
                  <c:v>44161</c:v>
                </c:pt>
                <c:pt idx="56">
                  <c:v>44162</c:v>
                </c:pt>
                <c:pt idx="57">
                  <c:v>44165</c:v>
                </c:pt>
                <c:pt idx="58">
                  <c:v>44166</c:v>
                </c:pt>
                <c:pt idx="59">
                  <c:v>44167</c:v>
                </c:pt>
                <c:pt idx="60">
                  <c:v>44168</c:v>
                </c:pt>
                <c:pt idx="61">
                  <c:v>44169</c:v>
                </c:pt>
                <c:pt idx="62">
                  <c:v>44174</c:v>
                </c:pt>
                <c:pt idx="63">
                  <c:v>44175</c:v>
                </c:pt>
                <c:pt idx="64">
                  <c:v>44176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44193</c:v>
                </c:pt>
                <c:pt idx="74">
                  <c:v>44194</c:v>
                </c:pt>
                <c:pt idx="75">
                  <c:v>44195</c:v>
                </c:pt>
                <c:pt idx="76">
                  <c:v>44200</c:v>
                </c:pt>
                <c:pt idx="77">
                  <c:v>44201</c:v>
                </c:pt>
                <c:pt idx="78">
                  <c:v>44202</c:v>
                </c:pt>
                <c:pt idx="79">
                  <c:v>44203</c:v>
                </c:pt>
                <c:pt idx="80">
                  <c:v>44204</c:v>
                </c:pt>
                <c:pt idx="81">
                  <c:v>44207</c:v>
                </c:pt>
                <c:pt idx="82">
                  <c:v>44208</c:v>
                </c:pt>
                <c:pt idx="83">
                  <c:v>44209</c:v>
                </c:pt>
                <c:pt idx="84">
                  <c:v>44210</c:v>
                </c:pt>
                <c:pt idx="85">
                  <c:v>44211</c:v>
                </c:pt>
                <c:pt idx="86">
                  <c:v>44214</c:v>
                </c:pt>
                <c:pt idx="87">
                  <c:v>44215</c:v>
                </c:pt>
                <c:pt idx="88">
                  <c:v>44216</c:v>
                </c:pt>
                <c:pt idx="89">
                  <c:v>44217</c:v>
                </c:pt>
                <c:pt idx="90">
                  <c:v>44218</c:v>
                </c:pt>
                <c:pt idx="91">
                  <c:v>44221</c:v>
                </c:pt>
                <c:pt idx="92">
                  <c:v>44222</c:v>
                </c:pt>
                <c:pt idx="93">
                  <c:v>44223</c:v>
                </c:pt>
                <c:pt idx="94">
                  <c:v>44224</c:v>
                </c:pt>
                <c:pt idx="95">
                  <c:v>44225</c:v>
                </c:pt>
                <c:pt idx="96">
                  <c:v>44228</c:v>
                </c:pt>
                <c:pt idx="97">
                  <c:v>44229</c:v>
                </c:pt>
                <c:pt idx="98">
                  <c:v>44230</c:v>
                </c:pt>
                <c:pt idx="99">
                  <c:v>44231</c:v>
                </c:pt>
                <c:pt idx="100">
                  <c:v>44232</c:v>
                </c:pt>
                <c:pt idx="101">
                  <c:v>44235</c:v>
                </c:pt>
                <c:pt idx="102">
                  <c:v>44236</c:v>
                </c:pt>
                <c:pt idx="103">
                  <c:v>44237</c:v>
                </c:pt>
                <c:pt idx="104">
                  <c:v>44238</c:v>
                </c:pt>
                <c:pt idx="105">
                  <c:v>44239</c:v>
                </c:pt>
                <c:pt idx="106">
                  <c:v>44244</c:v>
                </c:pt>
                <c:pt idx="107">
                  <c:v>44245</c:v>
                </c:pt>
                <c:pt idx="108">
                  <c:v>44246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44256</c:v>
                </c:pt>
                <c:pt idx="115">
                  <c:v>44257</c:v>
                </c:pt>
                <c:pt idx="116">
                  <c:v>44258</c:v>
                </c:pt>
                <c:pt idx="117">
                  <c:v>44259</c:v>
                </c:pt>
                <c:pt idx="118">
                  <c:v>44260</c:v>
                </c:pt>
                <c:pt idx="119">
                  <c:v>44263</c:v>
                </c:pt>
                <c:pt idx="120">
                  <c:v>44264</c:v>
                </c:pt>
                <c:pt idx="121">
                  <c:v>44265</c:v>
                </c:pt>
                <c:pt idx="122">
                  <c:v>44266</c:v>
                </c:pt>
                <c:pt idx="123">
                  <c:v>44267</c:v>
                </c:pt>
                <c:pt idx="124">
                  <c:v>44270</c:v>
                </c:pt>
                <c:pt idx="125">
                  <c:v>44271</c:v>
                </c:pt>
                <c:pt idx="126">
                  <c:v>44272</c:v>
                </c:pt>
                <c:pt idx="127">
                  <c:v>44273</c:v>
                </c:pt>
                <c:pt idx="128">
                  <c:v>44274</c:v>
                </c:pt>
                <c:pt idx="129">
                  <c:v>44277</c:v>
                </c:pt>
                <c:pt idx="130">
                  <c:v>44278</c:v>
                </c:pt>
                <c:pt idx="131">
                  <c:v>44280</c:v>
                </c:pt>
                <c:pt idx="132">
                  <c:v>44281</c:v>
                </c:pt>
                <c:pt idx="133">
                  <c:v>44284</c:v>
                </c:pt>
                <c:pt idx="134">
                  <c:v>44285</c:v>
                </c:pt>
                <c:pt idx="135">
                  <c:v>44286</c:v>
                </c:pt>
                <c:pt idx="136">
                  <c:v>44291</c:v>
                </c:pt>
                <c:pt idx="137">
                  <c:v>44292</c:v>
                </c:pt>
                <c:pt idx="138">
                  <c:v>44293</c:v>
                </c:pt>
                <c:pt idx="139">
                  <c:v>44294</c:v>
                </c:pt>
                <c:pt idx="140">
                  <c:v>44295</c:v>
                </c:pt>
                <c:pt idx="141">
                  <c:v>44298</c:v>
                </c:pt>
                <c:pt idx="142">
                  <c:v>44299</c:v>
                </c:pt>
                <c:pt idx="143">
                  <c:v>44300</c:v>
                </c:pt>
                <c:pt idx="144">
                  <c:v>44301</c:v>
                </c:pt>
                <c:pt idx="145">
                  <c:v>44302</c:v>
                </c:pt>
                <c:pt idx="146">
                  <c:v>44305</c:v>
                </c:pt>
                <c:pt idx="147">
                  <c:v>44306</c:v>
                </c:pt>
                <c:pt idx="148">
                  <c:v>44307</c:v>
                </c:pt>
                <c:pt idx="149">
                  <c:v>44308</c:v>
                </c:pt>
                <c:pt idx="150">
                  <c:v>44309</c:v>
                </c:pt>
                <c:pt idx="151">
                  <c:v>44312</c:v>
                </c:pt>
                <c:pt idx="152">
                  <c:v>44313</c:v>
                </c:pt>
                <c:pt idx="153">
                  <c:v>44314</c:v>
                </c:pt>
                <c:pt idx="154">
                  <c:v>44315</c:v>
                </c:pt>
                <c:pt idx="155">
                  <c:v>44316</c:v>
                </c:pt>
                <c:pt idx="156">
                  <c:v>44319</c:v>
                </c:pt>
                <c:pt idx="157">
                  <c:v>44320</c:v>
                </c:pt>
                <c:pt idx="158">
                  <c:v>44321</c:v>
                </c:pt>
                <c:pt idx="159">
                  <c:v>44322</c:v>
                </c:pt>
                <c:pt idx="160">
                  <c:v>44323</c:v>
                </c:pt>
                <c:pt idx="161">
                  <c:v>44326</c:v>
                </c:pt>
                <c:pt idx="162">
                  <c:v>44327</c:v>
                </c:pt>
                <c:pt idx="163">
                  <c:v>44328</c:v>
                </c:pt>
                <c:pt idx="164">
                  <c:v>44329</c:v>
                </c:pt>
                <c:pt idx="165">
                  <c:v>44330</c:v>
                </c:pt>
                <c:pt idx="166">
                  <c:v>44333</c:v>
                </c:pt>
                <c:pt idx="167">
                  <c:v>44334</c:v>
                </c:pt>
                <c:pt idx="168">
                  <c:v>44335</c:v>
                </c:pt>
                <c:pt idx="169">
                  <c:v>44336</c:v>
                </c:pt>
                <c:pt idx="170">
                  <c:v>44337</c:v>
                </c:pt>
                <c:pt idx="171">
                  <c:v>44342</c:v>
                </c:pt>
                <c:pt idx="172">
                  <c:v>44343</c:v>
                </c:pt>
                <c:pt idx="173">
                  <c:v>44344</c:v>
                </c:pt>
                <c:pt idx="174">
                  <c:v>44347</c:v>
                </c:pt>
                <c:pt idx="175">
                  <c:v>44348</c:v>
                </c:pt>
                <c:pt idx="176">
                  <c:v>44349</c:v>
                </c:pt>
                <c:pt idx="177">
                  <c:v>44350</c:v>
                </c:pt>
                <c:pt idx="178">
                  <c:v>44351</c:v>
                </c:pt>
                <c:pt idx="179">
                  <c:v>44354</c:v>
                </c:pt>
                <c:pt idx="180">
                  <c:v>44355</c:v>
                </c:pt>
                <c:pt idx="181">
                  <c:v>44356</c:v>
                </c:pt>
                <c:pt idx="182">
                  <c:v>44357</c:v>
                </c:pt>
                <c:pt idx="183">
                  <c:v>44358</c:v>
                </c:pt>
                <c:pt idx="184">
                  <c:v>44361</c:v>
                </c:pt>
                <c:pt idx="185">
                  <c:v>44362</c:v>
                </c:pt>
                <c:pt idx="186">
                  <c:v>44363</c:v>
                </c:pt>
                <c:pt idx="187">
                  <c:v>44364</c:v>
                </c:pt>
                <c:pt idx="188">
                  <c:v>44365</c:v>
                </c:pt>
              </c:numCache>
            </c:numRef>
          </c:xVal>
          <c:yVal>
            <c:numRef>
              <c:f>'Ratios legislación'!$B$3:$B$208</c:f>
              <c:numCache>
                <c:formatCode>0.000</c:formatCode>
                <c:ptCount val="206"/>
                <c:pt idx="0">
                  <c:v>1.0114473890544142</c:v>
                </c:pt>
                <c:pt idx="1">
                  <c:v>1.0175222871195819</c:v>
                </c:pt>
                <c:pt idx="2">
                  <c:v>1.0166171202073329</c:v>
                </c:pt>
                <c:pt idx="3">
                  <c:v>1.031880486677961</c:v>
                </c:pt>
                <c:pt idx="4">
                  <c:v>1.0505443234836702</c:v>
                </c:pt>
                <c:pt idx="5">
                  <c:v>1.05616</c:v>
                </c:pt>
                <c:pt idx="6">
                  <c:v>1.0454323400097705</c:v>
                </c:pt>
                <c:pt idx="7">
                  <c:v>1.0313531353135315</c:v>
                </c:pt>
                <c:pt idx="8">
                  <c:v>1.0265700483091786</c:v>
                </c:pt>
                <c:pt idx="9">
                  <c:v>1.0128410914927768</c:v>
                </c:pt>
                <c:pt idx="10">
                  <c:v>1.0159744408945688</c:v>
                </c:pt>
                <c:pt idx="11">
                  <c:v>1.0215221459762944</c:v>
                </c:pt>
                <c:pt idx="12">
                  <c:v>1.0241935483870968</c:v>
                </c:pt>
                <c:pt idx="13">
                  <c:v>1.032826261008807</c:v>
                </c:pt>
                <c:pt idx="14">
                  <c:v>1.04661487236404</c:v>
                </c:pt>
                <c:pt idx="15">
                  <c:v>1.0449402891263357</c:v>
                </c:pt>
                <c:pt idx="16">
                  <c:v>1.0422184140831905</c:v>
                </c:pt>
                <c:pt idx="17">
                  <c:v>1.0532081377151801</c:v>
                </c:pt>
                <c:pt idx="18">
                  <c:v>1.0611482806908354</c:v>
                </c:pt>
                <c:pt idx="19">
                  <c:v>1.0631415241057542</c:v>
                </c:pt>
                <c:pt idx="20">
                  <c:v>1.0517268323175497</c:v>
                </c:pt>
                <c:pt idx="21">
                  <c:v>1.053375196232339</c:v>
                </c:pt>
                <c:pt idx="22">
                  <c:v>1.0532659409020217</c:v>
                </c:pt>
                <c:pt idx="23">
                  <c:v>1.0716463414634145</c:v>
                </c:pt>
                <c:pt idx="24">
                  <c:v>1.0712121212121213</c:v>
                </c:pt>
                <c:pt idx="25">
                  <c:v>1.0820895522388059</c:v>
                </c:pt>
                <c:pt idx="26">
                  <c:v>1.0427153746584208</c:v>
                </c:pt>
                <c:pt idx="27">
                  <c:v>1.0638297872340425</c:v>
                </c:pt>
                <c:pt idx="28">
                  <c:v>1.0353460972017674</c:v>
                </c:pt>
                <c:pt idx="29">
                  <c:v>1.0641791044776119</c:v>
                </c:pt>
                <c:pt idx="30">
                  <c:v>1.0821496558793382</c:v>
                </c:pt>
                <c:pt idx="31">
                  <c:v>1.1095258682807321</c:v>
                </c:pt>
                <c:pt idx="32">
                  <c:v>1.130051432770022</c:v>
                </c:pt>
                <c:pt idx="33">
                  <c:v>1.1565758754863813</c:v>
                </c:pt>
                <c:pt idx="34">
                  <c:v>1.0643869377695625</c:v>
                </c:pt>
                <c:pt idx="35">
                  <c:v>1.0894941634241244</c:v>
                </c:pt>
                <c:pt idx="36">
                  <c:v>1.0656370656370657</c:v>
                </c:pt>
                <c:pt idx="37">
                  <c:v>1.0436817472698907</c:v>
                </c:pt>
                <c:pt idx="38">
                  <c:v>1.0523303352412101</c:v>
                </c:pt>
                <c:pt idx="39">
                  <c:v>1.018539147040102</c:v>
                </c:pt>
                <c:pt idx="40">
                  <c:v>1.00390625</c:v>
                </c:pt>
                <c:pt idx="41">
                  <c:v>1.068111455108359</c:v>
                </c:pt>
                <c:pt idx="42">
                  <c:v>1.0128768844221105</c:v>
                </c:pt>
                <c:pt idx="43">
                  <c:v>1.0342092987093765</c:v>
                </c:pt>
                <c:pt idx="44">
                  <c:v>1.0409329263520388</c:v>
                </c:pt>
                <c:pt idx="45">
                  <c:v>1.0505529225908372</c:v>
                </c:pt>
                <c:pt idx="46">
                  <c:v>1.0564516129032258</c:v>
                </c:pt>
                <c:pt idx="47">
                  <c:v>1.0424831478288132</c:v>
                </c:pt>
                <c:pt idx="48">
                  <c:v>1.0359094457455114</c:v>
                </c:pt>
                <c:pt idx="49">
                  <c:v>1.0395765858282644</c:v>
                </c:pt>
                <c:pt idx="50">
                  <c:v>1.0322177040975915</c:v>
                </c:pt>
                <c:pt idx="51">
                  <c:v>1.0413354531001591</c:v>
                </c:pt>
                <c:pt idx="52">
                  <c:v>1.0373080900485243</c:v>
                </c:pt>
                <c:pt idx="53">
                  <c:v>1.0506379269355735</c:v>
                </c:pt>
                <c:pt idx="54">
                  <c:v>1.0371541501976285</c:v>
                </c:pt>
                <c:pt idx="55">
                  <c:v>1.0405874921036007</c:v>
                </c:pt>
                <c:pt idx="56">
                  <c:v>1.0608</c:v>
                </c:pt>
                <c:pt idx="57">
                  <c:v>1.0516097718815725</c:v>
                </c:pt>
                <c:pt idx="58">
                  <c:v>1.0468852459016393</c:v>
                </c:pt>
                <c:pt idx="59">
                  <c:v>1.0506160506160507</c:v>
                </c:pt>
                <c:pt idx="60">
                  <c:v>1.072991452991453</c:v>
                </c:pt>
                <c:pt idx="61">
                  <c:v>1.0388513513513513</c:v>
                </c:pt>
                <c:pt idx="62">
                  <c:v>1.0302822925577417</c:v>
                </c:pt>
                <c:pt idx="63">
                  <c:v>1.0300429184549356</c:v>
                </c:pt>
                <c:pt idx="64">
                  <c:v>1.0441426146010186</c:v>
                </c:pt>
                <c:pt idx="65">
                  <c:v>1.0597269624573378</c:v>
                </c:pt>
                <c:pt idx="66">
                  <c:v>1.0578231292517006</c:v>
                </c:pt>
                <c:pt idx="67">
                  <c:v>1.0539845758354756</c:v>
                </c:pt>
                <c:pt idx="68">
                  <c:v>1.0498281786941581</c:v>
                </c:pt>
                <c:pt idx="69">
                  <c:v>1.0840020488304594</c:v>
                </c:pt>
                <c:pt idx="70">
                  <c:v>1.0562180579216354</c:v>
                </c:pt>
                <c:pt idx="71">
                  <c:v>1.0404330908475723</c:v>
                </c:pt>
                <c:pt idx="72">
                  <c:v>1.050252100840336</c:v>
                </c:pt>
                <c:pt idx="73">
                  <c:v>1.0500834724540902</c:v>
                </c:pt>
                <c:pt idx="74">
                  <c:v>1.0573566084788031</c:v>
                </c:pt>
                <c:pt idx="75">
                  <c:v>1.0383973288814692</c:v>
                </c:pt>
                <c:pt idx="76">
                  <c:v>1.0301507537688441</c:v>
                </c:pt>
                <c:pt idx="77">
                  <c:v>1.036096256684492</c:v>
                </c:pt>
                <c:pt idx="78">
                  <c:v>1.0437375745526838</c:v>
                </c:pt>
                <c:pt idx="79">
                  <c:v>1.0499667994687916</c:v>
                </c:pt>
                <c:pt idx="80">
                  <c:v>1.0583333333333333</c:v>
                </c:pt>
                <c:pt idx="81">
                  <c:v>1.0649155094529028</c:v>
                </c:pt>
                <c:pt idx="82">
                  <c:v>1.073109243697479</c:v>
                </c:pt>
                <c:pt idx="83">
                  <c:v>1.0458762017203576</c:v>
                </c:pt>
                <c:pt idx="84">
                  <c:v>1.0414895425947968</c:v>
                </c:pt>
                <c:pt idx="85">
                  <c:v>1.0526315789473684</c:v>
                </c:pt>
                <c:pt idx="86">
                  <c:v>1.0591048855483429</c:v>
                </c:pt>
                <c:pt idx="87">
                  <c:v>1.0672440142638817</c:v>
                </c:pt>
                <c:pt idx="88">
                  <c:v>1.0773809523809523</c:v>
                </c:pt>
                <c:pt idx="89">
                  <c:v>1.0841201716738198</c:v>
                </c:pt>
                <c:pt idx="90">
                  <c:v>1.0899742930591259</c:v>
                </c:pt>
                <c:pt idx="91">
                  <c:v>1.080068143100511</c:v>
                </c:pt>
                <c:pt idx="92">
                  <c:v>1.0823429541595926</c:v>
                </c:pt>
                <c:pt idx="93">
                  <c:v>1.0886615515771525</c:v>
                </c:pt>
                <c:pt idx="94">
                  <c:v>1.0930828351836037</c:v>
                </c:pt>
                <c:pt idx="95">
                  <c:v>1.0805614632071459</c:v>
                </c:pt>
                <c:pt idx="96">
                  <c:v>1.0856658184902459</c:v>
                </c:pt>
                <c:pt idx="97">
                  <c:v>1.0755765022723447</c:v>
                </c:pt>
                <c:pt idx="98">
                  <c:v>1.0849296490930667</c:v>
                </c:pt>
                <c:pt idx="99">
                  <c:v>1.0764944275582573</c:v>
                </c:pt>
                <c:pt idx="100">
                  <c:v>1.1101766190075695</c:v>
                </c:pt>
                <c:pt idx="101">
                  <c:v>1.0861106411774657</c:v>
                </c:pt>
                <c:pt idx="102">
                  <c:v>1.0825439783491204</c:v>
                </c:pt>
                <c:pt idx="103">
                  <c:v>1.0962774957698815</c:v>
                </c:pt>
                <c:pt idx="104">
                  <c:v>1.0968858131487889</c:v>
                </c:pt>
                <c:pt idx="105">
                  <c:v>1.1142355008787346</c:v>
                </c:pt>
                <c:pt idx="106">
                  <c:v>1.1065454545454545</c:v>
                </c:pt>
                <c:pt idx="107">
                  <c:v>1.0780399274047188</c:v>
                </c:pt>
                <c:pt idx="108">
                  <c:v>1.1127596439169138</c:v>
                </c:pt>
                <c:pt idx="109">
                  <c:v>1.1121764141898369</c:v>
                </c:pt>
                <c:pt idx="110">
                  <c:v>1.1121764141898369</c:v>
                </c:pt>
                <c:pt idx="111">
                  <c:v>1.0969006721433905</c:v>
                </c:pt>
                <c:pt idx="112">
                  <c:v>1.1065801668211306</c:v>
                </c:pt>
                <c:pt idx="113">
                  <c:v>1.0988607129731716</c:v>
                </c:pt>
                <c:pt idx="114">
                  <c:v>1.0873928115307425</c:v>
                </c:pt>
                <c:pt idx="115">
                  <c:v>1.0839861541264346</c:v>
                </c:pt>
                <c:pt idx="116">
                  <c:v>1.0968921389396709</c:v>
                </c:pt>
                <c:pt idx="117">
                  <c:v>1.0786106032906764</c:v>
                </c:pt>
                <c:pt idx="118">
                  <c:v>1.0519670631290028</c:v>
                </c:pt>
                <c:pt idx="119">
                  <c:v>1.0746268656716418</c:v>
                </c:pt>
                <c:pt idx="120">
                  <c:v>1.0359110773323199</c:v>
                </c:pt>
                <c:pt idx="121">
                  <c:v>1.0694251044360454</c:v>
                </c:pt>
                <c:pt idx="122">
                  <c:v>1.0814299900695135</c:v>
                </c:pt>
                <c:pt idx="123">
                  <c:v>1.0506858643836949</c:v>
                </c:pt>
                <c:pt idx="124">
                  <c:v>1.0642585551330799</c:v>
                </c:pt>
                <c:pt idx="125">
                  <c:v>1.0849056603773586</c:v>
                </c:pt>
                <c:pt idx="126">
                  <c:v>1.0851262862488307</c:v>
                </c:pt>
                <c:pt idx="127">
                  <c:v>1.0949773413897281</c:v>
                </c:pt>
                <c:pt idx="128">
                  <c:v>1.0767790262172285</c:v>
                </c:pt>
                <c:pt idx="129">
                  <c:v>1.0727611940298507</c:v>
                </c:pt>
                <c:pt idx="130">
                  <c:v>1.0698198198198199</c:v>
                </c:pt>
                <c:pt idx="131">
                  <c:v>1.0605176104300447</c:v>
                </c:pt>
                <c:pt idx="132">
                  <c:v>1.0626111001382579</c:v>
                </c:pt>
                <c:pt idx="133">
                  <c:v>1.0559760956175299</c:v>
                </c:pt>
                <c:pt idx="134">
                  <c:v>1.0766129032258065</c:v>
                </c:pt>
                <c:pt idx="135">
                  <c:v>1.0863124629666205</c:v>
                </c:pt>
                <c:pt idx="136">
                  <c:v>1.0704527712724434</c:v>
                </c:pt>
                <c:pt idx="137">
                  <c:v>1.0842370255615801</c:v>
                </c:pt>
                <c:pt idx="138">
                  <c:v>1.0644910644910646</c:v>
                </c:pt>
                <c:pt idx="139">
                  <c:v>1.0592808551992225</c:v>
                </c:pt>
                <c:pt idx="140">
                  <c:v>1.0670553935860059</c:v>
                </c:pt>
                <c:pt idx="141">
                  <c:v>1.0889362526642123</c:v>
                </c:pt>
                <c:pt idx="142">
                  <c:v>1.0834301200154859</c:v>
                </c:pt>
                <c:pt idx="143">
                  <c:v>1.0869146270957795</c:v>
                </c:pt>
                <c:pt idx="144">
                  <c:v>1.1057225994180406</c:v>
                </c:pt>
                <c:pt idx="145">
                  <c:v>1.0837817063797079</c:v>
                </c:pt>
                <c:pt idx="146">
                  <c:v>1.0844529750479845</c:v>
                </c:pt>
                <c:pt idx="147">
                  <c:v>1.0867492850333651</c:v>
                </c:pt>
                <c:pt idx="148">
                  <c:v>1.0831758034026464</c:v>
                </c:pt>
                <c:pt idx="149">
                  <c:v>1.0867528574105303</c:v>
                </c:pt>
                <c:pt idx="150">
                  <c:v>1.0740740740740742</c:v>
                </c:pt>
                <c:pt idx="151">
                  <c:v>1.068840579710145</c:v>
                </c:pt>
                <c:pt idx="152">
                  <c:v>1.0644007155635062</c:v>
                </c:pt>
                <c:pt idx="153">
                  <c:v>1.0595406360424029</c:v>
                </c:pt>
                <c:pt idx="154">
                  <c:v>1.0784661814308538</c:v>
                </c:pt>
                <c:pt idx="155">
                  <c:v>1.0768821022727273</c:v>
                </c:pt>
                <c:pt idx="156">
                  <c:v>1.065432098765432</c:v>
                </c:pt>
                <c:pt idx="157">
                  <c:v>1.0769909941727001</c:v>
                </c:pt>
                <c:pt idx="158">
                  <c:v>1.0748898678414096</c:v>
                </c:pt>
                <c:pt idx="159">
                  <c:v>1.0762411347517731</c:v>
                </c:pt>
                <c:pt idx="160">
                  <c:v>1.0684295158120423</c:v>
                </c:pt>
                <c:pt idx="161">
                  <c:v>1.0705587392550144</c:v>
                </c:pt>
                <c:pt idx="162">
                  <c:v>1.08675799086758</c:v>
                </c:pt>
                <c:pt idx="163">
                  <c:v>1.0730387736699729</c:v>
                </c:pt>
                <c:pt idx="164">
                  <c:v>1.0589072788752447</c:v>
                </c:pt>
                <c:pt idx="165">
                  <c:v>1.0677083333333333</c:v>
                </c:pt>
                <c:pt idx="166">
                  <c:v>1.0534351145038168</c:v>
                </c:pt>
                <c:pt idx="167">
                  <c:v>1.0700389105058365</c:v>
                </c:pt>
                <c:pt idx="168">
                  <c:v>1.0717948717948718</c:v>
                </c:pt>
                <c:pt idx="169">
                  <c:v>1.0719781159172508</c:v>
                </c:pt>
                <c:pt idx="170">
                  <c:v>1.0822362797059326</c:v>
                </c:pt>
                <c:pt idx="171">
                  <c:v>1.075</c:v>
                </c:pt>
                <c:pt idx="172">
                  <c:v>1.0495928941524797</c:v>
                </c:pt>
                <c:pt idx="173">
                  <c:v>1.0766666666666667</c:v>
                </c:pt>
                <c:pt idx="174">
                  <c:v>1.076285240464345</c:v>
                </c:pt>
                <c:pt idx="175">
                  <c:v>1.0860197368421052</c:v>
                </c:pt>
                <c:pt idx="176">
                  <c:v>1.0768985322271858</c:v>
                </c:pt>
                <c:pt idx="177">
                  <c:v>1.0858995137763372</c:v>
                </c:pt>
                <c:pt idx="178">
                  <c:v>1.1124794745484401</c:v>
                </c:pt>
                <c:pt idx="179">
                  <c:v>1.1056910569105691</c:v>
                </c:pt>
                <c:pt idx="180">
                  <c:v>1.0925925925925926</c:v>
                </c:pt>
                <c:pt idx="181">
                  <c:v>1.0982932996207333</c:v>
                </c:pt>
                <c:pt idx="182">
                  <c:v>1.1112877583465819</c:v>
                </c:pt>
                <c:pt idx="183">
                  <c:v>1.1199684293606946</c:v>
                </c:pt>
                <c:pt idx="184">
                  <c:v>1.107936507936508</c:v>
                </c:pt>
                <c:pt idx="185">
                  <c:v>1.1038651184984889</c:v>
                </c:pt>
                <c:pt idx="186">
                  <c:v>1.0909090909090908</c:v>
                </c:pt>
                <c:pt idx="187">
                  <c:v>1.1104928457869634</c:v>
                </c:pt>
                <c:pt idx="188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D-40F4-A9FB-F1EEB6169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8448"/>
        <c:axId val="202570368"/>
      </c:scatterChart>
      <c:valAx>
        <c:axId val="202568448"/>
        <c:scaling>
          <c:orientation val="minMax"/>
          <c:max val="44370"/>
          <c:min val="44081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202570368"/>
        <c:crosses val="autoZero"/>
        <c:crossBetween val="midCat"/>
        <c:majorUnit val="40"/>
      </c:valAx>
      <c:valAx>
        <c:axId val="202570368"/>
        <c:scaling>
          <c:orientation val="minMax"/>
          <c:max val="1.1600000000000001"/>
          <c:min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>
                    <a:latin typeface="Arial" pitchFamily="34" charset="0"/>
                    <a:cs typeface="Arial" pitchFamily="34" charset="0"/>
                  </a:defRPr>
                </a:pPr>
                <a:r>
                  <a:rPr lang="en-US" sz="900">
                    <a:latin typeface="Arial" pitchFamily="34" charset="0"/>
                    <a:cs typeface="Arial" pitchFamily="34" charset="0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8.8330500458108307E-5"/>
              <c:y val="0.51048557746047785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202568448"/>
        <c:crossesAt val="0"/>
        <c:crossBetween val="midCat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 b="1" i="0" baseline="0">
                <a:effectLst/>
                <a:latin typeface="Arial" pitchFamily="34" charset="0"/>
                <a:cs typeface="Arial" pitchFamily="34" charset="0"/>
              </a:rPr>
              <a:t>Spread de legislación GD35 vs AL35</a:t>
            </a:r>
            <a:endParaRPr lang="es-AR" sz="1200">
              <a:effectLst/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3173630668429221"/>
          <c:y val="4.497297966788912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851638983083317"/>
          <c:y val="0.18524222344565891"/>
          <c:w val="0.81816253807690098"/>
          <c:h val="0.74880686570272248"/>
        </c:manualLayout>
      </c:layout>
      <c:scatterChart>
        <c:scatterStyle val="lineMarker"/>
        <c:varyColors val="0"/>
        <c:ser>
          <c:idx val="0"/>
          <c:order val="0"/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'Ratios legislación'!$A$3:$A$208</c:f>
              <c:numCache>
                <c:formatCode>dd/mm/yyyy;@</c:formatCode>
                <c:ptCount val="206"/>
                <c:pt idx="0">
                  <c:v>44082</c:v>
                </c:pt>
                <c:pt idx="1">
                  <c:v>44083</c:v>
                </c:pt>
                <c:pt idx="2">
                  <c:v>44084</c:v>
                </c:pt>
                <c:pt idx="3">
                  <c:v>44085</c:v>
                </c:pt>
                <c:pt idx="4">
                  <c:v>44088</c:v>
                </c:pt>
                <c:pt idx="5">
                  <c:v>44089</c:v>
                </c:pt>
                <c:pt idx="6">
                  <c:v>44090</c:v>
                </c:pt>
                <c:pt idx="7">
                  <c:v>44091</c:v>
                </c:pt>
                <c:pt idx="8">
                  <c:v>44092</c:v>
                </c:pt>
                <c:pt idx="9">
                  <c:v>44095</c:v>
                </c:pt>
                <c:pt idx="10">
                  <c:v>44096</c:v>
                </c:pt>
                <c:pt idx="11">
                  <c:v>44097</c:v>
                </c:pt>
                <c:pt idx="12">
                  <c:v>44098</c:v>
                </c:pt>
                <c:pt idx="13">
                  <c:v>44099</c:v>
                </c:pt>
                <c:pt idx="14">
                  <c:v>44102</c:v>
                </c:pt>
                <c:pt idx="15">
                  <c:v>44103</c:v>
                </c:pt>
                <c:pt idx="16">
                  <c:v>44104</c:v>
                </c:pt>
                <c:pt idx="17">
                  <c:v>44105</c:v>
                </c:pt>
                <c:pt idx="18">
                  <c:v>44106</c:v>
                </c:pt>
                <c:pt idx="19">
                  <c:v>44109</c:v>
                </c:pt>
                <c:pt idx="20">
                  <c:v>44110</c:v>
                </c:pt>
                <c:pt idx="21">
                  <c:v>44111</c:v>
                </c:pt>
                <c:pt idx="22">
                  <c:v>44112</c:v>
                </c:pt>
                <c:pt idx="23">
                  <c:v>44113</c:v>
                </c:pt>
                <c:pt idx="24">
                  <c:v>44117</c:v>
                </c:pt>
                <c:pt idx="25">
                  <c:v>44118</c:v>
                </c:pt>
                <c:pt idx="26">
                  <c:v>44119</c:v>
                </c:pt>
                <c:pt idx="27">
                  <c:v>44120</c:v>
                </c:pt>
                <c:pt idx="28">
                  <c:v>44123</c:v>
                </c:pt>
                <c:pt idx="29">
                  <c:v>44124</c:v>
                </c:pt>
                <c:pt idx="30">
                  <c:v>44125</c:v>
                </c:pt>
                <c:pt idx="31">
                  <c:v>44126</c:v>
                </c:pt>
                <c:pt idx="32">
                  <c:v>44127</c:v>
                </c:pt>
                <c:pt idx="33">
                  <c:v>44130</c:v>
                </c:pt>
                <c:pt idx="34">
                  <c:v>44131</c:v>
                </c:pt>
                <c:pt idx="35">
                  <c:v>44132</c:v>
                </c:pt>
                <c:pt idx="36">
                  <c:v>44133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44159</c:v>
                </c:pt>
                <c:pt idx="54">
                  <c:v>44160</c:v>
                </c:pt>
                <c:pt idx="55">
                  <c:v>44161</c:v>
                </c:pt>
                <c:pt idx="56">
                  <c:v>44162</c:v>
                </c:pt>
                <c:pt idx="57">
                  <c:v>44165</c:v>
                </c:pt>
                <c:pt idx="58">
                  <c:v>44166</c:v>
                </c:pt>
                <c:pt idx="59">
                  <c:v>44167</c:v>
                </c:pt>
                <c:pt idx="60">
                  <c:v>44168</c:v>
                </c:pt>
                <c:pt idx="61">
                  <c:v>44169</c:v>
                </c:pt>
                <c:pt idx="62">
                  <c:v>44174</c:v>
                </c:pt>
                <c:pt idx="63">
                  <c:v>44175</c:v>
                </c:pt>
                <c:pt idx="64">
                  <c:v>44176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44193</c:v>
                </c:pt>
                <c:pt idx="74">
                  <c:v>44194</c:v>
                </c:pt>
                <c:pt idx="75">
                  <c:v>44195</c:v>
                </c:pt>
                <c:pt idx="76">
                  <c:v>44200</c:v>
                </c:pt>
                <c:pt idx="77">
                  <c:v>44201</c:v>
                </c:pt>
                <c:pt idx="78">
                  <c:v>44202</c:v>
                </c:pt>
                <c:pt idx="79">
                  <c:v>44203</c:v>
                </c:pt>
                <c:pt idx="80">
                  <c:v>44204</c:v>
                </c:pt>
                <c:pt idx="81">
                  <c:v>44207</c:v>
                </c:pt>
                <c:pt idx="82">
                  <c:v>44208</c:v>
                </c:pt>
                <c:pt idx="83">
                  <c:v>44209</c:v>
                </c:pt>
                <c:pt idx="84">
                  <c:v>44210</c:v>
                </c:pt>
                <c:pt idx="85">
                  <c:v>44211</c:v>
                </c:pt>
                <c:pt idx="86">
                  <c:v>44214</c:v>
                </c:pt>
                <c:pt idx="87">
                  <c:v>44215</c:v>
                </c:pt>
                <c:pt idx="88">
                  <c:v>44216</c:v>
                </c:pt>
                <c:pt idx="89">
                  <c:v>44217</c:v>
                </c:pt>
                <c:pt idx="90">
                  <c:v>44218</c:v>
                </c:pt>
                <c:pt idx="91">
                  <c:v>44221</c:v>
                </c:pt>
                <c:pt idx="92">
                  <c:v>44222</c:v>
                </c:pt>
                <c:pt idx="93">
                  <c:v>44223</c:v>
                </c:pt>
                <c:pt idx="94">
                  <c:v>44224</c:v>
                </c:pt>
                <c:pt idx="95">
                  <c:v>44225</c:v>
                </c:pt>
                <c:pt idx="96">
                  <c:v>44228</c:v>
                </c:pt>
                <c:pt idx="97">
                  <c:v>44229</c:v>
                </c:pt>
                <c:pt idx="98">
                  <c:v>44230</c:v>
                </c:pt>
                <c:pt idx="99">
                  <c:v>44231</c:v>
                </c:pt>
                <c:pt idx="100">
                  <c:v>44232</c:v>
                </c:pt>
                <c:pt idx="101">
                  <c:v>44235</c:v>
                </c:pt>
                <c:pt idx="102">
                  <c:v>44236</c:v>
                </c:pt>
                <c:pt idx="103">
                  <c:v>44237</c:v>
                </c:pt>
                <c:pt idx="104">
                  <c:v>44238</c:v>
                </c:pt>
                <c:pt idx="105">
                  <c:v>44239</c:v>
                </c:pt>
                <c:pt idx="106">
                  <c:v>44244</c:v>
                </c:pt>
                <c:pt idx="107">
                  <c:v>44245</c:v>
                </c:pt>
                <c:pt idx="108">
                  <c:v>44246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44256</c:v>
                </c:pt>
                <c:pt idx="115">
                  <c:v>44257</c:v>
                </c:pt>
                <c:pt idx="116">
                  <c:v>44258</c:v>
                </c:pt>
                <c:pt idx="117">
                  <c:v>44259</c:v>
                </c:pt>
                <c:pt idx="118">
                  <c:v>44260</c:v>
                </c:pt>
                <c:pt idx="119">
                  <c:v>44263</c:v>
                </c:pt>
                <c:pt idx="120">
                  <c:v>44264</c:v>
                </c:pt>
                <c:pt idx="121">
                  <c:v>44265</c:v>
                </c:pt>
                <c:pt idx="122">
                  <c:v>44266</c:v>
                </c:pt>
                <c:pt idx="123">
                  <c:v>44267</c:v>
                </c:pt>
                <c:pt idx="124">
                  <c:v>44270</c:v>
                </c:pt>
                <c:pt idx="125">
                  <c:v>44271</c:v>
                </c:pt>
                <c:pt idx="126">
                  <c:v>44272</c:v>
                </c:pt>
                <c:pt idx="127">
                  <c:v>44273</c:v>
                </c:pt>
                <c:pt idx="128">
                  <c:v>44274</c:v>
                </c:pt>
                <c:pt idx="129">
                  <c:v>44277</c:v>
                </c:pt>
                <c:pt idx="130">
                  <c:v>44278</c:v>
                </c:pt>
                <c:pt idx="131">
                  <c:v>44280</c:v>
                </c:pt>
                <c:pt idx="132">
                  <c:v>44281</c:v>
                </c:pt>
                <c:pt idx="133">
                  <c:v>44284</c:v>
                </c:pt>
                <c:pt idx="134">
                  <c:v>44285</c:v>
                </c:pt>
                <c:pt idx="135">
                  <c:v>44286</c:v>
                </c:pt>
                <c:pt idx="136">
                  <c:v>44291</c:v>
                </c:pt>
                <c:pt idx="137">
                  <c:v>44292</c:v>
                </c:pt>
                <c:pt idx="138">
                  <c:v>44293</c:v>
                </c:pt>
                <c:pt idx="139">
                  <c:v>44294</c:v>
                </c:pt>
                <c:pt idx="140">
                  <c:v>44295</c:v>
                </c:pt>
                <c:pt idx="141">
                  <c:v>44298</c:v>
                </c:pt>
                <c:pt idx="142">
                  <c:v>44299</c:v>
                </c:pt>
                <c:pt idx="143">
                  <c:v>44300</c:v>
                </c:pt>
                <c:pt idx="144">
                  <c:v>44301</c:v>
                </c:pt>
                <c:pt idx="145">
                  <c:v>44302</c:v>
                </c:pt>
                <c:pt idx="146">
                  <c:v>44305</c:v>
                </c:pt>
                <c:pt idx="147">
                  <c:v>44306</c:v>
                </c:pt>
                <c:pt idx="148">
                  <c:v>44307</c:v>
                </c:pt>
                <c:pt idx="149">
                  <c:v>44308</c:v>
                </c:pt>
                <c:pt idx="150">
                  <c:v>44309</c:v>
                </c:pt>
                <c:pt idx="151">
                  <c:v>44312</c:v>
                </c:pt>
                <c:pt idx="152">
                  <c:v>44313</c:v>
                </c:pt>
                <c:pt idx="153">
                  <c:v>44314</c:v>
                </c:pt>
                <c:pt idx="154">
                  <c:v>44315</c:v>
                </c:pt>
                <c:pt idx="155">
                  <c:v>44316</c:v>
                </c:pt>
                <c:pt idx="156">
                  <c:v>44319</c:v>
                </c:pt>
                <c:pt idx="157">
                  <c:v>44320</c:v>
                </c:pt>
                <c:pt idx="158">
                  <c:v>44321</c:v>
                </c:pt>
                <c:pt idx="159">
                  <c:v>44322</c:v>
                </c:pt>
                <c:pt idx="160">
                  <c:v>44323</c:v>
                </c:pt>
                <c:pt idx="161">
                  <c:v>44326</c:v>
                </c:pt>
                <c:pt idx="162">
                  <c:v>44327</c:v>
                </c:pt>
                <c:pt idx="163">
                  <c:v>44328</c:v>
                </c:pt>
                <c:pt idx="164">
                  <c:v>44329</c:v>
                </c:pt>
                <c:pt idx="165">
                  <c:v>44330</c:v>
                </c:pt>
                <c:pt idx="166">
                  <c:v>44333</c:v>
                </c:pt>
                <c:pt idx="167">
                  <c:v>44334</c:v>
                </c:pt>
                <c:pt idx="168">
                  <c:v>44335</c:v>
                </c:pt>
                <c:pt idx="169">
                  <c:v>44336</c:v>
                </c:pt>
                <c:pt idx="170">
                  <c:v>44337</c:v>
                </c:pt>
                <c:pt idx="171">
                  <c:v>44342</c:v>
                </c:pt>
                <c:pt idx="172">
                  <c:v>44343</c:v>
                </c:pt>
                <c:pt idx="173">
                  <c:v>44344</c:v>
                </c:pt>
                <c:pt idx="174">
                  <c:v>44347</c:v>
                </c:pt>
                <c:pt idx="175">
                  <c:v>44348</c:v>
                </c:pt>
                <c:pt idx="176">
                  <c:v>44349</c:v>
                </c:pt>
                <c:pt idx="177">
                  <c:v>44350</c:v>
                </c:pt>
                <c:pt idx="178">
                  <c:v>44351</c:v>
                </c:pt>
                <c:pt idx="179">
                  <c:v>44354</c:v>
                </c:pt>
                <c:pt idx="180">
                  <c:v>44355</c:v>
                </c:pt>
                <c:pt idx="181">
                  <c:v>44356</c:v>
                </c:pt>
                <c:pt idx="182">
                  <c:v>44357</c:v>
                </c:pt>
                <c:pt idx="183">
                  <c:v>44358</c:v>
                </c:pt>
                <c:pt idx="184">
                  <c:v>44361</c:v>
                </c:pt>
                <c:pt idx="185">
                  <c:v>44362</c:v>
                </c:pt>
                <c:pt idx="186">
                  <c:v>44363</c:v>
                </c:pt>
                <c:pt idx="187">
                  <c:v>44364</c:v>
                </c:pt>
                <c:pt idx="188">
                  <c:v>44365</c:v>
                </c:pt>
              </c:numCache>
            </c:numRef>
          </c:xVal>
          <c:yVal>
            <c:numRef>
              <c:f>'Ratios legislación'!$D$3:$D$208</c:f>
              <c:numCache>
                <c:formatCode>0.000</c:formatCode>
                <c:ptCount val="206"/>
                <c:pt idx="0">
                  <c:v>1.0034090909090909</c:v>
                </c:pt>
                <c:pt idx="1">
                  <c:v>0.99911816578483248</c:v>
                </c:pt>
                <c:pt idx="2">
                  <c:v>0.99911331796417802</c:v>
                </c:pt>
                <c:pt idx="3">
                  <c:v>1.0035906642728905</c:v>
                </c:pt>
                <c:pt idx="4">
                  <c:v>1.0081521739130435</c:v>
                </c:pt>
                <c:pt idx="5">
                  <c:v>1.0250506538957451</c:v>
                </c:pt>
                <c:pt idx="6">
                  <c:v>1.0299625468164795</c:v>
                </c:pt>
                <c:pt idx="7">
                  <c:v>0.99980772928283024</c:v>
                </c:pt>
                <c:pt idx="8">
                  <c:v>1.0093632958801497</c:v>
                </c:pt>
                <c:pt idx="9">
                  <c:v>1.0065851364063969</c:v>
                </c:pt>
                <c:pt idx="10">
                  <c:v>1.0235849056603774</c:v>
                </c:pt>
                <c:pt idx="11">
                  <c:v>1.0164784299203851</c:v>
                </c:pt>
                <c:pt idx="12">
                  <c:v>1.0311926605504587</c:v>
                </c:pt>
                <c:pt idx="13">
                  <c:v>1.0126582278481013</c:v>
                </c:pt>
                <c:pt idx="14">
                  <c:v>1.0107047279214987</c:v>
                </c:pt>
                <c:pt idx="15">
                  <c:v>1.0261496844003606</c:v>
                </c:pt>
                <c:pt idx="16">
                  <c:v>1.0107142857142857</c:v>
                </c:pt>
                <c:pt idx="17">
                  <c:v>1.00340440781222</c:v>
                </c:pt>
                <c:pt idx="18">
                  <c:v>1.0063006300630064</c:v>
                </c:pt>
                <c:pt idx="19">
                  <c:v>1.0044444444444445</c:v>
                </c:pt>
                <c:pt idx="20">
                  <c:v>1.0019681517266059</c:v>
                </c:pt>
                <c:pt idx="21">
                  <c:v>1.0180799132164167</c:v>
                </c:pt>
                <c:pt idx="22">
                  <c:v>1.0142095914742451</c:v>
                </c:pt>
                <c:pt idx="23">
                  <c:v>1.0259515570934257</c:v>
                </c:pt>
                <c:pt idx="24">
                  <c:v>1.0328068043742407</c:v>
                </c:pt>
                <c:pt idx="25">
                  <c:v>1.030664395229983</c:v>
                </c:pt>
                <c:pt idx="26">
                  <c:v>1.0442176870748299</c:v>
                </c:pt>
                <c:pt idx="27">
                  <c:v>1.0233270900732163</c:v>
                </c:pt>
                <c:pt idx="28">
                  <c:v>1.0526315789473684</c:v>
                </c:pt>
                <c:pt idx="29">
                  <c:v>1.0481189851268591</c:v>
                </c:pt>
                <c:pt idx="30">
                  <c:v>1.043630017452007</c:v>
                </c:pt>
                <c:pt idx="31">
                  <c:v>1.0723958333333334</c:v>
                </c:pt>
                <c:pt idx="32">
                  <c:v>1.0672566371681416</c:v>
                </c:pt>
                <c:pt idx="33">
                  <c:v>1.036697247706422</c:v>
                </c:pt>
                <c:pt idx="34">
                  <c:v>1.0566037735849056</c:v>
                </c:pt>
                <c:pt idx="35">
                  <c:v>1.0249999999999999</c:v>
                </c:pt>
                <c:pt idx="36">
                  <c:v>1.0194174757281553</c:v>
                </c:pt>
                <c:pt idx="37">
                  <c:v>1.0135431189006174</c:v>
                </c:pt>
                <c:pt idx="38">
                  <c:v>1.0251256281407035</c:v>
                </c:pt>
                <c:pt idx="39">
                  <c:v>1.0358061325420376</c:v>
                </c:pt>
                <c:pt idx="40">
                  <c:v>1.0361681329423265</c:v>
                </c:pt>
                <c:pt idx="41">
                  <c:v>1.0434782608695652</c:v>
                </c:pt>
                <c:pt idx="42">
                  <c:v>1.0495145631067961</c:v>
                </c:pt>
                <c:pt idx="43">
                  <c:v>1.0037383177570094</c:v>
                </c:pt>
                <c:pt idx="44">
                  <c:v>1.0418560606060605</c:v>
                </c:pt>
                <c:pt idx="45">
                  <c:v>1.0619803476946335</c:v>
                </c:pt>
                <c:pt idx="46">
                  <c:v>1.0468240260986375</c:v>
                </c:pt>
                <c:pt idx="47">
                  <c:v>1.065049192855096</c:v>
                </c:pt>
                <c:pt idx="48">
                  <c:v>1.0469246588147316</c:v>
                </c:pt>
                <c:pt idx="49">
                  <c:v>1.0341643582640812</c:v>
                </c:pt>
                <c:pt idx="50">
                  <c:v>1.0107780092382936</c:v>
                </c:pt>
                <c:pt idx="51">
                  <c:v>1.0128440366972478</c:v>
                </c:pt>
                <c:pt idx="52">
                  <c:v>1.0187568959176168</c:v>
                </c:pt>
                <c:pt idx="53">
                  <c:v>1.0359617905974903</c:v>
                </c:pt>
                <c:pt idx="54">
                  <c:v>1.0239713099282748</c:v>
                </c:pt>
                <c:pt idx="55">
                  <c:v>1.0486641221374047</c:v>
                </c:pt>
                <c:pt idx="56">
                  <c:v>1.0540744942333145</c:v>
                </c:pt>
                <c:pt idx="57">
                  <c:v>1.0287963140717988</c:v>
                </c:pt>
                <c:pt idx="58">
                  <c:v>1.0252931485609071</c:v>
                </c:pt>
                <c:pt idx="59">
                  <c:v>1.0263929618768328</c:v>
                </c:pt>
                <c:pt idx="60">
                  <c:v>1.0211365902293121</c:v>
                </c:pt>
                <c:pt idx="61">
                  <c:v>1.0107355864811134</c:v>
                </c:pt>
                <c:pt idx="62">
                  <c:v>1.0142857142857142</c:v>
                </c:pt>
                <c:pt idx="63">
                  <c:v>1.0264227642276422</c:v>
                </c:pt>
                <c:pt idx="64">
                  <c:v>1.0455276381909548</c:v>
                </c:pt>
                <c:pt idx="65">
                  <c:v>1.047047047047047</c:v>
                </c:pt>
                <c:pt idx="66">
                  <c:v>1.042</c:v>
                </c:pt>
                <c:pt idx="67">
                  <c:v>1.0434343434343434</c:v>
                </c:pt>
                <c:pt idx="68">
                  <c:v>1.0311631599841207</c:v>
                </c:pt>
                <c:pt idx="69">
                  <c:v>1.0227936879018118</c:v>
                </c:pt>
                <c:pt idx="70">
                  <c:v>1.0233918128654971</c:v>
                </c:pt>
                <c:pt idx="71">
                  <c:v>1.0301263362487851</c:v>
                </c:pt>
                <c:pt idx="72">
                  <c:v>1.0270793036750483</c:v>
                </c:pt>
                <c:pt idx="73">
                  <c:v>1.0171785028790787</c:v>
                </c:pt>
                <c:pt idx="74">
                  <c:v>1.0115052732502396</c:v>
                </c:pt>
                <c:pt idx="75">
                  <c:v>1.0295938104448743</c:v>
                </c:pt>
                <c:pt idx="76">
                  <c:v>1.0158362302047121</c:v>
                </c:pt>
                <c:pt idx="77">
                  <c:v>1.0281280310378274</c:v>
                </c:pt>
                <c:pt idx="78">
                  <c:v>1.0278044103547459</c:v>
                </c:pt>
                <c:pt idx="79">
                  <c:v>1.0448773868372589</c:v>
                </c:pt>
                <c:pt idx="80">
                  <c:v>1.0360534987400658</c:v>
                </c:pt>
                <c:pt idx="81">
                  <c:v>1.0349221789883269</c:v>
                </c:pt>
                <c:pt idx="82">
                  <c:v>1.036957371920219</c:v>
                </c:pt>
                <c:pt idx="83">
                  <c:v>1.0227722772277228</c:v>
                </c:pt>
                <c:pt idx="84">
                  <c:v>1.0127744510978043</c:v>
                </c:pt>
                <c:pt idx="85">
                  <c:v>1.0217821782178218</c:v>
                </c:pt>
                <c:pt idx="86">
                  <c:v>1.0254254254254254</c:v>
                </c:pt>
                <c:pt idx="87">
                  <c:v>1.0457451058729526</c:v>
                </c:pt>
                <c:pt idx="88">
                  <c:v>1.0544286001205061</c:v>
                </c:pt>
                <c:pt idx="89">
                  <c:v>1.0680799021606195</c:v>
                </c:pt>
                <c:pt idx="90">
                  <c:v>1.0772888214466363</c:v>
                </c:pt>
                <c:pt idx="91">
                  <c:v>1.0713567839195981</c:v>
                </c:pt>
                <c:pt idx="92">
                  <c:v>1.0536779324055665</c:v>
                </c:pt>
                <c:pt idx="93">
                  <c:v>1.0558305286081964</c:v>
                </c:pt>
                <c:pt idx="94">
                  <c:v>1.0567010309278351</c:v>
                </c:pt>
                <c:pt idx="95">
                  <c:v>1.057011402280456</c:v>
                </c:pt>
                <c:pt idx="96">
                  <c:v>1.0640413683373111</c:v>
                </c:pt>
                <c:pt idx="97">
                  <c:v>1.0632584046150786</c:v>
                </c:pt>
                <c:pt idx="98">
                  <c:v>1.0524241229798976</c:v>
                </c:pt>
                <c:pt idx="99">
                  <c:v>1.0391006842619745</c:v>
                </c:pt>
                <c:pt idx="100">
                  <c:v>1.0478983382209188</c:v>
                </c:pt>
                <c:pt idx="101">
                  <c:v>1.0530467363439164</c:v>
                </c:pt>
                <c:pt idx="102">
                  <c:v>1.0466034755134281</c:v>
                </c:pt>
                <c:pt idx="103">
                  <c:v>1.0499105189898588</c:v>
                </c:pt>
                <c:pt idx="104">
                  <c:v>1.0444444444444445</c:v>
                </c:pt>
                <c:pt idx="105">
                  <c:v>1.0365617680008148</c:v>
                </c:pt>
                <c:pt idx="106">
                  <c:v>1.0437660119555936</c:v>
                </c:pt>
                <c:pt idx="107">
                  <c:v>1.022604951560818</c:v>
                </c:pt>
                <c:pt idx="108">
                  <c:v>1.0362637362637364</c:v>
                </c:pt>
                <c:pt idx="109">
                  <c:v>1.0348706411698538</c:v>
                </c:pt>
                <c:pt idx="110">
                  <c:v>1.0297738974703381</c:v>
                </c:pt>
                <c:pt idx="111">
                  <c:v>1.0340342510296987</c:v>
                </c:pt>
                <c:pt idx="112">
                  <c:v>1.0192513368983958</c:v>
                </c:pt>
                <c:pt idx="113">
                  <c:v>1.014799154334038</c:v>
                </c:pt>
                <c:pt idx="114">
                  <c:v>1.0169846928077164</c:v>
                </c:pt>
                <c:pt idx="115">
                  <c:v>1.0202342917997871</c:v>
                </c:pt>
                <c:pt idx="116">
                  <c:v>1.0170212765957447</c:v>
                </c:pt>
                <c:pt idx="117">
                  <c:v>1.0057167054838028</c:v>
                </c:pt>
                <c:pt idx="118">
                  <c:v>1.0130434782608695</c:v>
                </c:pt>
                <c:pt idx="119">
                  <c:v>1.0305918864996675</c:v>
                </c:pt>
                <c:pt idx="120">
                  <c:v>1.0247747747747749</c:v>
                </c:pt>
                <c:pt idx="121">
                  <c:v>1.0292397660818713</c:v>
                </c:pt>
                <c:pt idx="122">
                  <c:v>1.0264367816091955</c:v>
                </c:pt>
                <c:pt idx="123">
                  <c:v>1.0476082004555809</c:v>
                </c:pt>
                <c:pt idx="124">
                  <c:v>1.0381165919282511</c:v>
                </c:pt>
                <c:pt idx="125">
                  <c:v>1.026431718061674</c:v>
                </c:pt>
                <c:pt idx="126">
                  <c:v>1.0405759162303665</c:v>
                </c:pt>
                <c:pt idx="127">
                  <c:v>1.0257248746457379</c:v>
                </c:pt>
                <c:pt idx="128">
                  <c:v>1.0247311827956989</c:v>
                </c:pt>
                <c:pt idx="129">
                  <c:v>1.0171824973319104</c:v>
                </c:pt>
                <c:pt idx="130">
                  <c:v>1.0215367965367965</c:v>
                </c:pt>
                <c:pt idx="131">
                  <c:v>1.0224719101123596</c:v>
                </c:pt>
                <c:pt idx="132">
                  <c:v>1.0288683602771362</c:v>
                </c:pt>
                <c:pt idx="133">
                  <c:v>1.027027027027027</c:v>
                </c:pt>
                <c:pt idx="134">
                  <c:v>1.0223130841121495</c:v>
                </c:pt>
                <c:pt idx="135">
                  <c:v>1.0248871397152448</c:v>
                </c:pt>
                <c:pt idx="136">
                  <c:v>1.032258064516129</c:v>
                </c:pt>
                <c:pt idx="137">
                  <c:v>1.0273037542662116</c:v>
                </c:pt>
                <c:pt idx="138">
                  <c:v>1.0277492291880781</c:v>
                </c:pt>
                <c:pt idx="139">
                  <c:v>1.0259621953996811</c:v>
                </c:pt>
                <c:pt idx="140">
                  <c:v>1.0344827586206897</c:v>
                </c:pt>
                <c:pt idx="141">
                  <c:v>1.0468394724874943</c:v>
                </c:pt>
                <c:pt idx="142">
                  <c:v>1.0466120964074579</c:v>
                </c:pt>
                <c:pt idx="143">
                  <c:v>1.0428893905191874</c:v>
                </c:pt>
                <c:pt idx="144">
                  <c:v>1.040458530006743</c:v>
                </c:pt>
                <c:pt idx="145">
                  <c:v>1.0444743935309972</c:v>
                </c:pt>
                <c:pt idx="146">
                  <c:v>1.0454443447037702</c:v>
                </c:pt>
                <c:pt idx="147">
                  <c:v>1.042316258351893</c:v>
                </c:pt>
                <c:pt idx="148">
                  <c:v>1.0429312437920759</c:v>
                </c:pt>
                <c:pt idx="149">
                  <c:v>1.0273615635179154</c:v>
                </c:pt>
                <c:pt idx="150">
                  <c:v>1.0330756013745706</c:v>
                </c:pt>
                <c:pt idx="151">
                  <c:v>1.0250473584508524</c:v>
                </c:pt>
                <c:pt idx="152">
                  <c:v>1.0102669404517455</c:v>
                </c:pt>
                <c:pt idx="153">
                  <c:v>1.013265306122449</c:v>
                </c:pt>
                <c:pt idx="154">
                  <c:v>1.0166426957057735</c:v>
                </c:pt>
                <c:pt idx="155">
                  <c:v>1.0284598787629713</c:v>
                </c:pt>
                <c:pt idx="156">
                  <c:v>1.0323170731707316</c:v>
                </c:pt>
                <c:pt idx="157">
                  <c:v>1.0186046511627906</c:v>
                </c:pt>
                <c:pt idx="158">
                  <c:v>1.0203748981255094</c:v>
                </c:pt>
                <c:pt idx="159">
                  <c:v>1.0415192507804369</c:v>
                </c:pt>
                <c:pt idx="160">
                  <c:v>1.0331262939958592</c:v>
                </c:pt>
                <c:pt idx="161">
                  <c:v>1.0238268650504629</c:v>
                </c:pt>
                <c:pt idx="162">
                  <c:v>1.0158730158730158</c:v>
                </c:pt>
                <c:pt idx="163">
                  <c:v>1.0271612766856901</c:v>
                </c:pt>
                <c:pt idx="164">
                  <c:v>1.0220145379023884</c:v>
                </c:pt>
                <c:pt idx="165">
                  <c:v>1.0216432865731464</c:v>
                </c:pt>
                <c:pt idx="166">
                  <c:v>1.0288348371910554</c:v>
                </c:pt>
                <c:pt idx="167">
                  <c:v>1.036657316955218</c:v>
                </c:pt>
                <c:pt idx="168">
                  <c:v>1.0386100386100385</c:v>
                </c:pt>
                <c:pt idx="169">
                  <c:v>1.0352828379674017</c:v>
                </c:pt>
                <c:pt idx="170">
                  <c:v>1.0379746835443038</c:v>
                </c:pt>
                <c:pt idx="171">
                  <c:v>1.0424761904761906</c:v>
                </c:pt>
                <c:pt idx="172">
                  <c:v>1.0260950605778192</c:v>
                </c:pt>
                <c:pt idx="173">
                  <c:v>1.0355534709193246</c:v>
                </c:pt>
                <c:pt idx="174">
                  <c:v>1.0279850746268657</c:v>
                </c:pt>
                <c:pt idx="175">
                  <c:v>1.0256645279560037</c:v>
                </c:pt>
                <c:pt idx="176">
                  <c:v>1.0298763426302013</c:v>
                </c:pt>
                <c:pt idx="177">
                  <c:v>1.0321658986175115</c:v>
                </c:pt>
                <c:pt idx="178">
                  <c:v>1.0343900630329996</c:v>
                </c:pt>
                <c:pt idx="179">
                  <c:v>1.0436802973977695</c:v>
                </c:pt>
                <c:pt idx="180">
                  <c:v>1.0480591497227356</c:v>
                </c:pt>
                <c:pt idx="181">
                  <c:v>1.0407608695652173</c:v>
                </c:pt>
                <c:pt idx="182">
                  <c:v>1.0305755395683454</c:v>
                </c:pt>
                <c:pt idx="183">
                  <c:v>1.0308067576113471</c:v>
                </c:pt>
                <c:pt idx="184">
                  <c:v>1.027124773960217</c:v>
                </c:pt>
                <c:pt idx="185">
                  <c:v>1.0280797101449275</c:v>
                </c:pt>
                <c:pt idx="186">
                  <c:v>1.0383636363636364</c:v>
                </c:pt>
                <c:pt idx="187">
                  <c:v>1.034</c:v>
                </c:pt>
                <c:pt idx="188">
                  <c:v>1.0446691176470588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Ratio GD35/AL35</c:v>
                </c15:tx>
              </c15:filteredSeriesTitle>
            </c:ext>
            <c:ext xmlns:c16="http://schemas.microsoft.com/office/drawing/2014/chart" uri="{C3380CC4-5D6E-409C-BE32-E72D297353CC}">
              <c16:uniqueId val="{00000000-5AF1-40A2-A858-1A166476D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2720"/>
        <c:axId val="212628992"/>
      </c:scatterChart>
      <c:valAx>
        <c:axId val="212622720"/>
        <c:scaling>
          <c:orientation val="minMax"/>
          <c:max val="44370"/>
          <c:min val="44081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212628992"/>
        <c:crosses val="autoZero"/>
        <c:crossBetween val="midCat"/>
        <c:majorUnit val="40"/>
      </c:valAx>
      <c:valAx>
        <c:axId val="212628992"/>
        <c:scaling>
          <c:orientation val="minMax"/>
          <c:max val="1.08"/>
          <c:min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>
                    <a:latin typeface="Arial" pitchFamily="34" charset="0"/>
                    <a:cs typeface="Arial" pitchFamily="34" charset="0"/>
                  </a:defRPr>
                </a:pPr>
                <a:r>
                  <a:rPr lang="en-US" sz="900">
                    <a:latin typeface="Arial" pitchFamily="34" charset="0"/>
                    <a:cs typeface="Arial" pitchFamily="34" charset="0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1.6764948177098303E-2"/>
              <c:y val="0.47465988952321586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212622720"/>
        <c:crossesAt val="0"/>
        <c:crossBetween val="midCat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 b="1" i="0" baseline="0">
                <a:effectLst/>
                <a:latin typeface="Arial" pitchFamily="34" charset="0"/>
                <a:cs typeface="Arial" pitchFamily="34" charset="0"/>
              </a:rPr>
              <a:t>Ratio GD30/AL30</a:t>
            </a:r>
            <a:endParaRPr lang="es-AR" sz="1200">
              <a:effectLst/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8745397262500653"/>
          <c:y val="3.328347279474077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71226137716392"/>
          <c:y val="0.19820639465521353"/>
          <c:w val="0.83388953430001578"/>
          <c:h val="0.69256620459140739"/>
        </c:manualLayout>
      </c:layout>
      <c:scatterChart>
        <c:scatterStyle val="lineMarker"/>
        <c:varyColors val="0"/>
        <c:ser>
          <c:idx val="0"/>
          <c:order val="0"/>
          <c:tx>
            <c:v>Ratio GD30/AL30</c:v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'Ratios legislación'!$A$3:$A$208</c:f>
              <c:numCache>
                <c:formatCode>dd/mm/yyyy;@</c:formatCode>
                <c:ptCount val="206"/>
                <c:pt idx="0">
                  <c:v>44082</c:v>
                </c:pt>
                <c:pt idx="1">
                  <c:v>44083</c:v>
                </c:pt>
                <c:pt idx="2">
                  <c:v>44084</c:v>
                </c:pt>
                <c:pt idx="3">
                  <c:v>44085</c:v>
                </c:pt>
                <c:pt idx="4">
                  <c:v>44088</c:v>
                </c:pt>
                <c:pt idx="5">
                  <c:v>44089</c:v>
                </c:pt>
                <c:pt idx="6">
                  <c:v>44090</c:v>
                </c:pt>
                <c:pt idx="7">
                  <c:v>44091</c:v>
                </c:pt>
                <c:pt idx="8">
                  <c:v>44092</c:v>
                </c:pt>
                <c:pt idx="9">
                  <c:v>44095</c:v>
                </c:pt>
                <c:pt idx="10">
                  <c:v>44096</c:v>
                </c:pt>
                <c:pt idx="11">
                  <c:v>44097</c:v>
                </c:pt>
                <c:pt idx="12">
                  <c:v>44098</c:v>
                </c:pt>
                <c:pt idx="13">
                  <c:v>44099</c:v>
                </c:pt>
                <c:pt idx="14">
                  <c:v>44102</c:v>
                </c:pt>
                <c:pt idx="15">
                  <c:v>44103</c:v>
                </c:pt>
                <c:pt idx="16">
                  <c:v>44104</c:v>
                </c:pt>
                <c:pt idx="17">
                  <c:v>44105</c:v>
                </c:pt>
                <c:pt idx="18">
                  <c:v>44106</c:v>
                </c:pt>
                <c:pt idx="19">
                  <c:v>44109</c:v>
                </c:pt>
                <c:pt idx="20">
                  <c:v>44110</c:v>
                </c:pt>
                <c:pt idx="21">
                  <c:v>44111</c:v>
                </c:pt>
                <c:pt idx="22">
                  <c:v>44112</c:v>
                </c:pt>
                <c:pt idx="23">
                  <c:v>44113</c:v>
                </c:pt>
                <c:pt idx="24">
                  <c:v>44117</c:v>
                </c:pt>
                <c:pt idx="25">
                  <c:v>44118</c:v>
                </c:pt>
                <c:pt idx="26">
                  <c:v>44119</c:v>
                </c:pt>
                <c:pt idx="27">
                  <c:v>44120</c:v>
                </c:pt>
                <c:pt idx="28">
                  <c:v>44123</c:v>
                </c:pt>
                <c:pt idx="29">
                  <c:v>44124</c:v>
                </c:pt>
                <c:pt idx="30">
                  <c:v>44125</c:v>
                </c:pt>
                <c:pt idx="31">
                  <c:v>44126</c:v>
                </c:pt>
                <c:pt idx="32">
                  <c:v>44127</c:v>
                </c:pt>
                <c:pt idx="33">
                  <c:v>44130</c:v>
                </c:pt>
                <c:pt idx="34">
                  <c:v>44131</c:v>
                </c:pt>
                <c:pt idx="35">
                  <c:v>44132</c:v>
                </c:pt>
                <c:pt idx="36">
                  <c:v>44133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44159</c:v>
                </c:pt>
                <c:pt idx="54">
                  <c:v>44160</c:v>
                </c:pt>
                <c:pt idx="55">
                  <c:v>44161</c:v>
                </c:pt>
                <c:pt idx="56">
                  <c:v>44162</c:v>
                </c:pt>
                <c:pt idx="57">
                  <c:v>44165</c:v>
                </c:pt>
                <c:pt idx="58">
                  <c:v>44166</c:v>
                </c:pt>
                <c:pt idx="59">
                  <c:v>44167</c:v>
                </c:pt>
                <c:pt idx="60">
                  <c:v>44168</c:v>
                </c:pt>
                <c:pt idx="61">
                  <c:v>44169</c:v>
                </c:pt>
                <c:pt idx="62">
                  <c:v>44174</c:v>
                </c:pt>
                <c:pt idx="63">
                  <c:v>44175</c:v>
                </c:pt>
                <c:pt idx="64">
                  <c:v>44176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44193</c:v>
                </c:pt>
                <c:pt idx="74">
                  <c:v>44194</c:v>
                </c:pt>
                <c:pt idx="75">
                  <c:v>44195</c:v>
                </c:pt>
                <c:pt idx="76">
                  <c:v>44200</c:v>
                </c:pt>
                <c:pt idx="77">
                  <c:v>44201</c:v>
                </c:pt>
                <c:pt idx="78">
                  <c:v>44202</c:v>
                </c:pt>
                <c:pt idx="79">
                  <c:v>44203</c:v>
                </c:pt>
                <c:pt idx="80">
                  <c:v>44204</c:v>
                </c:pt>
                <c:pt idx="81">
                  <c:v>44207</c:v>
                </c:pt>
                <c:pt idx="82">
                  <c:v>44208</c:v>
                </c:pt>
                <c:pt idx="83">
                  <c:v>44209</c:v>
                </c:pt>
                <c:pt idx="84">
                  <c:v>44210</c:v>
                </c:pt>
                <c:pt idx="85">
                  <c:v>44211</c:v>
                </c:pt>
                <c:pt idx="86">
                  <c:v>44214</c:v>
                </c:pt>
                <c:pt idx="87">
                  <c:v>44215</c:v>
                </c:pt>
                <c:pt idx="88">
                  <c:v>44216</c:v>
                </c:pt>
                <c:pt idx="89">
                  <c:v>44217</c:v>
                </c:pt>
                <c:pt idx="90">
                  <c:v>44218</c:v>
                </c:pt>
                <c:pt idx="91">
                  <c:v>44221</c:v>
                </c:pt>
                <c:pt idx="92">
                  <c:v>44222</c:v>
                </c:pt>
                <c:pt idx="93">
                  <c:v>44223</c:v>
                </c:pt>
                <c:pt idx="94">
                  <c:v>44224</c:v>
                </c:pt>
                <c:pt idx="95">
                  <c:v>44225</c:v>
                </c:pt>
                <c:pt idx="96">
                  <c:v>44228</c:v>
                </c:pt>
                <c:pt idx="97">
                  <c:v>44229</c:v>
                </c:pt>
                <c:pt idx="98">
                  <c:v>44230</c:v>
                </c:pt>
                <c:pt idx="99">
                  <c:v>44231</c:v>
                </c:pt>
                <c:pt idx="100">
                  <c:v>44232</c:v>
                </c:pt>
                <c:pt idx="101">
                  <c:v>44235</c:v>
                </c:pt>
                <c:pt idx="102">
                  <c:v>44236</c:v>
                </c:pt>
                <c:pt idx="103">
                  <c:v>44237</c:v>
                </c:pt>
                <c:pt idx="104">
                  <c:v>44238</c:v>
                </c:pt>
                <c:pt idx="105">
                  <c:v>44239</c:v>
                </c:pt>
                <c:pt idx="106">
                  <c:v>44244</c:v>
                </c:pt>
                <c:pt idx="107">
                  <c:v>44245</c:v>
                </c:pt>
                <c:pt idx="108">
                  <c:v>44246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44256</c:v>
                </c:pt>
                <c:pt idx="115">
                  <c:v>44257</c:v>
                </c:pt>
                <c:pt idx="116">
                  <c:v>44258</c:v>
                </c:pt>
                <c:pt idx="117">
                  <c:v>44259</c:v>
                </c:pt>
                <c:pt idx="118">
                  <c:v>44260</c:v>
                </c:pt>
                <c:pt idx="119">
                  <c:v>44263</c:v>
                </c:pt>
                <c:pt idx="120">
                  <c:v>44264</c:v>
                </c:pt>
                <c:pt idx="121">
                  <c:v>44265</c:v>
                </c:pt>
                <c:pt idx="122">
                  <c:v>44266</c:v>
                </c:pt>
                <c:pt idx="123">
                  <c:v>44267</c:v>
                </c:pt>
                <c:pt idx="124">
                  <c:v>44270</c:v>
                </c:pt>
                <c:pt idx="125">
                  <c:v>44271</c:v>
                </c:pt>
                <c:pt idx="126">
                  <c:v>44272</c:v>
                </c:pt>
                <c:pt idx="127">
                  <c:v>44273</c:v>
                </c:pt>
                <c:pt idx="128">
                  <c:v>44274</c:v>
                </c:pt>
                <c:pt idx="129">
                  <c:v>44277</c:v>
                </c:pt>
                <c:pt idx="130">
                  <c:v>44278</c:v>
                </c:pt>
                <c:pt idx="131">
                  <c:v>44280</c:v>
                </c:pt>
                <c:pt idx="132">
                  <c:v>44281</c:v>
                </c:pt>
                <c:pt idx="133">
                  <c:v>44284</c:v>
                </c:pt>
                <c:pt idx="134">
                  <c:v>44285</c:v>
                </c:pt>
                <c:pt idx="135">
                  <c:v>44286</c:v>
                </c:pt>
                <c:pt idx="136">
                  <c:v>44291</c:v>
                </c:pt>
                <c:pt idx="137">
                  <c:v>44292</c:v>
                </c:pt>
                <c:pt idx="138">
                  <c:v>44293</c:v>
                </c:pt>
                <c:pt idx="139">
                  <c:v>44294</c:v>
                </c:pt>
                <c:pt idx="140">
                  <c:v>44295</c:v>
                </c:pt>
                <c:pt idx="141">
                  <c:v>44298</c:v>
                </c:pt>
                <c:pt idx="142">
                  <c:v>44299</c:v>
                </c:pt>
                <c:pt idx="143">
                  <c:v>44300</c:v>
                </c:pt>
                <c:pt idx="144">
                  <c:v>44301</c:v>
                </c:pt>
                <c:pt idx="145">
                  <c:v>44302</c:v>
                </c:pt>
                <c:pt idx="146">
                  <c:v>44305</c:v>
                </c:pt>
                <c:pt idx="147">
                  <c:v>44306</c:v>
                </c:pt>
                <c:pt idx="148">
                  <c:v>44307</c:v>
                </c:pt>
                <c:pt idx="149">
                  <c:v>44308</c:v>
                </c:pt>
                <c:pt idx="150">
                  <c:v>44309</c:v>
                </c:pt>
                <c:pt idx="151">
                  <c:v>44312</c:v>
                </c:pt>
                <c:pt idx="152">
                  <c:v>44313</c:v>
                </c:pt>
                <c:pt idx="153">
                  <c:v>44314</c:v>
                </c:pt>
                <c:pt idx="154">
                  <c:v>44315</c:v>
                </c:pt>
                <c:pt idx="155">
                  <c:v>44316</c:v>
                </c:pt>
                <c:pt idx="156">
                  <c:v>44319</c:v>
                </c:pt>
                <c:pt idx="157">
                  <c:v>44320</c:v>
                </c:pt>
                <c:pt idx="158">
                  <c:v>44321</c:v>
                </c:pt>
                <c:pt idx="159">
                  <c:v>44322</c:v>
                </c:pt>
                <c:pt idx="160">
                  <c:v>44323</c:v>
                </c:pt>
                <c:pt idx="161">
                  <c:v>44326</c:v>
                </c:pt>
                <c:pt idx="162">
                  <c:v>44327</c:v>
                </c:pt>
                <c:pt idx="163">
                  <c:v>44328</c:v>
                </c:pt>
                <c:pt idx="164">
                  <c:v>44329</c:v>
                </c:pt>
                <c:pt idx="165">
                  <c:v>44330</c:v>
                </c:pt>
                <c:pt idx="166">
                  <c:v>44333</c:v>
                </c:pt>
                <c:pt idx="167">
                  <c:v>44334</c:v>
                </c:pt>
                <c:pt idx="168">
                  <c:v>44335</c:v>
                </c:pt>
                <c:pt idx="169">
                  <c:v>44336</c:v>
                </c:pt>
                <c:pt idx="170">
                  <c:v>44337</c:v>
                </c:pt>
                <c:pt idx="171">
                  <c:v>44342</c:v>
                </c:pt>
                <c:pt idx="172">
                  <c:v>44343</c:v>
                </c:pt>
                <c:pt idx="173">
                  <c:v>44344</c:v>
                </c:pt>
                <c:pt idx="174">
                  <c:v>44347</c:v>
                </c:pt>
                <c:pt idx="175">
                  <c:v>44348</c:v>
                </c:pt>
                <c:pt idx="176">
                  <c:v>44349</c:v>
                </c:pt>
                <c:pt idx="177">
                  <c:v>44350</c:v>
                </c:pt>
                <c:pt idx="178">
                  <c:v>44351</c:v>
                </c:pt>
                <c:pt idx="179">
                  <c:v>44354</c:v>
                </c:pt>
                <c:pt idx="180">
                  <c:v>44355</c:v>
                </c:pt>
                <c:pt idx="181">
                  <c:v>44356</c:v>
                </c:pt>
                <c:pt idx="182">
                  <c:v>44357</c:v>
                </c:pt>
                <c:pt idx="183">
                  <c:v>44358</c:v>
                </c:pt>
                <c:pt idx="184">
                  <c:v>44361</c:v>
                </c:pt>
                <c:pt idx="185">
                  <c:v>44362</c:v>
                </c:pt>
                <c:pt idx="186">
                  <c:v>44363</c:v>
                </c:pt>
                <c:pt idx="187">
                  <c:v>44364</c:v>
                </c:pt>
                <c:pt idx="188">
                  <c:v>44365</c:v>
                </c:pt>
              </c:numCache>
            </c:numRef>
          </c:xVal>
          <c:yVal>
            <c:numRef>
              <c:f>'Ratios legislación'!$C$3:$C$208</c:f>
              <c:numCache>
                <c:formatCode>0.000</c:formatCode>
                <c:ptCount val="206"/>
                <c:pt idx="0">
                  <c:v>1.0007911392405062</c:v>
                </c:pt>
                <c:pt idx="1">
                  <c:v>1.0004704406460718</c:v>
                </c:pt>
                <c:pt idx="2">
                  <c:v>1.0007794232268121</c:v>
                </c:pt>
                <c:pt idx="3">
                  <c:v>1.0045305421027964</c:v>
                </c:pt>
                <c:pt idx="4">
                  <c:v>0.99827882960413084</c:v>
                </c:pt>
                <c:pt idx="5">
                  <c:v>1.004009623095429</c:v>
                </c:pt>
                <c:pt idx="6">
                  <c:v>1</c:v>
                </c:pt>
                <c:pt idx="7">
                  <c:v>1.0025316455696203</c:v>
                </c:pt>
                <c:pt idx="8">
                  <c:v>1.0063829787234042</c:v>
                </c:pt>
                <c:pt idx="9">
                  <c:v>1.0056282072504552</c:v>
                </c:pt>
                <c:pt idx="10">
                  <c:v>1</c:v>
                </c:pt>
                <c:pt idx="11">
                  <c:v>0.99601275917065391</c:v>
                </c:pt>
                <c:pt idx="12">
                  <c:v>0.99925249169435215</c:v>
                </c:pt>
                <c:pt idx="13">
                  <c:v>0.99754701553556824</c:v>
                </c:pt>
                <c:pt idx="14">
                  <c:v>0.99837793998377944</c:v>
                </c:pt>
                <c:pt idx="15">
                  <c:v>0.99983870967741939</c:v>
                </c:pt>
                <c:pt idx="16">
                  <c:v>1.0046849757673668</c:v>
                </c:pt>
                <c:pt idx="17">
                  <c:v>0.99927594529364439</c:v>
                </c:pt>
                <c:pt idx="18">
                  <c:v>1.0049019607843137</c:v>
                </c:pt>
                <c:pt idx="19">
                  <c:v>0.99424092145256759</c:v>
                </c:pt>
                <c:pt idx="20">
                  <c:v>0.99020866773675764</c:v>
                </c:pt>
                <c:pt idx="21">
                  <c:v>0.99823321554770317</c:v>
                </c:pt>
                <c:pt idx="22">
                  <c:v>1.0001587301587302</c:v>
                </c:pt>
                <c:pt idx="23">
                  <c:v>1.0101325019485581</c:v>
                </c:pt>
                <c:pt idx="24">
                  <c:v>1.0161141094834232</c:v>
                </c:pt>
                <c:pt idx="25">
                  <c:v>1.0089820359281436</c:v>
                </c:pt>
                <c:pt idx="26">
                  <c:v>1.0061768766804737</c:v>
                </c:pt>
                <c:pt idx="27">
                  <c:v>1.0245535714285714</c:v>
                </c:pt>
                <c:pt idx="28">
                  <c:v>1.0218045112781955</c:v>
                </c:pt>
                <c:pt idx="29">
                  <c:v>1.0049556990539119</c:v>
                </c:pt>
                <c:pt idx="30">
                  <c:v>1.0358504958047292</c:v>
                </c:pt>
                <c:pt idx="31">
                  <c:v>1.0435779816513762</c:v>
                </c:pt>
                <c:pt idx="32">
                  <c:v>1.0770465489566614</c:v>
                </c:pt>
                <c:pt idx="33">
                  <c:v>1.0740432612312811</c:v>
                </c:pt>
                <c:pt idx="34">
                  <c:v>1.0429999999999999</c:v>
                </c:pt>
                <c:pt idx="35">
                  <c:v>1.0765124555160142</c:v>
                </c:pt>
                <c:pt idx="36">
                  <c:v>1.0222222222222221</c:v>
                </c:pt>
                <c:pt idx="37">
                  <c:v>1.0623853211009173</c:v>
                </c:pt>
                <c:pt idx="38">
                  <c:v>1.0605947955390334</c:v>
                </c:pt>
                <c:pt idx="39">
                  <c:v>1.0808550185873607</c:v>
                </c:pt>
                <c:pt idx="40">
                  <c:v>1.0987884436160298</c:v>
                </c:pt>
                <c:pt idx="41">
                  <c:v>1.0927643784786643</c:v>
                </c:pt>
                <c:pt idx="42">
                  <c:v>1.0873605947955389</c:v>
                </c:pt>
                <c:pt idx="43">
                  <c:v>1.098255280073462</c:v>
                </c:pt>
                <c:pt idx="44">
                  <c:v>1.1009022279506537</c:v>
                </c:pt>
                <c:pt idx="45">
                  <c:v>1.0499561787905347</c:v>
                </c:pt>
                <c:pt idx="46">
                  <c:v>1.0689346463742166</c:v>
                </c:pt>
                <c:pt idx="47">
                  <c:v>1.0736468500443657</c:v>
                </c:pt>
                <c:pt idx="48">
                  <c:v>1.0739130434782609</c:v>
                </c:pt>
                <c:pt idx="49">
                  <c:v>1.0483592400690847</c:v>
                </c:pt>
                <c:pt idx="50">
                  <c:v>1.0508620689655173</c:v>
                </c:pt>
                <c:pt idx="51">
                  <c:v>1.0426655127650368</c:v>
                </c:pt>
                <c:pt idx="52">
                  <c:v>1.0476770488950757</c:v>
                </c:pt>
                <c:pt idx="53">
                  <c:v>1.0609225413402958</c:v>
                </c:pt>
                <c:pt idx="54">
                  <c:v>1.0391304347826087</c:v>
                </c:pt>
                <c:pt idx="55">
                  <c:v>1.0619205877208326</c:v>
                </c:pt>
                <c:pt idx="56">
                  <c:v>1.0759605216778287</c:v>
                </c:pt>
                <c:pt idx="57">
                  <c:v>1.0661171833004839</c:v>
                </c:pt>
                <c:pt idx="58">
                  <c:v>1.0578304597701149</c:v>
                </c:pt>
                <c:pt idx="59">
                  <c:v>1.0466887713952864</c:v>
                </c:pt>
                <c:pt idx="60">
                  <c:v>1.0449541284403669</c:v>
                </c:pt>
                <c:pt idx="61">
                  <c:v>1.0395768739741018</c:v>
                </c:pt>
                <c:pt idx="62">
                  <c:v>1.02803738317757</c:v>
                </c:pt>
                <c:pt idx="63">
                  <c:v>1.0240744118183476</c:v>
                </c:pt>
                <c:pt idx="64">
                  <c:v>1.0287253141831239</c:v>
                </c:pt>
                <c:pt idx="65">
                  <c:v>1.0357016613644396</c:v>
                </c:pt>
                <c:pt idx="66">
                  <c:v>1.0199048793376784</c:v>
                </c:pt>
                <c:pt idx="67">
                  <c:v>1.026781742147878</c:v>
                </c:pt>
                <c:pt idx="68">
                  <c:v>1.0287038687823142</c:v>
                </c:pt>
                <c:pt idx="69">
                  <c:v>1.0362190812720848</c:v>
                </c:pt>
                <c:pt idx="70">
                  <c:v>1.0176834659593281</c:v>
                </c:pt>
                <c:pt idx="71">
                  <c:v>1.0085949833362569</c:v>
                </c:pt>
                <c:pt idx="72">
                  <c:v>1.0270128047710927</c:v>
                </c:pt>
                <c:pt idx="73">
                  <c:v>1.0347537548026546</c:v>
                </c:pt>
                <c:pt idx="74">
                  <c:v>1.020586182833217</c:v>
                </c:pt>
                <c:pt idx="75">
                  <c:v>1.0296632350375152</c:v>
                </c:pt>
                <c:pt idx="76">
                  <c:v>1.015248657078496</c:v>
                </c:pt>
                <c:pt idx="77">
                  <c:v>1.0167878158532364</c:v>
                </c:pt>
                <c:pt idx="78">
                  <c:v>1.0328151986183074</c:v>
                </c:pt>
                <c:pt idx="79">
                  <c:v>1.0410887656033287</c:v>
                </c:pt>
                <c:pt idx="80">
                  <c:v>1.0427574171029668</c:v>
                </c:pt>
                <c:pt idx="81">
                  <c:v>1.0349613492621224</c:v>
                </c:pt>
                <c:pt idx="82">
                  <c:v>1.0432862190812722</c:v>
                </c:pt>
                <c:pt idx="83">
                  <c:v>1.0198546357028895</c:v>
                </c:pt>
                <c:pt idx="84">
                  <c:v>1.0157941437444542</c:v>
                </c:pt>
                <c:pt idx="85">
                  <c:v>1.0282666666666667</c:v>
                </c:pt>
                <c:pt idx="86">
                  <c:v>1.0319148936170213</c:v>
                </c:pt>
                <c:pt idx="87">
                  <c:v>1.0400496189969874</c:v>
                </c:pt>
                <c:pt idx="88">
                  <c:v>1.0434012400354296</c:v>
                </c:pt>
                <c:pt idx="89">
                  <c:v>1.0421462723570036</c:v>
                </c:pt>
                <c:pt idx="90">
                  <c:v>1.0524450744153082</c:v>
                </c:pt>
                <c:pt idx="91">
                  <c:v>1.0558698727015559</c:v>
                </c:pt>
                <c:pt idx="92">
                  <c:v>1.0605258514205047</c:v>
                </c:pt>
                <c:pt idx="93">
                  <c:v>1.0565854519774012</c:v>
                </c:pt>
                <c:pt idx="94">
                  <c:v>1.0547703180212014</c:v>
                </c:pt>
                <c:pt idx="95">
                  <c:v>1.0549645390070923</c:v>
                </c:pt>
                <c:pt idx="96">
                  <c:v>1.061858407079646</c:v>
                </c:pt>
                <c:pt idx="97">
                  <c:v>1.0583967439391258</c:v>
                </c:pt>
                <c:pt idx="98">
                  <c:v>1.0554767812832329</c:v>
                </c:pt>
                <c:pt idx="99">
                  <c:v>1.0629432624113475</c:v>
                </c:pt>
                <c:pt idx="100">
                  <c:v>1.0723169864960911</c:v>
                </c:pt>
                <c:pt idx="101">
                  <c:v>1.0714285714285714</c:v>
                </c:pt>
                <c:pt idx="102">
                  <c:v>1.0636105188343994</c:v>
                </c:pt>
                <c:pt idx="103">
                  <c:v>1.0636590584878745</c:v>
                </c:pt>
                <c:pt idx="104">
                  <c:v>1.0692167577413478</c:v>
                </c:pt>
                <c:pt idx="105">
                  <c:v>1.083240431066518</c:v>
                </c:pt>
                <c:pt idx="106">
                  <c:v>1.0896817743490839</c:v>
                </c:pt>
                <c:pt idx="107">
                  <c:v>1.0616122840690978</c:v>
                </c:pt>
                <c:pt idx="108">
                  <c:v>1.0613207547169812</c:v>
                </c:pt>
                <c:pt idx="109">
                  <c:v>1.0515361744301288</c:v>
                </c:pt>
                <c:pt idx="110">
                  <c:v>1.0566</c:v>
                </c:pt>
                <c:pt idx="111">
                  <c:v>1.0619469026548674</c:v>
                </c:pt>
                <c:pt idx="112">
                  <c:v>1.0490726429675425</c:v>
                </c:pt>
                <c:pt idx="113">
                  <c:v>1.0325670498084292</c:v>
                </c:pt>
                <c:pt idx="114">
                  <c:v>1.0313858952543014</c:v>
                </c:pt>
                <c:pt idx="115">
                  <c:v>1.0218744107109183</c:v>
                </c:pt>
                <c:pt idx="116">
                  <c:v>1.0249433106575965</c:v>
                </c:pt>
                <c:pt idx="117">
                  <c:v>1.0206478499715854</c:v>
                </c:pt>
                <c:pt idx="118">
                  <c:v>1.0145733461169704</c:v>
                </c:pt>
                <c:pt idx="119">
                  <c:v>1.0121692099671624</c:v>
                </c:pt>
                <c:pt idx="120">
                  <c:v>1.0119397142297906</c:v>
                </c:pt>
                <c:pt idx="121">
                  <c:v>1.0185950413223142</c:v>
                </c:pt>
                <c:pt idx="122">
                  <c:v>1.0310699588477366</c:v>
                </c:pt>
                <c:pt idx="123">
                  <c:v>1.0279060429632605</c:v>
                </c:pt>
                <c:pt idx="124">
                  <c:v>1.032640949554896</c:v>
                </c:pt>
                <c:pt idx="125">
                  <c:v>1.0277397929283063</c:v>
                </c:pt>
                <c:pt idx="126">
                  <c:v>1.0313401268986733</c:v>
                </c:pt>
                <c:pt idx="127">
                  <c:v>1.0257547988810649</c:v>
                </c:pt>
                <c:pt idx="128">
                  <c:v>1.0314161430642823</c:v>
                </c:pt>
                <c:pt idx="129">
                  <c:v>1.0312739831158864</c:v>
                </c:pt>
                <c:pt idx="130">
                  <c:v>1.0307392996108948</c:v>
                </c:pt>
                <c:pt idx="131">
                  <c:v>1.0276442307692308</c:v>
                </c:pt>
                <c:pt idx="132">
                  <c:v>1.0276073619631902</c:v>
                </c:pt>
                <c:pt idx="133">
                  <c:v>1.0310352009997916</c:v>
                </c:pt>
                <c:pt idx="134">
                  <c:v>1.0220191109264645</c:v>
                </c:pt>
                <c:pt idx="135">
                  <c:v>1.024475885572653</c:v>
                </c:pt>
                <c:pt idx="136">
                  <c:v>1.013051396195872</c:v>
                </c:pt>
                <c:pt idx="137">
                  <c:v>1.0235175879396985</c:v>
                </c:pt>
                <c:pt idx="138">
                  <c:v>1.0215291750503017</c:v>
                </c:pt>
                <c:pt idx="139">
                  <c:v>1.0301507537688441</c:v>
                </c:pt>
                <c:pt idx="140">
                  <c:v>1.0317122593718338</c:v>
                </c:pt>
                <c:pt idx="141">
                  <c:v>1.0474268415741674</c:v>
                </c:pt>
                <c:pt idx="142">
                  <c:v>1.0449517296862429</c:v>
                </c:pt>
                <c:pt idx="143">
                  <c:v>1.0414403540535104</c:v>
                </c:pt>
                <c:pt idx="144">
                  <c:v>1.051219512195122</c:v>
                </c:pt>
                <c:pt idx="145">
                  <c:v>1.0643947100712106</c:v>
                </c:pt>
                <c:pt idx="146">
                  <c:v>1.0620717452640065</c:v>
                </c:pt>
                <c:pt idx="147">
                  <c:v>1.0613999999999999</c:v>
                </c:pt>
                <c:pt idx="148">
                  <c:v>1.0682546036829463</c:v>
                </c:pt>
                <c:pt idx="149">
                  <c:v>1.0677864427114576</c:v>
                </c:pt>
                <c:pt idx="150">
                  <c:v>1.0714989166830806</c:v>
                </c:pt>
                <c:pt idx="151">
                  <c:v>1.0591603053435115</c:v>
                </c:pt>
                <c:pt idx="152">
                  <c:v>1.052996254681648</c:v>
                </c:pt>
                <c:pt idx="153">
                  <c:v>1.0529258292955648</c:v>
                </c:pt>
                <c:pt idx="154">
                  <c:v>1.0484893696381947</c:v>
                </c:pt>
                <c:pt idx="155">
                  <c:v>1.0633526443655392</c:v>
                </c:pt>
                <c:pt idx="156">
                  <c:v>1.0615127299758409</c:v>
                </c:pt>
                <c:pt idx="157">
                  <c:v>1.0670380687093779</c:v>
                </c:pt>
                <c:pt idx="158">
                  <c:v>1.059369202226345</c:v>
                </c:pt>
                <c:pt idx="159">
                  <c:v>1.0495806150978564</c:v>
                </c:pt>
                <c:pt idx="160">
                  <c:v>1.0598564954682779</c:v>
                </c:pt>
                <c:pt idx="161">
                  <c:v>1.0567409365558913</c:v>
                </c:pt>
                <c:pt idx="162">
                  <c:v>1.0617760617760619</c:v>
                </c:pt>
                <c:pt idx="163">
                  <c:v>1.0658247225411404</c:v>
                </c:pt>
                <c:pt idx="164">
                  <c:v>1.0665399239543727</c:v>
                </c:pt>
                <c:pt idx="165">
                  <c:v>1.0698706099815156</c:v>
                </c:pt>
                <c:pt idx="166">
                  <c:v>1.0771599347944214</c:v>
                </c:pt>
                <c:pt idx="167">
                  <c:v>1.0825207656193572</c:v>
                </c:pt>
                <c:pt idx="168">
                  <c:v>1.0883746355685131</c:v>
                </c:pt>
                <c:pt idx="169">
                  <c:v>1.1000365764447695</c:v>
                </c:pt>
                <c:pt idx="170">
                  <c:v>1.0969162995594715</c:v>
                </c:pt>
                <c:pt idx="171">
                  <c:v>1.0954845618418705</c:v>
                </c:pt>
                <c:pt idx="172">
                  <c:v>1.0890459363957596</c:v>
                </c:pt>
                <c:pt idx="173">
                  <c:v>1.093295494856332</c:v>
                </c:pt>
                <c:pt idx="174">
                  <c:v>1.0958274398868457</c:v>
                </c:pt>
                <c:pt idx="175">
                  <c:v>1.0907504363001745</c:v>
                </c:pt>
                <c:pt idx="176">
                  <c:v>1.0914821124361158</c:v>
                </c:pt>
                <c:pt idx="177">
                  <c:v>1.0823590096286106</c:v>
                </c:pt>
                <c:pt idx="178">
                  <c:v>1.0906883995144789</c:v>
                </c:pt>
                <c:pt idx="179">
                  <c:v>1.0887372013651877</c:v>
                </c:pt>
                <c:pt idx="180">
                  <c:v>1.0781013297424675</c:v>
                </c:pt>
                <c:pt idx="181">
                  <c:v>1.0753493013972055</c:v>
                </c:pt>
                <c:pt idx="182">
                  <c:v>1.0664735099337748</c:v>
                </c:pt>
                <c:pt idx="183">
                  <c:v>1.0606110652353427</c:v>
                </c:pt>
                <c:pt idx="184">
                  <c:v>1.0592610959583437</c:v>
                </c:pt>
                <c:pt idx="185">
                  <c:v>1.0602549246813442</c:v>
                </c:pt>
                <c:pt idx="186">
                  <c:v>1.0605659440675161</c:v>
                </c:pt>
                <c:pt idx="187">
                  <c:v>1.0607142857142857</c:v>
                </c:pt>
                <c:pt idx="188">
                  <c:v>1.0710332103321034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0-4B7B-AC55-4C729E1C9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5760"/>
        <c:axId val="212877312"/>
      </c:scatterChart>
      <c:valAx>
        <c:axId val="212645760"/>
        <c:scaling>
          <c:orientation val="minMax"/>
          <c:max val="44370"/>
          <c:min val="44081"/>
        </c:scaling>
        <c:delete val="0"/>
        <c:axPos val="b"/>
        <c:numFmt formatCode="dd/mm/yy;@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212877312"/>
        <c:crosses val="autoZero"/>
        <c:crossBetween val="midCat"/>
        <c:majorUnit val="30"/>
      </c:valAx>
      <c:valAx>
        <c:axId val="212877312"/>
        <c:scaling>
          <c:orientation val="minMax"/>
          <c:max val="1.120000000000000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>
                    <a:latin typeface="Arial" pitchFamily="34" charset="0"/>
                    <a:cs typeface="Arial" pitchFamily="34" charset="0"/>
                  </a:defRPr>
                </a:pPr>
                <a:r>
                  <a:rPr lang="en-US" sz="900">
                    <a:latin typeface="Arial" pitchFamily="34" charset="0"/>
                    <a:cs typeface="Arial" pitchFamily="34" charset="0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7.5161241787451713E-3"/>
              <c:y val="0.48719900608035283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212645760"/>
        <c:crossesAt val="0"/>
        <c:crossBetween val="midCat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 b="1" i="0" baseline="0">
                <a:effectLst/>
                <a:latin typeface="Arial" pitchFamily="34" charset="0"/>
                <a:cs typeface="Arial" pitchFamily="34" charset="0"/>
              </a:rPr>
              <a:t>Ratio GD38/AE38</a:t>
            </a:r>
            <a:endParaRPr lang="es-AR" sz="1200">
              <a:effectLst/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825966562922804"/>
          <c:y val="3.237706257918414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642628687807466"/>
          <c:y val="0.17680420171777536"/>
          <c:w val="0.8303679799587893"/>
          <c:h val="0.75249252016446366"/>
        </c:manualLayout>
      </c:layout>
      <c:scatterChart>
        <c:scatterStyle val="lineMarker"/>
        <c:varyColors val="0"/>
        <c:ser>
          <c:idx val="0"/>
          <c:order val="0"/>
          <c:tx>
            <c:v>Ratio GD35/AL35</c:v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'Ratios legislación'!$A$3:$A$208</c:f>
              <c:numCache>
                <c:formatCode>dd/mm/yyyy;@</c:formatCode>
                <c:ptCount val="206"/>
                <c:pt idx="0">
                  <c:v>44082</c:v>
                </c:pt>
                <c:pt idx="1">
                  <c:v>44083</c:v>
                </c:pt>
                <c:pt idx="2">
                  <c:v>44084</c:v>
                </c:pt>
                <c:pt idx="3">
                  <c:v>44085</c:v>
                </c:pt>
                <c:pt idx="4">
                  <c:v>44088</c:v>
                </c:pt>
                <c:pt idx="5">
                  <c:v>44089</c:v>
                </c:pt>
                <c:pt idx="6">
                  <c:v>44090</c:v>
                </c:pt>
                <c:pt idx="7">
                  <c:v>44091</c:v>
                </c:pt>
                <c:pt idx="8">
                  <c:v>44092</c:v>
                </c:pt>
                <c:pt idx="9">
                  <c:v>44095</c:v>
                </c:pt>
                <c:pt idx="10">
                  <c:v>44096</c:v>
                </c:pt>
                <c:pt idx="11">
                  <c:v>44097</c:v>
                </c:pt>
                <c:pt idx="12">
                  <c:v>44098</c:v>
                </c:pt>
                <c:pt idx="13">
                  <c:v>44099</c:v>
                </c:pt>
                <c:pt idx="14">
                  <c:v>44102</c:v>
                </c:pt>
                <c:pt idx="15">
                  <c:v>44103</c:v>
                </c:pt>
                <c:pt idx="16">
                  <c:v>44104</c:v>
                </c:pt>
                <c:pt idx="17">
                  <c:v>44105</c:v>
                </c:pt>
                <c:pt idx="18">
                  <c:v>44106</c:v>
                </c:pt>
                <c:pt idx="19">
                  <c:v>44109</c:v>
                </c:pt>
                <c:pt idx="20">
                  <c:v>44110</c:v>
                </c:pt>
                <c:pt idx="21">
                  <c:v>44111</c:v>
                </c:pt>
                <c:pt idx="22">
                  <c:v>44112</c:v>
                </c:pt>
                <c:pt idx="23">
                  <c:v>44113</c:v>
                </c:pt>
                <c:pt idx="24">
                  <c:v>44117</c:v>
                </c:pt>
                <c:pt idx="25">
                  <c:v>44118</c:v>
                </c:pt>
                <c:pt idx="26">
                  <c:v>44119</c:v>
                </c:pt>
                <c:pt idx="27">
                  <c:v>44120</c:v>
                </c:pt>
                <c:pt idx="28">
                  <c:v>44123</c:v>
                </c:pt>
                <c:pt idx="29">
                  <c:v>44124</c:v>
                </c:pt>
                <c:pt idx="30">
                  <c:v>44125</c:v>
                </c:pt>
                <c:pt idx="31">
                  <c:v>44126</c:v>
                </c:pt>
                <c:pt idx="32">
                  <c:v>44127</c:v>
                </c:pt>
                <c:pt idx="33">
                  <c:v>44130</c:v>
                </c:pt>
                <c:pt idx="34">
                  <c:v>44131</c:v>
                </c:pt>
                <c:pt idx="35">
                  <c:v>44132</c:v>
                </c:pt>
                <c:pt idx="36">
                  <c:v>44133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44159</c:v>
                </c:pt>
                <c:pt idx="54">
                  <c:v>44160</c:v>
                </c:pt>
                <c:pt idx="55">
                  <c:v>44161</c:v>
                </c:pt>
                <c:pt idx="56">
                  <c:v>44162</c:v>
                </c:pt>
                <c:pt idx="57">
                  <c:v>44165</c:v>
                </c:pt>
                <c:pt idx="58">
                  <c:v>44166</c:v>
                </c:pt>
                <c:pt idx="59">
                  <c:v>44167</c:v>
                </c:pt>
                <c:pt idx="60">
                  <c:v>44168</c:v>
                </c:pt>
                <c:pt idx="61">
                  <c:v>44169</c:v>
                </c:pt>
                <c:pt idx="62">
                  <c:v>44174</c:v>
                </c:pt>
                <c:pt idx="63">
                  <c:v>44175</c:v>
                </c:pt>
                <c:pt idx="64">
                  <c:v>44176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44193</c:v>
                </c:pt>
                <c:pt idx="74">
                  <c:v>44194</c:v>
                </c:pt>
                <c:pt idx="75">
                  <c:v>44195</c:v>
                </c:pt>
                <c:pt idx="76">
                  <c:v>44200</c:v>
                </c:pt>
                <c:pt idx="77">
                  <c:v>44201</c:v>
                </c:pt>
                <c:pt idx="78">
                  <c:v>44202</c:v>
                </c:pt>
                <c:pt idx="79">
                  <c:v>44203</c:v>
                </c:pt>
                <c:pt idx="80">
                  <c:v>44204</c:v>
                </c:pt>
                <c:pt idx="81">
                  <c:v>44207</c:v>
                </c:pt>
                <c:pt idx="82">
                  <c:v>44208</c:v>
                </c:pt>
                <c:pt idx="83">
                  <c:v>44209</c:v>
                </c:pt>
                <c:pt idx="84">
                  <c:v>44210</c:v>
                </c:pt>
                <c:pt idx="85">
                  <c:v>44211</c:v>
                </c:pt>
                <c:pt idx="86">
                  <c:v>44214</c:v>
                </c:pt>
                <c:pt idx="87">
                  <c:v>44215</c:v>
                </c:pt>
                <c:pt idx="88">
                  <c:v>44216</c:v>
                </c:pt>
                <c:pt idx="89">
                  <c:v>44217</c:v>
                </c:pt>
                <c:pt idx="90">
                  <c:v>44218</c:v>
                </c:pt>
                <c:pt idx="91">
                  <c:v>44221</c:v>
                </c:pt>
                <c:pt idx="92">
                  <c:v>44222</c:v>
                </c:pt>
                <c:pt idx="93">
                  <c:v>44223</c:v>
                </c:pt>
                <c:pt idx="94">
                  <c:v>44224</c:v>
                </c:pt>
                <c:pt idx="95">
                  <c:v>44225</c:v>
                </c:pt>
                <c:pt idx="96">
                  <c:v>44228</c:v>
                </c:pt>
                <c:pt idx="97">
                  <c:v>44229</c:v>
                </c:pt>
                <c:pt idx="98">
                  <c:v>44230</c:v>
                </c:pt>
                <c:pt idx="99">
                  <c:v>44231</c:v>
                </c:pt>
                <c:pt idx="100">
                  <c:v>44232</c:v>
                </c:pt>
                <c:pt idx="101">
                  <c:v>44235</c:v>
                </c:pt>
                <c:pt idx="102">
                  <c:v>44236</c:v>
                </c:pt>
                <c:pt idx="103">
                  <c:v>44237</c:v>
                </c:pt>
                <c:pt idx="104">
                  <c:v>44238</c:v>
                </c:pt>
                <c:pt idx="105">
                  <c:v>44239</c:v>
                </c:pt>
                <c:pt idx="106">
                  <c:v>44244</c:v>
                </c:pt>
                <c:pt idx="107">
                  <c:v>44245</c:v>
                </c:pt>
                <c:pt idx="108">
                  <c:v>44246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44256</c:v>
                </c:pt>
                <c:pt idx="115">
                  <c:v>44257</c:v>
                </c:pt>
                <c:pt idx="116">
                  <c:v>44258</c:v>
                </c:pt>
                <c:pt idx="117">
                  <c:v>44259</c:v>
                </c:pt>
                <c:pt idx="118">
                  <c:v>44260</c:v>
                </c:pt>
                <c:pt idx="119">
                  <c:v>44263</c:v>
                </c:pt>
                <c:pt idx="120">
                  <c:v>44264</c:v>
                </c:pt>
                <c:pt idx="121">
                  <c:v>44265</c:v>
                </c:pt>
                <c:pt idx="122">
                  <c:v>44266</c:v>
                </c:pt>
                <c:pt idx="123">
                  <c:v>44267</c:v>
                </c:pt>
                <c:pt idx="124">
                  <c:v>44270</c:v>
                </c:pt>
                <c:pt idx="125">
                  <c:v>44271</c:v>
                </c:pt>
                <c:pt idx="126">
                  <c:v>44272</c:v>
                </c:pt>
                <c:pt idx="127">
                  <c:v>44273</c:v>
                </c:pt>
                <c:pt idx="128">
                  <c:v>44274</c:v>
                </c:pt>
                <c:pt idx="129">
                  <c:v>44277</c:v>
                </c:pt>
                <c:pt idx="130">
                  <c:v>44278</c:v>
                </c:pt>
                <c:pt idx="131">
                  <c:v>44280</c:v>
                </c:pt>
                <c:pt idx="132">
                  <c:v>44281</c:v>
                </c:pt>
                <c:pt idx="133">
                  <c:v>44284</c:v>
                </c:pt>
                <c:pt idx="134">
                  <c:v>44285</c:v>
                </c:pt>
                <c:pt idx="135">
                  <c:v>44286</c:v>
                </c:pt>
                <c:pt idx="136">
                  <c:v>44291</c:v>
                </c:pt>
                <c:pt idx="137">
                  <c:v>44292</c:v>
                </c:pt>
                <c:pt idx="138">
                  <c:v>44293</c:v>
                </c:pt>
                <c:pt idx="139">
                  <c:v>44294</c:v>
                </c:pt>
                <c:pt idx="140">
                  <c:v>44295</c:v>
                </c:pt>
                <c:pt idx="141">
                  <c:v>44298</c:v>
                </c:pt>
                <c:pt idx="142">
                  <c:v>44299</c:v>
                </c:pt>
                <c:pt idx="143">
                  <c:v>44300</c:v>
                </c:pt>
                <c:pt idx="144">
                  <c:v>44301</c:v>
                </c:pt>
                <c:pt idx="145">
                  <c:v>44302</c:v>
                </c:pt>
                <c:pt idx="146">
                  <c:v>44305</c:v>
                </c:pt>
                <c:pt idx="147">
                  <c:v>44306</c:v>
                </c:pt>
                <c:pt idx="148">
                  <c:v>44307</c:v>
                </c:pt>
                <c:pt idx="149">
                  <c:v>44308</c:v>
                </c:pt>
                <c:pt idx="150">
                  <c:v>44309</c:v>
                </c:pt>
                <c:pt idx="151">
                  <c:v>44312</c:v>
                </c:pt>
                <c:pt idx="152">
                  <c:v>44313</c:v>
                </c:pt>
                <c:pt idx="153">
                  <c:v>44314</c:v>
                </c:pt>
                <c:pt idx="154">
                  <c:v>44315</c:v>
                </c:pt>
                <c:pt idx="155">
                  <c:v>44316</c:v>
                </c:pt>
                <c:pt idx="156">
                  <c:v>44319</c:v>
                </c:pt>
                <c:pt idx="157">
                  <c:v>44320</c:v>
                </c:pt>
                <c:pt idx="158">
                  <c:v>44321</c:v>
                </c:pt>
                <c:pt idx="159">
                  <c:v>44322</c:v>
                </c:pt>
                <c:pt idx="160">
                  <c:v>44323</c:v>
                </c:pt>
                <c:pt idx="161">
                  <c:v>44326</c:v>
                </c:pt>
                <c:pt idx="162">
                  <c:v>44327</c:v>
                </c:pt>
                <c:pt idx="163">
                  <c:v>44328</c:v>
                </c:pt>
                <c:pt idx="164">
                  <c:v>44329</c:v>
                </c:pt>
                <c:pt idx="165">
                  <c:v>44330</c:v>
                </c:pt>
                <c:pt idx="166">
                  <c:v>44333</c:v>
                </c:pt>
                <c:pt idx="167">
                  <c:v>44334</c:v>
                </c:pt>
                <c:pt idx="168">
                  <c:v>44335</c:v>
                </c:pt>
                <c:pt idx="169">
                  <c:v>44336</c:v>
                </c:pt>
                <c:pt idx="170">
                  <c:v>44337</c:v>
                </c:pt>
                <c:pt idx="171">
                  <c:v>44342</c:v>
                </c:pt>
                <c:pt idx="172">
                  <c:v>44343</c:v>
                </c:pt>
                <c:pt idx="173">
                  <c:v>44344</c:v>
                </c:pt>
                <c:pt idx="174">
                  <c:v>44347</c:v>
                </c:pt>
                <c:pt idx="175">
                  <c:v>44348</c:v>
                </c:pt>
                <c:pt idx="176">
                  <c:v>44349</c:v>
                </c:pt>
                <c:pt idx="177">
                  <c:v>44350</c:v>
                </c:pt>
                <c:pt idx="178">
                  <c:v>44351</c:v>
                </c:pt>
                <c:pt idx="179">
                  <c:v>44354</c:v>
                </c:pt>
                <c:pt idx="180">
                  <c:v>44355</c:v>
                </c:pt>
                <c:pt idx="181">
                  <c:v>44356</c:v>
                </c:pt>
                <c:pt idx="182">
                  <c:v>44357</c:v>
                </c:pt>
                <c:pt idx="183">
                  <c:v>44358</c:v>
                </c:pt>
                <c:pt idx="184">
                  <c:v>44361</c:v>
                </c:pt>
                <c:pt idx="185">
                  <c:v>44362</c:v>
                </c:pt>
                <c:pt idx="186">
                  <c:v>44363</c:v>
                </c:pt>
                <c:pt idx="187">
                  <c:v>44364</c:v>
                </c:pt>
                <c:pt idx="188">
                  <c:v>44365</c:v>
                </c:pt>
              </c:numCache>
            </c:numRef>
          </c:xVal>
          <c:yVal>
            <c:numRef>
              <c:f>'Ratios legislación'!$E$3:$E$208</c:f>
              <c:numCache>
                <c:formatCode>0.000</c:formatCode>
                <c:ptCount val="206"/>
                <c:pt idx="0">
                  <c:v>0</c:v>
                </c:pt>
                <c:pt idx="1">
                  <c:v>1.0017571884984025</c:v>
                </c:pt>
                <c:pt idx="2">
                  <c:v>1.0239234449760766</c:v>
                </c:pt>
                <c:pt idx="3">
                  <c:v>1.0315024232633279</c:v>
                </c:pt>
                <c:pt idx="4">
                  <c:v>1.0596783410890684</c:v>
                </c:pt>
                <c:pt idx="5">
                  <c:v>1.0737815126050421</c:v>
                </c:pt>
                <c:pt idx="6">
                  <c:v>1.0671256454388984</c:v>
                </c:pt>
                <c:pt idx="7">
                  <c:v>1.0607142857142857</c:v>
                </c:pt>
                <c:pt idx="8">
                  <c:v>1.0617928633594429</c:v>
                </c:pt>
                <c:pt idx="9">
                  <c:v>1.0603448275862069</c:v>
                </c:pt>
                <c:pt idx="10">
                  <c:v>1.0874458874458874</c:v>
                </c:pt>
                <c:pt idx="11">
                  <c:v>1.0725229826353422</c:v>
                </c:pt>
                <c:pt idx="12">
                  <c:v>1.0529077393965893</c:v>
                </c:pt>
                <c:pt idx="13">
                  <c:v>1.0747096550528688</c:v>
                </c:pt>
                <c:pt idx="14">
                  <c:v>1.0604683077450896</c:v>
                </c:pt>
                <c:pt idx="15">
                  <c:v>1.0852514919011083</c:v>
                </c:pt>
                <c:pt idx="16">
                  <c:v>1.0777027027027026</c:v>
                </c:pt>
                <c:pt idx="17">
                  <c:v>1.0703236056526466</c:v>
                </c:pt>
                <c:pt idx="18">
                  <c:v>1.0553431942828653</c:v>
                </c:pt>
                <c:pt idx="19">
                  <c:v>1.0535117056856187</c:v>
                </c:pt>
                <c:pt idx="20">
                  <c:v>1.0626072041166381</c:v>
                </c:pt>
                <c:pt idx="21">
                  <c:v>1.0632933104631217</c:v>
                </c:pt>
                <c:pt idx="22">
                  <c:v>1.0696686491079015</c:v>
                </c:pt>
                <c:pt idx="23">
                  <c:v>1.084717607973422</c:v>
                </c:pt>
                <c:pt idx="24">
                  <c:v>1.0898598516075846</c:v>
                </c:pt>
                <c:pt idx="25">
                  <c:v>1.0839445802770986</c:v>
                </c:pt>
                <c:pt idx="26">
                  <c:v>1.0923694779116466</c:v>
                </c:pt>
                <c:pt idx="27">
                  <c:v>1.1484823625922889</c:v>
                </c:pt>
                <c:pt idx="28">
                  <c:v>1.1091058244462675</c:v>
                </c:pt>
                <c:pt idx="29">
                  <c:v>1.1441127694859039</c:v>
                </c:pt>
                <c:pt idx="30">
                  <c:v>1.1805213969503197</c:v>
                </c:pt>
                <c:pt idx="31">
                  <c:v>1.1887194622069193</c:v>
                </c:pt>
                <c:pt idx="32">
                  <c:v>1.2125317527519051</c:v>
                </c:pt>
                <c:pt idx="33">
                  <c:v>1.251109139307897</c:v>
                </c:pt>
                <c:pt idx="34">
                  <c:v>1.1772151898734178</c:v>
                </c:pt>
                <c:pt idx="35">
                  <c:v>1.1528301886792454</c:v>
                </c:pt>
                <c:pt idx="36">
                  <c:v>1.2202097235462346</c:v>
                </c:pt>
                <c:pt idx="37">
                  <c:v>1.1769245610650203</c:v>
                </c:pt>
                <c:pt idx="38">
                  <c:v>1.1187126613991134</c:v>
                </c:pt>
                <c:pt idx="39">
                  <c:v>1.1079545454545454</c:v>
                </c:pt>
                <c:pt idx="40">
                  <c:v>1.1603773584905661</c:v>
                </c:pt>
                <c:pt idx="41">
                  <c:v>1.162136832239925</c:v>
                </c:pt>
                <c:pt idx="42">
                  <c:v>1.0622779128483262</c:v>
                </c:pt>
                <c:pt idx="43">
                  <c:v>1.1433067950379558</c:v>
                </c:pt>
                <c:pt idx="44">
                  <c:v>1.0909090909090908</c:v>
                </c:pt>
                <c:pt idx="45">
                  <c:v>1.0878734622144113</c:v>
                </c:pt>
                <c:pt idx="46">
                  <c:v>1.1043165467625899</c:v>
                </c:pt>
                <c:pt idx="47">
                  <c:v>1.101047771266205</c:v>
                </c:pt>
                <c:pt idx="48">
                  <c:v>1.0882867132867133</c:v>
                </c:pt>
                <c:pt idx="49">
                  <c:v>1.0909408273695236</c:v>
                </c:pt>
                <c:pt idx="50">
                  <c:v>1.0811418685121108</c:v>
                </c:pt>
                <c:pt idx="51">
                  <c:v>1.079300139275766</c:v>
                </c:pt>
                <c:pt idx="52">
                  <c:v>1.08506151142355</c:v>
                </c:pt>
                <c:pt idx="53">
                  <c:v>1.10912343470483</c:v>
                </c:pt>
                <c:pt idx="54">
                  <c:v>1.11323155216285</c:v>
                </c:pt>
                <c:pt idx="55">
                  <c:v>1.1075949367088607</c:v>
                </c:pt>
                <c:pt idx="56">
                  <c:v>1.1187214611872147</c:v>
                </c:pt>
                <c:pt idx="57">
                  <c:v>1.1404897123172888</c:v>
                </c:pt>
                <c:pt idx="58">
                  <c:v>1.1111111111111112</c:v>
                </c:pt>
                <c:pt idx="59">
                  <c:v>1.0826369545032497</c:v>
                </c:pt>
                <c:pt idx="60">
                  <c:v>1.0854700854700854</c:v>
                </c:pt>
                <c:pt idx="61">
                  <c:v>1.0945558739255015</c:v>
                </c:pt>
                <c:pt idx="62">
                  <c:v>1.0694980694980696</c:v>
                </c:pt>
                <c:pt idx="63">
                  <c:v>1.0852713178294573</c:v>
                </c:pt>
                <c:pt idx="64">
                  <c:v>1.0815738963531669</c:v>
                </c:pt>
                <c:pt idx="65">
                  <c:v>1.1238095238095238</c:v>
                </c:pt>
                <c:pt idx="66">
                  <c:v>1.1296436694465504</c:v>
                </c:pt>
                <c:pt idx="67">
                  <c:v>1.1022770398481974</c:v>
                </c:pt>
                <c:pt idx="68">
                  <c:v>1.0878504672897196</c:v>
                </c:pt>
                <c:pt idx="69">
                  <c:v>1.08348623853211</c:v>
                </c:pt>
                <c:pt idx="70">
                  <c:v>1.0987884436160298</c:v>
                </c:pt>
                <c:pt idx="71">
                  <c:v>1.0925925925925926</c:v>
                </c:pt>
                <c:pt idx="72">
                  <c:v>1.0916590284142988</c:v>
                </c:pt>
                <c:pt idx="73">
                  <c:v>1.0759493670886076</c:v>
                </c:pt>
                <c:pt idx="74">
                  <c:v>1.0676416819012797</c:v>
                </c:pt>
                <c:pt idx="75">
                  <c:v>1.0953574744661096</c:v>
                </c:pt>
                <c:pt idx="76">
                  <c:v>1.092029120776554</c:v>
                </c:pt>
                <c:pt idx="77">
                  <c:v>1.087012987012987</c:v>
                </c:pt>
                <c:pt idx="78">
                  <c:v>1.1133640552995392</c:v>
                </c:pt>
                <c:pt idx="79">
                  <c:v>1.1060329067641681</c:v>
                </c:pt>
                <c:pt idx="80">
                  <c:v>1.1197053406998159</c:v>
                </c:pt>
                <c:pt idx="81">
                  <c:v>1.1194029850746268</c:v>
                </c:pt>
                <c:pt idx="82">
                  <c:v>1.1200750469043153</c:v>
                </c:pt>
                <c:pt idx="83">
                  <c:v>1.1170313986679352</c:v>
                </c:pt>
                <c:pt idx="84">
                  <c:v>1.1127167630057804</c:v>
                </c:pt>
                <c:pt idx="85">
                  <c:v>1.1111111111111112</c:v>
                </c:pt>
                <c:pt idx="86">
                  <c:v>1.1279158699808796</c:v>
                </c:pt>
                <c:pt idx="87">
                  <c:v>1.1165876777251185</c:v>
                </c:pt>
                <c:pt idx="88">
                  <c:v>1.1293209004426863</c:v>
                </c:pt>
                <c:pt idx="89">
                  <c:v>1.1359241706161138</c:v>
                </c:pt>
                <c:pt idx="90">
                  <c:v>1.1312429590687194</c:v>
                </c:pt>
                <c:pt idx="91">
                  <c:v>1.1291821561338291</c:v>
                </c:pt>
                <c:pt idx="92">
                  <c:v>1.1356151711378353</c:v>
                </c:pt>
                <c:pt idx="93">
                  <c:v>1.1039558417663293</c:v>
                </c:pt>
                <c:pt idx="94">
                  <c:v>1.1105022831050229</c:v>
                </c:pt>
                <c:pt idx="95">
                  <c:v>1.1007154650522839</c:v>
                </c:pt>
                <c:pt idx="96">
                  <c:v>1.0982976386600769</c:v>
                </c:pt>
                <c:pt idx="97">
                  <c:v>1.1051237555941182</c:v>
                </c:pt>
                <c:pt idx="98">
                  <c:v>1.1172668513388735</c:v>
                </c:pt>
                <c:pt idx="99">
                  <c:v>1.1296296296296295</c:v>
                </c:pt>
                <c:pt idx="100">
                  <c:v>1.1401557285873192</c:v>
                </c:pt>
                <c:pt idx="101">
                  <c:v>1.1338289962825279</c:v>
                </c:pt>
                <c:pt idx="102">
                  <c:v>1.139086484462748</c:v>
                </c:pt>
                <c:pt idx="103">
                  <c:v>1.1330326944757609</c:v>
                </c:pt>
                <c:pt idx="104">
                  <c:v>1.1484674329501916</c:v>
                </c:pt>
                <c:pt idx="105">
                  <c:v>1.1728155339805826</c:v>
                </c:pt>
                <c:pt idx="106">
                  <c:v>1.16226034308779</c:v>
                </c:pt>
                <c:pt idx="107">
                  <c:v>1.1479591836734695</c:v>
                </c:pt>
                <c:pt idx="108">
                  <c:v>1.1466942148760331</c:v>
                </c:pt>
                <c:pt idx="109">
                  <c:v>1.1327713382507902</c:v>
                </c:pt>
                <c:pt idx="110">
                  <c:v>1.1427357689039932</c:v>
                </c:pt>
                <c:pt idx="111">
                  <c:v>1.1288981288981288</c:v>
                </c:pt>
                <c:pt idx="112">
                  <c:v>1.1121951219512196</c:v>
                </c:pt>
                <c:pt idx="113">
                  <c:v>1.126559356136821</c:v>
                </c:pt>
                <c:pt idx="114">
                  <c:v>1.107178168874827</c:v>
                </c:pt>
                <c:pt idx="115">
                  <c:v>1.125</c:v>
                </c:pt>
                <c:pt idx="116">
                  <c:v>1.1253822629969419</c:v>
                </c:pt>
                <c:pt idx="117">
                  <c:v>1.1075116420328002</c:v>
                </c:pt>
                <c:pt idx="118">
                  <c:v>1.1028806584362141</c:v>
                </c:pt>
                <c:pt idx="119">
                  <c:v>1.1180124223602483</c:v>
                </c:pt>
                <c:pt idx="120">
                  <c:v>1.1154209036586644</c:v>
                </c:pt>
                <c:pt idx="121">
                  <c:v>1.1356191308145884</c:v>
                </c:pt>
                <c:pt idx="122">
                  <c:v>1.14192849404117</c:v>
                </c:pt>
                <c:pt idx="123">
                  <c:v>1.1261930010604453</c:v>
                </c:pt>
                <c:pt idx="124">
                  <c:v>1.1481443298969072</c:v>
                </c:pt>
                <c:pt idx="125">
                  <c:v>1.1415478615071284</c:v>
                </c:pt>
                <c:pt idx="126">
                  <c:v>1.1373737373737374</c:v>
                </c:pt>
                <c:pt idx="127">
                  <c:v>1.1585365853658536</c:v>
                </c:pt>
                <c:pt idx="128">
                  <c:v>1.1442986881937436</c:v>
                </c:pt>
                <c:pt idx="129">
                  <c:v>1.1487834064619067</c:v>
                </c:pt>
                <c:pt idx="130">
                  <c:v>1.1306740027510316</c:v>
                </c:pt>
                <c:pt idx="131">
                  <c:v>1.1265306122448979</c:v>
                </c:pt>
                <c:pt idx="132">
                  <c:v>1.1406832298136647</c:v>
                </c:pt>
                <c:pt idx="133">
                  <c:v>1.1360759493670887</c:v>
                </c:pt>
                <c:pt idx="134">
                  <c:v>1.1394809031441233</c:v>
                </c:pt>
                <c:pt idx="135">
                  <c:v>1.1203319502074689</c:v>
                </c:pt>
                <c:pt idx="136">
                  <c:v>1.1390686991021091</c:v>
                </c:pt>
                <c:pt idx="137">
                  <c:v>1.1425619834710743</c:v>
                </c:pt>
                <c:pt idx="138">
                  <c:v>1.1451646303582523</c:v>
                </c:pt>
                <c:pt idx="139">
                  <c:v>1.1538061022597106</c:v>
                </c:pt>
                <c:pt idx="140">
                  <c:v>1.169633507853403</c:v>
                </c:pt>
                <c:pt idx="141">
                  <c:v>1.1868749999999999</c:v>
                </c:pt>
                <c:pt idx="142">
                  <c:v>1.1614173228346456</c:v>
                </c:pt>
                <c:pt idx="143">
                  <c:v>1.1648374404638642</c:v>
                </c:pt>
                <c:pt idx="144">
                  <c:v>1.1680584551148225</c:v>
                </c:pt>
                <c:pt idx="145">
                  <c:v>1.1656249999999999</c:v>
                </c:pt>
                <c:pt idx="146">
                  <c:v>1.1611570247933884</c:v>
                </c:pt>
                <c:pt idx="147">
                  <c:v>1.1540828887977022</c:v>
                </c:pt>
                <c:pt idx="148">
                  <c:v>1.153061224489796</c:v>
                </c:pt>
                <c:pt idx="149">
                  <c:v>1.1437246963562753</c:v>
                </c:pt>
                <c:pt idx="150">
                  <c:v>1.1387329591018445</c:v>
                </c:pt>
                <c:pt idx="151">
                  <c:v>1.1378126532614026</c:v>
                </c:pt>
                <c:pt idx="152">
                  <c:v>1.142578125</c:v>
                </c:pt>
                <c:pt idx="153">
                  <c:v>1.1332694151486098</c:v>
                </c:pt>
                <c:pt idx="154">
                  <c:v>1.1376673040152965</c:v>
                </c:pt>
                <c:pt idx="155">
                  <c:v>1.1483253588516746</c:v>
                </c:pt>
                <c:pt idx="156">
                  <c:v>1.1560693641618498</c:v>
                </c:pt>
                <c:pt idx="157">
                  <c:v>1.1485451761102603</c:v>
                </c:pt>
                <c:pt idx="158">
                  <c:v>1.1525911708253358</c:v>
                </c:pt>
                <c:pt idx="159">
                  <c:v>1.1590733590733591</c:v>
                </c:pt>
                <c:pt idx="160">
                  <c:v>1.1613967022308438</c:v>
                </c:pt>
                <c:pt idx="161">
                  <c:v>1.1495601173020529</c:v>
                </c:pt>
                <c:pt idx="162">
                  <c:v>1.1535048802129548</c:v>
                </c:pt>
                <c:pt idx="163">
                  <c:v>1.1430808377373263</c:v>
                </c:pt>
                <c:pt idx="164">
                  <c:v>1.1553398058252426</c:v>
                </c:pt>
                <c:pt idx="165">
                  <c:v>1.1461603534166744</c:v>
                </c:pt>
                <c:pt idx="166">
                  <c:v>1.1595412844036697</c:v>
                </c:pt>
                <c:pt idx="167">
                  <c:v>1.1407942238267148</c:v>
                </c:pt>
                <c:pt idx="168">
                  <c:v>1.139240506329114</c:v>
                </c:pt>
                <c:pt idx="169">
                  <c:v>1.1397849462365592</c:v>
                </c:pt>
                <c:pt idx="170">
                  <c:v>1.1298980139559849</c:v>
                </c:pt>
                <c:pt idx="171">
                  <c:v>1.124762069562208</c:v>
                </c:pt>
                <c:pt idx="172">
                  <c:v>1.1193520886615516</c:v>
                </c:pt>
                <c:pt idx="173">
                  <c:v>1.1301576363166508</c:v>
                </c:pt>
                <c:pt idx="174">
                  <c:v>1.1496035849706998</c:v>
                </c:pt>
                <c:pt idx="175">
                  <c:v>1.1139730639730641</c:v>
                </c:pt>
                <c:pt idx="176">
                  <c:v>1.1133004926108374</c:v>
                </c:pt>
                <c:pt idx="177">
                  <c:v>1.125</c:v>
                </c:pt>
                <c:pt idx="178">
                  <c:v>1.1151260504201681</c:v>
                </c:pt>
                <c:pt idx="179">
                  <c:v>1.0913621262458473</c:v>
                </c:pt>
                <c:pt idx="180">
                  <c:v>1.1022708436930218</c:v>
                </c:pt>
                <c:pt idx="181">
                  <c:v>1.1036184210526316</c:v>
                </c:pt>
                <c:pt idx="182">
                  <c:v>1.0865273893732521</c:v>
                </c:pt>
                <c:pt idx="183">
                  <c:v>1.088235294117647</c:v>
                </c:pt>
                <c:pt idx="184">
                  <c:v>1.0965460526315789</c:v>
                </c:pt>
                <c:pt idx="185">
                  <c:v>1.0872251050160613</c:v>
                </c:pt>
                <c:pt idx="186">
                  <c:v>1.0895765472312704</c:v>
                </c:pt>
                <c:pt idx="187">
                  <c:v>1.0819859545974195</c:v>
                </c:pt>
                <c:pt idx="188">
                  <c:v>1.0909090909090908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1-4CE1-BA44-297D6998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9040"/>
        <c:axId val="212920960"/>
      </c:scatterChart>
      <c:valAx>
        <c:axId val="212919040"/>
        <c:scaling>
          <c:orientation val="minMax"/>
          <c:max val="44370"/>
          <c:min val="44081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212920960"/>
        <c:crosses val="autoZero"/>
        <c:crossBetween val="midCat"/>
        <c:majorUnit val="30"/>
      </c:valAx>
      <c:valAx>
        <c:axId val="212920960"/>
        <c:scaling>
          <c:orientation val="minMax"/>
          <c:max val="1.2"/>
          <c:min val="1.0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>
                    <a:latin typeface="Arial" pitchFamily="34" charset="0"/>
                    <a:cs typeface="Arial" pitchFamily="34" charset="0"/>
                  </a:defRPr>
                </a:pPr>
                <a:r>
                  <a:rPr lang="en-US" sz="900">
                    <a:latin typeface="Arial" pitchFamily="34" charset="0"/>
                    <a:cs typeface="Arial" pitchFamily="34" charset="0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8.6345956766913968E-4"/>
              <c:y val="0.47930981203120387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212919040"/>
        <c:crossesAt val="0"/>
        <c:crossBetween val="midCat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 b="1" i="0" baseline="0">
                <a:effectLst/>
                <a:latin typeface="Arial" pitchFamily="34" charset="0"/>
                <a:cs typeface="Arial" pitchFamily="34" charset="0"/>
              </a:rPr>
              <a:t>Ratio GD41/AL41</a:t>
            </a:r>
            <a:endParaRPr lang="es-AR" sz="1200">
              <a:effectLst/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8258788819280798"/>
          <c:y val="3.633028434467612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980314396589849"/>
          <c:y val="0.19820639465521353"/>
          <c:w val="0.82687569686537754"/>
          <c:h val="0.73584282271790313"/>
        </c:manualLayout>
      </c:layout>
      <c:scatterChart>
        <c:scatterStyle val="lineMarker"/>
        <c:varyColors val="0"/>
        <c:ser>
          <c:idx val="0"/>
          <c:order val="0"/>
          <c:tx>
            <c:v>Ratio GD41/AL41</c:v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'Ratios legislación'!$A$3:$A$208</c:f>
              <c:numCache>
                <c:formatCode>dd/mm/yyyy;@</c:formatCode>
                <c:ptCount val="206"/>
                <c:pt idx="0">
                  <c:v>44082</c:v>
                </c:pt>
                <c:pt idx="1">
                  <c:v>44083</c:v>
                </c:pt>
                <c:pt idx="2">
                  <c:v>44084</c:v>
                </c:pt>
                <c:pt idx="3">
                  <c:v>44085</c:v>
                </c:pt>
                <c:pt idx="4">
                  <c:v>44088</c:v>
                </c:pt>
                <c:pt idx="5">
                  <c:v>44089</c:v>
                </c:pt>
                <c:pt idx="6">
                  <c:v>44090</c:v>
                </c:pt>
                <c:pt idx="7">
                  <c:v>44091</c:v>
                </c:pt>
                <c:pt idx="8">
                  <c:v>44092</c:v>
                </c:pt>
                <c:pt idx="9">
                  <c:v>44095</c:v>
                </c:pt>
                <c:pt idx="10">
                  <c:v>44096</c:v>
                </c:pt>
                <c:pt idx="11">
                  <c:v>44097</c:v>
                </c:pt>
                <c:pt idx="12">
                  <c:v>44098</c:v>
                </c:pt>
                <c:pt idx="13">
                  <c:v>44099</c:v>
                </c:pt>
                <c:pt idx="14">
                  <c:v>44102</c:v>
                </c:pt>
                <c:pt idx="15">
                  <c:v>44103</c:v>
                </c:pt>
                <c:pt idx="16">
                  <c:v>44104</c:v>
                </c:pt>
                <c:pt idx="17">
                  <c:v>44105</c:v>
                </c:pt>
                <c:pt idx="18">
                  <c:v>44106</c:v>
                </c:pt>
                <c:pt idx="19">
                  <c:v>44109</c:v>
                </c:pt>
                <c:pt idx="20">
                  <c:v>44110</c:v>
                </c:pt>
                <c:pt idx="21">
                  <c:v>44111</c:v>
                </c:pt>
                <c:pt idx="22">
                  <c:v>44112</c:v>
                </c:pt>
                <c:pt idx="23">
                  <c:v>44113</c:v>
                </c:pt>
                <c:pt idx="24">
                  <c:v>44117</c:v>
                </c:pt>
                <c:pt idx="25">
                  <c:v>44118</c:v>
                </c:pt>
                <c:pt idx="26">
                  <c:v>44119</c:v>
                </c:pt>
                <c:pt idx="27">
                  <c:v>44120</c:v>
                </c:pt>
                <c:pt idx="28">
                  <c:v>44123</c:v>
                </c:pt>
                <c:pt idx="29">
                  <c:v>44124</c:v>
                </c:pt>
                <c:pt idx="30">
                  <c:v>44125</c:v>
                </c:pt>
                <c:pt idx="31">
                  <c:v>44126</c:v>
                </c:pt>
                <c:pt idx="32">
                  <c:v>44127</c:v>
                </c:pt>
                <c:pt idx="33">
                  <c:v>44130</c:v>
                </c:pt>
                <c:pt idx="34">
                  <c:v>44131</c:v>
                </c:pt>
                <c:pt idx="35">
                  <c:v>44132</c:v>
                </c:pt>
                <c:pt idx="36">
                  <c:v>44133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44159</c:v>
                </c:pt>
                <c:pt idx="54">
                  <c:v>44160</c:v>
                </c:pt>
                <c:pt idx="55">
                  <c:v>44161</c:v>
                </c:pt>
                <c:pt idx="56">
                  <c:v>44162</c:v>
                </c:pt>
                <c:pt idx="57">
                  <c:v>44165</c:v>
                </c:pt>
                <c:pt idx="58">
                  <c:v>44166</c:v>
                </c:pt>
                <c:pt idx="59">
                  <c:v>44167</c:v>
                </c:pt>
                <c:pt idx="60">
                  <c:v>44168</c:v>
                </c:pt>
                <c:pt idx="61">
                  <c:v>44169</c:v>
                </c:pt>
                <c:pt idx="62">
                  <c:v>44174</c:v>
                </c:pt>
                <c:pt idx="63">
                  <c:v>44175</c:v>
                </c:pt>
                <c:pt idx="64">
                  <c:v>44176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44193</c:v>
                </c:pt>
                <c:pt idx="74">
                  <c:v>44194</c:v>
                </c:pt>
                <c:pt idx="75">
                  <c:v>44195</c:v>
                </c:pt>
                <c:pt idx="76">
                  <c:v>44200</c:v>
                </c:pt>
                <c:pt idx="77">
                  <c:v>44201</c:v>
                </c:pt>
                <c:pt idx="78">
                  <c:v>44202</c:v>
                </c:pt>
                <c:pt idx="79">
                  <c:v>44203</c:v>
                </c:pt>
                <c:pt idx="80">
                  <c:v>44204</c:v>
                </c:pt>
                <c:pt idx="81">
                  <c:v>44207</c:v>
                </c:pt>
                <c:pt idx="82">
                  <c:v>44208</c:v>
                </c:pt>
                <c:pt idx="83">
                  <c:v>44209</c:v>
                </c:pt>
                <c:pt idx="84">
                  <c:v>44210</c:v>
                </c:pt>
                <c:pt idx="85">
                  <c:v>44211</c:v>
                </c:pt>
                <c:pt idx="86">
                  <c:v>44214</c:v>
                </c:pt>
                <c:pt idx="87">
                  <c:v>44215</c:v>
                </c:pt>
                <c:pt idx="88">
                  <c:v>44216</c:v>
                </c:pt>
                <c:pt idx="89">
                  <c:v>44217</c:v>
                </c:pt>
                <c:pt idx="90">
                  <c:v>44218</c:v>
                </c:pt>
                <c:pt idx="91">
                  <c:v>44221</c:v>
                </c:pt>
                <c:pt idx="92">
                  <c:v>44222</c:v>
                </c:pt>
                <c:pt idx="93">
                  <c:v>44223</c:v>
                </c:pt>
                <c:pt idx="94">
                  <c:v>44224</c:v>
                </c:pt>
                <c:pt idx="95">
                  <c:v>44225</c:v>
                </c:pt>
                <c:pt idx="96">
                  <c:v>44228</c:v>
                </c:pt>
                <c:pt idx="97">
                  <c:v>44229</c:v>
                </c:pt>
                <c:pt idx="98">
                  <c:v>44230</c:v>
                </c:pt>
                <c:pt idx="99">
                  <c:v>44231</c:v>
                </c:pt>
                <c:pt idx="100">
                  <c:v>44232</c:v>
                </c:pt>
                <c:pt idx="101">
                  <c:v>44235</c:v>
                </c:pt>
                <c:pt idx="102">
                  <c:v>44236</c:v>
                </c:pt>
                <c:pt idx="103">
                  <c:v>44237</c:v>
                </c:pt>
                <c:pt idx="104">
                  <c:v>44238</c:v>
                </c:pt>
                <c:pt idx="105">
                  <c:v>44239</c:v>
                </c:pt>
                <c:pt idx="106">
                  <c:v>44244</c:v>
                </c:pt>
                <c:pt idx="107">
                  <c:v>44245</c:v>
                </c:pt>
                <c:pt idx="108">
                  <c:v>44246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44256</c:v>
                </c:pt>
                <c:pt idx="115">
                  <c:v>44257</c:v>
                </c:pt>
                <c:pt idx="116">
                  <c:v>44258</c:v>
                </c:pt>
                <c:pt idx="117">
                  <c:v>44259</c:v>
                </c:pt>
                <c:pt idx="118">
                  <c:v>44260</c:v>
                </c:pt>
                <c:pt idx="119">
                  <c:v>44263</c:v>
                </c:pt>
                <c:pt idx="120">
                  <c:v>44264</c:v>
                </c:pt>
                <c:pt idx="121">
                  <c:v>44265</c:v>
                </c:pt>
                <c:pt idx="122">
                  <c:v>44266</c:v>
                </c:pt>
                <c:pt idx="123">
                  <c:v>44267</c:v>
                </c:pt>
                <c:pt idx="124">
                  <c:v>44270</c:v>
                </c:pt>
                <c:pt idx="125">
                  <c:v>44271</c:v>
                </c:pt>
                <c:pt idx="126">
                  <c:v>44272</c:v>
                </c:pt>
                <c:pt idx="127">
                  <c:v>44273</c:v>
                </c:pt>
                <c:pt idx="128">
                  <c:v>44274</c:v>
                </c:pt>
                <c:pt idx="129">
                  <c:v>44277</c:v>
                </c:pt>
                <c:pt idx="130">
                  <c:v>44278</c:v>
                </c:pt>
                <c:pt idx="131">
                  <c:v>44280</c:v>
                </c:pt>
                <c:pt idx="132">
                  <c:v>44281</c:v>
                </c:pt>
                <c:pt idx="133">
                  <c:v>44284</c:v>
                </c:pt>
                <c:pt idx="134">
                  <c:v>44285</c:v>
                </c:pt>
                <c:pt idx="135">
                  <c:v>44286</c:v>
                </c:pt>
                <c:pt idx="136">
                  <c:v>44291</c:v>
                </c:pt>
                <c:pt idx="137">
                  <c:v>44292</c:v>
                </c:pt>
                <c:pt idx="138">
                  <c:v>44293</c:v>
                </c:pt>
                <c:pt idx="139">
                  <c:v>44294</c:v>
                </c:pt>
                <c:pt idx="140">
                  <c:v>44295</c:v>
                </c:pt>
                <c:pt idx="141">
                  <c:v>44298</c:v>
                </c:pt>
                <c:pt idx="142">
                  <c:v>44299</c:v>
                </c:pt>
                <c:pt idx="143">
                  <c:v>44300</c:v>
                </c:pt>
                <c:pt idx="144">
                  <c:v>44301</c:v>
                </c:pt>
                <c:pt idx="145">
                  <c:v>44302</c:v>
                </c:pt>
                <c:pt idx="146">
                  <c:v>44305</c:v>
                </c:pt>
                <c:pt idx="147">
                  <c:v>44306</c:v>
                </c:pt>
                <c:pt idx="148">
                  <c:v>44307</c:v>
                </c:pt>
                <c:pt idx="149">
                  <c:v>44308</c:v>
                </c:pt>
                <c:pt idx="150">
                  <c:v>44309</c:v>
                </c:pt>
                <c:pt idx="151">
                  <c:v>44312</c:v>
                </c:pt>
                <c:pt idx="152">
                  <c:v>44313</c:v>
                </c:pt>
                <c:pt idx="153">
                  <c:v>44314</c:v>
                </c:pt>
                <c:pt idx="154">
                  <c:v>44315</c:v>
                </c:pt>
                <c:pt idx="155">
                  <c:v>44316</c:v>
                </c:pt>
                <c:pt idx="156">
                  <c:v>44319</c:v>
                </c:pt>
                <c:pt idx="157">
                  <c:v>44320</c:v>
                </c:pt>
                <c:pt idx="158">
                  <c:v>44321</c:v>
                </c:pt>
                <c:pt idx="159">
                  <c:v>44322</c:v>
                </c:pt>
                <c:pt idx="160">
                  <c:v>44323</c:v>
                </c:pt>
                <c:pt idx="161">
                  <c:v>44326</c:v>
                </c:pt>
                <c:pt idx="162">
                  <c:v>44327</c:v>
                </c:pt>
                <c:pt idx="163">
                  <c:v>44328</c:v>
                </c:pt>
                <c:pt idx="164">
                  <c:v>44329</c:v>
                </c:pt>
                <c:pt idx="165">
                  <c:v>44330</c:v>
                </c:pt>
                <c:pt idx="166">
                  <c:v>44333</c:v>
                </c:pt>
                <c:pt idx="167">
                  <c:v>44334</c:v>
                </c:pt>
                <c:pt idx="168">
                  <c:v>44335</c:v>
                </c:pt>
                <c:pt idx="169">
                  <c:v>44336</c:v>
                </c:pt>
                <c:pt idx="170">
                  <c:v>44337</c:v>
                </c:pt>
                <c:pt idx="171">
                  <c:v>44342</c:v>
                </c:pt>
                <c:pt idx="172">
                  <c:v>44343</c:v>
                </c:pt>
                <c:pt idx="173">
                  <c:v>44344</c:v>
                </c:pt>
                <c:pt idx="174">
                  <c:v>44347</c:v>
                </c:pt>
                <c:pt idx="175">
                  <c:v>44348</c:v>
                </c:pt>
                <c:pt idx="176">
                  <c:v>44349</c:v>
                </c:pt>
                <c:pt idx="177">
                  <c:v>44350</c:v>
                </c:pt>
                <c:pt idx="178">
                  <c:v>44351</c:v>
                </c:pt>
                <c:pt idx="179">
                  <c:v>44354</c:v>
                </c:pt>
                <c:pt idx="180">
                  <c:v>44355</c:v>
                </c:pt>
                <c:pt idx="181">
                  <c:v>44356</c:v>
                </c:pt>
                <c:pt idx="182">
                  <c:v>44357</c:v>
                </c:pt>
                <c:pt idx="183">
                  <c:v>44358</c:v>
                </c:pt>
                <c:pt idx="184">
                  <c:v>44361</c:v>
                </c:pt>
                <c:pt idx="185">
                  <c:v>44362</c:v>
                </c:pt>
                <c:pt idx="186">
                  <c:v>44363</c:v>
                </c:pt>
                <c:pt idx="187">
                  <c:v>44364</c:v>
                </c:pt>
                <c:pt idx="188">
                  <c:v>44365</c:v>
                </c:pt>
              </c:numCache>
            </c:numRef>
          </c:xVal>
          <c:yVal>
            <c:numRef>
              <c:f>'Ratios legislación'!$F$3:$F$208</c:f>
              <c:numCache>
                <c:formatCode>0.000</c:formatCode>
                <c:ptCount val="206"/>
                <c:pt idx="0">
                  <c:v>1.0869565217391304</c:v>
                </c:pt>
                <c:pt idx="1">
                  <c:v>0.99732142857142858</c:v>
                </c:pt>
                <c:pt idx="2">
                  <c:v>1.0061030335666845</c:v>
                </c:pt>
                <c:pt idx="3">
                  <c:v>1.0181488203266789</c:v>
                </c:pt>
                <c:pt idx="4">
                  <c:v>1.0506445672191529</c:v>
                </c:pt>
                <c:pt idx="5">
                  <c:v>1.0693310817149826</c:v>
                </c:pt>
                <c:pt idx="6">
                  <c:v>1.0558589633036313</c:v>
                </c:pt>
                <c:pt idx="7">
                  <c:v>1.0536779324055665</c:v>
                </c:pt>
                <c:pt idx="8">
                  <c:v>1.0469667318982387</c:v>
                </c:pt>
                <c:pt idx="9">
                  <c:v>1.0220125786163523</c:v>
                </c:pt>
                <c:pt idx="10">
                  <c:v>1.0498031496062992</c:v>
                </c:pt>
                <c:pt idx="11">
                  <c:v>1.0377358490566038</c:v>
                </c:pt>
                <c:pt idx="12">
                  <c:v>1.0503802281368821</c:v>
                </c:pt>
                <c:pt idx="13">
                  <c:v>1.0605774674466881</c:v>
                </c:pt>
                <c:pt idx="14">
                  <c:v>1.0698198198198199</c:v>
                </c:pt>
                <c:pt idx="15">
                  <c:v>1.0756457564575646</c:v>
                </c:pt>
                <c:pt idx="16">
                  <c:v>1.0709023941068141</c:v>
                </c:pt>
                <c:pt idx="17">
                  <c:v>1.0568325791855204</c:v>
                </c:pt>
                <c:pt idx="18">
                  <c:v>1.0609712230215826</c:v>
                </c:pt>
                <c:pt idx="19">
                  <c:v>1.0527253295333097</c:v>
                </c:pt>
                <c:pt idx="20">
                  <c:v>1.0526785714285714</c:v>
                </c:pt>
                <c:pt idx="21">
                  <c:v>1.0314239540312444</c:v>
                </c:pt>
                <c:pt idx="22">
                  <c:v>1.0342342342342343</c:v>
                </c:pt>
                <c:pt idx="23">
                  <c:v>1.0453028972783143</c:v>
                </c:pt>
                <c:pt idx="24">
                  <c:v>1.0365640307907629</c:v>
                </c:pt>
                <c:pt idx="25">
                  <c:v>1.0396475770925111</c:v>
                </c:pt>
                <c:pt idx="26">
                  <c:v>1.0714285714285714</c:v>
                </c:pt>
                <c:pt idx="27">
                  <c:v>1.1054921152800434</c:v>
                </c:pt>
                <c:pt idx="28">
                  <c:v>1.0872265480163144</c:v>
                </c:pt>
                <c:pt idx="29">
                  <c:v>1.0994475138121547</c:v>
                </c:pt>
                <c:pt idx="30">
                  <c:v>1.1009092529862721</c:v>
                </c:pt>
                <c:pt idx="31">
                  <c:v>1.1130899376669634</c:v>
                </c:pt>
                <c:pt idx="32">
                  <c:v>1.1355311355311355</c:v>
                </c:pt>
                <c:pt idx="33">
                  <c:v>1.1494252873563218</c:v>
                </c:pt>
                <c:pt idx="34">
                  <c:v>1.1274509803921569</c:v>
                </c:pt>
                <c:pt idx="35">
                  <c:v>1.11088504577823</c:v>
                </c:pt>
                <c:pt idx="36">
                  <c:v>1.1081740544936967</c:v>
                </c:pt>
                <c:pt idx="37">
                  <c:v>1.0748243075651096</c:v>
                </c:pt>
                <c:pt idx="38">
                  <c:v>1.1076280041797284</c:v>
                </c:pt>
                <c:pt idx="39">
                  <c:v>1.0927835051546391</c:v>
                </c:pt>
                <c:pt idx="40">
                  <c:v>1.0974358974358975</c:v>
                </c:pt>
                <c:pt idx="41">
                  <c:v>1.142570281124498</c:v>
                </c:pt>
                <c:pt idx="42">
                  <c:v>1.1364545818327332</c:v>
                </c:pt>
                <c:pt idx="43">
                  <c:v>1.1187624750499001</c:v>
                </c:pt>
                <c:pt idx="44">
                  <c:v>1.1222664015904573</c:v>
                </c:pt>
                <c:pt idx="45">
                  <c:v>1.0991176470588235</c:v>
                </c:pt>
                <c:pt idx="46">
                  <c:v>1.1089303238469088</c:v>
                </c:pt>
                <c:pt idx="47">
                  <c:v>1.1060311284046693</c:v>
                </c:pt>
                <c:pt idx="48">
                  <c:v>1.1148648648648649</c:v>
                </c:pt>
                <c:pt idx="49">
                  <c:v>1.1225580717270871</c:v>
                </c:pt>
                <c:pt idx="50">
                  <c:v>1.0992380952380953</c:v>
                </c:pt>
                <c:pt idx="51">
                  <c:v>1.0942889996167113</c:v>
                </c:pt>
                <c:pt idx="52">
                  <c:v>1.0573668610765847</c:v>
                </c:pt>
                <c:pt idx="53">
                  <c:v>1.0865384615384615</c:v>
                </c:pt>
                <c:pt idx="54">
                  <c:v>1.0772788591250724</c:v>
                </c:pt>
                <c:pt idx="55">
                  <c:v>1.0848414088344036</c:v>
                </c:pt>
                <c:pt idx="56">
                  <c:v>1.0965168320684957</c:v>
                </c:pt>
                <c:pt idx="57">
                  <c:v>1.1037623762376239</c:v>
                </c:pt>
                <c:pt idx="58">
                  <c:v>1.0747663551401869</c:v>
                </c:pt>
                <c:pt idx="59">
                  <c:v>1.0760000000000001</c:v>
                </c:pt>
                <c:pt idx="60">
                  <c:v>1.0409452026889388</c:v>
                </c:pt>
                <c:pt idx="61">
                  <c:v>1.0702547247329499</c:v>
                </c:pt>
                <c:pt idx="62">
                  <c:v>1.0480349344978166</c:v>
                </c:pt>
                <c:pt idx="63">
                  <c:v>1.0810640971931293</c:v>
                </c:pt>
                <c:pt idx="64">
                  <c:v>1.0688524590163935</c:v>
                </c:pt>
                <c:pt idx="65">
                  <c:v>1.1086019297885445</c:v>
                </c:pt>
                <c:pt idx="66">
                  <c:v>1.0913705583756346</c:v>
                </c:pt>
                <c:pt idx="67">
                  <c:v>1.0855397148676171</c:v>
                </c:pt>
                <c:pt idx="68">
                  <c:v>1.0842319430315361</c:v>
                </c:pt>
                <c:pt idx="69">
                  <c:v>1.0900000000000001</c:v>
                </c:pt>
                <c:pt idx="70">
                  <c:v>1.088676948051948</c:v>
                </c:pt>
                <c:pt idx="71">
                  <c:v>1.0733744283157685</c:v>
                </c:pt>
                <c:pt idx="72">
                  <c:v>1.0862000000000001</c:v>
                </c:pt>
                <c:pt idx="73">
                  <c:v>1.0707269155206287</c:v>
                </c:pt>
                <c:pt idx="74">
                  <c:v>1.0627262941579412</c:v>
                </c:pt>
                <c:pt idx="75">
                  <c:v>1.0686274509803921</c:v>
                </c:pt>
                <c:pt idx="76">
                  <c:v>1.0865191146881288</c:v>
                </c:pt>
                <c:pt idx="77">
                  <c:v>1.0820000000000001</c:v>
                </c:pt>
                <c:pt idx="78">
                  <c:v>1.0872509960159362</c:v>
                </c:pt>
                <c:pt idx="79">
                  <c:v>1.0898613010353584</c:v>
                </c:pt>
                <c:pt idx="80">
                  <c:v>1.08843537414966</c:v>
                </c:pt>
                <c:pt idx="81">
                  <c:v>1.0785371114815179</c:v>
                </c:pt>
                <c:pt idx="82">
                  <c:v>1.0891089108910892</c:v>
                </c:pt>
                <c:pt idx="83">
                  <c:v>1.0757575757575757</c:v>
                </c:pt>
                <c:pt idx="84">
                  <c:v>1.054766734279919</c:v>
                </c:pt>
                <c:pt idx="85">
                  <c:v>1.097165991902834</c:v>
                </c:pt>
                <c:pt idx="86">
                  <c:v>1.0807265388496468</c:v>
                </c:pt>
                <c:pt idx="87">
                  <c:v>1.102378073357517</c:v>
                </c:pt>
                <c:pt idx="88">
                  <c:v>1.1279716742539201</c:v>
                </c:pt>
                <c:pt idx="89">
                  <c:v>1.11088504577823</c:v>
                </c:pt>
                <c:pt idx="90">
                  <c:v>1.1361330898762427</c:v>
                </c:pt>
                <c:pt idx="91">
                  <c:v>1.1444557477110886</c:v>
                </c:pt>
                <c:pt idx="92">
                  <c:v>1.1368209255533199</c:v>
                </c:pt>
                <c:pt idx="93">
                  <c:v>1.1422805247225025</c:v>
                </c:pt>
                <c:pt idx="94">
                  <c:v>1.1391391391391392</c:v>
                </c:pt>
                <c:pt idx="95">
                  <c:v>1.1333333333333333</c:v>
                </c:pt>
                <c:pt idx="96">
                  <c:v>1.1230862207896857</c:v>
                </c:pt>
                <c:pt idx="97">
                  <c:v>1.1095533747246145</c:v>
                </c:pt>
                <c:pt idx="98">
                  <c:v>1.1122244488977955</c:v>
                </c:pt>
                <c:pt idx="99">
                  <c:v>1.1144278606965174</c:v>
                </c:pt>
                <c:pt idx="100">
                  <c:v>1.1231683168316833</c:v>
                </c:pt>
                <c:pt idx="101">
                  <c:v>1.1103379721669979</c:v>
                </c:pt>
                <c:pt idx="102">
                  <c:v>1.1164084227254669</c:v>
                </c:pt>
                <c:pt idx="103">
                  <c:v>1.1128855175167183</c:v>
                </c:pt>
                <c:pt idx="104">
                  <c:v>1.1111111111111112</c:v>
                </c:pt>
                <c:pt idx="105">
                  <c:v>1.1062753036437247</c:v>
                </c:pt>
                <c:pt idx="106">
                  <c:v>1.1276595744680851</c:v>
                </c:pt>
                <c:pt idx="107">
                  <c:v>1.12107138999892</c:v>
                </c:pt>
                <c:pt idx="108">
                  <c:v>1.096774193548387</c:v>
                </c:pt>
                <c:pt idx="109">
                  <c:v>1.0619469026548674</c:v>
                </c:pt>
                <c:pt idx="110">
                  <c:v>1.1006844778096709</c:v>
                </c:pt>
                <c:pt idx="111">
                  <c:v>1.1032258064516129</c:v>
                </c:pt>
                <c:pt idx="112">
                  <c:v>1.0718045904400926</c:v>
                </c:pt>
                <c:pt idx="113">
                  <c:v>1.0781217098336493</c:v>
                </c:pt>
                <c:pt idx="114">
                  <c:v>1.079091291543963</c:v>
                </c:pt>
                <c:pt idx="115">
                  <c:v>1.0808059384941675</c:v>
                </c:pt>
                <c:pt idx="116">
                  <c:v>1.0922268907563024</c:v>
                </c:pt>
                <c:pt idx="117">
                  <c:v>1.100762066045724</c:v>
                </c:pt>
                <c:pt idx="118">
                  <c:v>1.0839612486544672</c:v>
                </c:pt>
                <c:pt idx="119">
                  <c:v>1.0654506437768241</c:v>
                </c:pt>
                <c:pt idx="120">
                  <c:v>1.0791757049891539</c:v>
                </c:pt>
                <c:pt idx="121">
                  <c:v>1.1006787330316743</c:v>
                </c:pt>
                <c:pt idx="122">
                  <c:v>1.1034025629695094</c:v>
                </c:pt>
                <c:pt idx="123">
                  <c:v>1.0851063829787233</c:v>
                </c:pt>
                <c:pt idx="124">
                  <c:v>1.0766087844739529</c:v>
                </c:pt>
                <c:pt idx="125">
                  <c:v>1.0987098095433134</c:v>
                </c:pt>
                <c:pt idx="126">
                  <c:v>1.117948717948718</c:v>
                </c:pt>
                <c:pt idx="127">
                  <c:v>1.1048879837067209</c:v>
                </c:pt>
                <c:pt idx="128">
                  <c:v>1.1063829787234043</c:v>
                </c:pt>
                <c:pt idx="129">
                  <c:v>1.0813492063492063</c:v>
                </c:pt>
                <c:pt idx="130">
                  <c:v>1.0934691431995207</c:v>
                </c:pt>
                <c:pt idx="131">
                  <c:v>1.082527268985388</c:v>
                </c:pt>
                <c:pt idx="132">
                  <c:v>1.0955173858399665</c:v>
                </c:pt>
                <c:pt idx="133">
                  <c:v>1.0701943844492441</c:v>
                </c:pt>
                <c:pt idx="134">
                  <c:v>1.0801282051282051</c:v>
                </c:pt>
                <c:pt idx="135">
                  <c:v>1.0812236286919832</c:v>
                </c:pt>
                <c:pt idx="136">
                  <c:v>1.098936170212766</c:v>
                </c:pt>
                <c:pt idx="137">
                  <c:v>1.0887265135699373</c:v>
                </c:pt>
                <c:pt idx="138">
                  <c:v>1.0916666666666666</c:v>
                </c:pt>
                <c:pt idx="139">
                  <c:v>1.0920502092050208</c:v>
                </c:pt>
                <c:pt idx="140">
                  <c:v>1.0932914046121593</c:v>
                </c:pt>
                <c:pt idx="141">
                  <c:v>1.0947916666666666</c:v>
                </c:pt>
                <c:pt idx="142">
                  <c:v>1.1035564853556485</c:v>
                </c:pt>
                <c:pt idx="143">
                  <c:v>1.1024196912807676</c:v>
                </c:pt>
                <c:pt idx="144">
                  <c:v>1.1152219873150107</c:v>
                </c:pt>
                <c:pt idx="145">
                  <c:v>1.1200423056583817</c:v>
                </c:pt>
                <c:pt idx="146">
                  <c:v>1.1232067510548522</c:v>
                </c:pt>
                <c:pt idx="147">
                  <c:v>1.1057742508092305</c:v>
                </c:pt>
                <c:pt idx="148">
                  <c:v>1.1099476439790577</c:v>
                </c:pt>
                <c:pt idx="149">
                  <c:v>1.1055900621118013</c:v>
                </c:pt>
                <c:pt idx="150">
                  <c:v>1.1164141938161445</c:v>
                </c:pt>
                <c:pt idx="151">
                  <c:v>1.1229290243403558</c:v>
                </c:pt>
                <c:pt idx="152">
                  <c:v>1.1237092528851995</c:v>
                </c:pt>
                <c:pt idx="153">
                  <c:v>1.1226920786182251</c:v>
                </c:pt>
                <c:pt idx="154">
                  <c:v>1.1117728806829461</c:v>
                </c:pt>
                <c:pt idx="155">
                  <c:v>1.1110010892167541</c:v>
                </c:pt>
                <c:pt idx="156">
                  <c:v>1.126984126984127</c:v>
                </c:pt>
                <c:pt idx="157">
                  <c:v>1.1137487636003955</c:v>
                </c:pt>
                <c:pt idx="158">
                  <c:v>1.1144101346001583</c:v>
                </c:pt>
                <c:pt idx="159">
                  <c:v>1.1240000000000001</c:v>
                </c:pt>
                <c:pt idx="160">
                  <c:v>1.1225922953451044</c:v>
                </c:pt>
                <c:pt idx="161">
                  <c:v>1.1163680289913429</c:v>
                </c:pt>
                <c:pt idx="162">
                  <c:v>1.108523992711075</c:v>
                </c:pt>
                <c:pt idx="163">
                  <c:v>1.1199348401547546</c:v>
                </c:pt>
                <c:pt idx="164">
                  <c:v>1.1172344689378757</c:v>
                </c:pt>
                <c:pt idx="165">
                  <c:v>1.1278932914868576</c:v>
                </c:pt>
                <c:pt idx="166">
                  <c:v>1.12689575734306</c:v>
                </c:pt>
                <c:pt idx="167">
                  <c:v>1.1534090909090908</c:v>
                </c:pt>
                <c:pt idx="168">
                  <c:v>1.1322360953461974</c:v>
                </c:pt>
                <c:pt idx="169">
                  <c:v>1.1299435028248588</c:v>
                </c:pt>
                <c:pt idx="170">
                  <c:v>1.1350844277673546</c:v>
                </c:pt>
                <c:pt idx="171">
                  <c:v>1.117001828153565</c:v>
                </c:pt>
                <c:pt idx="172">
                  <c:v>1.0867256637168141</c:v>
                </c:pt>
                <c:pt idx="173">
                  <c:v>1.108499095840868</c:v>
                </c:pt>
                <c:pt idx="174">
                  <c:v>1.1187669990933817</c:v>
                </c:pt>
                <c:pt idx="175">
                  <c:v>1.0980776076895693</c:v>
                </c:pt>
                <c:pt idx="176">
                  <c:v>1.0966057441253263</c:v>
                </c:pt>
                <c:pt idx="177">
                  <c:v>1.1007711181212758</c:v>
                </c:pt>
                <c:pt idx="178">
                  <c:v>1.0813179109709079</c:v>
                </c:pt>
                <c:pt idx="179">
                  <c:v>1.0787581126118224</c:v>
                </c:pt>
                <c:pt idx="180">
                  <c:v>1.0869565217391304</c:v>
                </c:pt>
                <c:pt idx="181">
                  <c:v>1.0788168917763721</c:v>
                </c:pt>
                <c:pt idx="182">
                  <c:v>1.0677966101694916</c:v>
                </c:pt>
                <c:pt idx="183">
                  <c:v>1.0610367892976589</c:v>
                </c:pt>
                <c:pt idx="184">
                  <c:v>1.0624370594159114</c:v>
                </c:pt>
                <c:pt idx="185">
                  <c:v>1.0430379746835443</c:v>
                </c:pt>
                <c:pt idx="186">
                  <c:v>1.0582054703135424</c:v>
                </c:pt>
                <c:pt idx="187">
                  <c:v>1.0623789881303141</c:v>
                </c:pt>
                <c:pt idx="188">
                  <c:v>1.0760135135135136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5-4BA6-97F6-3E311F1EF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6992"/>
        <c:axId val="214599168"/>
      </c:scatterChart>
      <c:valAx>
        <c:axId val="214596992"/>
        <c:scaling>
          <c:orientation val="minMax"/>
          <c:max val="44370"/>
          <c:min val="44081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214599168"/>
        <c:crosses val="autoZero"/>
        <c:crossBetween val="midCat"/>
        <c:majorUnit val="40"/>
      </c:valAx>
      <c:valAx>
        <c:axId val="2145991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>
                    <a:latin typeface="Arial" pitchFamily="34" charset="0"/>
                    <a:cs typeface="Arial" pitchFamily="34" charset="0"/>
                  </a:defRPr>
                </a:pPr>
                <a:r>
                  <a:rPr lang="en-US" sz="900">
                    <a:latin typeface="Arial" pitchFamily="34" charset="0"/>
                    <a:cs typeface="Arial" pitchFamily="34" charset="0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1.1898768128436505E-2"/>
              <c:y val="0.48330258484642885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214596992"/>
        <c:crossesAt val="0"/>
        <c:crossBetween val="midCat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 b="1" i="0" baseline="0">
                <a:effectLst/>
                <a:latin typeface="Arial" pitchFamily="34" charset="0"/>
                <a:cs typeface="Arial" pitchFamily="34" charset="0"/>
              </a:rPr>
              <a:t>Ratio GD30D/AL30D</a:t>
            </a:r>
            <a:endParaRPr lang="es-AR" sz="1200">
              <a:effectLst/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4923732771242488"/>
          <c:y val="5.199297886136168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71226137716392"/>
          <c:y val="0.19820639465521353"/>
          <c:w val="0.83388953430001578"/>
          <c:h val="0.69256620459140739"/>
        </c:manualLayout>
      </c:layout>
      <c:scatterChart>
        <c:scatterStyle val="lineMarker"/>
        <c:varyColors val="0"/>
        <c:ser>
          <c:idx val="0"/>
          <c:order val="0"/>
          <c:tx>
            <c:v>Ratio GD30/AL30</c:v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'Ratios legislación'!$A$8:$A$208</c:f>
              <c:numCache>
                <c:formatCode>dd/mm/yyyy;@</c:formatCode>
                <c:ptCount val="201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44095</c:v>
                </c:pt>
                <c:pt idx="5">
                  <c:v>44096</c:v>
                </c:pt>
                <c:pt idx="6">
                  <c:v>44097</c:v>
                </c:pt>
                <c:pt idx="7">
                  <c:v>44098</c:v>
                </c:pt>
                <c:pt idx="8">
                  <c:v>44099</c:v>
                </c:pt>
                <c:pt idx="9">
                  <c:v>44102</c:v>
                </c:pt>
                <c:pt idx="10">
                  <c:v>44103</c:v>
                </c:pt>
                <c:pt idx="11">
                  <c:v>44104</c:v>
                </c:pt>
                <c:pt idx="12">
                  <c:v>44105</c:v>
                </c:pt>
                <c:pt idx="13">
                  <c:v>44106</c:v>
                </c:pt>
                <c:pt idx="14">
                  <c:v>44109</c:v>
                </c:pt>
                <c:pt idx="15">
                  <c:v>44110</c:v>
                </c:pt>
                <c:pt idx="16">
                  <c:v>44111</c:v>
                </c:pt>
                <c:pt idx="17">
                  <c:v>44112</c:v>
                </c:pt>
                <c:pt idx="18">
                  <c:v>44113</c:v>
                </c:pt>
                <c:pt idx="19">
                  <c:v>44117</c:v>
                </c:pt>
                <c:pt idx="20">
                  <c:v>44118</c:v>
                </c:pt>
                <c:pt idx="21">
                  <c:v>44119</c:v>
                </c:pt>
                <c:pt idx="22">
                  <c:v>44120</c:v>
                </c:pt>
                <c:pt idx="23">
                  <c:v>44123</c:v>
                </c:pt>
                <c:pt idx="24">
                  <c:v>44124</c:v>
                </c:pt>
                <c:pt idx="25">
                  <c:v>44125</c:v>
                </c:pt>
                <c:pt idx="26">
                  <c:v>44126</c:v>
                </c:pt>
                <c:pt idx="27">
                  <c:v>44127</c:v>
                </c:pt>
                <c:pt idx="28">
                  <c:v>44130</c:v>
                </c:pt>
                <c:pt idx="29">
                  <c:v>44131</c:v>
                </c:pt>
                <c:pt idx="30">
                  <c:v>44132</c:v>
                </c:pt>
                <c:pt idx="31">
                  <c:v>44133</c:v>
                </c:pt>
                <c:pt idx="32">
                  <c:v>44134</c:v>
                </c:pt>
                <c:pt idx="33">
                  <c:v>44137</c:v>
                </c:pt>
                <c:pt idx="34">
                  <c:v>44138</c:v>
                </c:pt>
                <c:pt idx="35">
                  <c:v>44139</c:v>
                </c:pt>
                <c:pt idx="36">
                  <c:v>44140</c:v>
                </c:pt>
                <c:pt idx="37">
                  <c:v>44141</c:v>
                </c:pt>
                <c:pt idx="38">
                  <c:v>44144</c:v>
                </c:pt>
                <c:pt idx="39">
                  <c:v>44145</c:v>
                </c:pt>
                <c:pt idx="40">
                  <c:v>44146</c:v>
                </c:pt>
                <c:pt idx="41">
                  <c:v>44147</c:v>
                </c:pt>
                <c:pt idx="42">
                  <c:v>44148</c:v>
                </c:pt>
                <c:pt idx="43">
                  <c:v>44151</c:v>
                </c:pt>
                <c:pt idx="44">
                  <c:v>44152</c:v>
                </c:pt>
                <c:pt idx="45">
                  <c:v>44153</c:v>
                </c:pt>
                <c:pt idx="46">
                  <c:v>44154</c:v>
                </c:pt>
                <c:pt idx="47">
                  <c:v>44155</c:v>
                </c:pt>
                <c:pt idx="48">
                  <c:v>44159</c:v>
                </c:pt>
                <c:pt idx="49">
                  <c:v>44160</c:v>
                </c:pt>
                <c:pt idx="50">
                  <c:v>44161</c:v>
                </c:pt>
                <c:pt idx="51">
                  <c:v>44162</c:v>
                </c:pt>
                <c:pt idx="52">
                  <c:v>44165</c:v>
                </c:pt>
                <c:pt idx="53">
                  <c:v>44166</c:v>
                </c:pt>
                <c:pt idx="54">
                  <c:v>44167</c:v>
                </c:pt>
                <c:pt idx="55">
                  <c:v>44168</c:v>
                </c:pt>
                <c:pt idx="56">
                  <c:v>44169</c:v>
                </c:pt>
                <c:pt idx="57">
                  <c:v>44174</c:v>
                </c:pt>
                <c:pt idx="58">
                  <c:v>44175</c:v>
                </c:pt>
                <c:pt idx="59">
                  <c:v>44176</c:v>
                </c:pt>
                <c:pt idx="60">
                  <c:v>44179</c:v>
                </c:pt>
                <c:pt idx="61">
                  <c:v>44180</c:v>
                </c:pt>
                <c:pt idx="62">
                  <c:v>44181</c:v>
                </c:pt>
                <c:pt idx="63">
                  <c:v>44182</c:v>
                </c:pt>
                <c:pt idx="64">
                  <c:v>44183</c:v>
                </c:pt>
                <c:pt idx="65">
                  <c:v>44186</c:v>
                </c:pt>
                <c:pt idx="66">
                  <c:v>44187</c:v>
                </c:pt>
                <c:pt idx="67">
                  <c:v>44188</c:v>
                </c:pt>
                <c:pt idx="68">
                  <c:v>44193</c:v>
                </c:pt>
                <c:pt idx="69">
                  <c:v>44194</c:v>
                </c:pt>
                <c:pt idx="70">
                  <c:v>44195</c:v>
                </c:pt>
                <c:pt idx="71">
                  <c:v>44200</c:v>
                </c:pt>
                <c:pt idx="72">
                  <c:v>44201</c:v>
                </c:pt>
                <c:pt idx="73">
                  <c:v>44202</c:v>
                </c:pt>
                <c:pt idx="74">
                  <c:v>44203</c:v>
                </c:pt>
                <c:pt idx="75">
                  <c:v>44204</c:v>
                </c:pt>
                <c:pt idx="76">
                  <c:v>44207</c:v>
                </c:pt>
                <c:pt idx="77">
                  <c:v>44208</c:v>
                </c:pt>
                <c:pt idx="78">
                  <c:v>44209</c:v>
                </c:pt>
                <c:pt idx="79">
                  <c:v>44210</c:v>
                </c:pt>
                <c:pt idx="80">
                  <c:v>44211</c:v>
                </c:pt>
                <c:pt idx="81">
                  <c:v>44214</c:v>
                </c:pt>
                <c:pt idx="82">
                  <c:v>44215</c:v>
                </c:pt>
                <c:pt idx="83">
                  <c:v>44216</c:v>
                </c:pt>
                <c:pt idx="84">
                  <c:v>44217</c:v>
                </c:pt>
                <c:pt idx="85">
                  <c:v>44218</c:v>
                </c:pt>
                <c:pt idx="86">
                  <c:v>44221</c:v>
                </c:pt>
                <c:pt idx="87">
                  <c:v>44222</c:v>
                </c:pt>
                <c:pt idx="88">
                  <c:v>44223</c:v>
                </c:pt>
                <c:pt idx="89">
                  <c:v>44224</c:v>
                </c:pt>
                <c:pt idx="90">
                  <c:v>44225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44235</c:v>
                </c:pt>
                <c:pt idx="97">
                  <c:v>44236</c:v>
                </c:pt>
                <c:pt idx="98">
                  <c:v>44237</c:v>
                </c:pt>
                <c:pt idx="99">
                  <c:v>44238</c:v>
                </c:pt>
                <c:pt idx="100">
                  <c:v>44239</c:v>
                </c:pt>
                <c:pt idx="101">
                  <c:v>44244</c:v>
                </c:pt>
                <c:pt idx="102">
                  <c:v>44245</c:v>
                </c:pt>
                <c:pt idx="103">
                  <c:v>44246</c:v>
                </c:pt>
                <c:pt idx="104">
                  <c:v>44249</c:v>
                </c:pt>
                <c:pt idx="105">
                  <c:v>44250</c:v>
                </c:pt>
                <c:pt idx="106">
                  <c:v>44251</c:v>
                </c:pt>
                <c:pt idx="107">
                  <c:v>44252</c:v>
                </c:pt>
                <c:pt idx="108">
                  <c:v>44253</c:v>
                </c:pt>
                <c:pt idx="109">
                  <c:v>44256</c:v>
                </c:pt>
                <c:pt idx="110">
                  <c:v>44257</c:v>
                </c:pt>
                <c:pt idx="111">
                  <c:v>44258</c:v>
                </c:pt>
                <c:pt idx="112">
                  <c:v>44259</c:v>
                </c:pt>
                <c:pt idx="113">
                  <c:v>44260</c:v>
                </c:pt>
                <c:pt idx="114">
                  <c:v>44263</c:v>
                </c:pt>
                <c:pt idx="115">
                  <c:v>44264</c:v>
                </c:pt>
                <c:pt idx="116">
                  <c:v>44265</c:v>
                </c:pt>
                <c:pt idx="117">
                  <c:v>44266</c:v>
                </c:pt>
                <c:pt idx="118">
                  <c:v>44267</c:v>
                </c:pt>
                <c:pt idx="119">
                  <c:v>44270</c:v>
                </c:pt>
                <c:pt idx="120">
                  <c:v>44271</c:v>
                </c:pt>
                <c:pt idx="121">
                  <c:v>44272</c:v>
                </c:pt>
                <c:pt idx="122">
                  <c:v>44273</c:v>
                </c:pt>
                <c:pt idx="123">
                  <c:v>44274</c:v>
                </c:pt>
                <c:pt idx="124">
                  <c:v>44277</c:v>
                </c:pt>
                <c:pt idx="125">
                  <c:v>44278</c:v>
                </c:pt>
                <c:pt idx="126">
                  <c:v>44280</c:v>
                </c:pt>
                <c:pt idx="127">
                  <c:v>44281</c:v>
                </c:pt>
                <c:pt idx="128">
                  <c:v>44284</c:v>
                </c:pt>
                <c:pt idx="129">
                  <c:v>44285</c:v>
                </c:pt>
                <c:pt idx="130">
                  <c:v>44286</c:v>
                </c:pt>
                <c:pt idx="131">
                  <c:v>44291</c:v>
                </c:pt>
                <c:pt idx="132">
                  <c:v>44292</c:v>
                </c:pt>
                <c:pt idx="133">
                  <c:v>44293</c:v>
                </c:pt>
                <c:pt idx="134">
                  <c:v>44294</c:v>
                </c:pt>
                <c:pt idx="135">
                  <c:v>44295</c:v>
                </c:pt>
                <c:pt idx="136">
                  <c:v>44298</c:v>
                </c:pt>
                <c:pt idx="137">
                  <c:v>44299</c:v>
                </c:pt>
                <c:pt idx="138">
                  <c:v>44300</c:v>
                </c:pt>
                <c:pt idx="139">
                  <c:v>44301</c:v>
                </c:pt>
                <c:pt idx="140">
                  <c:v>44302</c:v>
                </c:pt>
                <c:pt idx="141">
                  <c:v>44305</c:v>
                </c:pt>
                <c:pt idx="142">
                  <c:v>44306</c:v>
                </c:pt>
                <c:pt idx="143">
                  <c:v>44307</c:v>
                </c:pt>
                <c:pt idx="144">
                  <c:v>44308</c:v>
                </c:pt>
                <c:pt idx="145">
                  <c:v>44309</c:v>
                </c:pt>
                <c:pt idx="146">
                  <c:v>44312</c:v>
                </c:pt>
                <c:pt idx="147">
                  <c:v>44313</c:v>
                </c:pt>
                <c:pt idx="148">
                  <c:v>44314</c:v>
                </c:pt>
                <c:pt idx="149">
                  <c:v>44315</c:v>
                </c:pt>
                <c:pt idx="150">
                  <c:v>44316</c:v>
                </c:pt>
                <c:pt idx="151">
                  <c:v>44319</c:v>
                </c:pt>
                <c:pt idx="152">
                  <c:v>44320</c:v>
                </c:pt>
                <c:pt idx="153">
                  <c:v>44321</c:v>
                </c:pt>
                <c:pt idx="154">
                  <c:v>44322</c:v>
                </c:pt>
                <c:pt idx="155">
                  <c:v>44323</c:v>
                </c:pt>
                <c:pt idx="156">
                  <c:v>44326</c:v>
                </c:pt>
                <c:pt idx="157">
                  <c:v>44327</c:v>
                </c:pt>
                <c:pt idx="158">
                  <c:v>44328</c:v>
                </c:pt>
                <c:pt idx="159">
                  <c:v>44329</c:v>
                </c:pt>
                <c:pt idx="160">
                  <c:v>44330</c:v>
                </c:pt>
                <c:pt idx="161">
                  <c:v>44333</c:v>
                </c:pt>
                <c:pt idx="162">
                  <c:v>44334</c:v>
                </c:pt>
                <c:pt idx="163">
                  <c:v>44335</c:v>
                </c:pt>
                <c:pt idx="164">
                  <c:v>44336</c:v>
                </c:pt>
                <c:pt idx="165">
                  <c:v>44337</c:v>
                </c:pt>
                <c:pt idx="166">
                  <c:v>44342</c:v>
                </c:pt>
                <c:pt idx="167">
                  <c:v>44343</c:v>
                </c:pt>
                <c:pt idx="168">
                  <c:v>44344</c:v>
                </c:pt>
                <c:pt idx="169">
                  <c:v>44347</c:v>
                </c:pt>
                <c:pt idx="170">
                  <c:v>44348</c:v>
                </c:pt>
                <c:pt idx="171">
                  <c:v>44349</c:v>
                </c:pt>
                <c:pt idx="172">
                  <c:v>44350</c:v>
                </c:pt>
                <c:pt idx="173">
                  <c:v>44351</c:v>
                </c:pt>
                <c:pt idx="174">
                  <c:v>44354</c:v>
                </c:pt>
                <c:pt idx="175">
                  <c:v>44355</c:v>
                </c:pt>
                <c:pt idx="176">
                  <c:v>44356</c:v>
                </c:pt>
                <c:pt idx="177">
                  <c:v>44357</c:v>
                </c:pt>
                <c:pt idx="178">
                  <c:v>44358</c:v>
                </c:pt>
                <c:pt idx="179">
                  <c:v>44361</c:v>
                </c:pt>
                <c:pt idx="180">
                  <c:v>44362</c:v>
                </c:pt>
                <c:pt idx="181">
                  <c:v>44363</c:v>
                </c:pt>
                <c:pt idx="182">
                  <c:v>44364</c:v>
                </c:pt>
                <c:pt idx="183">
                  <c:v>44365</c:v>
                </c:pt>
              </c:numCache>
            </c:numRef>
          </c:xVal>
          <c:yVal>
            <c:numRef>
              <c:f>'Ratios legislación'!$G$8:$G$208</c:f>
              <c:numCache>
                <c:formatCode>0.000</c:formatCode>
                <c:ptCount val="201"/>
                <c:pt idx="0">
                  <c:v>0.97885669537979647</c:v>
                </c:pt>
                <c:pt idx="1">
                  <c:v>1.0029190992493744</c:v>
                </c:pt>
                <c:pt idx="2">
                  <c:v>0.98614072494669514</c:v>
                </c:pt>
                <c:pt idx="3">
                  <c:v>0.99554140127388535</c:v>
                </c:pt>
                <c:pt idx="4">
                  <c:v>0.99197745013009542</c:v>
                </c:pt>
                <c:pt idx="5">
                  <c:v>0.99867812293456704</c:v>
                </c:pt>
                <c:pt idx="6">
                  <c:v>0.99462943071965626</c:v>
                </c:pt>
                <c:pt idx="7">
                  <c:v>0.99347826086956526</c:v>
                </c:pt>
                <c:pt idx="8">
                  <c:v>1.0019911504424779</c:v>
                </c:pt>
                <c:pt idx="9">
                  <c:v>0.99888641425389757</c:v>
                </c:pt>
                <c:pt idx="10">
                  <c:v>0.99552272218491156</c:v>
                </c:pt>
                <c:pt idx="11">
                  <c:v>1.0024663677130046</c:v>
                </c:pt>
                <c:pt idx="12">
                  <c:v>0.99328859060402674</c:v>
                </c:pt>
                <c:pt idx="13">
                  <c:v>0.99300225733634317</c:v>
                </c:pt>
                <c:pt idx="14">
                  <c:v>0.97860360360360366</c:v>
                </c:pt>
                <c:pt idx="15">
                  <c:v>0.98987626546681662</c:v>
                </c:pt>
                <c:pt idx="16">
                  <c:v>0.99330357142857151</c:v>
                </c:pt>
                <c:pt idx="17">
                  <c:v>1.0022371364653242</c:v>
                </c:pt>
                <c:pt idx="18">
                  <c:v>1.0064833445115136</c:v>
                </c:pt>
                <c:pt idx="19">
                  <c:v>1.0060348681269558</c:v>
                </c:pt>
                <c:pt idx="20">
                  <c:v>1.0236220472440944</c:v>
                </c:pt>
                <c:pt idx="21">
                  <c:v>1.0022522522522523</c:v>
                </c:pt>
                <c:pt idx="22">
                  <c:v>1.002489250961756</c:v>
                </c:pt>
                <c:pt idx="23">
                  <c:v>1.0103806228373702</c:v>
                </c:pt>
                <c:pt idx="24">
                  <c:v>1.0077332044465925</c:v>
                </c:pt>
                <c:pt idx="25">
                  <c:v>1.0062034739454093</c:v>
                </c:pt>
                <c:pt idx="26">
                  <c:v>1.0349127182044888</c:v>
                </c:pt>
                <c:pt idx="27">
                  <c:v>1.0585305105853051</c:v>
                </c:pt>
                <c:pt idx="28">
                  <c:v>1.0593774522626211</c:v>
                </c:pt>
                <c:pt idx="29">
                  <c:v>1.0326364099949006</c:v>
                </c:pt>
                <c:pt idx="30">
                  <c:v>1.0438144329896908</c:v>
                </c:pt>
                <c:pt idx="31">
                  <c:v>1.0216830149716054</c:v>
                </c:pt>
                <c:pt idx="32">
                  <c:v>1.0473061760841</c:v>
                </c:pt>
                <c:pt idx="33">
                  <c:v>1.0473602484472049</c:v>
                </c:pt>
                <c:pt idx="34">
                  <c:v>1.0721730067743616</c:v>
                </c:pt>
                <c:pt idx="35">
                  <c:v>1.0659025787965617</c:v>
                </c:pt>
                <c:pt idx="36">
                  <c:v>1.070018425901553</c:v>
                </c:pt>
                <c:pt idx="37">
                  <c:v>1.0657894736842106</c:v>
                </c:pt>
                <c:pt idx="38">
                  <c:v>1.0857887874837027</c:v>
                </c:pt>
                <c:pt idx="39">
                  <c:v>1.0807291666666667</c:v>
                </c:pt>
                <c:pt idx="40">
                  <c:v>1.068877551020408</c:v>
                </c:pt>
                <c:pt idx="41">
                  <c:v>1.0704332404357741</c:v>
                </c:pt>
                <c:pt idx="42">
                  <c:v>1.0651629072681705</c:v>
                </c:pt>
                <c:pt idx="43">
                  <c:v>1.0640834575260807</c:v>
                </c:pt>
                <c:pt idx="44">
                  <c:v>1.0375808860129416</c:v>
                </c:pt>
                <c:pt idx="45">
                  <c:v>1.0420231504781075</c:v>
                </c:pt>
                <c:pt idx="46">
                  <c:v>1.0372812579254373</c:v>
                </c:pt>
                <c:pt idx="47">
                  <c:v>1.0460947503201026</c:v>
                </c:pt>
                <c:pt idx="48">
                  <c:v>1.0604890604890604</c:v>
                </c:pt>
                <c:pt idx="49">
                  <c:v>1.0408163265306121</c:v>
                </c:pt>
                <c:pt idx="50">
                  <c:v>1.0564102564102564</c:v>
                </c:pt>
                <c:pt idx="51">
                  <c:v>1.0635734427069983</c:v>
                </c:pt>
                <c:pt idx="52">
                  <c:v>1.0541310541310542</c:v>
                </c:pt>
                <c:pt idx="53">
                  <c:v>1.0571725571725572</c:v>
                </c:pt>
                <c:pt idx="54">
                  <c:v>1.0507115135834411</c:v>
                </c:pt>
                <c:pt idx="55">
                  <c:v>1.0384615384615385</c:v>
                </c:pt>
                <c:pt idx="56">
                  <c:v>1.0347150259067357</c:v>
                </c:pt>
                <c:pt idx="57">
                  <c:v>1.0224948875255624</c:v>
                </c:pt>
                <c:pt idx="58">
                  <c:v>1.023443408116965</c:v>
                </c:pt>
                <c:pt idx="59">
                  <c:v>1.0235884567126725</c:v>
                </c:pt>
                <c:pt idx="60">
                  <c:v>1.0290106620381849</c:v>
                </c:pt>
                <c:pt idx="61">
                  <c:v>1.0157381963527354</c:v>
                </c:pt>
                <c:pt idx="62">
                  <c:v>1.0256410256410255</c:v>
                </c:pt>
                <c:pt idx="63">
                  <c:v>1.0293674698795179</c:v>
                </c:pt>
                <c:pt idx="64">
                  <c:v>1.0293386374937841</c:v>
                </c:pt>
                <c:pt idx="65">
                  <c:v>1.0051559047385219</c:v>
                </c:pt>
                <c:pt idx="66">
                  <c:v>1.0132645541635961</c:v>
                </c:pt>
                <c:pt idx="67">
                  <c:v>1.0167405219103889</c:v>
                </c:pt>
                <c:pt idx="68">
                  <c:v>1.0242053789731052</c:v>
                </c:pt>
                <c:pt idx="69">
                  <c:v>1.0063523088199364</c:v>
                </c:pt>
                <c:pt idx="70">
                  <c:v>1.0158768930141673</c:v>
                </c:pt>
                <c:pt idx="71">
                  <c:v>0.998766954377312</c:v>
                </c:pt>
                <c:pt idx="72">
                  <c:v>1.0004968944099379</c:v>
                </c:pt>
                <c:pt idx="73">
                  <c:v>1.0211970074812968</c:v>
                </c:pt>
                <c:pt idx="74">
                  <c:v>1.0265486725663717</c:v>
                </c:pt>
                <c:pt idx="75">
                  <c:v>1.0243037974683544</c:v>
                </c:pt>
                <c:pt idx="76">
                  <c:v>1.0315061475409837</c:v>
                </c:pt>
                <c:pt idx="77">
                  <c:v>1.0335553278688525</c:v>
                </c:pt>
                <c:pt idx="78">
                  <c:v>1.0097485890200104</c:v>
                </c:pt>
                <c:pt idx="79">
                  <c:v>1.0064516129032257</c:v>
                </c:pt>
                <c:pt idx="80">
                  <c:v>1.0103385887826313</c:v>
                </c:pt>
                <c:pt idx="81">
                  <c:v>1.0226804123711342</c:v>
                </c:pt>
                <c:pt idx="82">
                  <c:v>1.0299046145913897</c:v>
                </c:pt>
                <c:pt idx="83">
                  <c:v>1.0356220960247804</c:v>
                </c:pt>
                <c:pt idx="84">
                  <c:v>1.0312742310674594</c:v>
                </c:pt>
                <c:pt idx="85">
                  <c:v>1.0467821142414062</c:v>
                </c:pt>
                <c:pt idx="86">
                  <c:v>1.0455486542443064</c:v>
                </c:pt>
                <c:pt idx="87">
                  <c:v>1.0471747019180924</c:v>
                </c:pt>
                <c:pt idx="88">
                  <c:v>1.0486599011189175</c:v>
                </c:pt>
                <c:pt idx="89">
                  <c:v>1.0462503266266003</c:v>
                </c:pt>
                <c:pt idx="90">
                  <c:v>1.0498164656528579</c:v>
                </c:pt>
                <c:pt idx="91">
                  <c:v>1.0606458388028353</c:v>
                </c:pt>
                <c:pt idx="92">
                  <c:v>1.051883065578088</c:v>
                </c:pt>
                <c:pt idx="93">
                  <c:v>1.048438327157226</c:v>
                </c:pt>
                <c:pt idx="94">
                  <c:v>1.0552603613177471</c:v>
                </c:pt>
                <c:pt idx="95">
                  <c:v>1.0627325890483785</c:v>
                </c:pt>
                <c:pt idx="96">
                  <c:v>1.0669322709163347</c:v>
                </c:pt>
                <c:pt idx="97">
                  <c:v>1.0631663113006395</c:v>
                </c:pt>
                <c:pt idx="98">
                  <c:v>1.0590120160213616</c:v>
                </c:pt>
                <c:pt idx="99">
                  <c:v>1.0694406917049446</c:v>
                </c:pt>
                <c:pt idx="100">
                  <c:v>1.0919067215363509</c:v>
                </c:pt>
                <c:pt idx="101">
                  <c:v>1.0855008301051465</c:v>
                </c:pt>
                <c:pt idx="102">
                  <c:v>1.0625850340136054</c:v>
                </c:pt>
                <c:pt idx="103">
                  <c:v>1.0653487095002745</c:v>
                </c:pt>
                <c:pt idx="104">
                  <c:v>1.0569463548830811</c:v>
                </c:pt>
                <c:pt idx="105">
                  <c:v>1.057062937062937</c:v>
                </c:pt>
                <c:pt idx="106">
                  <c:v>1.0559866962305988</c:v>
                </c:pt>
                <c:pt idx="107">
                  <c:v>1.0422264875239924</c:v>
                </c:pt>
                <c:pt idx="108">
                  <c:v>1.0231103860793911</c:v>
                </c:pt>
                <c:pt idx="109">
                  <c:v>1.0274605764002174</c:v>
                </c:pt>
                <c:pt idx="110">
                  <c:v>1.018462386332323</c:v>
                </c:pt>
                <c:pt idx="111">
                  <c:v>1.0215350635008282</c:v>
                </c:pt>
                <c:pt idx="112">
                  <c:v>1.0164925783397469</c:v>
                </c:pt>
                <c:pt idx="113">
                  <c:v>1.0092307692307692</c:v>
                </c:pt>
                <c:pt idx="114">
                  <c:v>1.0061624649859944</c:v>
                </c:pt>
                <c:pt idx="115">
                  <c:v>1.0034149117814455</c:v>
                </c:pt>
                <c:pt idx="116">
                  <c:v>1.0262608176663683</c:v>
                </c:pt>
                <c:pt idx="117">
                  <c:v>1.0288004750593824</c:v>
                </c:pt>
                <c:pt idx="118">
                  <c:v>1.026751962779878</c:v>
                </c:pt>
                <c:pt idx="119">
                  <c:v>1.0283180778032037</c:v>
                </c:pt>
                <c:pt idx="120">
                  <c:v>1.0254237288135593</c:v>
                </c:pt>
                <c:pt idx="121">
                  <c:v>1.0301675977653633</c:v>
                </c:pt>
                <c:pt idx="122">
                  <c:v>1.0220547180346176</c:v>
                </c:pt>
                <c:pt idx="123">
                  <c:v>1.028674832962138</c:v>
                </c:pt>
                <c:pt idx="124">
                  <c:v>1.0313100796484482</c:v>
                </c:pt>
                <c:pt idx="125">
                  <c:v>1.03</c:v>
                </c:pt>
                <c:pt idx="126">
                  <c:v>1.027455420322672</c:v>
                </c:pt>
                <c:pt idx="127">
                  <c:v>1.0251981879954699</c:v>
                </c:pt>
                <c:pt idx="128">
                  <c:v>1.0282665128353041</c:v>
                </c:pt>
                <c:pt idx="129">
                  <c:v>1.0233304170312045</c:v>
                </c:pt>
                <c:pt idx="130">
                  <c:v>1.0281938325991189</c:v>
                </c:pt>
                <c:pt idx="131">
                  <c:v>1.0143472022955524</c:v>
                </c:pt>
                <c:pt idx="132">
                  <c:v>1.0222350563095581</c:v>
                </c:pt>
                <c:pt idx="133">
                  <c:v>1.0208273069135088</c:v>
                </c:pt>
                <c:pt idx="134">
                  <c:v>1.0287874382087816</c:v>
                </c:pt>
                <c:pt idx="135">
                  <c:v>1.0283791691047395</c:v>
                </c:pt>
                <c:pt idx="136">
                  <c:v>1.0444444444444445</c:v>
                </c:pt>
                <c:pt idx="137">
                  <c:v>1.0450890292935096</c:v>
                </c:pt>
                <c:pt idx="138">
                  <c:v>1.0442580271912063</c:v>
                </c:pt>
                <c:pt idx="139">
                  <c:v>1.0505109489051094</c:v>
                </c:pt>
                <c:pt idx="140">
                  <c:v>1.0643274853801168</c:v>
                </c:pt>
                <c:pt idx="141">
                  <c:v>1.061681699156241</c:v>
                </c:pt>
                <c:pt idx="142">
                  <c:v>1.0566258026853474</c:v>
                </c:pt>
                <c:pt idx="143">
                  <c:v>1.0663755458515285</c:v>
                </c:pt>
                <c:pt idx="144">
                  <c:v>1.0677916787896422</c:v>
                </c:pt>
                <c:pt idx="145">
                  <c:v>1.0713033313851548</c:v>
                </c:pt>
                <c:pt idx="146">
                  <c:v>1.0567823343848581</c:v>
                </c:pt>
                <c:pt idx="147">
                  <c:v>1.0536170212765958</c:v>
                </c:pt>
                <c:pt idx="148">
                  <c:v>1.0455445544554456</c:v>
                </c:pt>
                <c:pt idx="149">
                  <c:v>1.0431450468350838</c:v>
                </c:pt>
                <c:pt idx="150">
                  <c:v>1.0583048919226394</c:v>
                </c:pt>
                <c:pt idx="151">
                  <c:v>1.0537237066515066</c:v>
                </c:pt>
                <c:pt idx="152">
                  <c:v>1.0549544419134396</c:v>
                </c:pt>
                <c:pt idx="153">
                  <c:v>1.0507990867579908</c:v>
                </c:pt>
                <c:pt idx="154">
                  <c:v>1.0506183491515675</c:v>
                </c:pt>
                <c:pt idx="155">
                  <c:v>1.0588921282798835</c:v>
                </c:pt>
                <c:pt idx="156">
                  <c:v>1.0604651162790697</c:v>
                </c:pt>
                <c:pt idx="157">
                  <c:v>1.0615020697811945</c:v>
                </c:pt>
                <c:pt idx="158">
                  <c:v>1.0671357373204338</c:v>
                </c:pt>
                <c:pt idx="159">
                  <c:v>1.0651665692577441</c:v>
                </c:pt>
                <c:pt idx="160">
                  <c:v>1.067255628384155</c:v>
                </c:pt>
                <c:pt idx="161">
                  <c:v>1.0750700280112044</c:v>
                </c:pt>
                <c:pt idx="162">
                  <c:v>1.0750700280112044</c:v>
                </c:pt>
                <c:pt idx="163">
                  <c:v>1.080695751354434</c:v>
                </c:pt>
                <c:pt idx="164">
                  <c:v>1.0922944220816562</c:v>
                </c:pt>
                <c:pt idx="165">
                  <c:v>1.0901162790697674</c:v>
                </c:pt>
                <c:pt idx="166">
                  <c:v>1.0930888575458391</c:v>
                </c:pt>
                <c:pt idx="167">
                  <c:v>1.0855300056085251</c:v>
                </c:pt>
                <c:pt idx="168">
                  <c:v>1.0905233380480903</c:v>
                </c:pt>
                <c:pt idx="169">
                  <c:v>1.0929178470254959</c:v>
                </c:pt>
                <c:pt idx="170">
                  <c:v>1.089887640449438</c:v>
                </c:pt>
                <c:pt idx="171">
                  <c:v>1.0884297520661157</c:v>
                </c:pt>
                <c:pt idx="172">
                  <c:v>1.0779472954230236</c:v>
                </c:pt>
                <c:pt idx="173">
                  <c:v>1.0912133891213387</c:v>
                </c:pt>
                <c:pt idx="174">
                  <c:v>1.0830136986301371</c:v>
                </c:pt>
                <c:pt idx="175">
                  <c:v>1.0794165316045381</c:v>
                </c:pt>
                <c:pt idx="176">
                  <c:v>1.0749003984063745</c:v>
                </c:pt>
                <c:pt idx="177">
                  <c:v>1.0655780879641823</c:v>
                </c:pt>
                <c:pt idx="178">
                  <c:v>1.060052219321149</c:v>
                </c:pt>
                <c:pt idx="179">
                  <c:v>1.0605744125326371</c:v>
                </c:pt>
                <c:pt idx="180">
                  <c:v>1.0596426694692589</c:v>
                </c:pt>
                <c:pt idx="181">
                  <c:v>1.0558482613277134</c:v>
                </c:pt>
                <c:pt idx="182">
                  <c:v>1.0572875033306688</c:v>
                </c:pt>
                <c:pt idx="183">
                  <c:v>1.0646112600536195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D-43B1-B967-8FDEBB17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5760"/>
        <c:axId val="212877312"/>
      </c:scatterChart>
      <c:valAx>
        <c:axId val="212645760"/>
        <c:scaling>
          <c:orientation val="minMax"/>
          <c:max val="44370"/>
          <c:min val="44081"/>
        </c:scaling>
        <c:delete val="0"/>
        <c:axPos val="b"/>
        <c:numFmt formatCode="dd/mm/yy;@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212877312"/>
        <c:crosses val="autoZero"/>
        <c:crossBetween val="midCat"/>
        <c:majorUnit val="20"/>
      </c:valAx>
      <c:valAx>
        <c:axId val="212877312"/>
        <c:scaling>
          <c:orientation val="minMax"/>
          <c:max val="1.100000000000000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>
                    <a:latin typeface="Arial" pitchFamily="34" charset="0"/>
                    <a:cs typeface="Arial" pitchFamily="34" charset="0"/>
                  </a:defRPr>
                </a:pPr>
                <a:r>
                  <a:rPr lang="en-US" sz="900">
                    <a:latin typeface="Arial" pitchFamily="34" charset="0"/>
                    <a:cs typeface="Arial" pitchFamily="34" charset="0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7.5161241787451713E-3"/>
              <c:y val="0.48719900608035283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212645760"/>
        <c:crossesAt val="0"/>
        <c:crossBetween val="midCat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400" b="1" i="0" baseline="0">
                <a:effectLst/>
                <a:latin typeface="Bahnschrift SemiBold" panose="020B0502040204020203" pitchFamily="34" charset="0"/>
                <a:cs typeface="Arial" pitchFamily="34" charset="0"/>
              </a:rPr>
              <a:t>Curva hard dollar ley local al MEP vs curva CER</a:t>
            </a:r>
            <a:endParaRPr lang="es-AR" sz="1400">
              <a:effectLst/>
              <a:latin typeface="Bahnschrift SemiBold" panose="020B0502040204020203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871557321707461"/>
          <c:y val="5.01165560164924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319390194763094"/>
          <c:y val="0.18911540772749219"/>
          <c:w val="0.72310292420950839"/>
          <c:h val="0.61714873757837752"/>
        </c:manualLayout>
      </c:layout>
      <c:scatterChart>
        <c:scatterStyle val="lineMarker"/>
        <c:varyColors val="0"/>
        <c:ser>
          <c:idx val="0"/>
          <c:order val="0"/>
          <c:tx>
            <c:v>Bonos USD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trendline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Monitor!$G$8:$G$12</c:f>
              <c:numCache>
                <c:formatCode>0.00</c:formatCode>
                <c:ptCount val="5"/>
                <c:pt idx="0">
                  <c:v>4.6007759063985887</c:v>
                </c:pt>
                <c:pt idx="1">
                  <c:v>4.9549134271585</c:v>
                </c:pt>
                <c:pt idx="2">
                  <c:v>7.8101522908703531</c:v>
                </c:pt>
                <c:pt idx="3">
                  <c:v>6.5716437306641904</c:v>
                </c:pt>
                <c:pt idx="4">
                  <c:v>7.5131194205059622</c:v>
                </c:pt>
              </c:numCache>
            </c:numRef>
          </c:xVal>
          <c:yVal>
            <c:numRef>
              <c:f>Monitor!$F$8:$F$12</c:f>
              <c:numCache>
                <c:formatCode>0.00%</c:formatCode>
                <c:ptCount val="5"/>
                <c:pt idx="0">
                  <c:v>0.20530791878700264</c:v>
                </c:pt>
                <c:pt idx="1">
                  <c:v>0.19669069647789003</c:v>
                </c:pt>
                <c:pt idx="2">
                  <c:v>0.16811838746070862</c:v>
                </c:pt>
                <c:pt idx="3">
                  <c:v>0.17788648009300234</c:v>
                </c:pt>
                <c:pt idx="4">
                  <c:v>0.1556748449802399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A-4747-9727-4B88ED6B0D2B}"/>
            </c:ext>
          </c:extLst>
        </c:ser>
        <c:ser>
          <c:idx val="1"/>
          <c:order val="1"/>
          <c:tx>
            <c:v>Bonos CER</c:v>
          </c:tx>
          <c:spPr>
            <a:ln w="19050">
              <a:noFill/>
            </a:ln>
          </c:spPr>
          <c:marker>
            <c:symbol val="diamond"/>
            <c:size val="5"/>
          </c:marker>
          <c:trendline>
            <c:spPr>
              <a:ln w="12700">
                <a:solidFill>
                  <a:schemeClr val="accent2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'Hard dollar vs CER'!$I$24:$I$27</c:f>
              <c:numCache>
                <c:formatCode>0.00</c:formatCode>
                <c:ptCount val="4"/>
                <c:pt idx="0">
                  <c:v>4.4856766766355722</c:v>
                </c:pt>
                <c:pt idx="1">
                  <c:v>5.59</c:v>
                </c:pt>
                <c:pt idx="2">
                  <c:v>9.56</c:v>
                </c:pt>
                <c:pt idx="3">
                  <c:v>10.119999999999999</c:v>
                </c:pt>
              </c:numCache>
            </c:numRef>
          </c:xVal>
          <c:yVal>
            <c:numRef>
              <c:f>'Hard dollar vs CER'!$H$24:$H$27</c:f>
              <c:numCache>
                <c:formatCode>0.00%</c:formatCode>
                <c:ptCount val="4"/>
                <c:pt idx="0">
                  <c:v>6.8035534024238606E-2</c:v>
                </c:pt>
                <c:pt idx="1">
                  <c:v>8.5900000000000004E-2</c:v>
                </c:pt>
                <c:pt idx="2">
                  <c:v>0.10879999999999999</c:v>
                </c:pt>
                <c:pt idx="3">
                  <c:v>0.1081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0A-4747-9727-4B88ED6B0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83936"/>
        <c:axId val="135785856"/>
      </c:scatterChart>
      <c:valAx>
        <c:axId val="135783936"/>
        <c:scaling>
          <c:orientation val="minMax"/>
          <c:max val="11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s-AR" sz="700">
                    <a:latin typeface="Bahnschrift SemiBold" panose="020B0502040204020203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51790665474692532"/>
              <c:y val="0.8386230378945974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35785856"/>
        <c:crosses val="autoZero"/>
        <c:crossBetween val="midCat"/>
        <c:majorUnit val="1"/>
      </c:valAx>
      <c:valAx>
        <c:axId val="135785856"/>
        <c:scaling>
          <c:orientation val="minMax"/>
          <c:min val="7.0000000000000007E-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700">
                    <a:latin typeface="Bahnschrift SemiBold" panose="020B0502040204020203" pitchFamily="34" charset="0"/>
                    <a:cs typeface="Arial" panose="020B0604020202020204" pitchFamily="34" charset="0"/>
                  </a:rPr>
                  <a:t>TIR</a:t>
                </a:r>
              </a:p>
            </c:rich>
          </c:tx>
          <c:layout>
            <c:manualLayout>
              <c:xMode val="edge"/>
              <c:yMode val="edge"/>
              <c:x val="0.10118024747794828"/>
              <c:y val="0.4365871295198274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35783936"/>
        <c:crossesAt val="0"/>
        <c:crossBetween val="midCat"/>
        <c:majorUnit val="1.0000000000000002E-2"/>
      </c:valAx>
      <c:spPr>
        <a:ln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6126516434461289"/>
          <c:y val="0.19582023095857279"/>
          <c:w val="0.13537660214785646"/>
          <c:h val="0.14459103433968595"/>
        </c:manualLayout>
      </c:layout>
      <c:overlay val="0"/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400" b="1" i="0" baseline="0">
                <a:effectLst/>
                <a:latin typeface="Microsoft JhengHei UI" panose="020B0604030504040204" pitchFamily="34" charset="-120"/>
                <a:ea typeface="Microsoft JhengHei UI" panose="020B0604030504040204" pitchFamily="34" charset="-120"/>
                <a:cs typeface="Arial" pitchFamily="34" charset="0"/>
              </a:rPr>
              <a:t>Curva hard dollar ley local al FX oficial vs curva CER</a:t>
            </a:r>
            <a:endParaRPr lang="es-AR" sz="1400">
              <a:effectLst/>
              <a:latin typeface="Microsoft JhengHei UI" panose="020B0604030504040204" pitchFamily="34" charset="-120"/>
              <a:ea typeface="Microsoft JhengHei UI" panose="020B0604030504040204" pitchFamily="34" charset="-120"/>
              <a:cs typeface="Arial" pitchFamily="34" charset="0"/>
            </a:endParaRPr>
          </a:p>
        </c:rich>
      </c:tx>
      <c:layout>
        <c:manualLayout>
          <c:xMode val="edge"/>
          <c:yMode val="edge"/>
          <c:x val="0.16957567804024498"/>
          <c:y val="3.988642084701048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319390194763094"/>
          <c:y val="0.18911540772749219"/>
          <c:w val="0.72310292420950839"/>
          <c:h val="0.61714873757837752"/>
        </c:manualLayout>
      </c:layout>
      <c:scatterChart>
        <c:scatterStyle val="lineMarker"/>
        <c:varyColors val="0"/>
        <c:ser>
          <c:idx val="0"/>
          <c:order val="0"/>
          <c:tx>
            <c:v>Bonos USD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6.380270167216403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856-44A5-A263-502BB30F39A9}"/>
                </c:ext>
              </c:extLst>
            </c:dLbl>
            <c:dLbl>
              <c:idx val="1"/>
              <c:layout>
                <c:manualLayout>
                  <c:x val="-4.0749437570303713E-2"/>
                  <c:y val="-3.71406515362050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856-44A5-A263-502BB30F39A9}"/>
                </c:ext>
              </c:extLst>
            </c:dLbl>
            <c:dLbl>
              <c:idx val="2"/>
              <c:layout>
                <c:manualLayout>
                  <c:x val="-1.8497219097612799E-2"/>
                  <c:y val="-3.71406515362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3856-44A5-A263-502BB30F39A9}"/>
                </c:ext>
              </c:extLst>
            </c:dLbl>
            <c:dLbl>
              <c:idx val="3"/>
              <c:layout>
                <c:manualLayout>
                  <c:x val="-2.7777777777777776E-2"/>
                  <c:y val="2.72804774083546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AE38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856-44A5-A263-502BB30F39A9}"/>
                </c:ext>
              </c:extLst>
            </c:dLbl>
            <c:dLbl>
              <c:idx val="4"/>
              <c:layout>
                <c:manualLayout>
                  <c:x val="-1.5873015873015799E-2"/>
                  <c:y val="3.06905370843989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856-44A5-A263-502BB30F39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'Hard dollar vs CER'!$I$30:$I$34</c:f>
              <c:numCache>
                <c:formatCode>0.00</c:formatCode>
                <c:ptCount val="5"/>
                <c:pt idx="0">
                  <c:v>5.14</c:v>
                </c:pt>
                <c:pt idx="1">
                  <c:v>5.52</c:v>
                </c:pt>
                <c:pt idx="2">
                  <c:v>8.82</c:v>
                </c:pt>
                <c:pt idx="3">
                  <c:v>7.81</c:v>
                </c:pt>
                <c:pt idx="4">
                  <c:v>8.9600000000000009</c:v>
                </c:pt>
              </c:numCache>
            </c:numRef>
          </c:xVal>
          <c:yVal>
            <c:numRef>
              <c:f>'Hard dollar vs CER'!$H$30:$H$34</c:f>
              <c:numCache>
                <c:formatCode>0.00%</c:formatCode>
                <c:ptCount val="5"/>
                <c:pt idx="0">
                  <c:v>9.0899999999999995E-2</c:v>
                </c:pt>
                <c:pt idx="1">
                  <c:v>9.1499999999999998E-2</c:v>
                </c:pt>
                <c:pt idx="2">
                  <c:v>0.1013</c:v>
                </c:pt>
                <c:pt idx="3">
                  <c:v>0.10150000000000001</c:v>
                </c:pt>
                <c:pt idx="4">
                  <c:v>9.6600000000000005E-2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6-44A5-A263-502BB30F39A9}"/>
            </c:ext>
          </c:extLst>
        </c:ser>
        <c:ser>
          <c:idx val="1"/>
          <c:order val="1"/>
          <c:tx>
            <c:v>Bonos CER</c:v>
          </c:tx>
          <c:spPr>
            <a:ln w="19050">
              <a:noFill/>
            </a:ln>
          </c:spPr>
          <c:marker>
            <c:symbol val="diamond"/>
            <c:size val="5"/>
          </c:marker>
          <c:dLbls>
            <c:dLbl>
              <c:idx val="0"/>
              <c:layout>
                <c:manualLayout>
                  <c:x val="-2.9761904761904798E-2"/>
                  <c:y val="-3.41005967604434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3856-44A5-A263-502BB30F39A9}"/>
                </c:ext>
              </c:extLst>
            </c:dLbl>
            <c:dLbl>
              <c:idx val="1"/>
              <c:layout>
                <c:manualLayout>
                  <c:x val="-5.9523809523809521E-3"/>
                  <c:y val="-6.820119352088661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DICP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3856-44A5-A263-502BB30F39A9}"/>
                </c:ext>
              </c:extLst>
            </c:dLbl>
            <c:dLbl>
              <c:idx val="2"/>
              <c:layout>
                <c:manualLayout>
                  <c:x val="-2.7777777777777776E-2"/>
                  <c:y val="2.72804774083546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PARP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3856-44A5-A263-502BB30F39A9}"/>
                </c:ext>
              </c:extLst>
            </c:dLbl>
            <c:dLbl>
              <c:idx val="3"/>
              <c:layout>
                <c:manualLayout>
                  <c:x val="-2.3105705536807897E-2"/>
                  <c:y val="3.336058695987803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CUAP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3856-44A5-A263-502BB30F39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2700">
                <a:solidFill>
                  <a:schemeClr val="accent2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'Hard dollar vs CER'!$I$24:$I$27</c:f>
              <c:numCache>
                <c:formatCode>0.00</c:formatCode>
                <c:ptCount val="4"/>
                <c:pt idx="0">
                  <c:v>4.4856766766355722</c:v>
                </c:pt>
                <c:pt idx="1">
                  <c:v>5.59</c:v>
                </c:pt>
                <c:pt idx="2">
                  <c:v>9.56</c:v>
                </c:pt>
                <c:pt idx="3">
                  <c:v>10.119999999999999</c:v>
                </c:pt>
              </c:numCache>
            </c:numRef>
          </c:xVal>
          <c:yVal>
            <c:numRef>
              <c:f>'Hard dollar vs CER'!$H$24:$H$27</c:f>
              <c:numCache>
                <c:formatCode>0.00%</c:formatCode>
                <c:ptCount val="4"/>
                <c:pt idx="0">
                  <c:v>6.8035534024238606E-2</c:v>
                </c:pt>
                <c:pt idx="1">
                  <c:v>8.5900000000000004E-2</c:v>
                </c:pt>
                <c:pt idx="2">
                  <c:v>0.10879999999999999</c:v>
                </c:pt>
                <c:pt idx="3">
                  <c:v>0.1081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56-44A5-A263-502BB30F3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83936"/>
        <c:axId val="135785856"/>
      </c:scatterChart>
      <c:valAx>
        <c:axId val="135783936"/>
        <c:scaling>
          <c:orientation val="minMax"/>
          <c:max val="1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s-AR" sz="700">
                    <a:latin typeface="Bahnschrift SemiBold" panose="020B0502040204020203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51393841394825646"/>
              <c:y val="0.8522633264192359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35785856"/>
        <c:crosses val="autoZero"/>
        <c:crossBetween val="midCat"/>
        <c:majorUnit val="1"/>
      </c:valAx>
      <c:valAx>
        <c:axId val="135785856"/>
        <c:scaling>
          <c:orientation val="minMax"/>
          <c:max val="0.11500000000000002"/>
          <c:min val="6.5000000000000016E-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700">
                    <a:latin typeface="Bahnschrift SemiBold" panose="020B0502040204020203" pitchFamily="34" charset="0"/>
                    <a:cs typeface="Arial" panose="020B0604020202020204" pitchFamily="34" charset="0"/>
                  </a:rPr>
                  <a:t>TIR</a:t>
                </a:r>
              </a:p>
            </c:rich>
          </c:tx>
          <c:layout>
            <c:manualLayout>
              <c:xMode val="edge"/>
              <c:yMode val="edge"/>
              <c:x val="0.10118024747794828"/>
              <c:y val="0.43658712951982742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35783936"/>
        <c:crossesAt val="0"/>
        <c:crossBetween val="midCat"/>
        <c:majorUnit val="5.000000000000001E-3"/>
      </c:valAx>
      <c:spPr>
        <a:ln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44501317981054"/>
          <c:y val="0.6578995492154931"/>
          <c:w val="0.13537660214785646"/>
          <c:h val="0.14459103433968595"/>
        </c:manualLayout>
      </c:layout>
      <c:overlay val="0"/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MX" sz="11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Curva de rendimientos de bonos argentinos en dólares ley NY</a:t>
            </a:r>
            <a:endParaRPr lang="es-AR" sz="1100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5347516750258156"/>
          <c:y val="6.087303505432867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53485098507007"/>
          <c:y val="0.17485264416912649"/>
          <c:w val="0.82709667132557763"/>
          <c:h val="0.6664432109747381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6.6273003674642117E-2"/>
                  <c:y val="3.810416869787963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700"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/>
                      <a:t>GD29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901877724675817E-2"/>
                      <c:h val="7.228893952797094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5F6E-4BB8-8756-724D82617100}"/>
                </c:ext>
              </c:extLst>
            </c:dLbl>
            <c:dLbl>
              <c:idx val="1"/>
              <c:layout>
                <c:manualLayout>
                  <c:x val="-8.1645994755565401E-3"/>
                  <c:y val="4.3547258560984979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700"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/>
                      <a:t>GD30</a:t>
                    </a:r>
                    <a:br>
                      <a:rPr lang="en-US"/>
                    </a:b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574760355485841E-2"/>
                      <c:h val="5.5504107403775413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5F6E-4BB8-8756-724D82617100}"/>
                </c:ext>
              </c:extLst>
            </c:dLbl>
            <c:dLbl>
              <c:idx val="2"/>
              <c:layout>
                <c:manualLayout>
                  <c:x val="-1.4705381402830184E-2"/>
                  <c:y val="-5.0226558582290104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700"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/>
                      <a:t>GD35</a:t>
                    </a:r>
                    <a:br>
                      <a:rPr lang="en-US"/>
                    </a:b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818645397138609E-2"/>
                      <c:h val="5.5504107403775413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5F6E-4BB8-8756-724D82617100}"/>
                </c:ext>
              </c:extLst>
            </c:dLbl>
            <c:dLbl>
              <c:idx val="3"/>
              <c:layout>
                <c:manualLayout>
                  <c:x val="-4.4682462403981389E-2"/>
                  <c:y val="-2.8641104379484569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700"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/>
                      <a:t>GD38</a:t>
                    </a:r>
                    <a:br>
                      <a:rPr lang="en-US"/>
                    </a:b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440587917964993E-2"/>
                      <c:h val="5.976541195660962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5F6E-4BB8-8756-724D82617100}"/>
                </c:ext>
              </c:extLst>
            </c:dLbl>
            <c:dLbl>
              <c:idx val="4"/>
              <c:layout>
                <c:manualLayout>
                  <c:x val="-1.2509452928596248E-2"/>
                  <c:y val="-1.1444228188433117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700"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/>
                      <a:t>GD41</a:t>
                    </a:r>
                    <a:br>
                      <a:rPr lang="en-US"/>
                    </a:b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9418638955830997E-2"/>
                      <c:h val="7.649118206778089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5F6E-4BB8-8756-724D82617100}"/>
                </c:ext>
              </c:extLst>
            </c:dLbl>
            <c:dLbl>
              <c:idx val="5"/>
              <c:layout>
                <c:manualLayout>
                  <c:x val="-1.8878307107998288E-2"/>
                  <c:y val="-1.5488376397559168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700"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/>
                      <a:t>GD46 </a:t>
                    </a:r>
                    <a:br>
                      <a:rPr lang="en-US"/>
                    </a:b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818645397138609E-2"/>
                      <c:h val="5.5551026343487228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5F6E-4BB8-8756-724D826171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525">
                <a:solidFill>
                  <a:schemeClr val="accent5">
                    <a:lumMod val="50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CCL!$N$30:$N$35</c:f>
              <c:numCache>
                <c:formatCode>0.00</c:formatCode>
                <c:ptCount val="6"/>
                <c:pt idx="0">
                  <c:v>4.6843081466609666</c:v>
                </c:pt>
                <c:pt idx="1">
                  <c:v>5.005790321664862</c:v>
                </c:pt>
                <c:pt idx="2">
                  <c:v>7.8635851474132616</c:v>
                </c:pt>
                <c:pt idx="3">
                  <c:v>6.7448866566014685</c:v>
                </c:pt>
                <c:pt idx="4">
                  <c:v>7.6370877464180777</c:v>
                </c:pt>
                <c:pt idx="5">
                  <c:v>7.105203268937764</c:v>
                </c:pt>
              </c:numCache>
            </c:numRef>
          </c:xVal>
          <c:yVal>
            <c:numRef>
              <c:f>CCL!$M$30:$M$35</c:f>
              <c:numCache>
                <c:formatCode>0.00%</c:formatCode>
                <c:ptCount val="6"/>
                <c:pt idx="0">
                  <c:v>0.18690800070762634</c:v>
                </c:pt>
                <c:pt idx="1">
                  <c:v>0.18646262288093568</c:v>
                </c:pt>
                <c:pt idx="2">
                  <c:v>0.16454918980598451</c:v>
                </c:pt>
                <c:pt idx="3">
                  <c:v>0.16641734242439271</c:v>
                </c:pt>
                <c:pt idx="4">
                  <c:v>0.14996939301490786</c:v>
                </c:pt>
                <c:pt idx="5">
                  <c:v>0.16429303288459784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Curva implícita actual</c:v>
                </c15:tx>
              </c15:filteredSeriesTitle>
            </c:ext>
            <c:ext xmlns:c16="http://schemas.microsoft.com/office/drawing/2014/chart" uri="{C3380CC4-5D6E-409C-BE32-E72D297353CC}">
              <c16:uniqueId val="{00000007-5F6E-4BB8-8756-724D82617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44896"/>
        <c:axId val="135751168"/>
      </c:scatterChart>
      <c:valAx>
        <c:axId val="135744896"/>
        <c:scaling>
          <c:orientation val="minMax"/>
          <c:max val="8.5"/>
          <c:min val="4.5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s-AR" sz="700">
                    <a:latin typeface="Bahnschrift SemiBold" panose="020B0502040204020203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49924869253563164"/>
              <c:y val="0.87072102703064003"/>
            </c:manualLayout>
          </c:layout>
          <c:overlay val="0"/>
        </c:title>
        <c:numFmt formatCode="0.0;[Red]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ea typeface="Microsoft JhengHei" panose="020B0604030504040204" pitchFamily="34" charset="-120"/>
                <a:cs typeface="Calibri" panose="020F0502020204030204" pitchFamily="34" charset="0"/>
              </a:defRPr>
            </a:pPr>
            <a:endParaRPr lang="es-AR"/>
          </a:p>
        </c:txPr>
        <c:crossAx val="135751168"/>
        <c:crosses val="autoZero"/>
        <c:crossBetween val="midCat"/>
        <c:minorUnit val="0.5"/>
      </c:valAx>
      <c:valAx>
        <c:axId val="135751168"/>
        <c:scaling>
          <c:orientation val="minMax"/>
          <c:max val="0.19200000000000003"/>
          <c:min val="0.1500000000000000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700"/>
                </a:pPr>
                <a:r>
                  <a:rPr lang="en-US" sz="700" b="1">
                    <a:latin typeface="Bahnschrift SemiBold" panose="020B0502040204020203" pitchFamily="34" charset="0"/>
                    <a:cs typeface="Arial" panose="020B0604020202020204" pitchFamily="34" charset="0"/>
                  </a:rPr>
                  <a:t>TIR</a:t>
                </a:r>
              </a:p>
            </c:rich>
          </c:tx>
          <c:layout>
            <c:manualLayout>
              <c:xMode val="edge"/>
              <c:yMode val="edge"/>
              <c:x val="3.816328700418585E-2"/>
              <c:y val="0.47145586222904656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ea typeface="Microsoft JhengHei" panose="020B0604030504040204" pitchFamily="34" charset="-120"/>
                <a:cs typeface="Calibri" panose="020F0502020204030204" pitchFamily="34" charset="0"/>
              </a:defRPr>
            </a:pPr>
            <a:endParaRPr lang="es-AR"/>
          </a:p>
        </c:txPr>
        <c:crossAx val="135744896"/>
        <c:crossesAt val="0"/>
        <c:crossBetween val="midCat"/>
        <c:majorUnit val="6.0000000000000019E-3"/>
      </c:valAx>
      <c:spPr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MX" sz="11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Curva de bonos en dólares ley Argentina</a:t>
            </a:r>
            <a:endParaRPr lang="es-AR" sz="1100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1671654679528699"/>
          <c:y val="3.308629201857870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53485098507007"/>
          <c:y val="0.17485264416912649"/>
          <c:w val="0.82709667132557763"/>
          <c:h val="0.6786871794871794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4EC-4225-A22E-067F0FBEF4D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D4EC-4225-A22E-067F0FBEF4D5}"/>
              </c:ext>
            </c:extLst>
          </c:dPt>
          <c:dLbls>
            <c:dLbl>
              <c:idx val="0"/>
              <c:layout>
                <c:manualLayout>
                  <c:x val="-1.324289009328382E-2"/>
                  <c:y val="-2.0958468500613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4EC-4225-A22E-067F0FBEF4D5}"/>
                </c:ext>
              </c:extLst>
            </c:dLbl>
            <c:dLbl>
              <c:idx val="1"/>
              <c:layout>
                <c:manualLayout>
                  <c:x val="-9.7635522832373225E-3"/>
                  <c:y val="-8.22282843570168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4EC-4225-A22E-067F0FBEF4D5}"/>
                </c:ext>
              </c:extLst>
            </c:dLbl>
            <c:dLbl>
              <c:idx val="2"/>
              <c:layout>
                <c:manualLayout>
                  <c:x val="-7.3893036097760507E-3"/>
                  <c:y val="-1.17696897435855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4EC-4225-A22E-067F0FBEF4D5}"/>
                </c:ext>
              </c:extLst>
            </c:dLbl>
            <c:dLbl>
              <c:idx val="3"/>
              <c:layout>
                <c:manualLayout>
                  <c:x val="-6.8774388056868892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AE38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4EC-4225-A22E-067F0FBEF4D5}"/>
                </c:ext>
              </c:extLst>
            </c:dLbl>
            <c:dLbl>
              <c:idx val="4"/>
              <c:layout>
                <c:manualLayout>
                  <c:x val="-5.8572678415198205E-2"/>
                  <c:y val="-3.28422837672829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4EC-4225-A22E-067F0FBEF4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Curva 23.10.20</c:name>
            <c:spPr>
              <a:ln w="9525">
                <a:solidFill>
                  <a:schemeClr val="accent5">
                    <a:lumMod val="50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Monitor!$G$8:$G$12</c:f>
              <c:numCache>
                <c:formatCode>0.00</c:formatCode>
                <c:ptCount val="5"/>
                <c:pt idx="0">
                  <c:v>4.6007759063985887</c:v>
                </c:pt>
                <c:pt idx="1">
                  <c:v>4.9549134271585</c:v>
                </c:pt>
                <c:pt idx="2">
                  <c:v>7.8101522908703531</c:v>
                </c:pt>
                <c:pt idx="3">
                  <c:v>6.5716437306641904</c:v>
                </c:pt>
                <c:pt idx="4">
                  <c:v>7.5131194205059622</c:v>
                </c:pt>
              </c:numCache>
            </c:numRef>
          </c:xVal>
          <c:yVal>
            <c:numRef>
              <c:f>Monitor!$F$8:$F$12</c:f>
              <c:numCache>
                <c:formatCode>0.00%</c:formatCode>
                <c:ptCount val="5"/>
                <c:pt idx="0">
                  <c:v>0.20530791878700264</c:v>
                </c:pt>
                <c:pt idx="1">
                  <c:v>0.19669069647789003</c:v>
                </c:pt>
                <c:pt idx="2">
                  <c:v>0.16811838746070862</c:v>
                </c:pt>
                <c:pt idx="3">
                  <c:v>0.17788648009300234</c:v>
                </c:pt>
                <c:pt idx="4">
                  <c:v>0.1556748449802399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Curva implícita actual</c:v>
                </c15:tx>
              </c15:filteredSeriesTitle>
            </c:ext>
            <c:ext xmlns:c16="http://schemas.microsoft.com/office/drawing/2014/chart" uri="{C3380CC4-5D6E-409C-BE32-E72D297353CC}">
              <c16:uniqueId val="{00000006-D4EC-4225-A22E-067F0FBE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48032"/>
        <c:axId val="139949952"/>
      </c:scatterChart>
      <c:valAx>
        <c:axId val="139948032"/>
        <c:scaling>
          <c:orientation val="minMax"/>
          <c:max val="9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s-AR" sz="700">
                    <a:latin typeface="Bahnschrift SemiBold" panose="020B0502040204020203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52677778913999396"/>
              <c:y val="0.90984301080330465"/>
            </c:manualLayout>
          </c:layout>
          <c:overlay val="0"/>
        </c:title>
        <c:numFmt formatCode="0.0;[Red]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ea typeface="Microsoft JhengHei" panose="020B0604030504040204" pitchFamily="34" charset="-120"/>
                <a:cs typeface="Calibri" panose="020F0502020204030204" pitchFamily="34" charset="0"/>
              </a:defRPr>
            </a:pPr>
            <a:endParaRPr lang="es-AR"/>
          </a:p>
        </c:txPr>
        <c:crossAx val="139949952"/>
        <c:crosses val="autoZero"/>
        <c:crossBetween val="midCat"/>
        <c:majorUnit val="0.5"/>
        <c:minorUnit val="0.5"/>
      </c:valAx>
      <c:valAx>
        <c:axId val="139949952"/>
        <c:scaling>
          <c:orientation val="minMax"/>
          <c:max val="0.17"/>
          <c:min val="0.1460000000000000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700"/>
                </a:pPr>
                <a:r>
                  <a:rPr lang="en-US" sz="700" b="1">
                    <a:latin typeface="Bahnschrift SemiBold" panose="020B0502040204020203" pitchFamily="34" charset="0"/>
                    <a:cs typeface="Arial" panose="020B0604020202020204" pitchFamily="34" charset="0"/>
                  </a:rPr>
                  <a:t>TIR</a:t>
                </a:r>
              </a:p>
            </c:rich>
          </c:tx>
          <c:layout>
            <c:manualLayout>
              <c:xMode val="edge"/>
              <c:yMode val="edge"/>
              <c:x val="2.3733169717421686E-2"/>
              <c:y val="0.47145582907285211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ea typeface="Microsoft JhengHei" panose="020B0604030504040204" pitchFamily="34" charset="-120"/>
                <a:cs typeface="Calibri" panose="020F0502020204030204" pitchFamily="34" charset="0"/>
              </a:defRPr>
            </a:pPr>
            <a:endParaRPr lang="es-AR"/>
          </a:p>
        </c:txPr>
        <c:crossAx val="139948032"/>
        <c:crossesAt val="0"/>
        <c:crossBetween val="midCat"/>
        <c:majorUnit val="4.000000000000001E-3"/>
      </c:valAx>
      <c:spPr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MX" sz="11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Curvas de bonos soberanos en dólares</a:t>
            </a:r>
            <a:endParaRPr lang="es-AR" sz="1100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2516447944006995"/>
          <c:y val="4.78874486681813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53485098507007"/>
          <c:y val="0.17485264416912649"/>
          <c:w val="0.82709667132557763"/>
          <c:h val="0.67868717948717949"/>
        </c:manualLayout>
      </c:layout>
      <c:scatterChart>
        <c:scatterStyle val="lineMarker"/>
        <c:varyColors val="0"/>
        <c:ser>
          <c:idx val="0"/>
          <c:order val="0"/>
          <c:tx>
            <c:v>Ley ARG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097331583552056E-2"/>
                  <c:y val="2.694631355926603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E4C8-466D-B23F-DC6CF3072FB3}"/>
                </c:ext>
              </c:extLst>
            </c:dLbl>
            <c:dLbl>
              <c:idx val="1"/>
              <c:layout>
                <c:manualLayout>
                  <c:x val="-7.0761154855643041E-3"/>
                  <c:y val="2.6764578765177616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4C8-466D-B23F-DC6CF3072FB3}"/>
                </c:ext>
              </c:extLst>
            </c:dLbl>
            <c:dLbl>
              <c:idx val="2"/>
              <c:layout>
                <c:manualLayout>
                  <c:x val="-8.5111243254337998E-3"/>
                  <c:y val="-1.15895655591399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4C8-466D-B23F-DC6CF3072FB3}"/>
                </c:ext>
              </c:extLst>
            </c:dLbl>
            <c:dLbl>
              <c:idx val="3"/>
              <c:layout>
                <c:manualLayout>
                  <c:x val="-1.1884304354454197E-2"/>
                  <c:y val="-6.547408990519429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AE38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4C8-466D-B23F-DC6CF3072FB3}"/>
                </c:ext>
              </c:extLst>
            </c:dLbl>
            <c:dLbl>
              <c:idx val="4"/>
              <c:layout>
                <c:manualLayout>
                  <c:x val="-1.8034120734908135E-2"/>
                  <c:y val="5.054209836940857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4C8-466D-B23F-DC6CF3072F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525">
                <a:solidFill>
                  <a:schemeClr val="accent5">
                    <a:lumMod val="50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Monitor!$G$8:$G$12</c:f>
              <c:numCache>
                <c:formatCode>0.00</c:formatCode>
                <c:ptCount val="5"/>
                <c:pt idx="0">
                  <c:v>4.6007759063985887</c:v>
                </c:pt>
                <c:pt idx="1">
                  <c:v>4.9549134271585</c:v>
                </c:pt>
                <c:pt idx="2">
                  <c:v>7.8101522908703531</c:v>
                </c:pt>
                <c:pt idx="3">
                  <c:v>6.5716437306641904</c:v>
                </c:pt>
                <c:pt idx="4">
                  <c:v>7.5131194205059622</c:v>
                </c:pt>
              </c:numCache>
            </c:numRef>
          </c:xVal>
          <c:yVal>
            <c:numRef>
              <c:f>Monitor!$F$8:$F$12</c:f>
              <c:numCache>
                <c:formatCode>0.00%</c:formatCode>
                <c:ptCount val="5"/>
                <c:pt idx="0">
                  <c:v>0.20530791878700264</c:v>
                </c:pt>
                <c:pt idx="1">
                  <c:v>0.19669069647789003</c:v>
                </c:pt>
                <c:pt idx="2">
                  <c:v>0.16811838746070862</c:v>
                </c:pt>
                <c:pt idx="3">
                  <c:v>0.17788648009300234</c:v>
                </c:pt>
                <c:pt idx="4">
                  <c:v>0.1556748449802399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C8-466D-B23F-DC6CF3072FB3}"/>
            </c:ext>
          </c:extLst>
        </c:ser>
        <c:ser>
          <c:idx val="1"/>
          <c:order val="1"/>
          <c:tx>
            <c:v>Ley NY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4.7731384074102878E-2"/>
                  <c:y val="3.3604745987626097E-2"/>
                </c:manualLayout>
              </c:layout>
              <c:tx>
                <c:rich>
                  <a:bodyPr/>
                  <a:lstStyle/>
                  <a:p>
                    <a:r>
                      <a:rPr lang="en-US" sz="7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GD29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4C8-466D-B23F-DC6CF3072FB3}"/>
                </c:ext>
              </c:extLst>
            </c:dLbl>
            <c:dLbl>
              <c:idx val="1"/>
              <c:layout>
                <c:manualLayout>
                  <c:x val="-8.0929571303587564E-3"/>
                  <c:y val="3.989712880152200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4C8-466D-B23F-DC6CF3072FB3}"/>
                </c:ext>
              </c:extLst>
            </c:dLbl>
            <c:dLbl>
              <c:idx val="2"/>
              <c:layout>
                <c:manualLayout>
                  <c:x val="-1.2631577272231867E-2"/>
                  <c:y val="7.6701278830060715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E4C8-466D-B23F-DC6CF3072FB3}"/>
                </c:ext>
              </c:extLst>
            </c:dLbl>
            <c:dLbl>
              <c:idx val="3"/>
              <c:layout>
                <c:manualLayout>
                  <c:x val="-4.5888888888888889E-2"/>
                  <c:y val="3.35713728708942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E4C8-466D-B23F-DC6CF3072FB3}"/>
                </c:ext>
              </c:extLst>
            </c:dLbl>
            <c:dLbl>
              <c:idx val="4"/>
              <c:layout>
                <c:manualLayout>
                  <c:x val="-7.5791452858157927E-3"/>
                  <c:y val="2.495099734809178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E4C8-466D-B23F-DC6CF3072FB3}"/>
                </c:ext>
              </c:extLst>
            </c:dLbl>
            <c:dLbl>
              <c:idx val="5"/>
              <c:layout>
                <c:manualLayout>
                  <c:x val="-2.966819772528434E-2"/>
                  <c:y val="2.75040741636564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GD46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E4C8-466D-B23F-DC6CF3072F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Monitor!$G$14:$G$19</c:f>
              <c:numCache>
                <c:formatCode>0.00</c:formatCode>
                <c:ptCount val="6"/>
                <c:pt idx="0">
                  <c:v>4.7038208985776873</c:v>
                </c:pt>
                <c:pt idx="1">
                  <c:v>5.0228680048178713</c:v>
                </c:pt>
                <c:pt idx="2">
                  <c:v>7.8957170172658149</c:v>
                </c:pt>
                <c:pt idx="3">
                  <c:v>6.8082582641755565</c:v>
                </c:pt>
                <c:pt idx="4">
                  <c:v>7.6978776266562452</c:v>
                </c:pt>
                <c:pt idx="5">
                  <c:v>7.2044001676840024</c:v>
                </c:pt>
              </c:numCache>
            </c:numRef>
          </c:xVal>
          <c:yVal>
            <c:numRef>
              <c:f>Monitor!$F$14:$F$19</c:f>
              <c:numCache>
                <c:formatCode>0.00%</c:formatCode>
                <c:ptCount val="6"/>
                <c:pt idx="0">
                  <c:v>0.18260790705680849</c:v>
                </c:pt>
                <c:pt idx="1">
                  <c:v>0.18306362032890325</c:v>
                </c:pt>
                <c:pt idx="2">
                  <c:v>0.16240534186363223</c:v>
                </c:pt>
                <c:pt idx="3">
                  <c:v>0.16229885220527654</c:v>
                </c:pt>
                <c:pt idx="4">
                  <c:v>0.14720516800880437</c:v>
                </c:pt>
                <c:pt idx="5">
                  <c:v>0.15977626442909246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4C8-466D-B23F-DC6CF3072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21728"/>
        <c:axId val="229352960"/>
      </c:scatterChart>
      <c:valAx>
        <c:axId val="229321728"/>
        <c:scaling>
          <c:orientation val="minMax"/>
          <c:max val="8.5"/>
          <c:min val="4.5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s-AR" sz="700">
                    <a:latin typeface="Bahnschrift SemiBold" panose="020B0502040204020203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52677775028227114"/>
              <c:y val="0.89940402872758762"/>
            </c:manualLayout>
          </c:layout>
          <c:overlay val="0"/>
        </c:title>
        <c:numFmt formatCode="0.0;[Red]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ea typeface="Microsoft JhengHei" panose="020B0604030504040204" pitchFamily="34" charset="-120"/>
                <a:cs typeface="Calibri" panose="020F0502020204030204" pitchFamily="34" charset="0"/>
              </a:defRPr>
            </a:pPr>
            <a:endParaRPr lang="es-AR"/>
          </a:p>
        </c:txPr>
        <c:crossAx val="229352960"/>
        <c:crosses val="autoZero"/>
        <c:crossBetween val="midCat"/>
        <c:minorUnit val="0.5"/>
      </c:valAx>
      <c:valAx>
        <c:axId val="229352960"/>
        <c:scaling>
          <c:orientation val="minMax"/>
          <c:max val="0.21400000000000002"/>
          <c:min val="0.1420000000000000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700"/>
                </a:pPr>
                <a:r>
                  <a:rPr lang="en-US" sz="700" b="1">
                    <a:latin typeface="Bahnschrift SemiBold" panose="020B0502040204020203" pitchFamily="34" charset="0"/>
                    <a:cs typeface="Arial" panose="020B0604020202020204" pitchFamily="34" charset="0"/>
                  </a:rPr>
                  <a:t>TIR</a:t>
                </a:r>
              </a:p>
            </c:rich>
          </c:tx>
          <c:layout>
            <c:manualLayout>
              <c:xMode val="edge"/>
              <c:yMode val="edge"/>
              <c:x val="3.816328700418585E-2"/>
              <c:y val="0.47145586222904656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ea typeface="Microsoft JhengHei" panose="020B0604030504040204" pitchFamily="34" charset="-120"/>
                <a:cs typeface="Calibri" panose="020F0502020204030204" pitchFamily="34" charset="0"/>
              </a:defRPr>
            </a:pPr>
            <a:endParaRPr lang="es-AR"/>
          </a:p>
        </c:txPr>
        <c:crossAx val="229321728"/>
        <c:crossesAt val="0"/>
        <c:crossBetween val="midCat"/>
        <c:majorUnit val="8.0000000000000019E-3"/>
      </c:valAx>
      <c:spPr>
        <a:ln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4210110672509153"/>
          <c:y val="0.17909789712648375"/>
          <c:w val="0.11747784600376679"/>
          <c:h val="0.1136369595111186"/>
        </c:manualLayout>
      </c:layout>
      <c:overlay val="0"/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1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Ratio GD30/AL30</a:t>
            </a:r>
            <a:endParaRPr lang="es-AR" sz="1100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6452842168074906"/>
          <c:y val="3.05501472212976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276712386758107"/>
          <c:y val="0.1712627770572353"/>
          <c:w val="0.82325438150876296"/>
          <c:h val="0.71059390774635833"/>
        </c:manualLayout>
      </c:layout>
      <c:scatterChart>
        <c:scatterStyle val="lineMarker"/>
        <c:varyColors val="0"/>
        <c:ser>
          <c:idx val="0"/>
          <c:order val="0"/>
          <c:tx>
            <c:v>Ratio GD30/AL30</c:v>
          </c:tx>
          <c:spPr>
            <a:ln w="15875">
              <a:solidFill>
                <a:schemeClr val="accent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xVal>
            <c:numRef>
              <c:f>'Ratios legislación'!$A$3:$A$174</c:f>
              <c:numCache>
                <c:formatCode>dd/mm/yyyy;@</c:formatCode>
                <c:ptCount val="172"/>
                <c:pt idx="0">
                  <c:v>44082</c:v>
                </c:pt>
                <c:pt idx="1">
                  <c:v>44083</c:v>
                </c:pt>
                <c:pt idx="2">
                  <c:v>44084</c:v>
                </c:pt>
                <c:pt idx="3">
                  <c:v>44085</c:v>
                </c:pt>
                <c:pt idx="4">
                  <c:v>44088</c:v>
                </c:pt>
                <c:pt idx="5">
                  <c:v>44089</c:v>
                </c:pt>
                <c:pt idx="6">
                  <c:v>44090</c:v>
                </c:pt>
                <c:pt idx="7">
                  <c:v>44091</c:v>
                </c:pt>
                <c:pt idx="8">
                  <c:v>44092</c:v>
                </c:pt>
                <c:pt idx="9">
                  <c:v>44095</c:v>
                </c:pt>
                <c:pt idx="10">
                  <c:v>44096</c:v>
                </c:pt>
                <c:pt idx="11">
                  <c:v>44097</c:v>
                </c:pt>
                <c:pt idx="12">
                  <c:v>44098</c:v>
                </c:pt>
                <c:pt idx="13">
                  <c:v>44099</c:v>
                </c:pt>
                <c:pt idx="14">
                  <c:v>44102</c:v>
                </c:pt>
                <c:pt idx="15">
                  <c:v>44103</c:v>
                </c:pt>
                <c:pt idx="16">
                  <c:v>44104</c:v>
                </c:pt>
                <c:pt idx="17">
                  <c:v>44105</c:v>
                </c:pt>
                <c:pt idx="18">
                  <c:v>44106</c:v>
                </c:pt>
                <c:pt idx="19">
                  <c:v>44109</c:v>
                </c:pt>
                <c:pt idx="20">
                  <c:v>44110</c:v>
                </c:pt>
                <c:pt idx="21">
                  <c:v>44111</c:v>
                </c:pt>
                <c:pt idx="22">
                  <c:v>44112</c:v>
                </c:pt>
                <c:pt idx="23">
                  <c:v>44113</c:v>
                </c:pt>
                <c:pt idx="24">
                  <c:v>44117</c:v>
                </c:pt>
                <c:pt idx="25">
                  <c:v>44118</c:v>
                </c:pt>
                <c:pt idx="26">
                  <c:v>44119</c:v>
                </c:pt>
                <c:pt idx="27">
                  <c:v>44120</c:v>
                </c:pt>
                <c:pt idx="28">
                  <c:v>44123</c:v>
                </c:pt>
                <c:pt idx="29">
                  <c:v>44124</c:v>
                </c:pt>
                <c:pt idx="30">
                  <c:v>44125</c:v>
                </c:pt>
                <c:pt idx="31">
                  <c:v>44126</c:v>
                </c:pt>
                <c:pt idx="32">
                  <c:v>44127</c:v>
                </c:pt>
                <c:pt idx="33">
                  <c:v>44130</c:v>
                </c:pt>
                <c:pt idx="34">
                  <c:v>44131</c:v>
                </c:pt>
                <c:pt idx="35">
                  <c:v>44132</c:v>
                </c:pt>
                <c:pt idx="36">
                  <c:v>44133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44159</c:v>
                </c:pt>
                <c:pt idx="54">
                  <c:v>44160</c:v>
                </c:pt>
                <c:pt idx="55">
                  <c:v>44161</c:v>
                </c:pt>
                <c:pt idx="56">
                  <c:v>44162</c:v>
                </c:pt>
                <c:pt idx="57">
                  <c:v>44165</c:v>
                </c:pt>
                <c:pt idx="58">
                  <c:v>44166</c:v>
                </c:pt>
                <c:pt idx="59">
                  <c:v>44167</c:v>
                </c:pt>
                <c:pt idx="60">
                  <c:v>44168</c:v>
                </c:pt>
                <c:pt idx="61">
                  <c:v>44169</c:v>
                </c:pt>
                <c:pt idx="62">
                  <c:v>44174</c:v>
                </c:pt>
                <c:pt idx="63">
                  <c:v>44175</c:v>
                </c:pt>
                <c:pt idx="64">
                  <c:v>44176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44193</c:v>
                </c:pt>
                <c:pt idx="74">
                  <c:v>44194</c:v>
                </c:pt>
                <c:pt idx="75">
                  <c:v>44195</c:v>
                </c:pt>
                <c:pt idx="76">
                  <c:v>44200</c:v>
                </c:pt>
                <c:pt idx="77">
                  <c:v>44201</c:v>
                </c:pt>
                <c:pt idx="78">
                  <c:v>44202</c:v>
                </c:pt>
                <c:pt idx="79">
                  <c:v>44203</c:v>
                </c:pt>
                <c:pt idx="80">
                  <c:v>44204</c:v>
                </c:pt>
                <c:pt idx="81">
                  <c:v>44207</c:v>
                </c:pt>
                <c:pt idx="82">
                  <c:v>44208</c:v>
                </c:pt>
                <c:pt idx="83">
                  <c:v>44209</c:v>
                </c:pt>
                <c:pt idx="84">
                  <c:v>44210</c:v>
                </c:pt>
                <c:pt idx="85">
                  <c:v>44211</c:v>
                </c:pt>
                <c:pt idx="86">
                  <c:v>44214</c:v>
                </c:pt>
                <c:pt idx="87">
                  <c:v>44215</c:v>
                </c:pt>
                <c:pt idx="88">
                  <c:v>44216</c:v>
                </c:pt>
                <c:pt idx="89">
                  <c:v>44217</c:v>
                </c:pt>
                <c:pt idx="90">
                  <c:v>44218</c:v>
                </c:pt>
                <c:pt idx="91">
                  <c:v>44221</c:v>
                </c:pt>
                <c:pt idx="92">
                  <c:v>44222</c:v>
                </c:pt>
                <c:pt idx="93">
                  <c:v>44223</c:v>
                </c:pt>
                <c:pt idx="94">
                  <c:v>44224</c:v>
                </c:pt>
                <c:pt idx="95">
                  <c:v>44225</c:v>
                </c:pt>
                <c:pt idx="96">
                  <c:v>44228</c:v>
                </c:pt>
                <c:pt idx="97">
                  <c:v>44229</c:v>
                </c:pt>
                <c:pt idx="98">
                  <c:v>44230</c:v>
                </c:pt>
                <c:pt idx="99">
                  <c:v>44231</c:v>
                </c:pt>
                <c:pt idx="100">
                  <c:v>44232</c:v>
                </c:pt>
                <c:pt idx="101">
                  <c:v>44235</c:v>
                </c:pt>
                <c:pt idx="102">
                  <c:v>44236</c:v>
                </c:pt>
                <c:pt idx="103">
                  <c:v>44237</c:v>
                </c:pt>
                <c:pt idx="104">
                  <c:v>44238</c:v>
                </c:pt>
                <c:pt idx="105">
                  <c:v>44239</c:v>
                </c:pt>
                <c:pt idx="106">
                  <c:v>44244</c:v>
                </c:pt>
                <c:pt idx="107">
                  <c:v>44245</c:v>
                </c:pt>
                <c:pt idx="108">
                  <c:v>44246</c:v>
                </c:pt>
                <c:pt idx="109">
                  <c:v>44249</c:v>
                </c:pt>
                <c:pt idx="110">
                  <c:v>44250</c:v>
                </c:pt>
                <c:pt idx="111">
                  <c:v>44251</c:v>
                </c:pt>
                <c:pt idx="112">
                  <c:v>44252</c:v>
                </c:pt>
                <c:pt idx="113">
                  <c:v>44253</c:v>
                </c:pt>
                <c:pt idx="114">
                  <c:v>44256</c:v>
                </c:pt>
                <c:pt idx="115">
                  <c:v>44257</c:v>
                </c:pt>
                <c:pt idx="116">
                  <c:v>44258</c:v>
                </c:pt>
                <c:pt idx="117">
                  <c:v>44259</c:v>
                </c:pt>
                <c:pt idx="118">
                  <c:v>44260</c:v>
                </c:pt>
                <c:pt idx="119">
                  <c:v>44263</c:v>
                </c:pt>
                <c:pt idx="120">
                  <c:v>44264</c:v>
                </c:pt>
                <c:pt idx="121">
                  <c:v>44265</c:v>
                </c:pt>
                <c:pt idx="122">
                  <c:v>44266</c:v>
                </c:pt>
                <c:pt idx="123">
                  <c:v>44267</c:v>
                </c:pt>
                <c:pt idx="124">
                  <c:v>44270</c:v>
                </c:pt>
                <c:pt idx="125">
                  <c:v>44271</c:v>
                </c:pt>
                <c:pt idx="126">
                  <c:v>44272</c:v>
                </c:pt>
                <c:pt idx="127">
                  <c:v>44273</c:v>
                </c:pt>
                <c:pt idx="128">
                  <c:v>44274</c:v>
                </c:pt>
                <c:pt idx="129">
                  <c:v>44277</c:v>
                </c:pt>
                <c:pt idx="130">
                  <c:v>44278</c:v>
                </c:pt>
                <c:pt idx="131">
                  <c:v>44280</c:v>
                </c:pt>
                <c:pt idx="132">
                  <c:v>44281</c:v>
                </c:pt>
                <c:pt idx="133">
                  <c:v>44284</c:v>
                </c:pt>
                <c:pt idx="134">
                  <c:v>44285</c:v>
                </c:pt>
                <c:pt idx="135">
                  <c:v>44286</c:v>
                </c:pt>
                <c:pt idx="136">
                  <c:v>44291</c:v>
                </c:pt>
                <c:pt idx="137">
                  <c:v>44292</c:v>
                </c:pt>
                <c:pt idx="138">
                  <c:v>44293</c:v>
                </c:pt>
                <c:pt idx="139">
                  <c:v>44294</c:v>
                </c:pt>
                <c:pt idx="140">
                  <c:v>44295</c:v>
                </c:pt>
                <c:pt idx="141">
                  <c:v>44298</c:v>
                </c:pt>
                <c:pt idx="142">
                  <c:v>44299</c:v>
                </c:pt>
                <c:pt idx="143">
                  <c:v>44300</c:v>
                </c:pt>
                <c:pt idx="144">
                  <c:v>44301</c:v>
                </c:pt>
                <c:pt idx="145">
                  <c:v>44302</c:v>
                </c:pt>
                <c:pt idx="146">
                  <c:v>44305</c:v>
                </c:pt>
                <c:pt idx="147">
                  <c:v>44306</c:v>
                </c:pt>
                <c:pt idx="148">
                  <c:v>44307</c:v>
                </c:pt>
                <c:pt idx="149">
                  <c:v>44308</c:v>
                </c:pt>
                <c:pt idx="150">
                  <c:v>44309</c:v>
                </c:pt>
                <c:pt idx="151">
                  <c:v>44312</c:v>
                </c:pt>
                <c:pt idx="152">
                  <c:v>44313</c:v>
                </c:pt>
                <c:pt idx="153">
                  <c:v>44314</c:v>
                </c:pt>
                <c:pt idx="154">
                  <c:v>44315</c:v>
                </c:pt>
                <c:pt idx="155">
                  <c:v>44316</c:v>
                </c:pt>
                <c:pt idx="156">
                  <c:v>44319</c:v>
                </c:pt>
                <c:pt idx="157">
                  <c:v>44320</c:v>
                </c:pt>
                <c:pt idx="158">
                  <c:v>44321</c:v>
                </c:pt>
                <c:pt idx="159">
                  <c:v>44322</c:v>
                </c:pt>
                <c:pt idx="160">
                  <c:v>44323</c:v>
                </c:pt>
                <c:pt idx="161">
                  <c:v>44326</c:v>
                </c:pt>
                <c:pt idx="162">
                  <c:v>44327</c:v>
                </c:pt>
                <c:pt idx="163">
                  <c:v>44328</c:v>
                </c:pt>
                <c:pt idx="164">
                  <c:v>44329</c:v>
                </c:pt>
                <c:pt idx="165">
                  <c:v>44330</c:v>
                </c:pt>
                <c:pt idx="166">
                  <c:v>44333</c:v>
                </c:pt>
                <c:pt idx="167">
                  <c:v>44334</c:v>
                </c:pt>
                <c:pt idx="168">
                  <c:v>44335</c:v>
                </c:pt>
                <c:pt idx="169">
                  <c:v>44336</c:v>
                </c:pt>
                <c:pt idx="170">
                  <c:v>44337</c:v>
                </c:pt>
                <c:pt idx="171">
                  <c:v>44342</c:v>
                </c:pt>
              </c:numCache>
            </c:numRef>
          </c:xVal>
          <c:yVal>
            <c:numRef>
              <c:f>'Ratios legislación'!$C$3:$C$174</c:f>
              <c:numCache>
                <c:formatCode>0.000</c:formatCode>
                <c:ptCount val="172"/>
                <c:pt idx="0">
                  <c:v>1.0007911392405062</c:v>
                </c:pt>
                <c:pt idx="1">
                  <c:v>1.0004704406460718</c:v>
                </c:pt>
                <c:pt idx="2">
                  <c:v>1.0007794232268121</c:v>
                </c:pt>
                <c:pt idx="3">
                  <c:v>1.0045305421027964</c:v>
                </c:pt>
                <c:pt idx="4">
                  <c:v>0.99827882960413084</c:v>
                </c:pt>
                <c:pt idx="5">
                  <c:v>1.004009623095429</c:v>
                </c:pt>
                <c:pt idx="6">
                  <c:v>1</c:v>
                </c:pt>
                <c:pt idx="7">
                  <c:v>1.0025316455696203</c:v>
                </c:pt>
                <c:pt idx="8">
                  <c:v>1.0063829787234042</c:v>
                </c:pt>
                <c:pt idx="9">
                  <c:v>1.0056282072504552</c:v>
                </c:pt>
                <c:pt idx="10">
                  <c:v>1</c:v>
                </c:pt>
                <c:pt idx="11">
                  <c:v>0.99601275917065391</c:v>
                </c:pt>
                <c:pt idx="12">
                  <c:v>0.99925249169435215</c:v>
                </c:pt>
                <c:pt idx="13">
                  <c:v>0.99754701553556824</c:v>
                </c:pt>
                <c:pt idx="14">
                  <c:v>0.99837793998377944</c:v>
                </c:pt>
                <c:pt idx="15">
                  <c:v>0.99983870967741939</c:v>
                </c:pt>
                <c:pt idx="16">
                  <c:v>1.0046849757673668</c:v>
                </c:pt>
                <c:pt idx="17">
                  <c:v>0.99927594529364439</c:v>
                </c:pt>
                <c:pt idx="18">
                  <c:v>1.0049019607843137</c:v>
                </c:pt>
                <c:pt idx="19">
                  <c:v>0.99424092145256759</c:v>
                </c:pt>
                <c:pt idx="20">
                  <c:v>0.99020866773675764</c:v>
                </c:pt>
                <c:pt idx="21">
                  <c:v>0.99823321554770317</c:v>
                </c:pt>
                <c:pt idx="22">
                  <c:v>1.0001587301587302</c:v>
                </c:pt>
                <c:pt idx="23">
                  <c:v>1.0101325019485581</c:v>
                </c:pt>
                <c:pt idx="24">
                  <c:v>1.0161141094834232</c:v>
                </c:pt>
                <c:pt idx="25">
                  <c:v>1.0089820359281436</c:v>
                </c:pt>
                <c:pt idx="26">
                  <c:v>1.0061768766804737</c:v>
                </c:pt>
                <c:pt idx="27">
                  <c:v>1.0245535714285714</c:v>
                </c:pt>
                <c:pt idx="28">
                  <c:v>1.0218045112781955</c:v>
                </c:pt>
                <c:pt idx="29">
                  <c:v>1.0049556990539119</c:v>
                </c:pt>
                <c:pt idx="30">
                  <c:v>1.0358504958047292</c:v>
                </c:pt>
                <c:pt idx="31">
                  <c:v>1.0435779816513762</c:v>
                </c:pt>
                <c:pt idx="32">
                  <c:v>1.0770465489566614</c:v>
                </c:pt>
                <c:pt idx="33">
                  <c:v>1.0740432612312811</c:v>
                </c:pt>
                <c:pt idx="34">
                  <c:v>1.0429999999999999</c:v>
                </c:pt>
                <c:pt idx="35">
                  <c:v>1.0765124555160142</c:v>
                </c:pt>
                <c:pt idx="36">
                  <c:v>1.0222222222222221</c:v>
                </c:pt>
                <c:pt idx="37">
                  <c:v>1.0623853211009173</c:v>
                </c:pt>
                <c:pt idx="38">
                  <c:v>1.0605947955390334</c:v>
                </c:pt>
                <c:pt idx="39">
                  <c:v>1.0808550185873607</c:v>
                </c:pt>
                <c:pt idx="40">
                  <c:v>1.0987884436160298</c:v>
                </c:pt>
                <c:pt idx="41">
                  <c:v>1.0927643784786643</c:v>
                </c:pt>
                <c:pt idx="42">
                  <c:v>1.0873605947955389</c:v>
                </c:pt>
                <c:pt idx="43">
                  <c:v>1.098255280073462</c:v>
                </c:pt>
                <c:pt idx="44">
                  <c:v>1.1009022279506537</c:v>
                </c:pt>
                <c:pt idx="45">
                  <c:v>1.0499561787905347</c:v>
                </c:pt>
                <c:pt idx="46">
                  <c:v>1.0689346463742166</c:v>
                </c:pt>
                <c:pt idx="47">
                  <c:v>1.0736468500443657</c:v>
                </c:pt>
                <c:pt idx="48">
                  <c:v>1.0739130434782609</c:v>
                </c:pt>
                <c:pt idx="49">
                  <c:v>1.0483592400690847</c:v>
                </c:pt>
                <c:pt idx="50">
                  <c:v>1.0508620689655173</c:v>
                </c:pt>
                <c:pt idx="51">
                  <c:v>1.0426655127650368</c:v>
                </c:pt>
                <c:pt idx="52">
                  <c:v>1.0476770488950757</c:v>
                </c:pt>
                <c:pt idx="53">
                  <c:v>1.0609225413402958</c:v>
                </c:pt>
                <c:pt idx="54">
                  <c:v>1.0391304347826087</c:v>
                </c:pt>
                <c:pt idx="55">
                  <c:v>1.0619205877208326</c:v>
                </c:pt>
                <c:pt idx="56">
                  <c:v>1.0759605216778287</c:v>
                </c:pt>
                <c:pt idx="57">
                  <c:v>1.0661171833004839</c:v>
                </c:pt>
                <c:pt idx="58">
                  <c:v>1.0578304597701149</c:v>
                </c:pt>
                <c:pt idx="59">
                  <c:v>1.0466887713952864</c:v>
                </c:pt>
                <c:pt idx="60">
                  <c:v>1.0449541284403669</c:v>
                </c:pt>
                <c:pt idx="61">
                  <c:v>1.0395768739741018</c:v>
                </c:pt>
                <c:pt idx="62">
                  <c:v>1.02803738317757</c:v>
                </c:pt>
                <c:pt idx="63">
                  <c:v>1.0240744118183476</c:v>
                </c:pt>
                <c:pt idx="64">
                  <c:v>1.0287253141831239</c:v>
                </c:pt>
                <c:pt idx="65">
                  <c:v>1.0357016613644396</c:v>
                </c:pt>
                <c:pt idx="66">
                  <c:v>1.0199048793376784</c:v>
                </c:pt>
                <c:pt idx="67">
                  <c:v>1.026781742147878</c:v>
                </c:pt>
                <c:pt idx="68">
                  <c:v>1.0287038687823142</c:v>
                </c:pt>
                <c:pt idx="69">
                  <c:v>1.0362190812720848</c:v>
                </c:pt>
                <c:pt idx="70">
                  <c:v>1.0176834659593281</c:v>
                </c:pt>
                <c:pt idx="71">
                  <c:v>1.0085949833362569</c:v>
                </c:pt>
                <c:pt idx="72">
                  <c:v>1.0270128047710927</c:v>
                </c:pt>
                <c:pt idx="73">
                  <c:v>1.0347537548026546</c:v>
                </c:pt>
                <c:pt idx="74">
                  <c:v>1.020586182833217</c:v>
                </c:pt>
                <c:pt idx="75">
                  <c:v>1.0296632350375152</c:v>
                </c:pt>
                <c:pt idx="76">
                  <c:v>1.015248657078496</c:v>
                </c:pt>
                <c:pt idx="77">
                  <c:v>1.0167878158532364</c:v>
                </c:pt>
                <c:pt idx="78">
                  <c:v>1.0328151986183074</c:v>
                </c:pt>
                <c:pt idx="79">
                  <c:v>1.0410887656033287</c:v>
                </c:pt>
                <c:pt idx="80">
                  <c:v>1.0427574171029668</c:v>
                </c:pt>
                <c:pt idx="81">
                  <c:v>1.0349613492621224</c:v>
                </c:pt>
                <c:pt idx="82">
                  <c:v>1.0432862190812722</c:v>
                </c:pt>
                <c:pt idx="83">
                  <c:v>1.0198546357028895</c:v>
                </c:pt>
                <c:pt idx="84">
                  <c:v>1.0157941437444542</c:v>
                </c:pt>
                <c:pt idx="85">
                  <c:v>1.0282666666666667</c:v>
                </c:pt>
                <c:pt idx="86">
                  <c:v>1.0319148936170213</c:v>
                </c:pt>
                <c:pt idx="87">
                  <c:v>1.0400496189969874</c:v>
                </c:pt>
                <c:pt idx="88">
                  <c:v>1.0434012400354296</c:v>
                </c:pt>
                <c:pt idx="89">
                  <c:v>1.0421462723570036</c:v>
                </c:pt>
                <c:pt idx="90">
                  <c:v>1.0524450744153082</c:v>
                </c:pt>
                <c:pt idx="91">
                  <c:v>1.0558698727015559</c:v>
                </c:pt>
                <c:pt idx="92">
                  <c:v>1.0605258514205047</c:v>
                </c:pt>
                <c:pt idx="93">
                  <c:v>1.0565854519774012</c:v>
                </c:pt>
                <c:pt idx="94">
                  <c:v>1.0547703180212014</c:v>
                </c:pt>
                <c:pt idx="95">
                  <c:v>1.0549645390070923</c:v>
                </c:pt>
                <c:pt idx="96">
                  <c:v>1.061858407079646</c:v>
                </c:pt>
                <c:pt idx="97">
                  <c:v>1.0583967439391258</c:v>
                </c:pt>
                <c:pt idx="98">
                  <c:v>1.0554767812832329</c:v>
                </c:pt>
                <c:pt idx="99">
                  <c:v>1.0629432624113475</c:v>
                </c:pt>
                <c:pt idx="100">
                  <c:v>1.0723169864960911</c:v>
                </c:pt>
                <c:pt idx="101">
                  <c:v>1.0714285714285714</c:v>
                </c:pt>
                <c:pt idx="102">
                  <c:v>1.0636105188343994</c:v>
                </c:pt>
                <c:pt idx="103">
                  <c:v>1.0636590584878745</c:v>
                </c:pt>
                <c:pt idx="104">
                  <c:v>1.0692167577413478</c:v>
                </c:pt>
                <c:pt idx="105">
                  <c:v>1.083240431066518</c:v>
                </c:pt>
                <c:pt idx="106">
                  <c:v>1.0896817743490839</c:v>
                </c:pt>
                <c:pt idx="107">
                  <c:v>1.0616122840690978</c:v>
                </c:pt>
                <c:pt idx="108">
                  <c:v>1.0613207547169812</c:v>
                </c:pt>
                <c:pt idx="109">
                  <c:v>1.0515361744301288</c:v>
                </c:pt>
                <c:pt idx="110">
                  <c:v>1.0566</c:v>
                </c:pt>
                <c:pt idx="111">
                  <c:v>1.0619469026548674</c:v>
                </c:pt>
                <c:pt idx="112">
                  <c:v>1.0490726429675425</c:v>
                </c:pt>
                <c:pt idx="113">
                  <c:v>1.0325670498084292</c:v>
                </c:pt>
                <c:pt idx="114">
                  <c:v>1.0313858952543014</c:v>
                </c:pt>
                <c:pt idx="115">
                  <c:v>1.0218744107109183</c:v>
                </c:pt>
                <c:pt idx="116">
                  <c:v>1.0249433106575965</c:v>
                </c:pt>
                <c:pt idx="117">
                  <c:v>1.0206478499715854</c:v>
                </c:pt>
                <c:pt idx="118">
                  <c:v>1.0145733461169704</c:v>
                </c:pt>
                <c:pt idx="119">
                  <c:v>1.0121692099671624</c:v>
                </c:pt>
                <c:pt idx="120">
                  <c:v>1.0119397142297906</c:v>
                </c:pt>
                <c:pt idx="121">
                  <c:v>1.0185950413223142</c:v>
                </c:pt>
                <c:pt idx="122">
                  <c:v>1.0310699588477366</c:v>
                </c:pt>
                <c:pt idx="123">
                  <c:v>1.0279060429632605</c:v>
                </c:pt>
                <c:pt idx="124">
                  <c:v>1.032640949554896</c:v>
                </c:pt>
                <c:pt idx="125">
                  <c:v>1.0277397929283063</c:v>
                </c:pt>
                <c:pt idx="126">
                  <c:v>1.0313401268986733</c:v>
                </c:pt>
                <c:pt idx="127">
                  <c:v>1.0257547988810649</c:v>
                </c:pt>
                <c:pt idx="128">
                  <c:v>1.0314161430642823</c:v>
                </c:pt>
                <c:pt idx="129">
                  <c:v>1.0312739831158864</c:v>
                </c:pt>
                <c:pt idx="130">
                  <c:v>1.0307392996108948</c:v>
                </c:pt>
                <c:pt idx="131">
                  <c:v>1.0276442307692308</c:v>
                </c:pt>
                <c:pt idx="132">
                  <c:v>1.0276073619631902</c:v>
                </c:pt>
                <c:pt idx="133">
                  <c:v>1.0310352009997916</c:v>
                </c:pt>
                <c:pt idx="134">
                  <c:v>1.0220191109264645</c:v>
                </c:pt>
                <c:pt idx="135">
                  <c:v>1.024475885572653</c:v>
                </c:pt>
                <c:pt idx="136">
                  <c:v>1.013051396195872</c:v>
                </c:pt>
                <c:pt idx="137">
                  <c:v>1.0235175879396985</c:v>
                </c:pt>
                <c:pt idx="138">
                  <c:v>1.0215291750503017</c:v>
                </c:pt>
                <c:pt idx="139">
                  <c:v>1.0301507537688441</c:v>
                </c:pt>
                <c:pt idx="140">
                  <c:v>1.0317122593718338</c:v>
                </c:pt>
                <c:pt idx="141">
                  <c:v>1.0474268415741674</c:v>
                </c:pt>
                <c:pt idx="142">
                  <c:v>1.0449517296862429</c:v>
                </c:pt>
                <c:pt idx="143">
                  <c:v>1.0414403540535104</c:v>
                </c:pt>
                <c:pt idx="144">
                  <c:v>1.051219512195122</c:v>
                </c:pt>
                <c:pt idx="145">
                  <c:v>1.0643947100712106</c:v>
                </c:pt>
                <c:pt idx="146">
                  <c:v>1.0620717452640065</c:v>
                </c:pt>
                <c:pt idx="147">
                  <c:v>1.0613999999999999</c:v>
                </c:pt>
                <c:pt idx="148">
                  <c:v>1.0682546036829463</c:v>
                </c:pt>
                <c:pt idx="149">
                  <c:v>1.0677864427114576</c:v>
                </c:pt>
                <c:pt idx="150">
                  <c:v>1.0714989166830806</c:v>
                </c:pt>
                <c:pt idx="151">
                  <c:v>1.0591603053435115</c:v>
                </c:pt>
                <c:pt idx="152">
                  <c:v>1.052996254681648</c:v>
                </c:pt>
                <c:pt idx="153">
                  <c:v>1.0529258292955648</c:v>
                </c:pt>
                <c:pt idx="154">
                  <c:v>1.0484893696381947</c:v>
                </c:pt>
                <c:pt idx="155">
                  <c:v>1.0633526443655392</c:v>
                </c:pt>
                <c:pt idx="156">
                  <c:v>1.0615127299758409</c:v>
                </c:pt>
                <c:pt idx="157">
                  <c:v>1.0670380687093779</c:v>
                </c:pt>
                <c:pt idx="158">
                  <c:v>1.059369202226345</c:v>
                </c:pt>
                <c:pt idx="159">
                  <c:v>1.0495806150978564</c:v>
                </c:pt>
                <c:pt idx="160">
                  <c:v>1.0598564954682779</c:v>
                </c:pt>
                <c:pt idx="161">
                  <c:v>1.0567409365558913</c:v>
                </c:pt>
                <c:pt idx="162">
                  <c:v>1.0617760617760619</c:v>
                </c:pt>
                <c:pt idx="163">
                  <c:v>1.0658247225411404</c:v>
                </c:pt>
                <c:pt idx="164">
                  <c:v>1.0665399239543727</c:v>
                </c:pt>
                <c:pt idx="165">
                  <c:v>1.0698706099815156</c:v>
                </c:pt>
                <c:pt idx="166">
                  <c:v>1.0771599347944214</c:v>
                </c:pt>
                <c:pt idx="167">
                  <c:v>1.0825207656193572</c:v>
                </c:pt>
                <c:pt idx="168">
                  <c:v>1.0883746355685131</c:v>
                </c:pt>
                <c:pt idx="169">
                  <c:v>1.1000365764447695</c:v>
                </c:pt>
                <c:pt idx="170">
                  <c:v>1.0969162995594715</c:v>
                </c:pt>
                <c:pt idx="171">
                  <c:v>1.0954845618418705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4-46E2-876B-F39DF186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41984"/>
        <c:axId val="167244160"/>
      </c:scatterChart>
      <c:valAx>
        <c:axId val="167241984"/>
        <c:scaling>
          <c:orientation val="minMax"/>
          <c:max val="44350"/>
          <c:min val="44088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700" b="0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167244160"/>
        <c:crosses val="autoZero"/>
        <c:crossBetween val="midCat"/>
        <c:majorUnit val="40"/>
      </c:valAx>
      <c:valAx>
        <c:axId val="167244160"/>
        <c:scaling>
          <c:orientation val="minMax"/>
          <c:max val="1.1100000000000001"/>
          <c:min val="0.98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1.649077131487596E-2"/>
              <c:y val="0.4950126614164877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700" b="0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167241984"/>
        <c:crossesAt val="0"/>
        <c:crossBetween val="midCat"/>
        <c:majorUnit val="1.0000000000000002E-2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1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Ratio GD35/AL35</a:t>
            </a:r>
            <a:endParaRPr lang="es-AR" sz="1100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3757878524619878"/>
          <c:y val="3.055017466002881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276712386758107"/>
          <c:y val="0.1712627770572353"/>
          <c:w val="0.82325438150876296"/>
          <c:h val="0.71059390774635833"/>
        </c:manualLayout>
      </c:layout>
      <c:scatterChart>
        <c:scatterStyle val="lineMarker"/>
        <c:varyColors val="0"/>
        <c:ser>
          <c:idx val="0"/>
          <c:order val="0"/>
          <c:tx>
            <c:v>Ratio GD30D/AL30D</c:v>
          </c:tx>
          <c:spPr>
            <a:ln w="15875">
              <a:solidFill>
                <a:schemeClr val="accent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xVal>
            <c:numRef>
              <c:f>'Ratios legislación'!$A$3:$A$93</c:f>
              <c:numCache>
                <c:formatCode>dd/mm/yyyy;@</c:formatCode>
                <c:ptCount val="91"/>
                <c:pt idx="0">
                  <c:v>44082</c:v>
                </c:pt>
                <c:pt idx="1">
                  <c:v>44083</c:v>
                </c:pt>
                <c:pt idx="2">
                  <c:v>44084</c:v>
                </c:pt>
                <c:pt idx="3">
                  <c:v>44085</c:v>
                </c:pt>
                <c:pt idx="4">
                  <c:v>44088</c:v>
                </c:pt>
                <c:pt idx="5">
                  <c:v>44089</c:v>
                </c:pt>
                <c:pt idx="6">
                  <c:v>44090</c:v>
                </c:pt>
                <c:pt idx="7">
                  <c:v>44091</c:v>
                </c:pt>
                <c:pt idx="8">
                  <c:v>44092</c:v>
                </c:pt>
                <c:pt idx="9">
                  <c:v>44095</c:v>
                </c:pt>
                <c:pt idx="10">
                  <c:v>44096</c:v>
                </c:pt>
                <c:pt idx="11">
                  <c:v>44097</c:v>
                </c:pt>
                <c:pt idx="12">
                  <c:v>44098</c:v>
                </c:pt>
                <c:pt idx="13">
                  <c:v>44099</c:v>
                </c:pt>
                <c:pt idx="14">
                  <c:v>44102</c:v>
                </c:pt>
                <c:pt idx="15">
                  <c:v>44103</c:v>
                </c:pt>
                <c:pt idx="16">
                  <c:v>44104</c:v>
                </c:pt>
                <c:pt idx="17">
                  <c:v>44105</c:v>
                </c:pt>
                <c:pt idx="18">
                  <c:v>44106</c:v>
                </c:pt>
                <c:pt idx="19">
                  <c:v>44109</c:v>
                </c:pt>
                <c:pt idx="20">
                  <c:v>44110</c:v>
                </c:pt>
                <c:pt idx="21">
                  <c:v>44111</c:v>
                </c:pt>
                <c:pt idx="22">
                  <c:v>44112</c:v>
                </c:pt>
                <c:pt idx="23">
                  <c:v>44113</c:v>
                </c:pt>
                <c:pt idx="24">
                  <c:v>44117</c:v>
                </c:pt>
                <c:pt idx="25">
                  <c:v>44118</c:v>
                </c:pt>
                <c:pt idx="26">
                  <c:v>44119</c:v>
                </c:pt>
                <c:pt idx="27">
                  <c:v>44120</c:v>
                </c:pt>
                <c:pt idx="28">
                  <c:v>44123</c:v>
                </c:pt>
                <c:pt idx="29">
                  <c:v>44124</c:v>
                </c:pt>
                <c:pt idx="30">
                  <c:v>44125</c:v>
                </c:pt>
                <c:pt idx="31">
                  <c:v>44126</c:v>
                </c:pt>
                <c:pt idx="32">
                  <c:v>44127</c:v>
                </c:pt>
                <c:pt idx="33">
                  <c:v>44130</c:v>
                </c:pt>
                <c:pt idx="34">
                  <c:v>44131</c:v>
                </c:pt>
                <c:pt idx="35">
                  <c:v>44132</c:v>
                </c:pt>
                <c:pt idx="36">
                  <c:v>44133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44159</c:v>
                </c:pt>
                <c:pt idx="54">
                  <c:v>44160</c:v>
                </c:pt>
                <c:pt idx="55">
                  <c:v>44161</c:v>
                </c:pt>
                <c:pt idx="56">
                  <c:v>44162</c:v>
                </c:pt>
                <c:pt idx="57">
                  <c:v>44165</c:v>
                </c:pt>
                <c:pt idx="58">
                  <c:v>44166</c:v>
                </c:pt>
                <c:pt idx="59">
                  <c:v>44167</c:v>
                </c:pt>
                <c:pt idx="60">
                  <c:v>44168</c:v>
                </c:pt>
                <c:pt idx="61">
                  <c:v>44169</c:v>
                </c:pt>
                <c:pt idx="62">
                  <c:v>44174</c:v>
                </c:pt>
                <c:pt idx="63">
                  <c:v>44175</c:v>
                </c:pt>
                <c:pt idx="64">
                  <c:v>44176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44193</c:v>
                </c:pt>
                <c:pt idx="74">
                  <c:v>44194</c:v>
                </c:pt>
                <c:pt idx="75">
                  <c:v>44195</c:v>
                </c:pt>
                <c:pt idx="76">
                  <c:v>44200</c:v>
                </c:pt>
                <c:pt idx="77">
                  <c:v>44201</c:v>
                </c:pt>
                <c:pt idx="78">
                  <c:v>44202</c:v>
                </c:pt>
                <c:pt idx="79">
                  <c:v>44203</c:v>
                </c:pt>
                <c:pt idx="80">
                  <c:v>44204</c:v>
                </c:pt>
                <c:pt idx="81">
                  <c:v>44207</c:v>
                </c:pt>
                <c:pt idx="82">
                  <c:v>44208</c:v>
                </c:pt>
                <c:pt idx="83">
                  <c:v>44209</c:v>
                </c:pt>
                <c:pt idx="84">
                  <c:v>44210</c:v>
                </c:pt>
                <c:pt idx="85">
                  <c:v>44211</c:v>
                </c:pt>
                <c:pt idx="86">
                  <c:v>44214</c:v>
                </c:pt>
                <c:pt idx="87">
                  <c:v>44215</c:v>
                </c:pt>
                <c:pt idx="88">
                  <c:v>44216</c:v>
                </c:pt>
                <c:pt idx="89">
                  <c:v>44217</c:v>
                </c:pt>
                <c:pt idx="90">
                  <c:v>44218</c:v>
                </c:pt>
              </c:numCache>
            </c:numRef>
          </c:xVal>
          <c:yVal>
            <c:numRef>
              <c:f>'Ratios legislación'!$D$3:$D$93</c:f>
              <c:numCache>
                <c:formatCode>0.000</c:formatCode>
                <c:ptCount val="91"/>
                <c:pt idx="0">
                  <c:v>1.0034090909090909</c:v>
                </c:pt>
                <c:pt idx="1">
                  <c:v>0.99911816578483248</c:v>
                </c:pt>
                <c:pt idx="2">
                  <c:v>0.99911331796417802</c:v>
                </c:pt>
                <c:pt idx="3">
                  <c:v>1.0035906642728905</c:v>
                </c:pt>
                <c:pt idx="4">
                  <c:v>1.0081521739130435</c:v>
                </c:pt>
                <c:pt idx="5">
                  <c:v>1.0250506538957451</c:v>
                </c:pt>
                <c:pt idx="6">
                  <c:v>1.0299625468164795</c:v>
                </c:pt>
                <c:pt idx="7">
                  <c:v>0.99980772928283024</c:v>
                </c:pt>
                <c:pt idx="8">
                  <c:v>1.0093632958801497</c:v>
                </c:pt>
                <c:pt idx="9">
                  <c:v>1.0065851364063969</c:v>
                </c:pt>
                <c:pt idx="10">
                  <c:v>1.0235849056603774</c:v>
                </c:pt>
                <c:pt idx="11">
                  <c:v>1.0164784299203851</c:v>
                </c:pt>
                <c:pt idx="12">
                  <c:v>1.0311926605504587</c:v>
                </c:pt>
                <c:pt idx="13">
                  <c:v>1.0126582278481013</c:v>
                </c:pt>
                <c:pt idx="14">
                  <c:v>1.0107047279214987</c:v>
                </c:pt>
                <c:pt idx="15">
                  <c:v>1.0261496844003606</c:v>
                </c:pt>
                <c:pt idx="16">
                  <c:v>1.0107142857142857</c:v>
                </c:pt>
                <c:pt idx="17">
                  <c:v>1.00340440781222</c:v>
                </c:pt>
                <c:pt idx="18">
                  <c:v>1.0063006300630064</c:v>
                </c:pt>
                <c:pt idx="19">
                  <c:v>1.0044444444444445</c:v>
                </c:pt>
                <c:pt idx="20">
                  <c:v>1.0019681517266059</c:v>
                </c:pt>
                <c:pt idx="21">
                  <c:v>1.0180799132164167</c:v>
                </c:pt>
                <c:pt idx="22">
                  <c:v>1.0142095914742451</c:v>
                </c:pt>
                <c:pt idx="23">
                  <c:v>1.0259515570934257</c:v>
                </c:pt>
                <c:pt idx="24">
                  <c:v>1.0328068043742407</c:v>
                </c:pt>
                <c:pt idx="25">
                  <c:v>1.030664395229983</c:v>
                </c:pt>
                <c:pt idx="26">
                  <c:v>1.0442176870748299</c:v>
                </c:pt>
                <c:pt idx="27">
                  <c:v>1.0233270900732163</c:v>
                </c:pt>
                <c:pt idx="28">
                  <c:v>1.0526315789473684</c:v>
                </c:pt>
                <c:pt idx="29">
                  <c:v>1.0481189851268591</c:v>
                </c:pt>
                <c:pt idx="30">
                  <c:v>1.043630017452007</c:v>
                </c:pt>
                <c:pt idx="31">
                  <c:v>1.0723958333333334</c:v>
                </c:pt>
                <c:pt idx="32">
                  <c:v>1.0672566371681416</c:v>
                </c:pt>
                <c:pt idx="33">
                  <c:v>1.036697247706422</c:v>
                </c:pt>
                <c:pt idx="34">
                  <c:v>1.0566037735849056</c:v>
                </c:pt>
                <c:pt idx="35">
                  <c:v>1.0249999999999999</c:v>
                </c:pt>
                <c:pt idx="36">
                  <c:v>1.0194174757281553</c:v>
                </c:pt>
                <c:pt idx="37">
                  <c:v>1.0135431189006174</c:v>
                </c:pt>
                <c:pt idx="38">
                  <c:v>1.0251256281407035</c:v>
                </c:pt>
                <c:pt idx="39">
                  <c:v>1.0358061325420376</c:v>
                </c:pt>
                <c:pt idx="40">
                  <c:v>1.0361681329423265</c:v>
                </c:pt>
                <c:pt idx="41">
                  <c:v>1.0434782608695652</c:v>
                </c:pt>
                <c:pt idx="42">
                  <c:v>1.0495145631067961</c:v>
                </c:pt>
                <c:pt idx="43">
                  <c:v>1.0037383177570094</c:v>
                </c:pt>
                <c:pt idx="44">
                  <c:v>1.0418560606060605</c:v>
                </c:pt>
                <c:pt idx="45">
                  <c:v>1.0619803476946335</c:v>
                </c:pt>
                <c:pt idx="46">
                  <c:v>1.0468240260986375</c:v>
                </c:pt>
                <c:pt idx="47">
                  <c:v>1.065049192855096</c:v>
                </c:pt>
                <c:pt idx="48">
                  <c:v>1.0469246588147316</c:v>
                </c:pt>
                <c:pt idx="49">
                  <c:v>1.0341643582640812</c:v>
                </c:pt>
                <c:pt idx="50">
                  <c:v>1.0107780092382936</c:v>
                </c:pt>
                <c:pt idx="51">
                  <c:v>1.0128440366972478</c:v>
                </c:pt>
                <c:pt idx="52">
                  <c:v>1.0187568959176168</c:v>
                </c:pt>
                <c:pt idx="53">
                  <c:v>1.0359617905974903</c:v>
                </c:pt>
                <c:pt idx="54">
                  <c:v>1.0239713099282748</c:v>
                </c:pt>
                <c:pt idx="55">
                  <c:v>1.0486641221374047</c:v>
                </c:pt>
                <c:pt idx="56">
                  <c:v>1.0540744942333145</c:v>
                </c:pt>
                <c:pt idx="57">
                  <c:v>1.0287963140717988</c:v>
                </c:pt>
                <c:pt idx="58">
                  <c:v>1.0252931485609071</c:v>
                </c:pt>
                <c:pt idx="59">
                  <c:v>1.0263929618768328</c:v>
                </c:pt>
                <c:pt idx="60">
                  <c:v>1.0211365902293121</c:v>
                </c:pt>
                <c:pt idx="61">
                  <c:v>1.0107355864811134</c:v>
                </c:pt>
                <c:pt idx="62">
                  <c:v>1.0142857142857142</c:v>
                </c:pt>
                <c:pt idx="63">
                  <c:v>1.0264227642276422</c:v>
                </c:pt>
                <c:pt idx="64">
                  <c:v>1.0455276381909548</c:v>
                </c:pt>
                <c:pt idx="65">
                  <c:v>1.047047047047047</c:v>
                </c:pt>
                <c:pt idx="66">
                  <c:v>1.042</c:v>
                </c:pt>
                <c:pt idx="67">
                  <c:v>1.0434343434343434</c:v>
                </c:pt>
                <c:pt idx="68">
                  <c:v>1.0311631599841207</c:v>
                </c:pt>
                <c:pt idx="69">
                  <c:v>1.0227936879018118</c:v>
                </c:pt>
                <c:pt idx="70">
                  <c:v>1.0233918128654971</c:v>
                </c:pt>
                <c:pt idx="71">
                  <c:v>1.0301263362487851</c:v>
                </c:pt>
                <c:pt idx="72">
                  <c:v>1.0270793036750483</c:v>
                </c:pt>
                <c:pt idx="73">
                  <c:v>1.0171785028790787</c:v>
                </c:pt>
                <c:pt idx="74">
                  <c:v>1.0115052732502396</c:v>
                </c:pt>
                <c:pt idx="75">
                  <c:v>1.0295938104448743</c:v>
                </c:pt>
                <c:pt idx="76">
                  <c:v>1.0158362302047121</c:v>
                </c:pt>
                <c:pt idx="77">
                  <c:v>1.0281280310378274</c:v>
                </c:pt>
                <c:pt idx="78">
                  <c:v>1.0278044103547459</c:v>
                </c:pt>
                <c:pt idx="79">
                  <c:v>1.0448773868372589</c:v>
                </c:pt>
                <c:pt idx="80">
                  <c:v>1.0360534987400658</c:v>
                </c:pt>
                <c:pt idx="81">
                  <c:v>1.0349221789883269</c:v>
                </c:pt>
                <c:pt idx="82">
                  <c:v>1.036957371920219</c:v>
                </c:pt>
                <c:pt idx="83">
                  <c:v>1.0227722772277228</c:v>
                </c:pt>
                <c:pt idx="84">
                  <c:v>1.0127744510978043</c:v>
                </c:pt>
                <c:pt idx="85">
                  <c:v>1.0217821782178218</c:v>
                </c:pt>
                <c:pt idx="86">
                  <c:v>1.0254254254254254</c:v>
                </c:pt>
                <c:pt idx="87">
                  <c:v>1.0457451058729526</c:v>
                </c:pt>
                <c:pt idx="88">
                  <c:v>1.0544286001205061</c:v>
                </c:pt>
                <c:pt idx="89">
                  <c:v>1.0680799021606195</c:v>
                </c:pt>
                <c:pt idx="90">
                  <c:v>1.0772888214466363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B-4AD5-B796-C11D6FCA0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41984"/>
        <c:axId val="167244160"/>
      </c:scatterChart>
      <c:valAx>
        <c:axId val="167241984"/>
        <c:scaling>
          <c:orientation val="minMax"/>
          <c:max val="44220"/>
          <c:min val="44088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700" b="0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167244160"/>
        <c:crosses val="autoZero"/>
        <c:crossBetween val="midCat"/>
        <c:majorUnit val="18"/>
      </c:valAx>
      <c:valAx>
        <c:axId val="167244160"/>
        <c:scaling>
          <c:orientation val="minMax"/>
          <c:max val="1.08"/>
          <c:min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1.649077131487596E-2"/>
              <c:y val="0.4950126614164877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700" b="0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167241984"/>
        <c:crossesAt val="0"/>
        <c:crossBetween val="midCat"/>
        <c:majorUnit val="2.0000000000000004E-2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1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Ratio AL35/AL30</a:t>
            </a:r>
            <a:endParaRPr lang="es-AR" sz="1100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6452842168074906"/>
          <c:y val="3.05501472212976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276712386758107"/>
          <c:y val="0.1712627770572353"/>
          <c:w val="0.82325438150876296"/>
          <c:h val="0.71059390774635833"/>
        </c:manualLayout>
      </c:layout>
      <c:scatterChart>
        <c:scatterStyle val="lineMarker"/>
        <c:varyColors val="0"/>
        <c:ser>
          <c:idx val="0"/>
          <c:order val="0"/>
          <c:tx>
            <c:v>Ratio AL35/AL30</c:v>
          </c:tx>
          <c:spPr>
            <a:ln w="15875">
              <a:solidFill>
                <a:schemeClr val="accent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xVal>
            <c:numRef>
              <c:f>'Ratios ley ARG'!$A$3:$A$175</c:f>
              <c:numCache>
                <c:formatCode>dd/mm/yyyy;@</c:formatCode>
                <c:ptCount val="173"/>
                <c:pt idx="0">
                  <c:v>44081</c:v>
                </c:pt>
                <c:pt idx="1">
                  <c:v>44082</c:v>
                </c:pt>
                <c:pt idx="2">
                  <c:v>44083</c:v>
                </c:pt>
                <c:pt idx="3">
                  <c:v>44084</c:v>
                </c:pt>
                <c:pt idx="4">
                  <c:v>44085</c:v>
                </c:pt>
                <c:pt idx="5">
                  <c:v>44088</c:v>
                </c:pt>
                <c:pt idx="6">
                  <c:v>44089</c:v>
                </c:pt>
                <c:pt idx="7">
                  <c:v>44090</c:v>
                </c:pt>
                <c:pt idx="8">
                  <c:v>44091</c:v>
                </c:pt>
                <c:pt idx="9">
                  <c:v>44092</c:v>
                </c:pt>
                <c:pt idx="10">
                  <c:v>44095</c:v>
                </c:pt>
                <c:pt idx="11">
                  <c:v>44096</c:v>
                </c:pt>
                <c:pt idx="12">
                  <c:v>44097</c:v>
                </c:pt>
                <c:pt idx="13">
                  <c:v>44098</c:v>
                </c:pt>
                <c:pt idx="14">
                  <c:v>44099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44133</c:v>
                </c:pt>
                <c:pt idx="38">
                  <c:v>44134</c:v>
                </c:pt>
                <c:pt idx="39">
                  <c:v>44137</c:v>
                </c:pt>
                <c:pt idx="40">
                  <c:v>44138</c:v>
                </c:pt>
                <c:pt idx="41">
                  <c:v>44139</c:v>
                </c:pt>
                <c:pt idx="42">
                  <c:v>44140</c:v>
                </c:pt>
                <c:pt idx="43">
                  <c:v>44141</c:v>
                </c:pt>
                <c:pt idx="44">
                  <c:v>44144</c:v>
                </c:pt>
                <c:pt idx="45">
                  <c:v>44145</c:v>
                </c:pt>
                <c:pt idx="46">
                  <c:v>44146</c:v>
                </c:pt>
                <c:pt idx="47">
                  <c:v>44147</c:v>
                </c:pt>
                <c:pt idx="48">
                  <c:v>44148</c:v>
                </c:pt>
                <c:pt idx="49">
                  <c:v>44151</c:v>
                </c:pt>
                <c:pt idx="50">
                  <c:v>44152</c:v>
                </c:pt>
                <c:pt idx="51">
                  <c:v>44153</c:v>
                </c:pt>
                <c:pt idx="52">
                  <c:v>44154</c:v>
                </c:pt>
                <c:pt idx="53">
                  <c:v>44155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44174</c:v>
                </c:pt>
                <c:pt idx="64">
                  <c:v>44175</c:v>
                </c:pt>
                <c:pt idx="65">
                  <c:v>44176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44183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44193</c:v>
                </c:pt>
                <c:pt idx="75">
                  <c:v>44194</c:v>
                </c:pt>
                <c:pt idx="76">
                  <c:v>44195</c:v>
                </c:pt>
                <c:pt idx="77">
                  <c:v>44200</c:v>
                </c:pt>
                <c:pt idx="78">
                  <c:v>44201</c:v>
                </c:pt>
                <c:pt idx="79">
                  <c:v>44202</c:v>
                </c:pt>
                <c:pt idx="80">
                  <c:v>44203</c:v>
                </c:pt>
                <c:pt idx="81">
                  <c:v>44204</c:v>
                </c:pt>
                <c:pt idx="82">
                  <c:v>44207</c:v>
                </c:pt>
                <c:pt idx="83">
                  <c:v>44208</c:v>
                </c:pt>
                <c:pt idx="84">
                  <c:v>44209</c:v>
                </c:pt>
                <c:pt idx="85">
                  <c:v>44210</c:v>
                </c:pt>
                <c:pt idx="86">
                  <c:v>44211</c:v>
                </c:pt>
                <c:pt idx="87">
                  <c:v>44214</c:v>
                </c:pt>
                <c:pt idx="88">
                  <c:v>44215</c:v>
                </c:pt>
                <c:pt idx="89">
                  <c:v>44216</c:v>
                </c:pt>
                <c:pt idx="90">
                  <c:v>44217</c:v>
                </c:pt>
                <c:pt idx="91">
                  <c:v>44218</c:v>
                </c:pt>
                <c:pt idx="92">
                  <c:v>44221</c:v>
                </c:pt>
                <c:pt idx="93">
                  <c:v>44222</c:v>
                </c:pt>
                <c:pt idx="94">
                  <c:v>44223</c:v>
                </c:pt>
                <c:pt idx="95">
                  <c:v>44224</c:v>
                </c:pt>
                <c:pt idx="96">
                  <c:v>44225</c:v>
                </c:pt>
                <c:pt idx="97">
                  <c:v>44228</c:v>
                </c:pt>
                <c:pt idx="98">
                  <c:v>44229</c:v>
                </c:pt>
                <c:pt idx="99">
                  <c:v>44230</c:v>
                </c:pt>
                <c:pt idx="100">
                  <c:v>44231</c:v>
                </c:pt>
                <c:pt idx="101">
                  <c:v>44232</c:v>
                </c:pt>
                <c:pt idx="102">
                  <c:v>44235</c:v>
                </c:pt>
                <c:pt idx="103">
                  <c:v>44236</c:v>
                </c:pt>
                <c:pt idx="104">
                  <c:v>44237</c:v>
                </c:pt>
                <c:pt idx="105">
                  <c:v>44238</c:v>
                </c:pt>
                <c:pt idx="106">
                  <c:v>44239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44249</c:v>
                </c:pt>
                <c:pt idx="111">
                  <c:v>44250</c:v>
                </c:pt>
                <c:pt idx="112">
                  <c:v>44251</c:v>
                </c:pt>
                <c:pt idx="113">
                  <c:v>44252</c:v>
                </c:pt>
                <c:pt idx="114">
                  <c:v>44253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44270</c:v>
                </c:pt>
                <c:pt idx="126">
                  <c:v>44271</c:v>
                </c:pt>
                <c:pt idx="127">
                  <c:v>44272</c:v>
                </c:pt>
                <c:pt idx="128">
                  <c:v>44273</c:v>
                </c:pt>
                <c:pt idx="129">
                  <c:v>44274</c:v>
                </c:pt>
                <c:pt idx="130">
                  <c:v>44277</c:v>
                </c:pt>
                <c:pt idx="131">
                  <c:v>44278</c:v>
                </c:pt>
                <c:pt idx="132">
                  <c:v>44280</c:v>
                </c:pt>
                <c:pt idx="133">
                  <c:v>44281</c:v>
                </c:pt>
                <c:pt idx="134">
                  <c:v>44284</c:v>
                </c:pt>
                <c:pt idx="135">
                  <c:v>44285</c:v>
                </c:pt>
                <c:pt idx="136">
                  <c:v>44286</c:v>
                </c:pt>
                <c:pt idx="137">
                  <c:v>44291</c:v>
                </c:pt>
                <c:pt idx="138">
                  <c:v>44292</c:v>
                </c:pt>
                <c:pt idx="139">
                  <c:v>44293</c:v>
                </c:pt>
                <c:pt idx="140">
                  <c:v>44294</c:v>
                </c:pt>
                <c:pt idx="141">
                  <c:v>44295</c:v>
                </c:pt>
                <c:pt idx="142">
                  <c:v>44298</c:v>
                </c:pt>
                <c:pt idx="143">
                  <c:v>44299</c:v>
                </c:pt>
                <c:pt idx="144">
                  <c:v>44300</c:v>
                </c:pt>
                <c:pt idx="145">
                  <c:v>44301</c:v>
                </c:pt>
                <c:pt idx="146">
                  <c:v>44302</c:v>
                </c:pt>
                <c:pt idx="147">
                  <c:v>44305</c:v>
                </c:pt>
                <c:pt idx="148">
                  <c:v>44306</c:v>
                </c:pt>
                <c:pt idx="149">
                  <c:v>44307</c:v>
                </c:pt>
                <c:pt idx="150">
                  <c:v>44308</c:v>
                </c:pt>
                <c:pt idx="151">
                  <c:v>44309</c:v>
                </c:pt>
                <c:pt idx="152">
                  <c:v>44312</c:v>
                </c:pt>
                <c:pt idx="153">
                  <c:v>44313</c:v>
                </c:pt>
                <c:pt idx="154">
                  <c:v>44314</c:v>
                </c:pt>
                <c:pt idx="155">
                  <c:v>44315</c:v>
                </c:pt>
                <c:pt idx="156">
                  <c:v>44316</c:v>
                </c:pt>
                <c:pt idx="157">
                  <c:v>44319</c:v>
                </c:pt>
                <c:pt idx="158">
                  <c:v>44320</c:v>
                </c:pt>
                <c:pt idx="159">
                  <c:v>44321</c:v>
                </c:pt>
                <c:pt idx="160">
                  <c:v>44322</c:v>
                </c:pt>
                <c:pt idx="161">
                  <c:v>44323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44342</c:v>
                </c:pt>
              </c:numCache>
            </c:numRef>
          </c:xVal>
          <c:yVal>
            <c:numRef>
              <c:f>'Ratios ley ARG'!$C$3:$C$175</c:f>
              <c:numCache>
                <c:formatCode>0.0000</c:formatCode>
                <c:ptCount val="173"/>
                <c:pt idx="0">
                  <c:v>1.1038732394366197</c:v>
                </c:pt>
                <c:pt idx="1">
                  <c:v>1.1048951048951048</c:v>
                </c:pt>
                <c:pt idx="2">
                  <c:v>1.1246913580246913</c:v>
                </c:pt>
                <c:pt idx="3">
                  <c:v>1.1376130519595673</c:v>
                </c:pt>
                <c:pt idx="4">
                  <c:v>1.1491921005385997</c:v>
                </c:pt>
                <c:pt idx="5">
                  <c:v>1.1577898550724637</c:v>
                </c:pt>
                <c:pt idx="6">
                  <c:v>1.1484619635291951</c:v>
                </c:pt>
                <c:pt idx="7">
                  <c:v>1.146067415730337</c:v>
                </c:pt>
                <c:pt idx="8">
                  <c:v>1.1392039992309171</c:v>
                </c:pt>
                <c:pt idx="9">
                  <c:v>1.1441947565543071</c:v>
                </c:pt>
                <c:pt idx="10">
                  <c:v>1.1365945437441205</c:v>
                </c:pt>
                <c:pt idx="11">
                  <c:v>1.1509433962264151</c:v>
                </c:pt>
                <c:pt idx="12">
                  <c:v>1.1608961303462322</c:v>
                </c:pt>
                <c:pt idx="13">
                  <c:v>1.1045871559633027</c:v>
                </c:pt>
                <c:pt idx="14">
                  <c:v>1.1057866184448464</c:v>
                </c:pt>
                <c:pt idx="15">
                  <c:v>1.0999107939339876</c:v>
                </c:pt>
                <c:pt idx="16">
                  <c:v>1.1181244364292156</c:v>
                </c:pt>
                <c:pt idx="17">
                  <c:v>1.1053571428571429</c:v>
                </c:pt>
                <c:pt idx="18">
                  <c:v>1.1135997133130264</c:v>
                </c:pt>
                <c:pt idx="19">
                  <c:v>1.1017101710171018</c:v>
                </c:pt>
                <c:pt idx="20">
                  <c:v>1.111288888888889</c:v>
                </c:pt>
                <c:pt idx="21">
                  <c:v>1.1146895687958489</c:v>
                </c:pt>
                <c:pt idx="22">
                  <c:v>1.125655396854095</c:v>
                </c:pt>
                <c:pt idx="23">
                  <c:v>1.1190053285968029</c:v>
                </c:pt>
                <c:pt idx="24">
                  <c:v>1.1098615916955017</c:v>
                </c:pt>
                <c:pt idx="25">
                  <c:v>1.1256726262801597</c:v>
                </c:pt>
                <c:pt idx="26">
                  <c:v>1.1379897785349233</c:v>
                </c:pt>
                <c:pt idx="27">
                  <c:v>1.1701530612244897</c:v>
                </c:pt>
                <c:pt idx="28">
                  <c:v>1.1442193087008343</c:v>
                </c:pt>
                <c:pt idx="29">
                  <c:v>1.1666666666666667</c:v>
                </c:pt>
                <c:pt idx="30">
                  <c:v>1.1651793525809273</c:v>
                </c:pt>
                <c:pt idx="31">
                  <c:v>1.1439790575916231</c:v>
                </c:pt>
                <c:pt idx="32">
                  <c:v>1.1354166666666667</c:v>
                </c:pt>
                <c:pt idx="33">
                  <c:v>1.1026548672566372</c:v>
                </c:pt>
                <c:pt idx="34">
                  <c:v>1.1027522935779817</c:v>
                </c:pt>
                <c:pt idx="35">
                  <c:v>1.1320754716981132</c:v>
                </c:pt>
                <c:pt idx="36">
                  <c:v>1.0807692307692307</c:v>
                </c:pt>
                <c:pt idx="37">
                  <c:v>1.083495145631068</c:v>
                </c:pt>
                <c:pt idx="38">
                  <c:v>1.0854411471818364</c:v>
                </c:pt>
                <c:pt idx="39">
                  <c:v>1.0814070351758793</c:v>
                </c:pt>
                <c:pt idx="40">
                  <c:v>1.0642927794263106</c:v>
                </c:pt>
                <c:pt idx="41">
                  <c:v>1.0488758553274682</c:v>
                </c:pt>
                <c:pt idx="42">
                  <c:v>1.0415458937198068</c:v>
                </c:pt>
                <c:pt idx="43">
                  <c:v>1.0446601941747573</c:v>
                </c:pt>
                <c:pt idx="44">
                  <c:v>1.0177570093457944</c:v>
                </c:pt>
                <c:pt idx="45">
                  <c:v>1.0285984848484848</c:v>
                </c:pt>
                <c:pt idx="46">
                  <c:v>1.0780423280423281</c:v>
                </c:pt>
                <c:pt idx="47">
                  <c:v>1.0717712531184034</c:v>
                </c:pt>
                <c:pt idx="48">
                  <c:v>1.0765116056929984</c:v>
                </c:pt>
                <c:pt idx="49">
                  <c:v>1.074967283604412</c:v>
                </c:pt>
                <c:pt idx="50">
                  <c:v>1.0692520775623269</c:v>
                </c:pt>
                <c:pt idx="51">
                  <c:v>1.0506294719681188</c:v>
                </c:pt>
                <c:pt idx="52">
                  <c:v>1.060091743119266</c:v>
                </c:pt>
                <c:pt idx="53">
                  <c:v>1.0568223611621921</c:v>
                </c:pt>
                <c:pt idx="54">
                  <c:v>1.0760442030342761</c:v>
                </c:pt>
                <c:pt idx="55">
                  <c:v>1.0853152132880333</c:v>
                </c:pt>
                <c:pt idx="56">
                  <c:v>1.0910305343511451</c:v>
                </c:pt>
                <c:pt idx="57">
                  <c:v>1.0727925883910001</c:v>
                </c:pt>
                <c:pt idx="58">
                  <c:v>1.071414858898061</c:v>
                </c:pt>
                <c:pt idx="59">
                  <c:v>1.0791743385987014</c:v>
                </c:pt>
                <c:pt idx="60">
                  <c:v>1.090811339198436</c:v>
                </c:pt>
                <c:pt idx="61">
                  <c:v>1.0867397806580259</c:v>
                </c:pt>
                <c:pt idx="62">
                  <c:v>1.0900596421471174</c:v>
                </c:pt>
                <c:pt idx="63">
                  <c:v>1.113673469387755</c:v>
                </c:pt>
                <c:pt idx="64">
                  <c:v>1.1144308943089432</c:v>
                </c:pt>
                <c:pt idx="65">
                  <c:v>1.1195979899497488</c:v>
                </c:pt>
                <c:pt idx="66">
                  <c:v>1.1327327327327328</c:v>
                </c:pt>
                <c:pt idx="67">
                  <c:v>1.1354</c:v>
                </c:pt>
                <c:pt idx="68">
                  <c:v>1.1352525252525252</c:v>
                </c:pt>
                <c:pt idx="69">
                  <c:v>1.1133386264390632</c:v>
                </c:pt>
                <c:pt idx="70">
                  <c:v>1.1026690044808105</c:v>
                </c:pt>
                <c:pt idx="71">
                  <c:v>1.1023391812865497</c:v>
                </c:pt>
                <c:pt idx="72">
                  <c:v>1.1080660835762877</c:v>
                </c:pt>
                <c:pt idx="73">
                  <c:v>1.1027079303675049</c:v>
                </c:pt>
                <c:pt idx="74">
                  <c:v>1.0990403071017274</c:v>
                </c:pt>
                <c:pt idx="75">
                  <c:v>1.0991371045062319</c:v>
                </c:pt>
                <c:pt idx="76">
                  <c:v>1.1085106382978724</c:v>
                </c:pt>
                <c:pt idx="77">
                  <c:v>1.1145229818462727</c:v>
                </c:pt>
                <c:pt idx="78">
                  <c:v>1.1208535402521824</c:v>
                </c:pt>
                <c:pt idx="79">
                  <c:v>1.1102588686481305</c:v>
                </c:pt>
                <c:pt idx="80">
                  <c:v>1.1181545022777939</c:v>
                </c:pt>
                <c:pt idx="81">
                  <c:v>1.1106803644117076</c:v>
                </c:pt>
                <c:pt idx="82">
                  <c:v>1.1073929961089495</c:v>
                </c:pt>
                <c:pt idx="83">
                  <c:v>1.1067657411028549</c:v>
                </c:pt>
                <c:pt idx="84">
                  <c:v>1.1170297029702971</c:v>
                </c:pt>
                <c:pt idx="85">
                  <c:v>1.1247504990019961</c:v>
                </c:pt>
                <c:pt idx="86">
                  <c:v>1.113861386138614</c:v>
                </c:pt>
                <c:pt idx="87">
                  <c:v>1.1291291291291292</c:v>
                </c:pt>
                <c:pt idx="88">
                  <c:v>1.1272473032361165</c:v>
                </c:pt>
                <c:pt idx="89">
                  <c:v>1.1337617995581442</c:v>
                </c:pt>
                <c:pt idx="90">
                  <c:v>1.1510395434162251</c:v>
                </c:pt>
                <c:pt idx="91">
                  <c:v>1.1419322205361659</c:v>
                </c:pt>
                <c:pt idx="92">
                  <c:v>1.1368844221105527</c:v>
                </c:pt>
                <c:pt idx="93">
                  <c:v>1.1266401590457256</c:v>
                </c:pt>
                <c:pt idx="94">
                  <c:v>1.1213621065135617</c:v>
                </c:pt>
                <c:pt idx="95">
                  <c:v>1.1221252973830294</c:v>
                </c:pt>
                <c:pt idx="96">
                  <c:v>1.1282256451290258</c:v>
                </c:pt>
                <c:pt idx="97">
                  <c:v>1.1237072394590295</c:v>
                </c:pt>
                <c:pt idx="98">
                  <c:v>1.1241296996220409</c:v>
                </c:pt>
                <c:pt idx="99">
                  <c:v>1.1119432400472999</c:v>
                </c:pt>
                <c:pt idx="100">
                  <c:v>1.1026392961876832</c:v>
                </c:pt>
                <c:pt idx="101">
                  <c:v>1.1002932551319649</c:v>
                </c:pt>
                <c:pt idx="102">
                  <c:v>1.1098402681916781</c:v>
                </c:pt>
                <c:pt idx="103">
                  <c:v>1.1113744075829384</c:v>
                </c:pt>
                <c:pt idx="104">
                  <c:v>1.1151322330483198</c:v>
                </c:pt>
                <c:pt idx="105">
                  <c:v>1.1090909090909091</c:v>
                </c:pt>
                <c:pt idx="106">
                  <c:v>1.0962419798350138</c:v>
                </c:pt>
                <c:pt idx="107">
                  <c:v>1.1069598633646456</c:v>
                </c:pt>
                <c:pt idx="108">
                  <c:v>1.1216361679224973</c:v>
                </c:pt>
                <c:pt idx="109">
                  <c:v>1.1182417582417583</c:v>
                </c:pt>
                <c:pt idx="110">
                  <c:v>1.1349831271091113</c:v>
                </c:pt>
                <c:pt idx="111">
                  <c:v>1.1193194537721065</c:v>
                </c:pt>
                <c:pt idx="112">
                  <c:v>1.102319531758075</c:v>
                </c:pt>
                <c:pt idx="113">
                  <c:v>1.1071657754010695</c:v>
                </c:pt>
                <c:pt idx="114">
                  <c:v>1.1035940803382664</c:v>
                </c:pt>
                <c:pt idx="115">
                  <c:v>1.1090375340742293</c:v>
                </c:pt>
                <c:pt idx="116">
                  <c:v>1.1294994675186369</c:v>
                </c:pt>
                <c:pt idx="117">
                  <c:v>1.1259574468085107</c:v>
                </c:pt>
                <c:pt idx="118">
                  <c:v>1.1177217869997882</c:v>
                </c:pt>
                <c:pt idx="119">
                  <c:v>1.133695652173913</c:v>
                </c:pt>
                <c:pt idx="120">
                  <c:v>1.1476391044114387</c:v>
                </c:pt>
                <c:pt idx="121">
                  <c:v>1.1506756756756757</c:v>
                </c:pt>
                <c:pt idx="122">
                  <c:v>1.1321637426900584</c:v>
                </c:pt>
                <c:pt idx="123">
                  <c:v>1.1172413793103448</c:v>
                </c:pt>
                <c:pt idx="124">
                  <c:v>1.134624145785877</c:v>
                </c:pt>
                <c:pt idx="125">
                  <c:v>1.133408071748879</c:v>
                </c:pt>
                <c:pt idx="126">
                  <c:v>1.1275330396475771</c:v>
                </c:pt>
                <c:pt idx="127">
                  <c:v>1.1345986038394416</c:v>
                </c:pt>
                <c:pt idx="128">
                  <c:v>1.1300414214083279</c:v>
                </c:pt>
                <c:pt idx="129">
                  <c:v>1.1123655913978494</c:v>
                </c:pt>
                <c:pt idx="130">
                  <c:v>1.1124866595517608</c:v>
                </c:pt>
                <c:pt idx="131">
                  <c:v>1.1125541125541125</c:v>
                </c:pt>
                <c:pt idx="132">
                  <c:v>1.1217977528089889</c:v>
                </c:pt>
                <c:pt idx="133">
                  <c:v>1.1293302540415704</c:v>
                </c:pt>
                <c:pt idx="134">
                  <c:v>1.1283196239717979</c:v>
                </c:pt>
                <c:pt idx="135">
                  <c:v>1.124766355140187</c:v>
                </c:pt>
                <c:pt idx="136">
                  <c:v>1.1208473202917004</c:v>
                </c:pt>
                <c:pt idx="137">
                  <c:v>1.1387096774193548</c:v>
                </c:pt>
                <c:pt idx="138">
                  <c:v>1.1319681456200228</c:v>
                </c:pt>
                <c:pt idx="139">
                  <c:v>1.1350919264588328</c:v>
                </c:pt>
                <c:pt idx="140">
                  <c:v>1.1329993167843315</c:v>
                </c:pt>
                <c:pt idx="141">
                  <c:v>1.1344827586206896</c:v>
                </c:pt>
                <c:pt idx="142">
                  <c:v>1.1266484765802638</c:v>
                </c:pt>
                <c:pt idx="143">
                  <c:v>1.1305138699408823</c:v>
                </c:pt>
                <c:pt idx="144">
                  <c:v>1.1221218961625281</c:v>
                </c:pt>
                <c:pt idx="145">
                  <c:v>1.1058664868509778</c:v>
                </c:pt>
                <c:pt idx="146">
                  <c:v>1.1039982030548068</c:v>
                </c:pt>
                <c:pt idx="147">
                  <c:v>1.1135547576301617</c:v>
                </c:pt>
                <c:pt idx="148">
                  <c:v>1.1135857461024499</c:v>
                </c:pt>
                <c:pt idx="149">
                  <c:v>1.1027480410550712</c:v>
                </c:pt>
                <c:pt idx="150">
                  <c:v>1.0859934853420194</c:v>
                </c:pt>
                <c:pt idx="151">
                  <c:v>1.0904209621993126</c:v>
                </c:pt>
                <c:pt idx="152">
                  <c:v>1.1029256998526626</c:v>
                </c:pt>
                <c:pt idx="153">
                  <c:v>1.0965092402464065</c:v>
                </c:pt>
                <c:pt idx="154">
                  <c:v>1.0951020408163266</c:v>
                </c:pt>
                <c:pt idx="155">
                  <c:v>1.1017053626463942</c:v>
                </c:pt>
                <c:pt idx="156">
                  <c:v>1.0995582040480838</c:v>
                </c:pt>
                <c:pt idx="157">
                  <c:v>1.09369918699187</c:v>
                </c:pt>
                <c:pt idx="158">
                  <c:v>1.0889787664307382</c:v>
                </c:pt>
                <c:pt idx="159">
                  <c:v>1.0982070089649552</c:v>
                </c:pt>
                <c:pt idx="160">
                  <c:v>1.1165452653485952</c:v>
                </c:pt>
                <c:pt idx="161">
                  <c:v>1.0964803312629399</c:v>
                </c:pt>
                <c:pt idx="162">
                  <c:v>1.1020705441681407</c:v>
                </c:pt>
                <c:pt idx="163">
                  <c:v>1.0962962962962963</c:v>
                </c:pt>
                <c:pt idx="164">
                  <c:v>1.1046290424857323</c:v>
                </c:pt>
                <c:pt idx="165">
                  <c:v>1.0924195223260644</c:v>
                </c:pt>
                <c:pt idx="166">
                  <c:v>1.0841683366733468</c:v>
                </c:pt>
                <c:pt idx="167">
                  <c:v>1.0829737151824246</c:v>
                </c:pt>
                <c:pt idx="168">
                  <c:v>1.0712834896991972</c:v>
                </c:pt>
                <c:pt idx="169">
                  <c:v>1.0594594594594595</c:v>
                </c:pt>
                <c:pt idx="170">
                  <c:v>1.0485139022051775</c:v>
                </c:pt>
                <c:pt idx="171">
                  <c:v>1.0609542356377799</c:v>
                </c:pt>
                <c:pt idx="172">
                  <c:v>1.0672380952380953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C-4E34-B60A-D38F62C12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41984"/>
        <c:axId val="167244160"/>
      </c:scatterChart>
      <c:valAx>
        <c:axId val="167241984"/>
        <c:scaling>
          <c:orientation val="minMax"/>
          <c:max val="44350"/>
          <c:min val="44088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700" b="0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167244160"/>
        <c:crosses val="autoZero"/>
        <c:crossBetween val="midCat"/>
        <c:majorUnit val="40"/>
      </c:valAx>
      <c:valAx>
        <c:axId val="167244160"/>
        <c:scaling>
          <c:orientation val="minMax"/>
          <c:max val="1.1800000000000002"/>
          <c:min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n-US" sz="800">
                    <a:latin typeface="Arial" pitchFamily="34" charset="0"/>
                    <a:cs typeface="Arial" pitchFamily="34" charset="0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1.649077131487596E-2"/>
              <c:y val="0.4950126614164877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700" b="0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167241984"/>
        <c:crossesAt val="0"/>
        <c:crossBetween val="midCat"/>
        <c:majorUnit val="2.0000000000000004E-2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 b="1" i="0" baseline="0">
                <a:effectLst/>
                <a:latin typeface="Arial" pitchFamily="34" charset="0"/>
                <a:cs typeface="Arial" pitchFamily="34" charset="0"/>
              </a:rPr>
              <a:t>Ratio AL30/AL35</a:t>
            </a:r>
            <a:endParaRPr lang="es-AR" sz="1200">
              <a:effectLst/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8745402176896349"/>
          <c:y val="7.09010088358225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7713452916831"/>
          <c:y val="0.19820639465521353"/>
          <c:w val="0.74937220930285264"/>
          <c:h val="0.66260319732760675"/>
        </c:manualLayout>
      </c:layout>
      <c:scatterChart>
        <c:scatterStyle val="lineMarker"/>
        <c:varyColors val="0"/>
        <c:ser>
          <c:idx val="0"/>
          <c:order val="0"/>
          <c:tx>
            <c:v>Ratio AL30/AL35</c:v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'Ratios ley ARG'!$A$3:$A$204</c:f>
              <c:numCache>
                <c:formatCode>dd/mm/yyyy;@</c:formatCode>
                <c:ptCount val="202"/>
                <c:pt idx="0">
                  <c:v>44081</c:v>
                </c:pt>
                <c:pt idx="1">
                  <c:v>44082</c:v>
                </c:pt>
                <c:pt idx="2">
                  <c:v>44083</c:v>
                </c:pt>
                <c:pt idx="3">
                  <c:v>44084</c:v>
                </c:pt>
                <c:pt idx="4">
                  <c:v>44085</c:v>
                </c:pt>
                <c:pt idx="5">
                  <c:v>44088</c:v>
                </c:pt>
                <c:pt idx="6">
                  <c:v>44089</c:v>
                </c:pt>
                <c:pt idx="7">
                  <c:v>44090</c:v>
                </c:pt>
                <c:pt idx="8">
                  <c:v>44091</c:v>
                </c:pt>
                <c:pt idx="9">
                  <c:v>44092</c:v>
                </c:pt>
                <c:pt idx="10">
                  <c:v>44095</c:v>
                </c:pt>
                <c:pt idx="11">
                  <c:v>44096</c:v>
                </c:pt>
                <c:pt idx="12">
                  <c:v>44097</c:v>
                </c:pt>
                <c:pt idx="13">
                  <c:v>44098</c:v>
                </c:pt>
                <c:pt idx="14">
                  <c:v>44099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44133</c:v>
                </c:pt>
                <c:pt idx="38">
                  <c:v>44134</c:v>
                </c:pt>
                <c:pt idx="39">
                  <c:v>44137</c:v>
                </c:pt>
                <c:pt idx="40">
                  <c:v>44138</c:v>
                </c:pt>
                <c:pt idx="41">
                  <c:v>44139</c:v>
                </c:pt>
                <c:pt idx="42">
                  <c:v>44140</c:v>
                </c:pt>
                <c:pt idx="43">
                  <c:v>44141</c:v>
                </c:pt>
                <c:pt idx="44">
                  <c:v>44144</c:v>
                </c:pt>
                <c:pt idx="45">
                  <c:v>44145</c:v>
                </c:pt>
                <c:pt idx="46">
                  <c:v>44146</c:v>
                </c:pt>
                <c:pt idx="47">
                  <c:v>44147</c:v>
                </c:pt>
                <c:pt idx="48">
                  <c:v>44148</c:v>
                </c:pt>
                <c:pt idx="49">
                  <c:v>44151</c:v>
                </c:pt>
                <c:pt idx="50">
                  <c:v>44152</c:v>
                </c:pt>
                <c:pt idx="51">
                  <c:v>44153</c:v>
                </c:pt>
                <c:pt idx="52">
                  <c:v>44154</c:v>
                </c:pt>
                <c:pt idx="53">
                  <c:v>44155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44174</c:v>
                </c:pt>
                <c:pt idx="64">
                  <c:v>44175</c:v>
                </c:pt>
                <c:pt idx="65">
                  <c:v>44176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44183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44193</c:v>
                </c:pt>
                <c:pt idx="75">
                  <c:v>44194</c:v>
                </c:pt>
                <c:pt idx="76">
                  <c:v>44195</c:v>
                </c:pt>
                <c:pt idx="77">
                  <c:v>44200</c:v>
                </c:pt>
                <c:pt idx="78">
                  <c:v>44201</c:v>
                </c:pt>
                <c:pt idx="79">
                  <c:v>44202</c:v>
                </c:pt>
                <c:pt idx="80">
                  <c:v>44203</c:v>
                </c:pt>
                <c:pt idx="81">
                  <c:v>44204</c:v>
                </c:pt>
                <c:pt idx="82">
                  <c:v>44207</c:v>
                </c:pt>
                <c:pt idx="83">
                  <c:v>44208</c:v>
                </c:pt>
                <c:pt idx="84">
                  <c:v>44209</c:v>
                </c:pt>
                <c:pt idx="85">
                  <c:v>44210</c:v>
                </c:pt>
                <c:pt idx="86">
                  <c:v>44211</c:v>
                </c:pt>
                <c:pt idx="87">
                  <c:v>44214</c:v>
                </c:pt>
                <c:pt idx="88">
                  <c:v>44215</c:v>
                </c:pt>
                <c:pt idx="89">
                  <c:v>44216</c:v>
                </c:pt>
                <c:pt idx="90">
                  <c:v>44217</c:v>
                </c:pt>
                <c:pt idx="91">
                  <c:v>44218</c:v>
                </c:pt>
                <c:pt idx="92">
                  <c:v>44221</c:v>
                </c:pt>
                <c:pt idx="93">
                  <c:v>44222</c:v>
                </c:pt>
                <c:pt idx="94">
                  <c:v>44223</c:v>
                </c:pt>
                <c:pt idx="95">
                  <c:v>44224</c:v>
                </c:pt>
                <c:pt idx="96">
                  <c:v>44225</c:v>
                </c:pt>
                <c:pt idx="97">
                  <c:v>44228</c:v>
                </c:pt>
                <c:pt idx="98">
                  <c:v>44229</c:v>
                </c:pt>
                <c:pt idx="99">
                  <c:v>44230</c:v>
                </c:pt>
                <c:pt idx="100">
                  <c:v>44231</c:v>
                </c:pt>
                <c:pt idx="101">
                  <c:v>44232</c:v>
                </c:pt>
                <c:pt idx="102">
                  <c:v>44235</c:v>
                </c:pt>
                <c:pt idx="103">
                  <c:v>44236</c:v>
                </c:pt>
                <c:pt idx="104">
                  <c:v>44237</c:v>
                </c:pt>
                <c:pt idx="105">
                  <c:v>44238</c:v>
                </c:pt>
                <c:pt idx="106">
                  <c:v>44239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44249</c:v>
                </c:pt>
                <c:pt idx="111">
                  <c:v>44250</c:v>
                </c:pt>
                <c:pt idx="112">
                  <c:v>44251</c:v>
                </c:pt>
                <c:pt idx="113">
                  <c:v>44252</c:v>
                </c:pt>
                <c:pt idx="114">
                  <c:v>44253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44270</c:v>
                </c:pt>
                <c:pt idx="126">
                  <c:v>44271</c:v>
                </c:pt>
                <c:pt idx="127">
                  <c:v>44272</c:v>
                </c:pt>
                <c:pt idx="128">
                  <c:v>44273</c:v>
                </c:pt>
                <c:pt idx="129">
                  <c:v>44274</c:v>
                </c:pt>
                <c:pt idx="130">
                  <c:v>44277</c:v>
                </c:pt>
                <c:pt idx="131">
                  <c:v>44278</c:v>
                </c:pt>
                <c:pt idx="132">
                  <c:v>44280</c:v>
                </c:pt>
                <c:pt idx="133">
                  <c:v>44281</c:v>
                </c:pt>
                <c:pt idx="134">
                  <c:v>44284</c:v>
                </c:pt>
                <c:pt idx="135">
                  <c:v>44285</c:v>
                </c:pt>
                <c:pt idx="136">
                  <c:v>44286</c:v>
                </c:pt>
                <c:pt idx="137">
                  <c:v>44291</c:v>
                </c:pt>
                <c:pt idx="138">
                  <c:v>44292</c:v>
                </c:pt>
                <c:pt idx="139">
                  <c:v>44293</c:v>
                </c:pt>
                <c:pt idx="140">
                  <c:v>44294</c:v>
                </c:pt>
                <c:pt idx="141">
                  <c:v>44295</c:v>
                </c:pt>
                <c:pt idx="142">
                  <c:v>44298</c:v>
                </c:pt>
                <c:pt idx="143">
                  <c:v>44299</c:v>
                </c:pt>
                <c:pt idx="144">
                  <c:v>44300</c:v>
                </c:pt>
                <c:pt idx="145">
                  <c:v>44301</c:v>
                </c:pt>
                <c:pt idx="146">
                  <c:v>44302</c:v>
                </c:pt>
                <c:pt idx="147">
                  <c:v>44305</c:v>
                </c:pt>
                <c:pt idx="148">
                  <c:v>44306</c:v>
                </c:pt>
                <c:pt idx="149">
                  <c:v>44307</c:v>
                </c:pt>
                <c:pt idx="150">
                  <c:v>44308</c:v>
                </c:pt>
                <c:pt idx="151">
                  <c:v>44309</c:v>
                </c:pt>
                <c:pt idx="152">
                  <c:v>44312</c:v>
                </c:pt>
                <c:pt idx="153">
                  <c:v>44313</c:v>
                </c:pt>
                <c:pt idx="154">
                  <c:v>44314</c:v>
                </c:pt>
                <c:pt idx="155">
                  <c:v>44315</c:v>
                </c:pt>
                <c:pt idx="156">
                  <c:v>44316</c:v>
                </c:pt>
                <c:pt idx="157">
                  <c:v>44319</c:v>
                </c:pt>
                <c:pt idx="158">
                  <c:v>44320</c:v>
                </c:pt>
                <c:pt idx="159">
                  <c:v>44321</c:v>
                </c:pt>
                <c:pt idx="160">
                  <c:v>44322</c:v>
                </c:pt>
                <c:pt idx="161">
                  <c:v>44323</c:v>
                </c:pt>
                <c:pt idx="162">
                  <c:v>44326</c:v>
                </c:pt>
                <c:pt idx="163">
                  <c:v>44327</c:v>
                </c:pt>
                <c:pt idx="164">
                  <c:v>44328</c:v>
                </c:pt>
                <c:pt idx="165">
                  <c:v>44329</c:v>
                </c:pt>
                <c:pt idx="166">
                  <c:v>44330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44342</c:v>
                </c:pt>
                <c:pt idx="173">
                  <c:v>44343</c:v>
                </c:pt>
                <c:pt idx="174">
                  <c:v>44344</c:v>
                </c:pt>
                <c:pt idx="175">
                  <c:v>44347</c:v>
                </c:pt>
                <c:pt idx="176">
                  <c:v>44348</c:v>
                </c:pt>
                <c:pt idx="177">
                  <c:v>44349</c:v>
                </c:pt>
                <c:pt idx="178">
                  <c:v>44350</c:v>
                </c:pt>
                <c:pt idx="179">
                  <c:v>44351</c:v>
                </c:pt>
                <c:pt idx="180">
                  <c:v>44354</c:v>
                </c:pt>
                <c:pt idx="181">
                  <c:v>44355</c:v>
                </c:pt>
                <c:pt idx="182">
                  <c:v>44356</c:v>
                </c:pt>
                <c:pt idx="183">
                  <c:v>44357</c:v>
                </c:pt>
                <c:pt idx="184">
                  <c:v>44358</c:v>
                </c:pt>
                <c:pt idx="185">
                  <c:v>44361</c:v>
                </c:pt>
              </c:numCache>
            </c:numRef>
          </c:xVal>
          <c:yVal>
            <c:numRef>
              <c:f>'Ratios ley ARG'!$C$3:$C$204</c:f>
              <c:numCache>
                <c:formatCode>0.0000</c:formatCode>
                <c:ptCount val="202"/>
                <c:pt idx="0">
                  <c:v>1.1038732394366197</c:v>
                </c:pt>
                <c:pt idx="1">
                  <c:v>1.1048951048951048</c:v>
                </c:pt>
                <c:pt idx="2">
                  <c:v>1.1246913580246913</c:v>
                </c:pt>
                <c:pt idx="3">
                  <c:v>1.1376130519595673</c:v>
                </c:pt>
                <c:pt idx="4">
                  <c:v>1.1491921005385997</c:v>
                </c:pt>
                <c:pt idx="5">
                  <c:v>1.1577898550724637</c:v>
                </c:pt>
                <c:pt idx="6">
                  <c:v>1.1484619635291951</c:v>
                </c:pt>
                <c:pt idx="7">
                  <c:v>1.146067415730337</c:v>
                </c:pt>
                <c:pt idx="8">
                  <c:v>1.1392039992309171</c:v>
                </c:pt>
                <c:pt idx="9">
                  <c:v>1.1441947565543071</c:v>
                </c:pt>
                <c:pt idx="10">
                  <c:v>1.1365945437441205</c:v>
                </c:pt>
                <c:pt idx="11">
                  <c:v>1.1509433962264151</c:v>
                </c:pt>
                <c:pt idx="12">
                  <c:v>1.1608961303462322</c:v>
                </c:pt>
                <c:pt idx="13">
                  <c:v>1.1045871559633027</c:v>
                </c:pt>
                <c:pt idx="14">
                  <c:v>1.1057866184448464</c:v>
                </c:pt>
                <c:pt idx="15">
                  <c:v>1.0999107939339876</c:v>
                </c:pt>
                <c:pt idx="16">
                  <c:v>1.1181244364292156</c:v>
                </c:pt>
                <c:pt idx="17">
                  <c:v>1.1053571428571429</c:v>
                </c:pt>
                <c:pt idx="18">
                  <c:v>1.1135997133130264</c:v>
                </c:pt>
                <c:pt idx="19">
                  <c:v>1.1017101710171018</c:v>
                </c:pt>
                <c:pt idx="20">
                  <c:v>1.111288888888889</c:v>
                </c:pt>
                <c:pt idx="21">
                  <c:v>1.1146895687958489</c:v>
                </c:pt>
                <c:pt idx="22">
                  <c:v>1.125655396854095</c:v>
                </c:pt>
                <c:pt idx="23">
                  <c:v>1.1190053285968029</c:v>
                </c:pt>
                <c:pt idx="24">
                  <c:v>1.1098615916955017</c:v>
                </c:pt>
                <c:pt idx="25">
                  <c:v>1.1256726262801597</c:v>
                </c:pt>
                <c:pt idx="26">
                  <c:v>1.1379897785349233</c:v>
                </c:pt>
                <c:pt idx="27">
                  <c:v>1.1701530612244897</c:v>
                </c:pt>
                <c:pt idx="28">
                  <c:v>1.1442193087008343</c:v>
                </c:pt>
                <c:pt idx="29">
                  <c:v>1.1666666666666667</c:v>
                </c:pt>
                <c:pt idx="30">
                  <c:v>1.1651793525809273</c:v>
                </c:pt>
                <c:pt idx="31">
                  <c:v>1.1439790575916231</c:v>
                </c:pt>
                <c:pt idx="32">
                  <c:v>1.1354166666666667</c:v>
                </c:pt>
                <c:pt idx="33">
                  <c:v>1.1026548672566372</c:v>
                </c:pt>
                <c:pt idx="34">
                  <c:v>1.1027522935779817</c:v>
                </c:pt>
                <c:pt idx="35">
                  <c:v>1.1320754716981132</c:v>
                </c:pt>
                <c:pt idx="36">
                  <c:v>1.0807692307692307</c:v>
                </c:pt>
                <c:pt idx="37">
                  <c:v>1.083495145631068</c:v>
                </c:pt>
                <c:pt idx="38">
                  <c:v>1.0854411471818364</c:v>
                </c:pt>
                <c:pt idx="39">
                  <c:v>1.0814070351758793</c:v>
                </c:pt>
                <c:pt idx="40">
                  <c:v>1.0642927794263106</c:v>
                </c:pt>
                <c:pt idx="41">
                  <c:v>1.0488758553274682</c:v>
                </c:pt>
                <c:pt idx="42">
                  <c:v>1.0415458937198068</c:v>
                </c:pt>
                <c:pt idx="43">
                  <c:v>1.0446601941747573</c:v>
                </c:pt>
                <c:pt idx="44">
                  <c:v>1.0177570093457944</c:v>
                </c:pt>
                <c:pt idx="45">
                  <c:v>1.0285984848484848</c:v>
                </c:pt>
                <c:pt idx="46">
                  <c:v>1.0780423280423281</c:v>
                </c:pt>
                <c:pt idx="47">
                  <c:v>1.0717712531184034</c:v>
                </c:pt>
                <c:pt idx="48">
                  <c:v>1.0765116056929984</c:v>
                </c:pt>
                <c:pt idx="49">
                  <c:v>1.074967283604412</c:v>
                </c:pt>
                <c:pt idx="50">
                  <c:v>1.0692520775623269</c:v>
                </c:pt>
                <c:pt idx="51">
                  <c:v>1.0506294719681188</c:v>
                </c:pt>
                <c:pt idx="52">
                  <c:v>1.060091743119266</c:v>
                </c:pt>
                <c:pt idx="53">
                  <c:v>1.0568223611621921</c:v>
                </c:pt>
                <c:pt idx="54">
                  <c:v>1.0760442030342761</c:v>
                </c:pt>
                <c:pt idx="55">
                  <c:v>1.0853152132880333</c:v>
                </c:pt>
                <c:pt idx="56">
                  <c:v>1.0910305343511451</c:v>
                </c:pt>
                <c:pt idx="57">
                  <c:v>1.0727925883910001</c:v>
                </c:pt>
                <c:pt idx="58">
                  <c:v>1.071414858898061</c:v>
                </c:pt>
                <c:pt idx="59">
                  <c:v>1.0791743385987014</c:v>
                </c:pt>
                <c:pt idx="60">
                  <c:v>1.090811339198436</c:v>
                </c:pt>
                <c:pt idx="61">
                  <c:v>1.0867397806580259</c:v>
                </c:pt>
                <c:pt idx="62">
                  <c:v>1.0900596421471174</c:v>
                </c:pt>
                <c:pt idx="63">
                  <c:v>1.113673469387755</c:v>
                </c:pt>
                <c:pt idx="64">
                  <c:v>1.1144308943089432</c:v>
                </c:pt>
                <c:pt idx="65">
                  <c:v>1.1195979899497488</c:v>
                </c:pt>
                <c:pt idx="66">
                  <c:v>1.1327327327327328</c:v>
                </c:pt>
                <c:pt idx="67">
                  <c:v>1.1354</c:v>
                </c:pt>
                <c:pt idx="68">
                  <c:v>1.1352525252525252</c:v>
                </c:pt>
                <c:pt idx="69">
                  <c:v>1.1133386264390632</c:v>
                </c:pt>
                <c:pt idx="70">
                  <c:v>1.1026690044808105</c:v>
                </c:pt>
                <c:pt idx="71">
                  <c:v>1.1023391812865497</c:v>
                </c:pt>
                <c:pt idx="72">
                  <c:v>1.1080660835762877</c:v>
                </c:pt>
                <c:pt idx="73">
                  <c:v>1.1027079303675049</c:v>
                </c:pt>
                <c:pt idx="74">
                  <c:v>1.0990403071017274</c:v>
                </c:pt>
                <c:pt idx="75">
                  <c:v>1.0991371045062319</c:v>
                </c:pt>
                <c:pt idx="76">
                  <c:v>1.1085106382978724</c:v>
                </c:pt>
                <c:pt idx="77">
                  <c:v>1.1145229818462727</c:v>
                </c:pt>
                <c:pt idx="78">
                  <c:v>1.1208535402521824</c:v>
                </c:pt>
                <c:pt idx="79">
                  <c:v>1.1102588686481305</c:v>
                </c:pt>
                <c:pt idx="80">
                  <c:v>1.1181545022777939</c:v>
                </c:pt>
                <c:pt idx="81">
                  <c:v>1.1106803644117076</c:v>
                </c:pt>
                <c:pt idx="82">
                  <c:v>1.1073929961089495</c:v>
                </c:pt>
                <c:pt idx="83">
                  <c:v>1.1067657411028549</c:v>
                </c:pt>
                <c:pt idx="84">
                  <c:v>1.1170297029702971</c:v>
                </c:pt>
                <c:pt idx="85">
                  <c:v>1.1247504990019961</c:v>
                </c:pt>
                <c:pt idx="86">
                  <c:v>1.113861386138614</c:v>
                </c:pt>
                <c:pt idx="87">
                  <c:v>1.1291291291291292</c:v>
                </c:pt>
                <c:pt idx="88">
                  <c:v>1.1272473032361165</c:v>
                </c:pt>
                <c:pt idx="89">
                  <c:v>1.1337617995581442</c:v>
                </c:pt>
                <c:pt idx="90">
                  <c:v>1.1510395434162251</c:v>
                </c:pt>
                <c:pt idx="91">
                  <c:v>1.1419322205361659</c:v>
                </c:pt>
                <c:pt idx="92">
                  <c:v>1.1368844221105527</c:v>
                </c:pt>
                <c:pt idx="93">
                  <c:v>1.1266401590457256</c:v>
                </c:pt>
                <c:pt idx="94">
                  <c:v>1.1213621065135617</c:v>
                </c:pt>
                <c:pt idx="95">
                  <c:v>1.1221252973830294</c:v>
                </c:pt>
                <c:pt idx="96">
                  <c:v>1.1282256451290258</c:v>
                </c:pt>
                <c:pt idx="97">
                  <c:v>1.1237072394590295</c:v>
                </c:pt>
                <c:pt idx="98">
                  <c:v>1.1241296996220409</c:v>
                </c:pt>
                <c:pt idx="99">
                  <c:v>1.1119432400472999</c:v>
                </c:pt>
                <c:pt idx="100">
                  <c:v>1.1026392961876832</c:v>
                </c:pt>
                <c:pt idx="101">
                  <c:v>1.1002932551319649</c:v>
                </c:pt>
                <c:pt idx="102">
                  <c:v>1.1098402681916781</c:v>
                </c:pt>
                <c:pt idx="103">
                  <c:v>1.1113744075829384</c:v>
                </c:pt>
                <c:pt idx="104">
                  <c:v>1.1151322330483198</c:v>
                </c:pt>
                <c:pt idx="105">
                  <c:v>1.1090909090909091</c:v>
                </c:pt>
                <c:pt idx="106">
                  <c:v>1.0962419798350138</c:v>
                </c:pt>
                <c:pt idx="107">
                  <c:v>1.1069598633646456</c:v>
                </c:pt>
                <c:pt idx="108">
                  <c:v>1.1216361679224973</c:v>
                </c:pt>
                <c:pt idx="109">
                  <c:v>1.1182417582417583</c:v>
                </c:pt>
                <c:pt idx="110">
                  <c:v>1.1349831271091113</c:v>
                </c:pt>
                <c:pt idx="111">
                  <c:v>1.1193194537721065</c:v>
                </c:pt>
                <c:pt idx="112">
                  <c:v>1.102319531758075</c:v>
                </c:pt>
                <c:pt idx="113">
                  <c:v>1.1071657754010695</c:v>
                </c:pt>
                <c:pt idx="114">
                  <c:v>1.1035940803382664</c:v>
                </c:pt>
                <c:pt idx="115">
                  <c:v>1.1090375340742293</c:v>
                </c:pt>
                <c:pt idx="116">
                  <c:v>1.1294994675186369</c:v>
                </c:pt>
                <c:pt idx="117">
                  <c:v>1.1259574468085107</c:v>
                </c:pt>
                <c:pt idx="118">
                  <c:v>1.1177217869997882</c:v>
                </c:pt>
                <c:pt idx="119">
                  <c:v>1.133695652173913</c:v>
                </c:pt>
                <c:pt idx="120">
                  <c:v>1.1476391044114387</c:v>
                </c:pt>
                <c:pt idx="121">
                  <c:v>1.1506756756756757</c:v>
                </c:pt>
                <c:pt idx="122">
                  <c:v>1.1321637426900584</c:v>
                </c:pt>
                <c:pt idx="123">
                  <c:v>1.1172413793103448</c:v>
                </c:pt>
                <c:pt idx="124">
                  <c:v>1.134624145785877</c:v>
                </c:pt>
                <c:pt idx="125">
                  <c:v>1.133408071748879</c:v>
                </c:pt>
                <c:pt idx="126">
                  <c:v>1.1275330396475771</c:v>
                </c:pt>
                <c:pt idx="127">
                  <c:v>1.1345986038394416</c:v>
                </c:pt>
                <c:pt idx="128">
                  <c:v>1.1300414214083279</c:v>
                </c:pt>
                <c:pt idx="129">
                  <c:v>1.1123655913978494</c:v>
                </c:pt>
                <c:pt idx="130">
                  <c:v>1.1124866595517608</c:v>
                </c:pt>
                <c:pt idx="131">
                  <c:v>1.1125541125541125</c:v>
                </c:pt>
                <c:pt idx="132">
                  <c:v>1.1217977528089889</c:v>
                </c:pt>
                <c:pt idx="133">
                  <c:v>1.1293302540415704</c:v>
                </c:pt>
                <c:pt idx="134">
                  <c:v>1.1283196239717979</c:v>
                </c:pt>
                <c:pt idx="135">
                  <c:v>1.124766355140187</c:v>
                </c:pt>
                <c:pt idx="136">
                  <c:v>1.1208473202917004</c:v>
                </c:pt>
                <c:pt idx="137">
                  <c:v>1.1387096774193548</c:v>
                </c:pt>
                <c:pt idx="138">
                  <c:v>1.1319681456200228</c:v>
                </c:pt>
                <c:pt idx="139">
                  <c:v>1.1350919264588328</c:v>
                </c:pt>
                <c:pt idx="140">
                  <c:v>1.1329993167843315</c:v>
                </c:pt>
                <c:pt idx="141">
                  <c:v>1.1344827586206896</c:v>
                </c:pt>
                <c:pt idx="142">
                  <c:v>1.1266484765802638</c:v>
                </c:pt>
                <c:pt idx="143">
                  <c:v>1.1305138699408823</c:v>
                </c:pt>
                <c:pt idx="144">
                  <c:v>1.1221218961625281</c:v>
                </c:pt>
                <c:pt idx="145">
                  <c:v>1.1058664868509778</c:v>
                </c:pt>
                <c:pt idx="146">
                  <c:v>1.1039982030548068</c:v>
                </c:pt>
                <c:pt idx="147">
                  <c:v>1.1135547576301617</c:v>
                </c:pt>
                <c:pt idx="148">
                  <c:v>1.1135857461024499</c:v>
                </c:pt>
                <c:pt idx="149">
                  <c:v>1.1027480410550712</c:v>
                </c:pt>
                <c:pt idx="150">
                  <c:v>1.0859934853420194</c:v>
                </c:pt>
                <c:pt idx="151">
                  <c:v>1.0904209621993126</c:v>
                </c:pt>
                <c:pt idx="152">
                  <c:v>1.1029256998526626</c:v>
                </c:pt>
                <c:pt idx="153">
                  <c:v>1.0965092402464065</c:v>
                </c:pt>
                <c:pt idx="154">
                  <c:v>1.0951020408163266</c:v>
                </c:pt>
                <c:pt idx="155">
                  <c:v>1.1017053626463942</c:v>
                </c:pt>
                <c:pt idx="156">
                  <c:v>1.0995582040480838</c:v>
                </c:pt>
                <c:pt idx="157">
                  <c:v>1.09369918699187</c:v>
                </c:pt>
                <c:pt idx="158">
                  <c:v>1.0889787664307382</c:v>
                </c:pt>
                <c:pt idx="159">
                  <c:v>1.0982070089649552</c:v>
                </c:pt>
                <c:pt idx="160">
                  <c:v>1.1165452653485952</c:v>
                </c:pt>
                <c:pt idx="161">
                  <c:v>1.0964803312629399</c:v>
                </c:pt>
                <c:pt idx="162">
                  <c:v>1.1020705441681407</c:v>
                </c:pt>
                <c:pt idx="163">
                  <c:v>1.0962962962962963</c:v>
                </c:pt>
                <c:pt idx="164">
                  <c:v>1.1046290424857323</c:v>
                </c:pt>
                <c:pt idx="165">
                  <c:v>1.0924195223260644</c:v>
                </c:pt>
                <c:pt idx="166">
                  <c:v>1.0841683366733468</c:v>
                </c:pt>
                <c:pt idx="167">
                  <c:v>1.0829737151824246</c:v>
                </c:pt>
                <c:pt idx="168">
                  <c:v>1.0712834896991972</c:v>
                </c:pt>
                <c:pt idx="169">
                  <c:v>1.0594594594594595</c:v>
                </c:pt>
                <c:pt idx="170">
                  <c:v>1.0485139022051775</c:v>
                </c:pt>
                <c:pt idx="171">
                  <c:v>1.0609542356377799</c:v>
                </c:pt>
                <c:pt idx="172">
                  <c:v>1.0672380952380953</c:v>
                </c:pt>
                <c:pt idx="173">
                  <c:v>1.054986020503262</c:v>
                </c:pt>
                <c:pt idx="174">
                  <c:v>1.0577861163227016</c:v>
                </c:pt>
                <c:pt idx="175">
                  <c:v>1.0552238805970149</c:v>
                </c:pt>
                <c:pt idx="176">
                  <c:v>1.0504124656278644</c:v>
                </c:pt>
                <c:pt idx="177">
                  <c:v>1.0596624244065349</c:v>
                </c:pt>
                <c:pt idx="178">
                  <c:v>1.0720737327188941</c:v>
                </c:pt>
                <c:pt idx="179">
                  <c:v>1.0691509084167594</c:v>
                </c:pt>
                <c:pt idx="180">
                  <c:v>1.0892193308550187</c:v>
                </c:pt>
                <c:pt idx="181">
                  <c:v>1.0981515711645102</c:v>
                </c:pt>
                <c:pt idx="182">
                  <c:v>1.0891304347826087</c:v>
                </c:pt>
                <c:pt idx="183">
                  <c:v>1.0863309352517985</c:v>
                </c:pt>
                <c:pt idx="184">
                  <c:v>1.0940464359924111</c:v>
                </c:pt>
                <c:pt idx="185">
                  <c:v>1.0939421338155515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A-4CA3-A7DB-8F6A85D38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46080"/>
        <c:axId val="168848000"/>
      </c:scatterChart>
      <c:valAx>
        <c:axId val="168846080"/>
        <c:scaling>
          <c:orientation val="minMax"/>
          <c:max val="44370"/>
          <c:min val="44081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168848000"/>
        <c:crosses val="autoZero"/>
        <c:crossBetween val="midCat"/>
        <c:majorUnit val="30"/>
      </c:valAx>
      <c:valAx>
        <c:axId val="168848000"/>
        <c:scaling>
          <c:orientation val="minMax"/>
          <c:min val="1.0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>
                    <a:latin typeface="Arial" pitchFamily="34" charset="0"/>
                    <a:cs typeface="Arial" pitchFamily="34" charset="0"/>
                  </a:defRPr>
                </a:pPr>
                <a:r>
                  <a:rPr lang="en-US" sz="900">
                    <a:latin typeface="Arial" pitchFamily="34" charset="0"/>
                    <a:cs typeface="Arial" pitchFamily="34" charset="0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5.0828243328303269E-2"/>
              <c:y val="0.47465992133872875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s-AR"/>
          </a:p>
        </c:txPr>
        <c:crossAx val="168846080"/>
        <c:crossesAt val="0"/>
        <c:crossBetween val="midCat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579175</xdr:colOff>
      <xdr:row>21</xdr:row>
      <xdr:rowOff>88371</xdr:rowOff>
    </xdr:from>
    <xdr:to>
      <xdr:col>29</xdr:col>
      <xdr:colOff>529167</xdr:colOff>
      <xdr:row>40</xdr:row>
      <xdr:rowOff>137584</xdr:rowOff>
    </xdr:to>
    <xdr:grpSp>
      <xdr:nvGrpSpPr>
        <xdr:cNvPr id="17" name="Grupo 5">
          <a:extLst>
            <a:ext uri="{FF2B5EF4-FFF2-40B4-BE49-F238E27FC236}">
              <a16:creationId xmlns:a16="http://schemas.microsoft.com/office/drawing/2014/main" id="{3DEEA3F9-3957-4402-BB6C-CB5D7CAD0268}"/>
            </a:ext>
          </a:extLst>
        </xdr:cNvPr>
        <xdr:cNvGrpSpPr/>
      </xdr:nvGrpSpPr>
      <xdr:grpSpPr>
        <a:xfrm>
          <a:off x="11554092" y="3972454"/>
          <a:ext cx="5876658" cy="3509963"/>
          <a:chOff x="9515477" y="585921"/>
          <a:chExt cx="4562474" cy="3128831"/>
        </a:xfrm>
      </xdr:grpSpPr>
      <xdr:grpSp>
        <xdr:nvGrpSpPr>
          <xdr:cNvPr id="18" name="Grupo 3">
            <a:extLst>
              <a:ext uri="{FF2B5EF4-FFF2-40B4-BE49-F238E27FC236}">
                <a16:creationId xmlns:a16="http://schemas.microsoft.com/office/drawing/2014/main" id="{05DE6D91-DA4C-4062-B547-E3859999CCCE}"/>
              </a:ext>
            </a:extLst>
          </xdr:cNvPr>
          <xdr:cNvGrpSpPr/>
        </xdr:nvGrpSpPr>
        <xdr:grpSpPr>
          <a:xfrm>
            <a:off x="9515477" y="619125"/>
            <a:ext cx="4562474" cy="3095627"/>
            <a:chOff x="1524000" y="571500"/>
            <a:chExt cx="4562474" cy="3095625"/>
          </a:xfrm>
        </xdr:grpSpPr>
        <xdr:graphicFrame macro="">
          <xdr:nvGraphicFramePr>
            <xdr:cNvPr id="20" name="4 Gráfico">
              <a:extLst>
                <a:ext uri="{FF2B5EF4-FFF2-40B4-BE49-F238E27FC236}">
                  <a16:creationId xmlns:a16="http://schemas.microsoft.com/office/drawing/2014/main" id="{70AFDE94-5CEF-4108-80C9-D2D9BBF54F21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1524000" y="571500"/>
            <a:ext cx="4562474" cy="30956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21" name="CuadroTexto 2">
              <a:extLst>
                <a:ext uri="{FF2B5EF4-FFF2-40B4-BE49-F238E27FC236}">
                  <a16:creationId xmlns:a16="http://schemas.microsoft.com/office/drawing/2014/main" id="{DFF303CE-E833-44DA-84AD-6DC85248A519}"/>
                </a:ext>
              </a:extLst>
            </xdr:cNvPr>
            <xdr:cNvSpPr txBox="1"/>
          </xdr:nvSpPr>
          <xdr:spPr>
            <a:xfrm>
              <a:off x="1920354" y="882537"/>
              <a:ext cx="3816206" cy="1541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AR" sz="900" i="1">
                  <a:latin typeface="Arial Nova Light" panose="020B0304020202020204" pitchFamily="34" charset="0"/>
                </a:rPr>
                <a:t>Curva elaborada</a:t>
              </a:r>
              <a:r>
                <a:rPr lang="es-AR" sz="900" i="1" baseline="0">
                  <a:latin typeface="Arial Nova Light" panose="020B0304020202020204" pitchFamily="34" charset="0"/>
                </a:rPr>
                <a:t> con precios BYMA arbitrados al MEP AL30</a:t>
              </a:r>
              <a:endParaRPr lang="es-AR" sz="900" i="1">
                <a:latin typeface="Arial Nova Light" panose="020B0304020202020204" pitchFamily="34" charset="0"/>
              </a:endParaRPr>
            </a:p>
          </xdr:txBody>
        </xdr:sp>
      </xdr:grpSp>
      <xdr:sp macro="" textlink="">
        <xdr:nvSpPr>
          <xdr:cNvPr id="19" name="CuadroTexto 4">
            <a:extLst>
              <a:ext uri="{FF2B5EF4-FFF2-40B4-BE49-F238E27FC236}">
                <a16:creationId xmlns:a16="http://schemas.microsoft.com/office/drawing/2014/main" id="{DC8BAD1A-B2D5-41DB-BBD2-0ABD2E8B8612}"/>
              </a:ext>
            </a:extLst>
          </xdr:cNvPr>
          <xdr:cNvSpPr txBox="1"/>
        </xdr:nvSpPr>
        <xdr:spPr>
          <a:xfrm>
            <a:off x="9731434" y="585921"/>
            <a:ext cx="720094" cy="2090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AR" sz="1100">
                <a:solidFill>
                  <a:schemeClr val="bg1"/>
                </a:solidFill>
                <a:latin typeface="Bahnschrift SemiBold" panose="020B0502040204020203" pitchFamily="34" charset="0"/>
              </a:rPr>
              <a:t>Cuadro</a:t>
            </a:r>
            <a:r>
              <a:rPr lang="es-AR" sz="1100" baseline="0">
                <a:solidFill>
                  <a:schemeClr val="bg1"/>
                </a:solidFill>
                <a:latin typeface="Bahnschrift SemiBold" panose="020B0502040204020203" pitchFamily="34" charset="0"/>
              </a:rPr>
              <a:t> IV</a:t>
            </a:r>
            <a:endParaRPr lang="es-AR" sz="1100">
              <a:solidFill>
                <a:schemeClr val="bg1"/>
              </a:solidFill>
              <a:latin typeface="Bahnschrift SemiBold" panose="020B0502040204020203" pitchFamily="34" charset="0"/>
            </a:endParaRPr>
          </a:p>
        </xdr:txBody>
      </xdr:sp>
    </xdr:grpSp>
    <xdr:clientData/>
  </xdr:twoCellAnchor>
  <xdr:twoCellAnchor>
    <xdr:from>
      <xdr:col>19</xdr:col>
      <xdr:colOff>497417</xdr:colOff>
      <xdr:row>41</xdr:row>
      <xdr:rowOff>108478</xdr:rowOff>
    </xdr:from>
    <xdr:to>
      <xdr:col>30</xdr:col>
      <xdr:colOff>95516</xdr:colOff>
      <xdr:row>61</xdr:row>
      <xdr:rowOff>144991</xdr:rowOff>
    </xdr:to>
    <xdr:grpSp>
      <xdr:nvGrpSpPr>
        <xdr:cNvPr id="12" name="Grupo 5">
          <a:extLst>
            <a:ext uri="{FF2B5EF4-FFF2-40B4-BE49-F238E27FC236}">
              <a16:creationId xmlns:a16="http://schemas.microsoft.com/office/drawing/2014/main" id="{93A7DF41-E68A-4F21-B6D4-6A2822B669B8}"/>
            </a:ext>
          </a:extLst>
        </xdr:cNvPr>
        <xdr:cNvGrpSpPr/>
      </xdr:nvGrpSpPr>
      <xdr:grpSpPr>
        <a:xfrm>
          <a:off x="11472334" y="7633228"/>
          <a:ext cx="6307932" cy="3634846"/>
          <a:chOff x="9593038" y="585921"/>
          <a:chExt cx="4562474" cy="3128830"/>
        </a:xfrm>
      </xdr:grpSpPr>
      <xdr:grpSp>
        <xdr:nvGrpSpPr>
          <xdr:cNvPr id="13" name="Grupo 3">
            <a:extLst>
              <a:ext uri="{FF2B5EF4-FFF2-40B4-BE49-F238E27FC236}">
                <a16:creationId xmlns:a16="http://schemas.microsoft.com/office/drawing/2014/main" id="{1AA8C79C-3B04-4070-9941-18614A1CC2E8}"/>
              </a:ext>
            </a:extLst>
          </xdr:cNvPr>
          <xdr:cNvGrpSpPr/>
        </xdr:nvGrpSpPr>
        <xdr:grpSpPr>
          <a:xfrm>
            <a:off x="9593038" y="619124"/>
            <a:ext cx="4562474" cy="3095627"/>
            <a:chOff x="1601561" y="571499"/>
            <a:chExt cx="4562474" cy="3095625"/>
          </a:xfrm>
        </xdr:grpSpPr>
        <xdr:graphicFrame macro="">
          <xdr:nvGraphicFramePr>
            <xdr:cNvPr id="15" name="4 Gráfico">
              <a:extLst>
                <a:ext uri="{FF2B5EF4-FFF2-40B4-BE49-F238E27FC236}">
                  <a16:creationId xmlns:a16="http://schemas.microsoft.com/office/drawing/2014/main" id="{2940B777-9229-49C5-922A-B7F5ED55CAE3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1601561" y="571499"/>
            <a:ext cx="4562474" cy="30956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6" name="CuadroTexto 2">
              <a:extLst>
                <a:ext uri="{FF2B5EF4-FFF2-40B4-BE49-F238E27FC236}">
                  <a16:creationId xmlns:a16="http://schemas.microsoft.com/office/drawing/2014/main" id="{78CFF512-2248-4878-A06C-BE0F508A00AA}"/>
                </a:ext>
              </a:extLst>
            </xdr:cNvPr>
            <xdr:cNvSpPr txBox="1"/>
          </xdr:nvSpPr>
          <xdr:spPr>
            <a:xfrm>
              <a:off x="1836308" y="856026"/>
              <a:ext cx="4094354" cy="20912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AR" sz="900" i="1">
                  <a:latin typeface="Arial Nova Light" panose="020B0304020202020204" pitchFamily="34" charset="0"/>
                </a:rPr>
                <a:t>Curvas de bonos en dólares  ley NY y</a:t>
              </a:r>
              <a:r>
                <a:rPr lang="es-AR" sz="900" i="1" baseline="0">
                  <a:latin typeface="Arial Nova Light" panose="020B0304020202020204" pitchFamily="34" charset="0"/>
                </a:rPr>
                <a:t> ley ARG utilizando px. dólar MEP</a:t>
              </a:r>
              <a:endParaRPr lang="es-AR" sz="900" i="1">
                <a:latin typeface="Arial Nova Light" panose="020B0304020202020204" pitchFamily="34" charset="0"/>
              </a:endParaRPr>
            </a:p>
          </xdr:txBody>
        </xdr:sp>
      </xdr:grpSp>
      <xdr:sp macro="" textlink="">
        <xdr:nvSpPr>
          <xdr:cNvPr id="14" name="CuadroTexto 4">
            <a:extLst>
              <a:ext uri="{FF2B5EF4-FFF2-40B4-BE49-F238E27FC236}">
                <a16:creationId xmlns:a16="http://schemas.microsoft.com/office/drawing/2014/main" id="{C96410C0-860B-4F1C-A900-BF77AFAD07F2}"/>
              </a:ext>
            </a:extLst>
          </xdr:cNvPr>
          <xdr:cNvSpPr txBox="1"/>
        </xdr:nvSpPr>
        <xdr:spPr>
          <a:xfrm>
            <a:off x="9731435" y="585921"/>
            <a:ext cx="720094" cy="2090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AR" sz="1100">
                <a:solidFill>
                  <a:schemeClr val="bg1"/>
                </a:solidFill>
                <a:latin typeface="Bahnschrift SemiBold" panose="020B0502040204020203" pitchFamily="34" charset="0"/>
              </a:rPr>
              <a:t>Cuadro</a:t>
            </a:r>
            <a:r>
              <a:rPr lang="es-AR" sz="1100" baseline="0">
                <a:solidFill>
                  <a:schemeClr val="bg1"/>
                </a:solidFill>
                <a:latin typeface="Bahnschrift SemiBold" panose="020B0502040204020203" pitchFamily="34" charset="0"/>
              </a:rPr>
              <a:t> I</a:t>
            </a:r>
            <a:endParaRPr lang="es-AR" sz="1100">
              <a:solidFill>
                <a:schemeClr val="bg1"/>
              </a:solidFill>
              <a:latin typeface="Bahnschrift SemiBold" panose="020B0502040204020203" pitchFamily="34" charset="0"/>
            </a:endParaRPr>
          </a:p>
        </xdr:txBody>
      </xdr:sp>
    </xdr:grpSp>
    <xdr:clientData/>
  </xdr:twoCellAnchor>
  <xdr:twoCellAnchor>
    <xdr:from>
      <xdr:col>19</xdr:col>
      <xdr:colOff>537633</xdr:colOff>
      <xdr:row>0</xdr:row>
      <xdr:rowOff>176742</xdr:rowOff>
    </xdr:from>
    <xdr:to>
      <xdr:col>29</xdr:col>
      <xdr:colOff>508000</xdr:colOff>
      <xdr:row>21</xdr:row>
      <xdr:rowOff>158750</xdr:rowOff>
    </xdr:to>
    <xdr:grpSp>
      <xdr:nvGrpSpPr>
        <xdr:cNvPr id="27" name="Grupo 5">
          <a:extLst>
            <a:ext uri="{FF2B5EF4-FFF2-40B4-BE49-F238E27FC236}">
              <a16:creationId xmlns:a16="http://schemas.microsoft.com/office/drawing/2014/main" id="{877AB030-EC08-4BBB-A0F9-AA312214EB8A}"/>
            </a:ext>
          </a:extLst>
        </xdr:cNvPr>
        <xdr:cNvGrpSpPr/>
      </xdr:nvGrpSpPr>
      <xdr:grpSpPr>
        <a:xfrm>
          <a:off x="11512550" y="176742"/>
          <a:ext cx="5897033" cy="3866091"/>
          <a:chOff x="9515477" y="585921"/>
          <a:chExt cx="4562474" cy="3128831"/>
        </a:xfrm>
      </xdr:grpSpPr>
      <xdr:grpSp>
        <xdr:nvGrpSpPr>
          <xdr:cNvPr id="28" name="Grupo 3">
            <a:extLst>
              <a:ext uri="{FF2B5EF4-FFF2-40B4-BE49-F238E27FC236}">
                <a16:creationId xmlns:a16="http://schemas.microsoft.com/office/drawing/2014/main" id="{BE6B2F2C-678D-45BF-BC53-A5D68371C7D8}"/>
              </a:ext>
            </a:extLst>
          </xdr:cNvPr>
          <xdr:cNvGrpSpPr/>
        </xdr:nvGrpSpPr>
        <xdr:grpSpPr>
          <a:xfrm>
            <a:off x="9515477" y="619126"/>
            <a:ext cx="4562474" cy="3095626"/>
            <a:chOff x="1524000" y="571501"/>
            <a:chExt cx="4562474" cy="3095624"/>
          </a:xfrm>
        </xdr:grpSpPr>
        <xdr:graphicFrame macro="">
          <xdr:nvGraphicFramePr>
            <xdr:cNvPr id="30" name="4 Gráfico">
              <a:extLst>
                <a:ext uri="{FF2B5EF4-FFF2-40B4-BE49-F238E27FC236}">
                  <a16:creationId xmlns:a16="http://schemas.microsoft.com/office/drawing/2014/main" id="{0CA6F322-DA02-43A4-BF74-99B18D99228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1524000" y="571501"/>
            <a:ext cx="4562474" cy="309562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31" name="CuadroTexto 2">
              <a:extLst>
                <a:ext uri="{FF2B5EF4-FFF2-40B4-BE49-F238E27FC236}">
                  <a16:creationId xmlns:a16="http://schemas.microsoft.com/office/drawing/2014/main" id="{BD1C43F3-680B-4C1B-BC50-05BC43A696FD}"/>
                </a:ext>
              </a:extLst>
            </xdr:cNvPr>
            <xdr:cNvSpPr txBox="1"/>
          </xdr:nvSpPr>
          <xdr:spPr>
            <a:xfrm>
              <a:off x="2085158" y="918056"/>
              <a:ext cx="3816206" cy="1541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AR" sz="900" i="1">
                  <a:latin typeface="Arial Nova Light" panose="020B0304020202020204" pitchFamily="34" charset="0"/>
                </a:rPr>
                <a:t>Curva elaborada</a:t>
              </a:r>
              <a:r>
                <a:rPr lang="es-AR" sz="900" i="1" baseline="0">
                  <a:latin typeface="Arial Nova Light" panose="020B0304020202020204" pitchFamily="34" charset="0"/>
                </a:rPr>
                <a:t> con precios OTC</a:t>
              </a:r>
              <a:endParaRPr lang="es-AR" sz="900" i="1">
                <a:latin typeface="Arial Nova Light" panose="020B0304020202020204" pitchFamily="34" charset="0"/>
              </a:endParaRPr>
            </a:p>
          </xdr:txBody>
        </xdr:sp>
      </xdr:grpSp>
      <xdr:sp macro="" textlink="">
        <xdr:nvSpPr>
          <xdr:cNvPr id="29" name="CuadroTexto 4">
            <a:extLst>
              <a:ext uri="{FF2B5EF4-FFF2-40B4-BE49-F238E27FC236}">
                <a16:creationId xmlns:a16="http://schemas.microsoft.com/office/drawing/2014/main" id="{6B296F3A-8B85-40A9-9248-BE26940E0A38}"/>
              </a:ext>
            </a:extLst>
          </xdr:cNvPr>
          <xdr:cNvSpPr txBox="1"/>
        </xdr:nvSpPr>
        <xdr:spPr>
          <a:xfrm>
            <a:off x="9731435" y="585921"/>
            <a:ext cx="720094" cy="2090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AR" sz="1100">
                <a:solidFill>
                  <a:schemeClr val="bg1"/>
                </a:solidFill>
                <a:latin typeface="Bahnschrift SemiBold" panose="020B0502040204020203" pitchFamily="34" charset="0"/>
              </a:rPr>
              <a:t>Cuadro</a:t>
            </a:r>
            <a:r>
              <a:rPr lang="es-AR" sz="1100" baseline="0">
                <a:solidFill>
                  <a:schemeClr val="bg1"/>
                </a:solidFill>
                <a:latin typeface="Bahnschrift SemiBold" panose="020B0502040204020203" pitchFamily="34" charset="0"/>
              </a:rPr>
              <a:t> IV</a:t>
            </a:r>
            <a:endParaRPr lang="es-AR" sz="1100">
              <a:solidFill>
                <a:schemeClr val="bg1"/>
              </a:solidFill>
              <a:latin typeface="Bahnschrift SemiBold" panose="020B0502040204020203" pitchFamily="34" charset="0"/>
            </a:endParaRPr>
          </a:p>
        </xdr:txBody>
      </xdr:sp>
    </xdr:grp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0.09325</cdr:x>
      <cdr:y>0.10257</cdr:y>
    </cdr:from>
    <cdr:to>
      <cdr:x>0.9118</cdr:x>
      <cdr:y>0.14859</cdr:y>
    </cdr:to>
    <cdr:sp macro="" textlink="">
      <cdr:nvSpPr>
        <cdr:cNvPr id="3" name="3 CuadroTexto"/>
        <cdr:cNvSpPr txBox="1"/>
      </cdr:nvSpPr>
      <cdr:spPr>
        <a:xfrm xmlns:a="http://schemas.openxmlformats.org/drawingml/2006/main">
          <a:off x="439844" y="289960"/>
          <a:ext cx="3860955" cy="130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solidFill>
                <a:schemeClr val="dk1"/>
              </a:solidFill>
              <a:effectLst/>
              <a:latin typeface="Arial Nova Light" panose="020B0304020202090204" pitchFamily="34" charset="0"/>
              <a:ea typeface="+mn-ea"/>
              <a:cs typeface="Arial" panose="020B0604020202020204" pitchFamily="34" charset="0"/>
            </a:rPr>
            <a:t>Evolución del ratio del</a:t>
          </a:r>
          <a:r>
            <a:rPr lang="es-AR" sz="900" i="1" baseline="0">
              <a:solidFill>
                <a:schemeClr val="dk1"/>
              </a:solidFill>
              <a:effectLst/>
              <a:latin typeface="Arial Nova Light" panose="020B0304020202090204" pitchFamily="34" charset="0"/>
              <a:ea typeface="+mn-ea"/>
              <a:cs typeface="Arial" panose="020B0604020202020204" pitchFamily="34" charset="0"/>
            </a:rPr>
            <a:t> precio en pesos plazo 48hs base cierre</a:t>
          </a:r>
          <a:endParaRPr lang="es-AR" sz="800">
            <a:effectLst/>
            <a:latin typeface="Arial Nova Light" panose="020B030402020209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191</xdr:row>
      <xdr:rowOff>52917</xdr:rowOff>
    </xdr:from>
    <xdr:to>
      <xdr:col>14</xdr:col>
      <xdr:colOff>578114</xdr:colOff>
      <xdr:row>209</xdr:row>
      <xdr:rowOff>34599</xdr:rowOff>
    </xdr:to>
    <xdr:grpSp>
      <xdr:nvGrpSpPr>
        <xdr:cNvPr id="5" name="40 Grupo">
          <a:extLst>
            <a:ext uri="{FF2B5EF4-FFF2-40B4-BE49-F238E27FC236}">
              <a16:creationId xmlns:a16="http://schemas.microsoft.com/office/drawing/2014/main" id="{21AA2C36-C29E-4F04-BF40-382C89724BA5}"/>
            </a:ext>
          </a:extLst>
        </xdr:cNvPr>
        <xdr:cNvGrpSpPr/>
      </xdr:nvGrpSpPr>
      <xdr:grpSpPr>
        <a:xfrm>
          <a:off x="5722938" y="36438417"/>
          <a:ext cx="5725582" cy="3410682"/>
          <a:chOff x="5368529" y="2601556"/>
          <a:chExt cx="5514975" cy="3206751"/>
        </a:xfrm>
      </xdr:grpSpPr>
      <xdr:graphicFrame macro="">
        <xdr:nvGraphicFramePr>
          <xdr:cNvPr id="6" name="41 Gráfico">
            <a:extLst>
              <a:ext uri="{FF2B5EF4-FFF2-40B4-BE49-F238E27FC236}">
                <a16:creationId xmlns:a16="http://schemas.microsoft.com/office/drawing/2014/main" id="{7A0AAA7A-34BF-4AB8-B45D-19C8CBFE6A44}"/>
              </a:ext>
            </a:extLst>
          </xdr:cNvPr>
          <xdr:cNvGraphicFramePr>
            <a:graphicFrameLocks noChangeAspect="1"/>
          </xdr:cNvGraphicFramePr>
        </xdr:nvGraphicFramePr>
        <xdr:xfrm>
          <a:off x="5368529" y="2601556"/>
          <a:ext cx="5514975" cy="31510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1 CuadroTexto">
            <a:extLst>
              <a:ext uri="{FF2B5EF4-FFF2-40B4-BE49-F238E27FC236}">
                <a16:creationId xmlns:a16="http://schemas.microsoft.com/office/drawing/2014/main" id="{0AED4F8E-D3CD-434C-876C-5D89FE51DF99}"/>
              </a:ext>
            </a:extLst>
          </xdr:cNvPr>
          <xdr:cNvSpPr txBox="1"/>
        </xdr:nvSpPr>
        <xdr:spPr>
          <a:xfrm>
            <a:off x="7494217" y="5530644"/>
            <a:ext cx="2979920" cy="277663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s-AR" sz="800" i="1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Fuente: Elaboración @robertoaxelrod en base a datos BYMA</a:t>
            </a:r>
            <a:endParaRPr lang="es-AR" sz="8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98426</xdr:colOff>
      <xdr:row>190</xdr:row>
      <xdr:rowOff>121708</xdr:rowOff>
    </xdr:from>
    <xdr:to>
      <xdr:col>7</xdr:col>
      <xdr:colOff>353484</xdr:colOff>
      <xdr:row>207</xdr:row>
      <xdr:rowOff>147131</xdr:rowOff>
    </xdr:to>
    <xdr:grpSp>
      <xdr:nvGrpSpPr>
        <xdr:cNvPr id="8" name="40 Grupo">
          <a:extLst>
            <a:ext uri="{FF2B5EF4-FFF2-40B4-BE49-F238E27FC236}">
              <a16:creationId xmlns:a16="http://schemas.microsoft.com/office/drawing/2014/main" id="{994FD7D9-A5B4-4109-A674-2C1C2BE91E85}"/>
            </a:ext>
          </a:extLst>
        </xdr:cNvPr>
        <xdr:cNvGrpSpPr/>
      </xdr:nvGrpSpPr>
      <xdr:grpSpPr>
        <a:xfrm>
          <a:off x="98426" y="36316708"/>
          <a:ext cx="5660496" cy="3263923"/>
          <a:chOff x="5374315" y="2659028"/>
          <a:chExt cx="5514975" cy="3151049"/>
        </a:xfrm>
      </xdr:grpSpPr>
      <xdr:graphicFrame macro="">
        <xdr:nvGraphicFramePr>
          <xdr:cNvPr id="9" name="41 Gráfico">
            <a:extLst>
              <a:ext uri="{FF2B5EF4-FFF2-40B4-BE49-F238E27FC236}">
                <a16:creationId xmlns:a16="http://schemas.microsoft.com/office/drawing/2014/main" id="{C668EAD3-E5CB-4E63-A505-33744C68B3A4}"/>
              </a:ext>
            </a:extLst>
          </xdr:cNvPr>
          <xdr:cNvGraphicFramePr>
            <a:graphicFrameLocks noChangeAspect="1"/>
          </xdr:cNvGraphicFramePr>
        </xdr:nvGraphicFramePr>
        <xdr:xfrm>
          <a:off x="5374315" y="2659028"/>
          <a:ext cx="5514975" cy="31510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1 CuadroTexto">
            <a:extLst>
              <a:ext uri="{FF2B5EF4-FFF2-40B4-BE49-F238E27FC236}">
                <a16:creationId xmlns:a16="http://schemas.microsoft.com/office/drawing/2014/main" id="{A752B76F-A98A-48C3-B5D4-0189881858A6}"/>
              </a:ext>
            </a:extLst>
          </xdr:cNvPr>
          <xdr:cNvSpPr txBox="1"/>
        </xdr:nvSpPr>
        <xdr:spPr>
          <a:xfrm>
            <a:off x="7399184" y="5516648"/>
            <a:ext cx="2950679" cy="203124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s-AR" sz="800" i="1">
                <a:solidFill>
                  <a:schemeClr val="bg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Fuente: Elaboración @robertoaxelrod en base a datos BYMA</a:t>
            </a:r>
            <a:endParaRPr lang="es-AR" sz="800">
              <a:solidFill>
                <a:schemeClr val="bg1"/>
              </a:solidFill>
              <a:effectLst/>
              <a:latin typeface="Arial" pitchFamily="34" charset="0"/>
              <a:cs typeface="Arial" pitchFamily="34" charset="0"/>
            </a:endParaRPr>
          </a:p>
        </xdr:txBody>
      </xdr:sp>
    </xdr:grpSp>
    <xdr:clientData/>
  </xdr:twoCellAnchor>
  <xdr:twoCellAnchor>
    <xdr:from>
      <xdr:col>15</xdr:col>
      <xdr:colOff>140494</xdr:colOff>
      <xdr:row>193</xdr:row>
      <xdr:rowOff>6615</xdr:rowOff>
    </xdr:from>
    <xdr:to>
      <xdr:col>22</xdr:col>
      <xdr:colOff>395552</xdr:colOff>
      <xdr:row>209</xdr:row>
      <xdr:rowOff>122142</xdr:rowOff>
    </xdr:to>
    <xdr:grpSp>
      <xdr:nvGrpSpPr>
        <xdr:cNvPr id="11" name="40 Grupo">
          <a:extLst>
            <a:ext uri="{FF2B5EF4-FFF2-40B4-BE49-F238E27FC236}">
              <a16:creationId xmlns:a16="http://schemas.microsoft.com/office/drawing/2014/main" id="{54D30A29-C24B-43A0-A1A2-787F163F5793}"/>
            </a:ext>
          </a:extLst>
        </xdr:cNvPr>
        <xdr:cNvGrpSpPr/>
      </xdr:nvGrpSpPr>
      <xdr:grpSpPr>
        <a:xfrm>
          <a:off x="11772900" y="36773115"/>
          <a:ext cx="5589058" cy="3163527"/>
          <a:chOff x="5368529" y="2601556"/>
          <a:chExt cx="5514975" cy="3151049"/>
        </a:xfrm>
      </xdr:grpSpPr>
      <xdr:graphicFrame macro="">
        <xdr:nvGraphicFramePr>
          <xdr:cNvPr id="12" name="41 Gráfico">
            <a:extLst>
              <a:ext uri="{FF2B5EF4-FFF2-40B4-BE49-F238E27FC236}">
                <a16:creationId xmlns:a16="http://schemas.microsoft.com/office/drawing/2014/main" id="{3101DC26-B686-4D67-BDD7-D46A4A84DDE3}"/>
              </a:ext>
            </a:extLst>
          </xdr:cNvPr>
          <xdr:cNvGraphicFramePr>
            <a:graphicFrameLocks noChangeAspect="1"/>
          </xdr:cNvGraphicFramePr>
        </xdr:nvGraphicFramePr>
        <xdr:xfrm>
          <a:off x="5368529" y="2601556"/>
          <a:ext cx="5514975" cy="31510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1 CuadroTexto">
            <a:extLst>
              <a:ext uri="{FF2B5EF4-FFF2-40B4-BE49-F238E27FC236}">
                <a16:creationId xmlns:a16="http://schemas.microsoft.com/office/drawing/2014/main" id="{94275468-B629-44B4-9D86-2EF7BF2859A0}"/>
              </a:ext>
            </a:extLst>
          </xdr:cNvPr>
          <xdr:cNvSpPr txBox="1"/>
        </xdr:nvSpPr>
        <xdr:spPr>
          <a:xfrm>
            <a:off x="7573582" y="5469459"/>
            <a:ext cx="2976788" cy="18872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s-AR" sz="800" i="1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Fuente: Elaboración @robertoaxelrod en base a datos BYMA</a:t>
            </a:r>
            <a:endParaRPr lang="es-AR" sz="8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190500</xdr:colOff>
      <xdr:row>211</xdr:row>
      <xdr:rowOff>45508</xdr:rowOff>
    </xdr:from>
    <xdr:to>
      <xdr:col>7</xdr:col>
      <xdr:colOff>445558</xdr:colOff>
      <xdr:row>227</xdr:row>
      <xdr:rowOff>143933</xdr:rowOff>
    </xdr:to>
    <xdr:grpSp>
      <xdr:nvGrpSpPr>
        <xdr:cNvPr id="14" name="40 Grupo">
          <a:extLst>
            <a:ext uri="{FF2B5EF4-FFF2-40B4-BE49-F238E27FC236}">
              <a16:creationId xmlns:a16="http://schemas.microsoft.com/office/drawing/2014/main" id="{EBA0EEEC-C411-43B5-BF83-62AD1730C64E}"/>
            </a:ext>
          </a:extLst>
        </xdr:cNvPr>
        <xdr:cNvGrpSpPr/>
      </xdr:nvGrpSpPr>
      <xdr:grpSpPr>
        <a:xfrm>
          <a:off x="190500" y="40241008"/>
          <a:ext cx="5660496" cy="3146425"/>
          <a:chOff x="5368529" y="2601556"/>
          <a:chExt cx="5514975" cy="3187093"/>
        </a:xfrm>
      </xdr:grpSpPr>
      <xdr:graphicFrame macro="">
        <xdr:nvGraphicFramePr>
          <xdr:cNvPr id="15" name="41 Gráfico">
            <a:extLst>
              <a:ext uri="{FF2B5EF4-FFF2-40B4-BE49-F238E27FC236}">
                <a16:creationId xmlns:a16="http://schemas.microsoft.com/office/drawing/2014/main" id="{A939A717-D75E-49E1-A8E2-587F20814D22}"/>
              </a:ext>
            </a:extLst>
          </xdr:cNvPr>
          <xdr:cNvGraphicFramePr>
            <a:graphicFrameLocks noChangeAspect="1"/>
          </xdr:cNvGraphicFramePr>
        </xdr:nvGraphicFramePr>
        <xdr:xfrm>
          <a:off x="5368529" y="2601556"/>
          <a:ext cx="5514975" cy="31510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6" name="1 CuadroTexto">
            <a:extLst>
              <a:ext uri="{FF2B5EF4-FFF2-40B4-BE49-F238E27FC236}">
                <a16:creationId xmlns:a16="http://schemas.microsoft.com/office/drawing/2014/main" id="{E1D8CA66-6397-4025-82C8-1C9F17F04955}"/>
              </a:ext>
            </a:extLst>
          </xdr:cNvPr>
          <xdr:cNvSpPr txBox="1"/>
        </xdr:nvSpPr>
        <xdr:spPr>
          <a:xfrm>
            <a:off x="7484818" y="5510986"/>
            <a:ext cx="2987230" cy="277663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s-AR" sz="800" i="1">
                <a:solidFill>
                  <a:schemeClr val="bg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Fuente: Elaboración @robertoaxelrod en base a datos BYMA</a:t>
            </a:r>
            <a:endParaRPr lang="es-AR" sz="800">
              <a:solidFill>
                <a:schemeClr val="bg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7</xdr:col>
      <xdr:colOff>349250</xdr:colOff>
      <xdr:row>211</xdr:row>
      <xdr:rowOff>93133</xdr:rowOff>
    </xdr:from>
    <xdr:to>
      <xdr:col>14</xdr:col>
      <xdr:colOff>551656</xdr:colOff>
      <xdr:row>228</xdr:row>
      <xdr:rowOff>29633</xdr:rowOff>
    </xdr:to>
    <xdr:grpSp>
      <xdr:nvGrpSpPr>
        <xdr:cNvPr id="17" name="40 Grupo">
          <a:extLst>
            <a:ext uri="{FF2B5EF4-FFF2-40B4-BE49-F238E27FC236}">
              <a16:creationId xmlns:a16="http://schemas.microsoft.com/office/drawing/2014/main" id="{4060D64B-40BA-48DD-862F-972EA43B59A2}"/>
            </a:ext>
          </a:extLst>
        </xdr:cNvPr>
        <xdr:cNvGrpSpPr/>
      </xdr:nvGrpSpPr>
      <xdr:grpSpPr>
        <a:xfrm>
          <a:off x="5754688" y="40288633"/>
          <a:ext cx="5667374" cy="3175000"/>
          <a:chOff x="5368529" y="2601556"/>
          <a:chExt cx="5756860" cy="3216037"/>
        </a:xfrm>
      </xdr:grpSpPr>
      <xdr:graphicFrame macro="">
        <xdr:nvGraphicFramePr>
          <xdr:cNvPr id="18" name="41 Gráfico">
            <a:extLst>
              <a:ext uri="{FF2B5EF4-FFF2-40B4-BE49-F238E27FC236}">
                <a16:creationId xmlns:a16="http://schemas.microsoft.com/office/drawing/2014/main" id="{68B2234A-37AB-47EC-B399-454B2CB7F6B2}"/>
              </a:ext>
            </a:extLst>
          </xdr:cNvPr>
          <xdr:cNvGraphicFramePr>
            <a:graphicFrameLocks noChangeAspect="1"/>
          </xdr:cNvGraphicFramePr>
        </xdr:nvGraphicFramePr>
        <xdr:xfrm>
          <a:off x="5368529" y="2601556"/>
          <a:ext cx="5756860" cy="31510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9" name="1 CuadroTexto">
            <a:extLst>
              <a:ext uri="{FF2B5EF4-FFF2-40B4-BE49-F238E27FC236}">
                <a16:creationId xmlns:a16="http://schemas.microsoft.com/office/drawing/2014/main" id="{62BA54D3-E0EF-4971-9260-530D595F80B4}"/>
              </a:ext>
            </a:extLst>
          </xdr:cNvPr>
          <xdr:cNvSpPr txBox="1"/>
        </xdr:nvSpPr>
        <xdr:spPr>
          <a:xfrm>
            <a:off x="7033678" y="5539930"/>
            <a:ext cx="3724998" cy="277663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s-AR" sz="1050" i="1">
                <a:effectLst/>
                <a:latin typeface="+mn-lt"/>
                <a:ea typeface="+mn-ea"/>
                <a:cs typeface="+mn-cs"/>
              </a:rPr>
              <a:t>Fuente: Elaboración @robertoaxelrod en base a datos BYMA</a:t>
            </a:r>
            <a:endParaRPr lang="es-AR" sz="1050">
              <a:effectLst/>
            </a:endParaRPr>
          </a:p>
        </xdr:txBody>
      </xdr:sp>
    </xdr:grpSp>
    <xdr:clientData/>
  </xdr:twoCellAnchor>
  <xdr:twoCellAnchor>
    <xdr:from>
      <xdr:col>15</xdr:col>
      <xdr:colOff>91812</xdr:colOff>
      <xdr:row>210</xdr:row>
      <xdr:rowOff>129645</xdr:rowOff>
    </xdr:from>
    <xdr:to>
      <xdr:col>22</xdr:col>
      <xdr:colOff>346870</xdr:colOff>
      <xdr:row>228</xdr:row>
      <xdr:rowOff>150811</xdr:rowOff>
    </xdr:to>
    <xdr:grpSp>
      <xdr:nvGrpSpPr>
        <xdr:cNvPr id="20" name="40 Grupo">
          <a:extLst>
            <a:ext uri="{FF2B5EF4-FFF2-40B4-BE49-F238E27FC236}">
              <a16:creationId xmlns:a16="http://schemas.microsoft.com/office/drawing/2014/main" id="{D4ECB08D-6EF3-47AE-BB4F-F2DD0C8D0AEB}"/>
            </a:ext>
          </a:extLst>
        </xdr:cNvPr>
        <xdr:cNvGrpSpPr/>
      </xdr:nvGrpSpPr>
      <xdr:grpSpPr>
        <a:xfrm>
          <a:off x="11724218" y="40134645"/>
          <a:ext cx="5589058" cy="3450166"/>
          <a:chOff x="5368529" y="2601556"/>
          <a:chExt cx="5514975" cy="3216037"/>
        </a:xfrm>
      </xdr:grpSpPr>
      <xdr:graphicFrame macro="">
        <xdr:nvGraphicFramePr>
          <xdr:cNvPr id="21" name="41 Gráfico">
            <a:extLst>
              <a:ext uri="{FF2B5EF4-FFF2-40B4-BE49-F238E27FC236}">
                <a16:creationId xmlns:a16="http://schemas.microsoft.com/office/drawing/2014/main" id="{D65C66CE-7972-4B84-B4A4-2F297DC148D1}"/>
              </a:ext>
            </a:extLst>
          </xdr:cNvPr>
          <xdr:cNvGraphicFramePr>
            <a:graphicFrameLocks noChangeAspect="1"/>
          </xdr:cNvGraphicFramePr>
        </xdr:nvGraphicFramePr>
        <xdr:xfrm>
          <a:off x="5368529" y="2601556"/>
          <a:ext cx="5514975" cy="31510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2" name="1 CuadroTexto">
            <a:extLst>
              <a:ext uri="{FF2B5EF4-FFF2-40B4-BE49-F238E27FC236}">
                <a16:creationId xmlns:a16="http://schemas.microsoft.com/office/drawing/2014/main" id="{46E41195-8752-4495-B0AE-154CAA0C3F61}"/>
              </a:ext>
            </a:extLst>
          </xdr:cNvPr>
          <xdr:cNvSpPr txBox="1"/>
        </xdr:nvSpPr>
        <xdr:spPr>
          <a:xfrm>
            <a:off x="7033678" y="5539930"/>
            <a:ext cx="3724998" cy="277663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s-AR" sz="1050" i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Fuente: Elaboración @robertoaxelrod en base a datos BYMA</a:t>
            </a:r>
            <a:endParaRPr lang="es-AR" sz="1050">
              <a:solidFill>
                <a:schemeClr val="bg1"/>
              </a:solidFill>
              <a:effectLst/>
            </a:endParaRPr>
          </a:p>
        </xdr:txBody>
      </xdr:sp>
    </xdr:grpSp>
    <xdr:clientData/>
  </xdr:twoCellAnchor>
  <xdr:twoCellAnchor>
    <xdr:from>
      <xdr:col>0</xdr:col>
      <xdr:colOff>149226</xdr:colOff>
      <xdr:row>230</xdr:row>
      <xdr:rowOff>118533</xdr:rowOff>
    </xdr:from>
    <xdr:to>
      <xdr:col>7</xdr:col>
      <xdr:colOff>404284</xdr:colOff>
      <xdr:row>247</xdr:row>
      <xdr:rowOff>118532</xdr:rowOff>
    </xdr:to>
    <xdr:grpSp>
      <xdr:nvGrpSpPr>
        <xdr:cNvPr id="23" name="40 Grupo">
          <a:extLst>
            <a:ext uri="{FF2B5EF4-FFF2-40B4-BE49-F238E27FC236}">
              <a16:creationId xmlns:a16="http://schemas.microsoft.com/office/drawing/2014/main" id="{E7E21126-03F8-4A29-ABC6-92008EAB4395}"/>
            </a:ext>
          </a:extLst>
        </xdr:cNvPr>
        <xdr:cNvGrpSpPr/>
      </xdr:nvGrpSpPr>
      <xdr:grpSpPr>
        <a:xfrm>
          <a:off x="149226" y="43933533"/>
          <a:ext cx="5660496" cy="3238499"/>
          <a:chOff x="5368529" y="2601556"/>
          <a:chExt cx="5514975" cy="3216037"/>
        </a:xfrm>
      </xdr:grpSpPr>
      <xdr:graphicFrame macro="">
        <xdr:nvGraphicFramePr>
          <xdr:cNvPr id="24" name="41 Gráfico">
            <a:extLst>
              <a:ext uri="{FF2B5EF4-FFF2-40B4-BE49-F238E27FC236}">
                <a16:creationId xmlns:a16="http://schemas.microsoft.com/office/drawing/2014/main" id="{BC60607E-D59A-4EC8-A19E-E0622DBFE80B}"/>
              </a:ext>
            </a:extLst>
          </xdr:cNvPr>
          <xdr:cNvGraphicFramePr>
            <a:graphicFrameLocks noChangeAspect="1"/>
          </xdr:cNvGraphicFramePr>
        </xdr:nvGraphicFramePr>
        <xdr:xfrm>
          <a:off x="5368529" y="2601556"/>
          <a:ext cx="5514975" cy="31510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5" name="1 CuadroTexto">
            <a:extLst>
              <a:ext uri="{FF2B5EF4-FFF2-40B4-BE49-F238E27FC236}">
                <a16:creationId xmlns:a16="http://schemas.microsoft.com/office/drawing/2014/main" id="{D4193FC1-C53D-402A-A2E7-FB555F3BFF13}"/>
              </a:ext>
            </a:extLst>
          </xdr:cNvPr>
          <xdr:cNvSpPr txBox="1"/>
        </xdr:nvSpPr>
        <xdr:spPr>
          <a:xfrm>
            <a:off x="7033678" y="5539930"/>
            <a:ext cx="3724998" cy="277663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s-AR" sz="1050" i="1">
                <a:effectLst/>
                <a:latin typeface="+mn-lt"/>
                <a:ea typeface="+mn-ea"/>
                <a:cs typeface="+mn-cs"/>
              </a:rPr>
              <a:t>Fuente: Elaboración @robertoaxelrod en base a datos BYMA</a:t>
            </a:r>
            <a:endParaRPr lang="es-AR" sz="1050">
              <a:effectLst/>
            </a:endParaRPr>
          </a:p>
        </xdr:txBody>
      </xdr:sp>
    </xdr:grpSp>
    <xdr:clientData/>
  </xdr:twoCellAnchor>
  <xdr:twoCellAnchor>
    <xdr:from>
      <xdr:col>7</xdr:col>
      <xdr:colOff>338667</xdr:colOff>
      <xdr:row>230</xdr:row>
      <xdr:rowOff>149224</xdr:rowOff>
    </xdr:from>
    <xdr:to>
      <xdr:col>14</xdr:col>
      <xdr:colOff>100542</xdr:colOff>
      <xdr:row>247</xdr:row>
      <xdr:rowOff>91039</xdr:rowOff>
    </xdr:to>
    <xdr:grpSp>
      <xdr:nvGrpSpPr>
        <xdr:cNvPr id="26" name="40 Grupo">
          <a:extLst>
            <a:ext uri="{FF2B5EF4-FFF2-40B4-BE49-F238E27FC236}">
              <a16:creationId xmlns:a16="http://schemas.microsoft.com/office/drawing/2014/main" id="{C5F75883-DA5C-4EED-9267-3A6E7061C892}"/>
            </a:ext>
          </a:extLst>
        </xdr:cNvPr>
        <xdr:cNvGrpSpPr/>
      </xdr:nvGrpSpPr>
      <xdr:grpSpPr>
        <a:xfrm>
          <a:off x="5744105" y="43964224"/>
          <a:ext cx="5226843" cy="3180315"/>
          <a:chOff x="5316314" y="2601556"/>
          <a:chExt cx="5514975" cy="3151049"/>
        </a:xfrm>
      </xdr:grpSpPr>
      <xdr:graphicFrame macro="">
        <xdr:nvGraphicFramePr>
          <xdr:cNvPr id="27" name="41 Gráfico">
            <a:extLst>
              <a:ext uri="{FF2B5EF4-FFF2-40B4-BE49-F238E27FC236}">
                <a16:creationId xmlns:a16="http://schemas.microsoft.com/office/drawing/2014/main" id="{65F1A9AD-F19D-4CE0-AF49-1E28DA1F55CD}"/>
              </a:ext>
            </a:extLst>
          </xdr:cNvPr>
          <xdr:cNvGraphicFramePr>
            <a:graphicFrameLocks noChangeAspect="1"/>
          </xdr:cNvGraphicFramePr>
        </xdr:nvGraphicFramePr>
        <xdr:xfrm>
          <a:off x="5316314" y="2601556"/>
          <a:ext cx="5514975" cy="31510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28" name="1 CuadroTexto">
            <a:extLst>
              <a:ext uri="{FF2B5EF4-FFF2-40B4-BE49-F238E27FC236}">
                <a16:creationId xmlns:a16="http://schemas.microsoft.com/office/drawing/2014/main" id="{C39BCF20-77C7-481E-BFB7-DB22BD47F190}"/>
              </a:ext>
            </a:extLst>
          </xdr:cNvPr>
          <xdr:cNvSpPr txBox="1"/>
        </xdr:nvSpPr>
        <xdr:spPr>
          <a:xfrm>
            <a:off x="7112763" y="5528707"/>
            <a:ext cx="3237101" cy="191066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s-AR" sz="800" i="1">
                <a:effectLst/>
                <a:latin typeface="Arial" pitchFamily="34" charset="0"/>
                <a:ea typeface="+mn-ea"/>
                <a:cs typeface="Arial" pitchFamily="34" charset="0"/>
              </a:rPr>
              <a:t>Fuente: Elaboración @robertoaxelrod en base a datos BYMA</a:t>
            </a:r>
            <a:endParaRPr lang="es-AR" sz="800">
              <a:effectLst/>
              <a:latin typeface="Arial" pitchFamily="34" charset="0"/>
              <a:cs typeface="Arial" pitchFamily="34" charset="0"/>
            </a:endParaRPr>
          </a:p>
        </xdr:txBody>
      </xdr:sp>
    </xdr:grpSp>
    <xdr:clientData/>
  </xdr:twoCellAnchor>
  <xdr:twoCellAnchor>
    <xdr:from>
      <xdr:col>14</xdr:col>
      <xdr:colOff>463021</xdr:colOff>
      <xdr:row>230</xdr:row>
      <xdr:rowOff>39686</xdr:rowOff>
    </xdr:from>
    <xdr:to>
      <xdr:col>21</xdr:col>
      <xdr:colOff>707495</xdr:colOff>
      <xdr:row>246</xdr:row>
      <xdr:rowOff>172001</xdr:rowOff>
    </xdr:to>
    <xdr:grpSp>
      <xdr:nvGrpSpPr>
        <xdr:cNvPr id="29" name="40 Grupo">
          <a:extLst>
            <a:ext uri="{FF2B5EF4-FFF2-40B4-BE49-F238E27FC236}">
              <a16:creationId xmlns:a16="http://schemas.microsoft.com/office/drawing/2014/main" id="{D856BE48-3A61-4B5B-B0B6-BCD528C359D5}"/>
            </a:ext>
          </a:extLst>
        </xdr:cNvPr>
        <xdr:cNvGrpSpPr/>
      </xdr:nvGrpSpPr>
      <xdr:grpSpPr>
        <a:xfrm>
          <a:off x="11333427" y="43854686"/>
          <a:ext cx="5578474" cy="3180315"/>
          <a:chOff x="5316314" y="2601556"/>
          <a:chExt cx="5514975" cy="3151049"/>
        </a:xfrm>
      </xdr:grpSpPr>
      <xdr:graphicFrame macro="">
        <xdr:nvGraphicFramePr>
          <xdr:cNvPr id="30" name="41 Gráfico">
            <a:extLst>
              <a:ext uri="{FF2B5EF4-FFF2-40B4-BE49-F238E27FC236}">
                <a16:creationId xmlns:a16="http://schemas.microsoft.com/office/drawing/2014/main" id="{071D7521-6686-42FA-85FF-45A230ADCD10}"/>
              </a:ext>
            </a:extLst>
          </xdr:cNvPr>
          <xdr:cNvGraphicFramePr>
            <a:graphicFrameLocks noChangeAspect="1"/>
          </xdr:cNvGraphicFramePr>
        </xdr:nvGraphicFramePr>
        <xdr:xfrm>
          <a:off x="5316314" y="2601556"/>
          <a:ext cx="5514975" cy="31510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31" name="1 CuadroTexto">
            <a:extLst>
              <a:ext uri="{FF2B5EF4-FFF2-40B4-BE49-F238E27FC236}">
                <a16:creationId xmlns:a16="http://schemas.microsoft.com/office/drawing/2014/main" id="{E6028A71-817B-4F56-87B5-B2BEA7B97B61}"/>
              </a:ext>
            </a:extLst>
          </xdr:cNvPr>
          <xdr:cNvSpPr txBox="1"/>
        </xdr:nvSpPr>
        <xdr:spPr>
          <a:xfrm>
            <a:off x="7399184" y="5516648"/>
            <a:ext cx="2950679" cy="203124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s-AR" sz="800" i="1">
                <a:effectLst/>
                <a:latin typeface="Arial" pitchFamily="34" charset="0"/>
                <a:ea typeface="+mn-ea"/>
                <a:cs typeface="Arial" pitchFamily="34" charset="0"/>
              </a:rPr>
              <a:t>Fuente: Elaboración @robertoaxelrod en base a datos BYMA</a:t>
            </a:r>
            <a:endParaRPr lang="es-AR" sz="800">
              <a:effectLst/>
              <a:latin typeface="Arial" pitchFamily="34" charset="0"/>
              <a:cs typeface="Arial" pitchFamily="34" charset="0"/>
            </a:endParaRPr>
          </a:p>
        </xdr:txBody>
      </xdr:sp>
    </xdr:grpSp>
    <xdr:clientData/>
  </xdr:twoCellAnchor>
  <xdr:twoCellAnchor>
    <xdr:from>
      <xdr:col>14</xdr:col>
      <xdr:colOff>709083</xdr:colOff>
      <xdr:row>257</xdr:row>
      <xdr:rowOff>21167</xdr:rowOff>
    </xdr:from>
    <xdr:to>
      <xdr:col>22</xdr:col>
      <xdr:colOff>339724</xdr:colOff>
      <xdr:row>273</xdr:row>
      <xdr:rowOff>153482</xdr:rowOff>
    </xdr:to>
    <xdr:grpSp>
      <xdr:nvGrpSpPr>
        <xdr:cNvPr id="32" name="40 Grupo">
          <a:extLst>
            <a:ext uri="{FF2B5EF4-FFF2-40B4-BE49-F238E27FC236}">
              <a16:creationId xmlns:a16="http://schemas.microsoft.com/office/drawing/2014/main" id="{DA229479-C1D1-4345-856E-D713C2361C83}"/>
            </a:ext>
          </a:extLst>
        </xdr:cNvPr>
        <xdr:cNvGrpSpPr/>
      </xdr:nvGrpSpPr>
      <xdr:grpSpPr>
        <a:xfrm>
          <a:off x="11579489" y="48979667"/>
          <a:ext cx="5726641" cy="3180315"/>
          <a:chOff x="5316314" y="2601556"/>
          <a:chExt cx="5514975" cy="3151049"/>
        </a:xfrm>
      </xdr:grpSpPr>
      <xdr:graphicFrame macro="">
        <xdr:nvGraphicFramePr>
          <xdr:cNvPr id="33" name="41 Gráfico">
            <a:extLst>
              <a:ext uri="{FF2B5EF4-FFF2-40B4-BE49-F238E27FC236}">
                <a16:creationId xmlns:a16="http://schemas.microsoft.com/office/drawing/2014/main" id="{E37AFAAD-662D-43DA-B870-4264E54EE300}"/>
              </a:ext>
            </a:extLst>
          </xdr:cNvPr>
          <xdr:cNvGraphicFramePr>
            <a:graphicFrameLocks noChangeAspect="1"/>
          </xdr:cNvGraphicFramePr>
        </xdr:nvGraphicFramePr>
        <xdr:xfrm>
          <a:off x="5316314" y="2601556"/>
          <a:ext cx="5514975" cy="31510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34" name="1 CuadroTexto">
            <a:extLst>
              <a:ext uri="{FF2B5EF4-FFF2-40B4-BE49-F238E27FC236}">
                <a16:creationId xmlns:a16="http://schemas.microsoft.com/office/drawing/2014/main" id="{57AEEEC1-97BE-4042-91D3-70720B9C550D}"/>
              </a:ext>
            </a:extLst>
          </xdr:cNvPr>
          <xdr:cNvSpPr txBox="1"/>
        </xdr:nvSpPr>
        <xdr:spPr>
          <a:xfrm>
            <a:off x="7399184" y="5516648"/>
            <a:ext cx="2950679" cy="203124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s-AR" sz="800" i="1">
                <a:effectLst/>
                <a:latin typeface="Arial" pitchFamily="34" charset="0"/>
                <a:ea typeface="+mn-ea"/>
                <a:cs typeface="Arial" pitchFamily="34" charset="0"/>
              </a:rPr>
              <a:t>Fuente: Elaboración @robertoaxelrod en base a datos BYMA</a:t>
            </a:r>
            <a:endParaRPr lang="es-AR" sz="800">
              <a:effectLst/>
              <a:latin typeface="Arial" pitchFamily="34" charset="0"/>
              <a:cs typeface="Arial" pitchFamily="34" charset="0"/>
            </a:endParaRPr>
          </a:p>
        </xdr:txBody>
      </xdr:sp>
    </xdr:grpSp>
    <xdr:clientData/>
  </xdr:twoCellAnchor>
  <xdr:twoCellAnchor>
    <xdr:from>
      <xdr:col>17</xdr:col>
      <xdr:colOff>523875</xdr:colOff>
      <xdr:row>19</xdr:row>
      <xdr:rowOff>130968</xdr:rowOff>
    </xdr:from>
    <xdr:to>
      <xdr:col>25</xdr:col>
      <xdr:colOff>16933</xdr:colOff>
      <xdr:row>36</xdr:row>
      <xdr:rowOff>72783</xdr:rowOff>
    </xdr:to>
    <xdr:grpSp>
      <xdr:nvGrpSpPr>
        <xdr:cNvPr id="35" name="40 Grupo">
          <a:extLst>
            <a:ext uri="{FF2B5EF4-FFF2-40B4-BE49-F238E27FC236}">
              <a16:creationId xmlns:a16="http://schemas.microsoft.com/office/drawing/2014/main" id="{56B60B4B-DF9A-445B-9125-6302EDB6F79B}"/>
            </a:ext>
          </a:extLst>
        </xdr:cNvPr>
        <xdr:cNvGrpSpPr/>
      </xdr:nvGrpSpPr>
      <xdr:grpSpPr>
        <a:xfrm>
          <a:off x="13680281" y="3750468"/>
          <a:ext cx="5589058" cy="3180315"/>
          <a:chOff x="5316314" y="2601556"/>
          <a:chExt cx="5514975" cy="3151049"/>
        </a:xfrm>
      </xdr:grpSpPr>
      <xdr:graphicFrame macro="">
        <xdr:nvGraphicFramePr>
          <xdr:cNvPr id="36" name="41 Gráfico">
            <a:extLst>
              <a:ext uri="{FF2B5EF4-FFF2-40B4-BE49-F238E27FC236}">
                <a16:creationId xmlns:a16="http://schemas.microsoft.com/office/drawing/2014/main" id="{04365E0E-9CDD-4D2E-8A00-73E4E2D10C21}"/>
              </a:ext>
            </a:extLst>
          </xdr:cNvPr>
          <xdr:cNvGraphicFramePr>
            <a:graphicFrameLocks noChangeAspect="1"/>
          </xdr:cNvGraphicFramePr>
        </xdr:nvGraphicFramePr>
        <xdr:xfrm>
          <a:off x="5316314" y="2601556"/>
          <a:ext cx="5514975" cy="31510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37" name="1 CuadroTexto">
            <a:extLst>
              <a:ext uri="{FF2B5EF4-FFF2-40B4-BE49-F238E27FC236}">
                <a16:creationId xmlns:a16="http://schemas.microsoft.com/office/drawing/2014/main" id="{C2C14AD2-B054-4F93-AD27-0A4FD658E538}"/>
              </a:ext>
            </a:extLst>
          </xdr:cNvPr>
          <xdr:cNvSpPr txBox="1"/>
        </xdr:nvSpPr>
        <xdr:spPr>
          <a:xfrm>
            <a:off x="7399184" y="5516648"/>
            <a:ext cx="2950679" cy="203124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s-AR" sz="800" i="1">
                <a:solidFill>
                  <a:schemeClr val="bg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Fuente: Elaboración @robertoaxelrod en base a datos BYMA</a:t>
            </a:r>
            <a:endParaRPr lang="es-AR" sz="800">
              <a:solidFill>
                <a:schemeClr val="bg1"/>
              </a:solidFill>
              <a:effectLst/>
              <a:latin typeface="Arial" pitchFamily="34" charset="0"/>
              <a:cs typeface="Arial" pitchFamily="34" charset="0"/>
            </a:endParaRPr>
          </a:p>
        </xdr:txBody>
      </xdr:sp>
    </xdr:grpSp>
    <xdr:clientData/>
  </xdr:twoCellAnchor>
  <xdr:twoCellAnchor>
    <xdr:from>
      <xdr:col>16</xdr:col>
      <xdr:colOff>740834</xdr:colOff>
      <xdr:row>37</xdr:row>
      <xdr:rowOff>104511</xdr:rowOff>
    </xdr:from>
    <xdr:to>
      <xdr:col>24</xdr:col>
      <xdr:colOff>666486</xdr:colOff>
      <xdr:row>56</xdr:row>
      <xdr:rowOff>42333</xdr:rowOff>
    </xdr:to>
    <xdr:graphicFrame macro="">
      <xdr:nvGraphicFramePr>
        <xdr:cNvPr id="39" name="41 Gráfico">
          <a:extLst>
            <a:ext uri="{FF2B5EF4-FFF2-40B4-BE49-F238E27FC236}">
              <a16:creationId xmlns:a16="http://schemas.microsoft.com/office/drawing/2014/main" id="{4F22CD13-4F85-4FB3-9CC2-C940AFB435C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0.13293</cdr:x>
      <cdr:y>0.13492</cdr:y>
    </cdr:from>
    <cdr:to>
      <cdr:x>0.8879</cdr:x>
      <cdr:y>0.18707</cdr:y>
    </cdr:to>
    <cdr:sp macro="" textlink="">
      <cdr:nvSpPr>
        <cdr:cNvPr id="3" name="3 CuadroTexto"/>
        <cdr:cNvSpPr txBox="1"/>
      </cdr:nvSpPr>
      <cdr:spPr>
        <a:xfrm xmlns:a="http://schemas.openxmlformats.org/drawingml/2006/main">
          <a:off x="742930" y="436028"/>
          <a:ext cx="4219571" cy="16854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000" i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Evolución del ratio del</a:t>
          </a:r>
          <a:r>
            <a:rPr lang="es-AR" sz="1000" i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precio en pesos en BYMA T+2 base cierre</a:t>
          </a:r>
          <a:endParaRPr lang="es-AR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0.13463</cdr:x>
      <cdr:y>0.12018</cdr:y>
    </cdr:from>
    <cdr:to>
      <cdr:x>0.8896</cdr:x>
      <cdr:y>0.17233</cdr:y>
    </cdr:to>
    <cdr:sp macro="" textlink="">
      <cdr:nvSpPr>
        <cdr:cNvPr id="3" name="3 CuadroTexto"/>
        <cdr:cNvSpPr txBox="1"/>
      </cdr:nvSpPr>
      <cdr:spPr>
        <a:xfrm xmlns:a="http://schemas.openxmlformats.org/drawingml/2006/main">
          <a:off x="752455" y="382210"/>
          <a:ext cx="4219571" cy="16585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000" i="1">
              <a:latin typeface="Arial" pitchFamily="34" charset="0"/>
              <a:cs typeface="Arial" pitchFamily="34" charset="0"/>
            </a:rPr>
            <a:t>Evolución del ratio del</a:t>
          </a:r>
          <a:r>
            <a:rPr lang="es-AR" sz="1000" i="1" baseline="0">
              <a:latin typeface="Arial" pitchFamily="34" charset="0"/>
              <a:cs typeface="Arial" pitchFamily="34" charset="0"/>
            </a:rPr>
            <a:t> precio en pesos en BYMA T+2 base cierre</a:t>
          </a:r>
          <a:endParaRPr lang="es-AR" sz="1000" i="1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0.13463</cdr:x>
      <cdr:y>0.13511</cdr:y>
    </cdr:from>
    <cdr:to>
      <cdr:x>0.8896</cdr:x>
      <cdr:y>0.18726</cdr:y>
    </cdr:to>
    <cdr:sp macro="" textlink="">
      <cdr:nvSpPr>
        <cdr:cNvPr id="3" name="3 CuadroTexto"/>
        <cdr:cNvSpPr txBox="1"/>
      </cdr:nvSpPr>
      <cdr:spPr>
        <a:xfrm xmlns:a="http://schemas.openxmlformats.org/drawingml/2006/main">
          <a:off x="752455" y="430878"/>
          <a:ext cx="4219571" cy="16630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Evolución del ratio del</a:t>
          </a:r>
          <a:r>
            <a:rPr lang="es-AR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precio en pesos en BYMA T+2 base cierre</a:t>
          </a:r>
          <a:endParaRPr lang="es-AR" sz="1000">
            <a:effectLst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0.13463</cdr:x>
      <cdr:y>0.12018</cdr:y>
    </cdr:from>
    <cdr:to>
      <cdr:x>0.8896</cdr:x>
      <cdr:y>0.17233</cdr:y>
    </cdr:to>
    <cdr:sp macro="" textlink="">
      <cdr:nvSpPr>
        <cdr:cNvPr id="3" name="3 CuadroTexto"/>
        <cdr:cNvSpPr txBox="1"/>
      </cdr:nvSpPr>
      <cdr:spPr>
        <a:xfrm xmlns:a="http://schemas.openxmlformats.org/drawingml/2006/main">
          <a:off x="752475" y="546282"/>
          <a:ext cx="4219575" cy="2370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Evolución del ratio del</a:t>
          </a:r>
          <a:r>
            <a:rPr lang="es-AR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precio en pesos en BYMA T+2 base cierre</a:t>
          </a:r>
          <a:endParaRPr lang="es-AR">
            <a:effectLst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0.13463</cdr:x>
      <cdr:y>0.12018</cdr:y>
    </cdr:from>
    <cdr:to>
      <cdr:x>0.8896</cdr:x>
      <cdr:y>0.17233</cdr:y>
    </cdr:to>
    <cdr:sp macro="" textlink="">
      <cdr:nvSpPr>
        <cdr:cNvPr id="3" name="3 CuadroTexto"/>
        <cdr:cNvSpPr txBox="1"/>
      </cdr:nvSpPr>
      <cdr:spPr>
        <a:xfrm xmlns:a="http://schemas.openxmlformats.org/drawingml/2006/main">
          <a:off x="752475" y="546282"/>
          <a:ext cx="4219575" cy="2370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050" i="1">
              <a:latin typeface="Arial" pitchFamily="34" charset="0"/>
              <a:cs typeface="Arial" pitchFamily="34" charset="0"/>
            </a:rPr>
            <a:t>Evolución del ratio desde que comenzaron a cotizar los bonos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0.13463</cdr:x>
      <cdr:y>0.12018</cdr:y>
    </cdr:from>
    <cdr:to>
      <cdr:x>0.8896</cdr:x>
      <cdr:y>0.17233</cdr:y>
    </cdr:to>
    <cdr:sp macro="" textlink="">
      <cdr:nvSpPr>
        <cdr:cNvPr id="3" name="3 CuadroTexto"/>
        <cdr:cNvSpPr txBox="1"/>
      </cdr:nvSpPr>
      <cdr:spPr>
        <a:xfrm xmlns:a="http://schemas.openxmlformats.org/drawingml/2006/main">
          <a:off x="752475" y="546282"/>
          <a:ext cx="4219575" cy="2370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100" i="1">
              <a:latin typeface="Arial" pitchFamily="34" charset="0"/>
              <a:cs typeface="Arial" pitchFamily="34" charset="0"/>
            </a:rPr>
            <a:t>Evolución del ratio desde que comenzaron a cotizar los bonos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0.13463</cdr:x>
      <cdr:y>0.12018</cdr:y>
    </cdr:from>
    <cdr:to>
      <cdr:x>0.8896</cdr:x>
      <cdr:y>0.17233</cdr:y>
    </cdr:to>
    <cdr:sp macro="" textlink="">
      <cdr:nvSpPr>
        <cdr:cNvPr id="3" name="3 CuadroTexto"/>
        <cdr:cNvSpPr txBox="1"/>
      </cdr:nvSpPr>
      <cdr:spPr>
        <a:xfrm xmlns:a="http://schemas.openxmlformats.org/drawingml/2006/main">
          <a:off x="752475" y="546282"/>
          <a:ext cx="4219575" cy="2370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100" i="1">
              <a:latin typeface="Arial" pitchFamily="34" charset="0"/>
              <a:cs typeface="Arial" pitchFamily="34" charset="0"/>
            </a:rPr>
            <a:t>Evolución del ratio desde que comenzaron a cotizar los bonos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0.13463</cdr:x>
      <cdr:y>0.12018</cdr:y>
    </cdr:from>
    <cdr:to>
      <cdr:x>0.8896</cdr:x>
      <cdr:y>0.17233</cdr:y>
    </cdr:to>
    <cdr:sp macro="" textlink="">
      <cdr:nvSpPr>
        <cdr:cNvPr id="3" name="3 CuadroTexto"/>
        <cdr:cNvSpPr txBox="1"/>
      </cdr:nvSpPr>
      <cdr:spPr>
        <a:xfrm xmlns:a="http://schemas.openxmlformats.org/drawingml/2006/main">
          <a:off x="752475" y="546282"/>
          <a:ext cx="4219575" cy="2370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000" i="1">
              <a:latin typeface="Arial" pitchFamily="34" charset="0"/>
              <a:cs typeface="Arial" pitchFamily="34" charset="0"/>
            </a:rPr>
            <a:t>Evolución del ratio del</a:t>
          </a:r>
          <a:r>
            <a:rPr lang="es-AR" sz="1000" i="1" baseline="0">
              <a:latin typeface="Arial" pitchFamily="34" charset="0"/>
              <a:cs typeface="Arial" pitchFamily="34" charset="0"/>
            </a:rPr>
            <a:t> precio en pesos en BYMA T+2 base cierre</a:t>
          </a:r>
          <a:endParaRPr lang="es-AR" sz="1000" i="1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0.15658</cdr:x>
      <cdr:y>0.90462</cdr:y>
    </cdr:from>
    <cdr:to>
      <cdr:x>0.91858</cdr:x>
      <cdr:y>0.95692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218F723-54E8-4DF8-8A69-6FB9438A645D}"/>
            </a:ext>
          </a:extLst>
        </cdr:cNvPr>
        <cdr:cNvSpPr txBox="1"/>
      </cdr:nvSpPr>
      <cdr:spPr>
        <a:xfrm xmlns:a="http://schemas.openxmlformats.org/drawingml/2006/main">
          <a:off x="714375" y="2800351"/>
          <a:ext cx="3476625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0.15031</cdr:x>
      <cdr:y>0.89538</cdr:y>
    </cdr:from>
    <cdr:to>
      <cdr:x>0.92902</cdr:x>
      <cdr:y>0.96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FE387DE7-7F37-4136-8494-5FAFA9866E88}"/>
            </a:ext>
          </a:extLst>
        </cdr:cNvPr>
        <cdr:cNvSpPr txBox="1"/>
      </cdr:nvSpPr>
      <cdr:spPr>
        <a:xfrm xmlns:a="http://schemas.openxmlformats.org/drawingml/2006/main">
          <a:off x="685800" y="2771776"/>
          <a:ext cx="35528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0.10751</cdr:x>
      <cdr:y>0.95034</cdr:y>
    </cdr:from>
    <cdr:to>
      <cdr:x>0.98777</cdr:x>
      <cdr:y>1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8B8D3250-B281-413D-8A46-BA8110802784}"/>
            </a:ext>
          </a:extLst>
        </cdr:cNvPr>
        <cdr:cNvSpPr txBox="1"/>
      </cdr:nvSpPr>
      <cdr:spPr>
        <a:xfrm xmlns:a="http://schemas.openxmlformats.org/drawingml/2006/main">
          <a:off x="539790" y="2920630"/>
          <a:ext cx="4419551" cy="15261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r"/>
          <a:r>
            <a:rPr lang="es-AR" sz="700" i="1">
              <a:solidFill>
                <a:schemeClr val="bg1"/>
              </a:solidFill>
              <a:latin typeface="Arial Nova Light" panose="020B0304020202090204" pitchFamily="34" charset="0"/>
              <a:cs typeface="Arial" panose="020B0604020202020204" pitchFamily="34" charset="0"/>
            </a:rPr>
            <a:t>Fuente: BAVSA Research en base a BYMA y cálculos propios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0.13463</cdr:x>
      <cdr:y>0.12018</cdr:y>
    </cdr:from>
    <cdr:to>
      <cdr:x>0.8896</cdr:x>
      <cdr:y>0.17233</cdr:y>
    </cdr:to>
    <cdr:sp macro="" textlink="">
      <cdr:nvSpPr>
        <cdr:cNvPr id="3" name="3 CuadroTexto"/>
        <cdr:cNvSpPr txBox="1"/>
      </cdr:nvSpPr>
      <cdr:spPr>
        <a:xfrm xmlns:a="http://schemas.openxmlformats.org/drawingml/2006/main">
          <a:off x="752475" y="546282"/>
          <a:ext cx="4219575" cy="2370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000" i="1">
              <a:latin typeface="Arial" pitchFamily="34" charset="0"/>
              <a:cs typeface="Arial" pitchFamily="34" charset="0"/>
            </a:rPr>
            <a:t>Evolución del ratio del</a:t>
          </a:r>
          <a:r>
            <a:rPr lang="es-AR" sz="1000" i="1" baseline="0">
              <a:latin typeface="Arial" pitchFamily="34" charset="0"/>
              <a:cs typeface="Arial" pitchFamily="34" charset="0"/>
            </a:rPr>
            <a:t> precio en pesos en BYMA T+2 base cierre</a:t>
          </a:r>
          <a:endParaRPr lang="es-AR" sz="1000" i="1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0.13463</cdr:x>
      <cdr:y>0.12018</cdr:y>
    </cdr:from>
    <cdr:to>
      <cdr:x>0.8896</cdr:x>
      <cdr:y>0.17233</cdr:y>
    </cdr:to>
    <cdr:sp macro="" textlink="">
      <cdr:nvSpPr>
        <cdr:cNvPr id="3" name="3 CuadroTexto"/>
        <cdr:cNvSpPr txBox="1"/>
      </cdr:nvSpPr>
      <cdr:spPr>
        <a:xfrm xmlns:a="http://schemas.openxmlformats.org/drawingml/2006/main">
          <a:off x="752475" y="546282"/>
          <a:ext cx="4219575" cy="2370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000" i="1">
              <a:latin typeface="Arial" pitchFamily="34" charset="0"/>
              <a:cs typeface="Arial" pitchFamily="34" charset="0"/>
            </a:rPr>
            <a:t>Evolución del ratio del</a:t>
          </a:r>
          <a:r>
            <a:rPr lang="es-AR" sz="1000" i="1" baseline="0">
              <a:latin typeface="Arial" pitchFamily="34" charset="0"/>
              <a:cs typeface="Arial" pitchFamily="34" charset="0"/>
            </a:rPr>
            <a:t> precio en pesos en BYMA T+2 base cierre</a:t>
          </a:r>
          <a:endParaRPr lang="es-AR" sz="1000" i="1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0.13463</cdr:x>
      <cdr:y>0.12018</cdr:y>
    </cdr:from>
    <cdr:to>
      <cdr:x>0.8896</cdr:x>
      <cdr:y>0.17233</cdr:y>
    </cdr:to>
    <cdr:sp macro="" textlink="">
      <cdr:nvSpPr>
        <cdr:cNvPr id="3" name="3 CuadroTexto"/>
        <cdr:cNvSpPr txBox="1"/>
      </cdr:nvSpPr>
      <cdr:spPr>
        <a:xfrm xmlns:a="http://schemas.openxmlformats.org/drawingml/2006/main">
          <a:off x="752455" y="382210"/>
          <a:ext cx="4219571" cy="16585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000" i="1">
              <a:latin typeface="Arial" pitchFamily="34" charset="0"/>
              <a:cs typeface="Arial" pitchFamily="34" charset="0"/>
            </a:rPr>
            <a:t>Evolución del ratio del</a:t>
          </a:r>
          <a:r>
            <a:rPr lang="es-AR" sz="1000" i="1" baseline="0">
              <a:latin typeface="Arial" pitchFamily="34" charset="0"/>
              <a:cs typeface="Arial" pitchFamily="34" charset="0"/>
            </a:rPr>
            <a:t> precio en USD en BYMA T+2 base cierre</a:t>
          </a:r>
          <a:endParaRPr lang="es-AR" sz="1000" i="1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0.13293</cdr:x>
      <cdr:y>0.13492</cdr:y>
    </cdr:from>
    <cdr:to>
      <cdr:x>0.8879</cdr:x>
      <cdr:y>0.18707</cdr:y>
    </cdr:to>
    <cdr:sp macro="" textlink="">
      <cdr:nvSpPr>
        <cdr:cNvPr id="3" name="3 CuadroTexto"/>
        <cdr:cNvSpPr txBox="1"/>
      </cdr:nvSpPr>
      <cdr:spPr>
        <a:xfrm xmlns:a="http://schemas.openxmlformats.org/drawingml/2006/main">
          <a:off x="742930" y="436028"/>
          <a:ext cx="4219571" cy="16854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000" i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Evolución del ratio del</a:t>
          </a:r>
          <a:r>
            <a:rPr lang="es-AR" sz="1000" i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precio en pesos en BYMA T+2 base cierre</a:t>
          </a:r>
          <a:endParaRPr lang="es-AR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687915</xdr:colOff>
      <xdr:row>2</xdr:row>
      <xdr:rowOff>102660</xdr:rowOff>
    </xdr:from>
    <xdr:to>
      <xdr:col>15</xdr:col>
      <xdr:colOff>63500</xdr:colOff>
      <xdr:row>17</xdr:row>
      <xdr:rowOff>81103</xdr:rowOff>
    </xdr:to>
    <xdr:graphicFrame macro="">
      <xdr:nvGraphicFramePr>
        <xdr:cNvPr id="3" name="41 Gráfico">
          <a:extLst>
            <a:ext uri="{FF2B5EF4-FFF2-40B4-BE49-F238E27FC236}">
              <a16:creationId xmlns:a16="http://schemas.microsoft.com/office/drawing/2014/main" id="{F6CFE027-BC99-42D0-BC16-F4AF68840D1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450585</xdr:colOff>
      <xdr:row>2</xdr:row>
      <xdr:rowOff>19845</xdr:rowOff>
    </xdr:from>
    <xdr:to>
      <xdr:col>21</xdr:col>
      <xdr:colOff>607219</xdr:colOff>
      <xdr:row>18</xdr:row>
      <xdr:rowOff>83344</xdr:rowOff>
    </xdr:to>
    <xdr:grpSp>
      <xdr:nvGrpSpPr>
        <xdr:cNvPr id="8" name="40 Grupo">
          <a:extLst>
            <a:ext uri="{FF2B5EF4-FFF2-40B4-BE49-F238E27FC236}">
              <a16:creationId xmlns:a16="http://schemas.microsoft.com/office/drawing/2014/main" id="{BB46D283-1148-464C-9347-D296CDDCED8B}"/>
            </a:ext>
          </a:extLst>
        </xdr:cNvPr>
        <xdr:cNvGrpSpPr/>
      </xdr:nvGrpSpPr>
      <xdr:grpSpPr>
        <a:xfrm>
          <a:off x="12059179" y="400845"/>
          <a:ext cx="4728634" cy="3111499"/>
          <a:chOff x="5368529" y="2601556"/>
          <a:chExt cx="5514975" cy="3467738"/>
        </a:xfrm>
      </xdr:grpSpPr>
      <xdr:graphicFrame macro="">
        <xdr:nvGraphicFramePr>
          <xdr:cNvPr id="9" name="41 Gráfico">
            <a:extLst>
              <a:ext uri="{FF2B5EF4-FFF2-40B4-BE49-F238E27FC236}">
                <a16:creationId xmlns:a16="http://schemas.microsoft.com/office/drawing/2014/main" id="{A3AC7E37-A6F9-4AE3-94F2-0D2DA374EDB7}"/>
              </a:ext>
            </a:extLst>
          </xdr:cNvPr>
          <xdr:cNvGraphicFramePr>
            <a:graphicFrameLocks noChangeAspect="1"/>
          </xdr:cNvGraphicFramePr>
        </xdr:nvGraphicFramePr>
        <xdr:xfrm>
          <a:off x="5368529" y="2601556"/>
          <a:ext cx="5514975" cy="31510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1 CuadroTexto">
            <a:extLst>
              <a:ext uri="{FF2B5EF4-FFF2-40B4-BE49-F238E27FC236}">
                <a16:creationId xmlns:a16="http://schemas.microsoft.com/office/drawing/2014/main" id="{063CCF4A-7878-4B3E-B7A0-4A35B9F088A8}"/>
              </a:ext>
            </a:extLst>
          </xdr:cNvPr>
          <xdr:cNvSpPr txBox="1"/>
        </xdr:nvSpPr>
        <xdr:spPr>
          <a:xfrm>
            <a:off x="7032403" y="5809803"/>
            <a:ext cx="3520008" cy="259491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s-AR" sz="800" i="1">
                <a:solidFill>
                  <a:schemeClr val="bg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Fuente: Elaboración @robertoaxelrod en base a datos BYMA</a:t>
            </a:r>
            <a:endParaRPr lang="es-AR" sz="800">
              <a:solidFill>
                <a:schemeClr val="bg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8</xdr:col>
      <xdr:colOff>433916</xdr:colOff>
      <xdr:row>19</xdr:row>
      <xdr:rowOff>95250</xdr:rowOff>
    </xdr:from>
    <xdr:to>
      <xdr:col>15</xdr:col>
      <xdr:colOff>268552</xdr:colOff>
      <xdr:row>37</xdr:row>
      <xdr:rowOff>45773</xdr:rowOff>
    </xdr:to>
    <xdr:grpSp>
      <xdr:nvGrpSpPr>
        <xdr:cNvPr id="14" name="40 Grupo">
          <a:extLst>
            <a:ext uri="{FF2B5EF4-FFF2-40B4-BE49-F238E27FC236}">
              <a16:creationId xmlns:a16="http://schemas.microsoft.com/office/drawing/2014/main" id="{CA7353AF-9CF1-4B55-B93C-A84DD2B4AB7D}"/>
            </a:ext>
          </a:extLst>
        </xdr:cNvPr>
        <xdr:cNvGrpSpPr/>
      </xdr:nvGrpSpPr>
      <xdr:grpSpPr>
        <a:xfrm>
          <a:off x="6708510" y="3714750"/>
          <a:ext cx="5168636" cy="3379523"/>
          <a:chOff x="5368529" y="2601556"/>
          <a:chExt cx="5514975" cy="3409070"/>
        </a:xfrm>
      </xdr:grpSpPr>
      <xdr:graphicFrame macro="">
        <xdr:nvGraphicFramePr>
          <xdr:cNvPr id="15" name="41 Gráfico">
            <a:extLst>
              <a:ext uri="{FF2B5EF4-FFF2-40B4-BE49-F238E27FC236}">
                <a16:creationId xmlns:a16="http://schemas.microsoft.com/office/drawing/2014/main" id="{C42A3D51-8202-4D66-BE5D-94FD05458F05}"/>
              </a:ext>
            </a:extLst>
          </xdr:cNvPr>
          <xdr:cNvGraphicFramePr>
            <a:graphicFrameLocks noChangeAspect="1"/>
          </xdr:cNvGraphicFramePr>
        </xdr:nvGraphicFramePr>
        <xdr:xfrm>
          <a:off x="5368529" y="2601556"/>
          <a:ext cx="5514975" cy="322698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6" name="1 CuadroTexto">
            <a:extLst>
              <a:ext uri="{FF2B5EF4-FFF2-40B4-BE49-F238E27FC236}">
                <a16:creationId xmlns:a16="http://schemas.microsoft.com/office/drawing/2014/main" id="{E079A4A3-7D41-4CC8-A4A3-87BCA76AB203}"/>
              </a:ext>
            </a:extLst>
          </xdr:cNvPr>
          <xdr:cNvSpPr txBox="1"/>
        </xdr:nvSpPr>
        <xdr:spPr>
          <a:xfrm>
            <a:off x="7623017" y="5732963"/>
            <a:ext cx="2979920" cy="277663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s-AR" sz="800" i="1">
                <a:solidFill>
                  <a:schemeClr val="bg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Fuente: Elaboración @robertoaxelrod en base a datos BYMA</a:t>
            </a:r>
            <a:endParaRPr lang="es-AR" sz="800">
              <a:solidFill>
                <a:schemeClr val="bg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15</xdr:col>
      <xdr:colOff>463815</xdr:colOff>
      <xdr:row>19</xdr:row>
      <xdr:rowOff>105304</xdr:rowOff>
    </xdr:from>
    <xdr:to>
      <xdr:col>22</xdr:col>
      <xdr:colOff>21166</xdr:colOff>
      <xdr:row>35</xdr:row>
      <xdr:rowOff>12252</xdr:rowOff>
    </xdr:to>
    <xdr:graphicFrame macro="">
      <xdr:nvGraphicFramePr>
        <xdr:cNvPr id="18" name="41 Gráfico">
          <a:extLst>
            <a:ext uri="{FF2B5EF4-FFF2-40B4-BE49-F238E27FC236}">
              <a16:creationId xmlns:a16="http://schemas.microsoft.com/office/drawing/2014/main" id="{87A4AC61-1064-4B75-B46D-59FB93FE02D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200290</xdr:colOff>
      <xdr:row>1</xdr:row>
      <xdr:rowOff>139173</xdr:rowOff>
    </xdr:from>
    <xdr:to>
      <xdr:col>28</xdr:col>
      <xdr:colOff>444500</xdr:colOff>
      <xdr:row>17</xdr:row>
      <xdr:rowOff>71210</xdr:rowOff>
    </xdr:to>
    <xdr:graphicFrame macro="">
      <xdr:nvGraphicFramePr>
        <xdr:cNvPr id="21" name="41 Gráfico">
          <a:extLst>
            <a:ext uri="{FF2B5EF4-FFF2-40B4-BE49-F238E27FC236}">
              <a16:creationId xmlns:a16="http://schemas.microsoft.com/office/drawing/2014/main" id="{D0AD2F82-CE5E-4CA8-8DB5-99F506F53DA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232834</xdr:colOff>
      <xdr:row>38</xdr:row>
      <xdr:rowOff>84667</xdr:rowOff>
    </xdr:from>
    <xdr:to>
      <xdr:col>15</xdr:col>
      <xdr:colOff>603250</xdr:colOff>
      <xdr:row>57</xdr:row>
      <xdr:rowOff>158750</xdr:rowOff>
    </xdr:to>
    <xdr:grpSp>
      <xdr:nvGrpSpPr>
        <xdr:cNvPr id="23" name="40 Grupo">
          <a:extLst>
            <a:ext uri="{FF2B5EF4-FFF2-40B4-BE49-F238E27FC236}">
              <a16:creationId xmlns:a16="http://schemas.microsoft.com/office/drawing/2014/main" id="{5F4EB04F-F1A1-4363-903D-B9A6C5ECCD6C}"/>
            </a:ext>
          </a:extLst>
        </xdr:cNvPr>
        <xdr:cNvGrpSpPr/>
      </xdr:nvGrpSpPr>
      <xdr:grpSpPr>
        <a:xfrm>
          <a:off x="6507428" y="7323667"/>
          <a:ext cx="5704416" cy="3693583"/>
          <a:chOff x="5368529" y="2601556"/>
          <a:chExt cx="5514975" cy="3409070"/>
        </a:xfrm>
      </xdr:grpSpPr>
      <xdr:graphicFrame macro="">
        <xdr:nvGraphicFramePr>
          <xdr:cNvPr id="24" name="41 Gráfico">
            <a:extLst>
              <a:ext uri="{FF2B5EF4-FFF2-40B4-BE49-F238E27FC236}">
                <a16:creationId xmlns:a16="http://schemas.microsoft.com/office/drawing/2014/main" id="{8A38A405-5B1D-44D8-A191-80C534DD8CD7}"/>
              </a:ext>
            </a:extLst>
          </xdr:cNvPr>
          <xdr:cNvGraphicFramePr>
            <a:graphicFrameLocks noChangeAspect="1"/>
          </xdr:cNvGraphicFramePr>
        </xdr:nvGraphicFramePr>
        <xdr:xfrm>
          <a:off x="5368529" y="2601556"/>
          <a:ext cx="5514975" cy="322698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5" name="1 CuadroTexto">
            <a:extLst>
              <a:ext uri="{FF2B5EF4-FFF2-40B4-BE49-F238E27FC236}">
                <a16:creationId xmlns:a16="http://schemas.microsoft.com/office/drawing/2014/main" id="{0E9CB899-09F1-4F62-A06D-41C46A8273F2}"/>
              </a:ext>
            </a:extLst>
          </xdr:cNvPr>
          <xdr:cNvSpPr txBox="1"/>
        </xdr:nvSpPr>
        <xdr:spPr>
          <a:xfrm>
            <a:off x="7623017" y="5732963"/>
            <a:ext cx="2979920" cy="277663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s-AR" sz="800" i="1">
                <a:solidFill>
                  <a:schemeClr val="bg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Fuente: Elaboración @robertoaxelrod en base a datos BYMA</a:t>
            </a:r>
            <a:endParaRPr lang="es-AR" sz="800">
              <a:solidFill>
                <a:schemeClr val="bg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0.06078</cdr:x>
      <cdr:y>0.11494</cdr:y>
    </cdr:from>
    <cdr:to>
      <cdr:x>0.93393</cdr:x>
      <cdr:y>0.18211</cdr:y>
    </cdr:to>
    <cdr:sp macro="" textlink="">
      <cdr:nvSpPr>
        <cdr:cNvPr id="3" name="3 CuadroTexto"/>
        <cdr:cNvSpPr txBox="1"/>
      </cdr:nvSpPr>
      <cdr:spPr>
        <a:xfrm xmlns:a="http://schemas.openxmlformats.org/drawingml/2006/main">
          <a:off x="286244" y="325966"/>
          <a:ext cx="4112173" cy="1905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000" i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Evolución del ratio del</a:t>
          </a:r>
          <a:r>
            <a:rPr lang="es-AR" sz="1000" i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precio en pesos en BYMA T+2 base cierre</a:t>
          </a:r>
          <a:endParaRPr lang="es-AR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0.12685</cdr:x>
      <cdr:y>0.11331</cdr:y>
    </cdr:from>
    <cdr:to>
      <cdr:x>0.88182</cdr:x>
      <cdr:y>0.16546</cdr:y>
    </cdr:to>
    <cdr:sp macro="" textlink="">
      <cdr:nvSpPr>
        <cdr:cNvPr id="3" name="3 CuadroTexto"/>
        <cdr:cNvSpPr txBox="1"/>
      </cdr:nvSpPr>
      <cdr:spPr>
        <a:xfrm xmlns:a="http://schemas.openxmlformats.org/drawingml/2006/main">
          <a:off x="662105" y="333016"/>
          <a:ext cx="3940717" cy="1532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Evolución del ratio del</a:t>
          </a:r>
          <a:r>
            <a:rPr lang="es-AR" sz="900" i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precio en pesos en BYMA T+2 base cierre</a:t>
          </a:r>
          <a:endParaRPr lang="es-AR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0.08852</cdr:x>
      <cdr:y>0.09594</cdr:y>
    </cdr:from>
    <cdr:to>
      <cdr:x>0.93418</cdr:x>
      <cdr:y>0.16405</cdr:y>
    </cdr:to>
    <cdr:sp macro="" textlink="">
      <cdr:nvSpPr>
        <cdr:cNvPr id="3" name="3 CuadroTexto"/>
        <cdr:cNvSpPr txBox="1"/>
      </cdr:nvSpPr>
      <cdr:spPr>
        <a:xfrm xmlns:a="http://schemas.openxmlformats.org/drawingml/2006/main">
          <a:off x="476250" y="306917"/>
          <a:ext cx="4549921" cy="21788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000" i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Evolución del ratio del</a:t>
          </a:r>
          <a:r>
            <a:rPr lang="es-AR" sz="1000" i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precio en pesos en BYMA T+2 base cierre</a:t>
          </a:r>
          <a:endParaRPr lang="es-AR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0.07512</cdr:x>
      <cdr:y>0.10385</cdr:y>
    </cdr:from>
    <cdr:to>
      <cdr:x>0.91202</cdr:x>
      <cdr:y>0.1581</cdr:y>
    </cdr:to>
    <cdr:sp macro="" textlink="">
      <cdr:nvSpPr>
        <cdr:cNvPr id="3" name="3 CuadroTexto"/>
        <cdr:cNvSpPr txBox="1"/>
      </cdr:nvSpPr>
      <cdr:spPr>
        <a:xfrm xmlns:a="http://schemas.openxmlformats.org/drawingml/2006/main">
          <a:off x="352426" y="283636"/>
          <a:ext cx="3926416" cy="14816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000" i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Evolución del ratio del</a:t>
          </a:r>
          <a:r>
            <a:rPr lang="es-AR" sz="1000" i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precio en pesos en BYMA T+2 base cierre</a:t>
          </a:r>
          <a:endParaRPr lang="es-AR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0.06772</cdr:x>
      <cdr:y>0.11331</cdr:y>
    </cdr:from>
    <cdr:to>
      <cdr:x>0.9397</cdr:x>
      <cdr:y>0.16308</cdr:y>
    </cdr:to>
    <cdr:sp macro="" textlink="">
      <cdr:nvSpPr>
        <cdr:cNvPr id="3" name="3 CuadroTexto"/>
        <cdr:cNvSpPr txBox="1"/>
      </cdr:nvSpPr>
      <cdr:spPr>
        <a:xfrm xmlns:a="http://schemas.openxmlformats.org/drawingml/2006/main">
          <a:off x="309032" y="313268"/>
          <a:ext cx="3979333" cy="13758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000" i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Evolución del ratio del</a:t>
          </a:r>
          <a:r>
            <a:rPr lang="es-AR" sz="1000" i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precio en pesos en BYMA T+2 base cierre</a:t>
          </a:r>
          <a:endParaRPr lang="es-AR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0.15658</cdr:x>
      <cdr:y>0.90462</cdr:y>
    </cdr:from>
    <cdr:to>
      <cdr:x>0.91858</cdr:x>
      <cdr:y>0.95692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218F723-54E8-4DF8-8A69-6FB9438A645D}"/>
            </a:ext>
          </a:extLst>
        </cdr:cNvPr>
        <cdr:cNvSpPr txBox="1"/>
      </cdr:nvSpPr>
      <cdr:spPr>
        <a:xfrm xmlns:a="http://schemas.openxmlformats.org/drawingml/2006/main">
          <a:off x="714375" y="2800351"/>
          <a:ext cx="3476625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0.15031</cdr:x>
      <cdr:y>0.89538</cdr:y>
    </cdr:from>
    <cdr:to>
      <cdr:x>0.92902</cdr:x>
      <cdr:y>0.96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FE387DE7-7F37-4136-8494-5FAFA9866E88}"/>
            </a:ext>
          </a:extLst>
        </cdr:cNvPr>
        <cdr:cNvSpPr txBox="1"/>
      </cdr:nvSpPr>
      <cdr:spPr>
        <a:xfrm xmlns:a="http://schemas.openxmlformats.org/drawingml/2006/main">
          <a:off x="685800" y="2771776"/>
          <a:ext cx="35528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0.10751</cdr:x>
      <cdr:y>0.95034</cdr:y>
    </cdr:from>
    <cdr:to>
      <cdr:x>0.98777</cdr:x>
      <cdr:y>1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8B8D3250-B281-413D-8A46-BA8110802784}"/>
            </a:ext>
          </a:extLst>
        </cdr:cNvPr>
        <cdr:cNvSpPr txBox="1"/>
      </cdr:nvSpPr>
      <cdr:spPr>
        <a:xfrm xmlns:a="http://schemas.openxmlformats.org/drawingml/2006/main">
          <a:off x="539790" y="2920630"/>
          <a:ext cx="4419551" cy="15261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r"/>
          <a:r>
            <a:rPr lang="es-AR" sz="700" i="1">
              <a:solidFill>
                <a:schemeClr val="bg1"/>
              </a:solidFill>
              <a:latin typeface="Arial Nova Light" panose="020B0304020202090204" pitchFamily="34" charset="0"/>
              <a:cs typeface="Arial" panose="020B0604020202020204" pitchFamily="34" charset="0"/>
            </a:rPr>
            <a:t>Fuente: BAVSA Research en base a BYMA y cálculos propios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0.08917</cdr:x>
      <cdr:y>0.11494</cdr:y>
    </cdr:from>
    <cdr:to>
      <cdr:x>0.93418</cdr:x>
      <cdr:y>0.16405</cdr:y>
    </cdr:to>
    <cdr:sp macro="" textlink="">
      <cdr:nvSpPr>
        <cdr:cNvPr id="3" name="3 CuadroTexto"/>
        <cdr:cNvSpPr txBox="1"/>
      </cdr:nvSpPr>
      <cdr:spPr>
        <a:xfrm xmlns:a="http://schemas.openxmlformats.org/drawingml/2006/main">
          <a:off x="444501" y="349250"/>
          <a:ext cx="4212154" cy="14921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000" i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Evolución del ratio del</a:t>
          </a:r>
          <a:r>
            <a:rPr lang="es-AR" sz="1000" i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precio en dolar MEP en BYMA T+2 base cierre</a:t>
          </a:r>
          <a:endParaRPr lang="es-AR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9</xdr:col>
      <xdr:colOff>445294</xdr:colOff>
      <xdr:row>19</xdr:row>
      <xdr:rowOff>112712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4E068395-C7E0-476F-8BD1-6A4EE71DA1B5}"/>
            </a:ext>
          </a:extLst>
        </xdr:cNvPr>
        <xdr:cNvGrpSpPr/>
      </xdr:nvGrpSpPr>
      <xdr:grpSpPr>
        <a:xfrm>
          <a:off x="1524000" y="571500"/>
          <a:ext cx="5779294" cy="3160712"/>
          <a:chOff x="14708981" y="5686425"/>
          <a:chExt cx="5455444" cy="3156480"/>
        </a:xfrm>
      </xdr:grpSpPr>
      <xdr:graphicFrame macro="">
        <xdr:nvGraphicFramePr>
          <xdr:cNvPr id="6" name="4 Gráfico">
            <a:extLst>
              <a:ext uri="{FF2B5EF4-FFF2-40B4-BE49-F238E27FC236}">
                <a16:creationId xmlns:a16="http://schemas.microsoft.com/office/drawing/2014/main" id="{2ADDD562-7F87-490E-AEA7-D37B7971D7E1}"/>
              </a:ext>
            </a:extLst>
          </xdr:cNvPr>
          <xdr:cNvGraphicFramePr>
            <a:graphicFrameLocks noChangeAspect="1"/>
          </xdr:cNvGraphicFramePr>
        </xdr:nvGraphicFramePr>
        <xdr:xfrm>
          <a:off x="14708981" y="5686425"/>
          <a:ext cx="5455444" cy="31564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343FCA85-D79C-4DD5-B87F-920476719336}"/>
              </a:ext>
            </a:extLst>
          </xdr:cNvPr>
          <xdr:cNvSpPr txBox="1"/>
        </xdr:nvSpPr>
        <xdr:spPr>
          <a:xfrm>
            <a:off x="15765779" y="8441803"/>
            <a:ext cx="404812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s-AR" sz="700" i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Fuente:</a:t>
            </a:r>
            <a:r>
              <a:rPr lang="es-AR" sz="700" i="1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Elaboración @robertoaxelrod en base a BYMA y cálculos propios</a:t>
            </a:r>
            <a:endParaRPr lang="es-AR" sz="700" i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10</xdr:col>
      <xdr:colOff>761999</xdr:colOff>
      <xdr:row>3</xdr:row>
      <xdr:rowOff>0</xdr:rowOff>
    </xdr:from>
    <xdr:to>
      <xdr:col>19</xdr:col>
      <xdr:colOff>657224</xdr:colOff>
      <xdr:row>22</xdr:row>
      <xdr:rowOff>104775</xdr:rowOff>
    </xdr:to>
    <xdr:graphicFrame macro="">
      <xdr:nvGraphicFramePr>
        <xdr:cNvPr id="9" name="4 Gráfico">
          <a:extLst>
            <a:ext uri="{FF2B5EF4-FFF2-40B4-BE49-F238E27FC236}">
              <a16:creationId xmlns:a16="http://schemas.microsoft.com/office/drawing/2014/main" id="{F3EFBF92-0832-4F1B-A829-B79E98FCE89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0.1479</cdr:x>
      <cdr:y>0.12757</cdr:y>
    </cdr:from>
    <cdr:to>
      <cdr:x>0.90147</cdr:x>
      <cdr:y>0.16791</cdr:y>
    </cdr:to>
    <cdr:sp macro="" textlink="">
      <cdr:nvSpPr>
        <cdr:cNvPr id="2" name="3 CuadroTexto">
          <a:extLst xmlns:a="http://schemas.openxmlformats.org/drawingml/2006/main">
            <a:ext uri="{FF2B5EF4-FFF2-40B4-BE49-F238E27FC236}">
              <a16:creationId xmlns:a16="http://schemas.microsoft.com/office/drawing/2014/main" id="{FB43759E-6862-4565-9858-D0A985EA2DEE}"/>
            </a:ext>
          </a:extLst>
        </cdr:cNvPr>
        <cdr:cNvSpPr txBox="1"/>
      </cdr:nvSpPr>
      <cdr:spPr>
        <a:xfrm xmlns:a="http://schemas.openxmlformats.org/drawingml/2006/main">
          <a:off x="847725" y="414337"/>
          <a:ext cx="4319202" cy="13103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000" i="1">
              <a:latin typeface="Bahnschrift SemiLight" panose="020B0502040204020203" pitchFamily="34" charset="0"/>
              <a:cs typeface="Arial" pitchFamily="34" charset="0"/>
            </a:rPr>
            <a:t>Comparativo de curvas elaborada con los titulos</a:t>
          </a:r>
          <a:r>
            <a:rPr lang="es-AR" sz="1000" i="1" baseline="0">
              <a:latin typeface="Bahnschrift SemiLight" panose="020B0502040204020203" pitchFamily="34" charset="0"/>
              <a:cs typeface="Arial" pitchFamily="34" charset="0"/>
            </a:rPr>
            <a:t> con duration &gt; 4 años</a:t>
          </a:r>
          <a:endParaRPr lang="es-AR" sz="1000" i="1">
            <a:latin typeface="Bahnschrift SemiLight" panose="020B0502040204020203" pitchFamily="34" charset="0"/>
            <a:cs typeface="Arial" pitchFamily="34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0.1479</cdr:x>
      <cdr:y>0.12757</cdr:y>
    </cdr:from>
    <cdr:to>
      <cdr:x>0.90147</cdr:x>
      <cdr:y>0.16791</cdr:y>
    </cdr:to>
    <cdr:sp macro="" textlink="">
      <cdr:nvSpPr>
        <cdr:cNvPr id="2" name="3 CuadroTexto">
          <a:extLst xmlns:a="http://schemas.openxmlformats.org/drawingml/2006/main">
            <a:ext uri="{FF2B5EF4-FFF2-40B4-BE49-F238E27FC236}">
              <a16:creationId xmlns:a16="http://schemas.microsoft.com/office/drawing/2014/main" id="{FB43759E-6862-4565-9858-D0A985EA2DEE}"/>
            </a:ext>
          </a:extLst>
        </cdr:cNvPr>
        <cdr:cNvSpPr txBox="1"/>
      </cdr:nvSpPr>
      <cdr:spPr>
        <a:xfrm xmlns:a="http://schemas.openxmlformats.org/drawingml/2006/main">
          <a:off x="847725" y="414337"/>
          <a:ext cx="4319202" cy="13103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000" i="1">
              <a:latin typeface="Arial Nova Light" panose="020B0304020202090204" pitchFamily="34" charset="0"/>
              <a:cs typeface="Arial" pitchFamily="34" charset="0"/>
            </a:rPr>
            <a:t>Comparativo de curvas elaborada con los titulos</a:t>
          </a:r>
          <a:r>
            <a:rPr lang="es-AR" sz="1000" i="1" baseline="0">
              <a:latin typeface="Arial Nova Light" panose="020B0304020202090204" pitchFamily="34" charset="0"/>
              <a:cs typeface="Arial" pitchFamily="34" charset="0"/>
            </a:rPr>
            <a:t> con duration &gt; 4 años</a:t>
          </a:r>
          <a:endParaRPr lang="es-AR" sz="1000" i="1">
            <a:latin typeface="Arial Nova Light" panose="020B0304020202090204" pitchFamily="34" charset="0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0.15658</cdr:x>
      <cdr:y>0.90462</cdr:y>
    </cdr:from>
    <cdr:to>
      <cdr:x>0.91858</cdr:x>
      <cdr:y>0.95692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218F723-54E8-4DF8-8A69-6FB9438A645D}"/>
            </a:ext>
          </a:extLst>
        </cdr:cNvPr>
        <cdr:cNvSpPr txBox="1"/>
      </cdr:nvSpPr>
      <cdr:spPr>
        <a:xfrm xmlns:a="http://schemas.openxmlformats.org/drawingml/2006/main">
          <a:off x="714375" y="2800351"/>
          <a:ext cx="3476625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0.15031</cdr:x>
      <cdr:y>0.89538</cdr:y>
    </cdr:from>
    <cdr:to>
      <cdr:x>0.92902</cdr:x>
      <cdr:y>0.96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FE387DE7-7F37-4136-8494-5FAFA9866E88}"/>
            </a:ext>
          </a:extLst>
        </cdr:cNvPr>
        <cdr:cNvSpPr txBox="1"/>
      </cdr:nvSpPr>
      <cdr:spPr>
        <a:xfrm xmlns:a="http://schemas.openxmlformats.org/drawingml/2006/main">
          <a:off x="685800" y="2771776"/>
          <a:ext cx="35528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0.09083</cdr:x>
      <cdr:y>0.92245</cdr:y>
    </cdr:from>
    <cdr:to>
      <cdr:x>0.97109</cdr:x>
      <cdr:y>0.97211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8B8D3250-B281-413D-8A46-BA8110802784}"/>
            </a:ext>
          </a:extLst>
        </cdr:cNvPr>
        <cdr:cNvSpPr txBox="1"/>
      </cdr:nvSpPr>
      <cdr:spPr>
        <a:xfrm xmlns:a="http://schemas.openxmlformats.org/drawingml/2006/main">
          <a:off x="460432" y="2870407"/>
          <a:ext cx="4462181" cy="1545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r"/>
          <a:r>
            <a:rPr lang="es-AR" sz="700" i="1">
              <a:solidFill>
                <a:schemeClr val="bg1"/>
              </a:solidFill>
              <a:latin typeface="Arial Nova Light" panose="020B0304020202090204" pitchFamily="34" charset="0"/>
              <a:cs typeface="Arial" panose="020B0604020202020204" pitchFamily="34" charset="0"/>
            </a:rPr>
            <a:t>Fuente: BAVSA Research en base a BBG y cálculos propios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1</xdr:row>
      <xdr:rowOff>161925</xdr:rowOff>
    </xdr:from>
    <xdr:to>
      <xdr:col>15</xdr:col>
      <xdr:colOff>123825</xdr:colOff>
      <xdr:row>17</xdr:row>
      <xdr:rowOff>91019</xdr:rowOff>
    </xdr:to>
    <xdr:grpSp>
      <xdr:nvGrpSpPr>
        <xdr:cNvPr id="17" name="Grupo 5">
          <a:extLst>
            <a:ext uri="{FF2B5EF4-FFF2-40B4-BE49-F238E27FC236}">
              <a16:creationId xmlns:a16="http://schemas.microsoft.com/office/drawing/2014/main" id="{5492A90B-E952-4300-97DE-F4B07B639445}"/>
            </a:ext>
          </a:extLst>
        </xdr:cNvPr>
        <xdr:cNvGrpSpPr/>
      </xdr:nvGrpSpPr>
      <xdr:grpSpPr>
        <a:xfrm>
          <a:off x="5543550" y="352425"/>
          <a:ext cx="4400550" cy="3005669"/>
          <a:chOff x="9515477" y="543861"/>
          <a:chExt cx="4562474" cy="3170891"/>
        </a:xfrm>
      </xdr:grpSpPr>
      <xdr:grpSp>
        <xdr:nvGrpSpPr>
          <xdr:cNvPr id="18" name="Grupo 3">
            <a:extLst>
              <a:ext uri="{FF2B5EF4-FFF2-40B4-BE49-F238E27FC236}">
                <a16:creationId xmlns:a16="http://schemas.microsoft.com/office/drawing/2014/main" id="{052C8376-645D-4152-927D-C5D0831D5F70}"/>
              </a:ext>
            </a:extLst>
          </xdr:cNvPr>
          <xdr:cNvGrpSpPr/>
        </xdr:nvGrpSpPr>
        <xdr:grpSpPr>
          <a:xfrm>
            <a:off x="9515477" y="619125"/>
            <a:ext cx="4562474" cy="3095627"/>
            <a:chOff x="1524000" y="571500"/>
            <a:chExt cx="4562474" cy="3095625"/>
          </a:xfrm>
        </xdr:grpSpPr>
        <xdr:graphicFrame macro="">
          <xdr:nvGraphicFramePr>
            <xdr:cNvPr id="20" name="4 Gráfico">
              <a:extLst>
                <a:ext uri="{FF2B5EF4-FFF2-40B4-BE49-F238E27FC236}">
                  <a16:creationId xmlns:a16="http://schemas.microsoft.com/office/drawing/2014/main" id="{166AB3B5-BD54-415E-906B-5B61072F12ED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1524000" y="571500"/>
            <a:ext cx="4562474" cy="30956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21" name="CuadroTexto 2">
              <a:extLst>
                <a:ext uri="{FF2B5EF4-FFF2-40B4-BE49-F238E27FC236}">
                  <a16:creationId xmlns:a16="http://schemas.microsoft.com/office/drawing/2014/main" id="{491DE16A-09F7-4292-A074-3E4A8F42B906}"/>
                </a:ext>
              </a:extLst>
            </xdr:cNvPr>
            <xdr:cNvSpPr txBox="1"/>
          </xdr:nvSpPr>
          <xdr:spPr>
            <a:xfrm>
              <a:off x="2085158" y="892118"/>
              <a:ext cx="3816206" cy="1541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AR" sz="900" i="1">
                  <a:latin typeface="Arial Nova Light" panose="020B0304020202020204" pitchFamily="34" charset="0"/>
                </a:rPr>
                <a:t>Curva elaborada</a:t>
              </a:r>
              <a:r>
                <a:rPr lang="es-AR" sz="900" i="1" baseline="0">
                  <a:latin typeface="Arial Nova Light" panose="020B0304020202020204" pitchFamily="34" charset="0"/>
                </a:rPr>
                <a:t> con precios en dólares BYMA T+2</a:t>
              </a:r>
              <a:endParaRPr lang="es-AR" sz="900" i="1">
                <a:latin typeface="Arial Nova Light" panose="020B0304020202020204" pitchFamily="34" charset="0"/>
              </a:endParaRPr>
            </a:p>
          </xdr:txBody>
        </xdr:sp>
      </xdr:grpSp>
      <xdr:sp macro="" textlink="">
        <xdr:nvSpPr>
          <xdr:cNvPr id="19" name="CuadroTexto 4">
            <a:extLst>
              <a:ext uri="{FF2B5EF4-FFF2-40B4-BE49-F238E27FC236}">
                <a16:creationId xmlns:a16="http://schemas.microsoft.com/office/drawing/2014/main" id="{97078ABB-292D-4DFC-965A-ADC028FB7D85}"/>
              </a:ext>
            </a:extLst>
          </xdr:cNvPr>
          <xdr:cNvSpPr txBox="1"/>
        </xdr:nvSpPr>
        <xdr:spPr>
          <a:xfrm>
            <a:off x="9593178" y="543861"/>
            <a:ext cx="919723" cy="2511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AR" sz="1050">
                <a:solidFill>
                  <a:sysClr val="windowText" lastClr="000000"/>
                </a:solidFill>
                <a:latin typeface="Bahnschrift SemiBold" panose="020B0502040204020203" pitchFamily="34" charset="0"/>
              </a:rPr>
              <a:t>Cuadro</a:t>
            </a:r>
            <a:r>
              <a:rPr lang="es-AR" sz="1100" baseline="0">
                <a:solidFill>
                  <a:sysClr val="windowText" lastClr="000000"/>
                </a:solidFill>
                <a:latin typeface="Bahnschrift SemiBold" panose="020B0502040204020203" pitchFamily="34" charset="0"/>
              </a:rPr>
              <a:t> II</a:t>
            </a:r>
            <a:endParaRPr lang="es-AR" sz="1100">
              <a:solidFill>
                <a:sysClr val="windowText" lastClr="000000"/>
              </a:solidFill>
              <a:latin typeface="Bahnschrift SemiBold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381000</xdr:colOff>
      <xdr:row>35</xdr:row>
      <xdr:rowOff>172316</xdr:rowOff>
    </xdr:from>
    <xdr:to>
      <xdr:col>17</xdr:col>
      <xdr:colOff>381000</xdr:colOff>
      <xdr:row>50</xdr:row>
      <xdr:rowOff>172774</xdr:rowOff>
    </xdr:to>
    <xdr:grpSp>
      <xdr:nvGrpSpPr>
        <xdr:cNvPr id="14" name="Grupo 5">
          <a:extLst>
            <a:ext uri="{FF2B5EF4-FFF2-40B4-BE49-F238E27FC236}">
              <a16:creationId xmlns:a16="http://schemas.microsoft.com/office/drawing/2014/main" id="{FA3145DE-56F8-4472-B317-4001EF3B09C6}"/>
            </a:ext>
          </a:extLst>
        </xdr:cNvPr>
        <xdr:cNvGrpSpPr/>
      </xdr:nvGrpSpPr>
      <xdr:grpSpPr>
        <a:xfrm>
          <a:off x="7153275" y="7030316"/>
          <a:ext cx="4572000" cy="3057983"/>
          <a:chOff x="9515477" y="586807"/>
          <a:chExt cx="4562474" cy="3127945"/>
        </a:xfrm>
      </xdr:grpSpPr>
      <xdr:grpSp>
        <xdr:nvGrpSpPr>
          <xdr:cNvPr id="15" name="Grupo 3">
            <a:extLst>
              <a:ext uri="{FF2B5EF4-FFF2-40B4-BE49-F238E27FC236}">
                <a16:creationId xmlns:a16="http://schemas.microsoft.com/office/drawing/2014/main" id="{43F85DA5-568B-45FD-8017-924E812C6A94}"/>
              </a:ext>
            </a:extLst>
          </xdr:cNvPr>
          <xdr:cNvGrpSpPr/>
        </xdr:nvGrpSpPr>
        <xdr:grpSpPr>
          <a:xfrm>
            <a:off x="9515477" y="619125"/>
            <a:ext cx="4562474" cy="3095627"/>
            <a:chOff x="1524000" y="571500"/>
            <a:chExt cx="4562474" cy="3095625"/>
          </a:xfrm>
        </xdr:grpSpPr>
        <xdr:graphicFrame macro="">
          <xdr:nvGraphicFramePr>
            <xdr:cNvPr id="27" name="4 Gráfico">
              <a:extLst>
                <a:ext uri="{FF2B5EF4-FFF2-40B4-BE49-F238E27FC236}">
                  <a16:creationId xmlns:a16="http://schemas.microsoft.com/office/drawing/2014/main" id="{CF38C21C-D457-44D7-9E25-7B2E81C0733D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1524000" y="571500"/>
            <a:ext cx="4562474" cy="30956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29" name="CuadroTexto 2">
              <a:extLst>
                <a:ext uri="{FF2B5EF4-FFF2-40B4-BE49-F238E27FC236}">
                  <a16:creationId xmlns:a16="http://schemas.microsoft.com/office/drawing/2014/main" id="{21916E27-2E8F-4A3A-A7BD-50FF416156E9}"/>
                </a:ext>
              </a:extLst>
            </xdr:cNvPr>
            <xdr:cNvSpPr txBox="1"/>
          </xdr:nvSpPr>
          <xdr:spPr>
            <a:xfrm>
              <a:off x="1987590" y="912156"/>
              <a:ext cx="3816206" cy="1541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AR" sz="900" i="1">
                  <a:latin typeface="Arial Nova Light" panose="020B0304020202020204" pitchFamily="34" charset="0"/>
                </a:rPr>
                <a:t>Comparativo entre ley ARG</a:t>
              </a:r>
              <a:r>
                <a:rPr lang="es-AR" sz="900" i="1" baseline="0">
                  <a:latin typeface="Arial Nova Light" panose="020B0304020202020204" pitchFamily="34" charset="0"/>
                </a:rPr>
                <a:t> y NY con precios BYMA en dólar MEP</a:t>
              </a:r>
              <a:endParaRPr lang="es-AR" sz="900" i="1">
                <a:latin typeface="Arial Nova Light" panose="020B0304020202020204" pitchFamily="34" charset="0"/>
              </a:endParaRPr>
            </a:p>
          </xdr:txBody>
        </xdr:sp>
      </xdr:grpSp>
      <xdr:sp macro="" textlink="">
        <xdr:nvSpPr>
          <xdr:cNvPr id="16" name="CuadroTexto 4">
            <a:extLst>
              <a:ext uri="{FF2B5EF4-FFF2-40B4-BE49-F238E27FC236}">
                <a16:creationId xmlns:a16="http://schemas.microsoft.com/office/drawing/2014/main" id="{3C33EE9B-7C8C-410E-B7A1-E7148FC22C67}"/>
              </a:ext>
            </a:extLst>
          </xdr:cNvPr>
          <xdr:cNvSpPr txBox="1"/>
        </xdr:nvSpPr>
        <xdr:spPr>
          <a:xfrm>
            <a:off x="9731435" y="586807"/>
            <a:ext cx="808006" cy="2081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AR" sz="1100">
                <a:solidFill>
                  <a:schemeClr val="tx1"/>
                </a:solidFill>
                <a:latin typeface="Bahnschrift SemiBold" panose="020B0502040204020203" pitchFamily="34" charset="0"/>
              </a:rPr>
              <a:t>Cuadro</a:t>
            </a:r>
            <a:r>
              <a:rPr lang="es-AR" sz="1100" baseline="0">
                <a:solidFill>
                  <a:schemeClr val="tx1"/>
                </a:solidFill>
                <a:latin typeface="Bahnschrift SemiBold" panose="020B0502040204020203" pitchFamily="34" charset="0"/>
              </a:rPr>
              <a:t> III</a:t>
            </a:r>
            <a:endParaRPr lang="es-AR" sz="1100">
              <a:solidFill>
                <a:schemeClr val="tx1"/>
              </a:solidFill>
              <a:latin typeface="Bahnschrift SemiBold" panose="020B0502040204020203" pitchFamily="34" charset="0"/>
            </a:endParaRPr>
          </a:p>
        </xdr:txBody>
      </xdr:sp>
    </xdr:grpSp>
    <xdr:clientData/>
  </xdr:twoCellAnchor>
  <xdr:twoCellAnchor>
    <xdr:from>
      <xdr:col>16</xdr:col>
      <xdr:colOff>753341</xdr:colOff>
      <xdr:row>2</xdr:row>
      <xdr:rowOff>121228</xdr:rowOff>
    </xdr:from>
    <xdr:to>
      <xdr:col>22</xdr:col>
      <xdr:colOff>560460</xdr:colOff>
      <xdr:row>17</xdr:row>
      <xdr:rowOff>181601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153AF08-56C8-4A2A-9F4B-4DA773870103}"/>
            </a:ext>
          </a:extLst>
        </xdr:cNvPr>
        <xdr:cNvGrpSpPr/>
      </xdr:nvGrpSpPr>
      <xdr:grpSpPr>
        <a:xfrm>
          <a:off x="11335616" y="502228"/>
          <a:ext cx="4712494" cy="2946448"/>
          <a:chOff x="11395364" y="502228"/>
          <a:chExt cx="4716823" cy="2952509"/>
        </a:xfrm>
      </xdr:grpSpPr>
      <xdr:grpSp>
        <xdr:nvGrpSpPr>
          <xdr:cNvPr id="12" name="40 Grupo">
            <a:extLst>
              <a:ext uri="{FF2B5EF4-FFF2-40B4-BE49-F238E27FC236}">
                <a16:creationId xmlns:a16="http://schemas.microsoft.com/office/drawing/2014/main" id="{3F93A684-E90A-4394-8772-03C2BCDB6206}"/>
              </a:ext>
            </a:extLst>
          </xdr:cNvPr>
          <xdr:cNvGrpSpPr/>
        </xdr:nvGrpSpPr>
        <xdr:grpSpPr>
          <a:xfrm>
            <a:off x="11395364" y="536864"/>
            <a:ext cx="4716823" cy="2917873"/>
            <a:chOff x="-4523119" y="2319760"/>
            <a:chExt cx="14922268" cy="3293537"/>
          </a:xfrm>
        </xdr:grpSpPr>
        <xdr:graphicFrame macro="">
          <xdr:nvGraphicFramePr>
            <xdr:cNvPr id="13" name="41 Gráfico">
              <a:extLst>
                <a:ext uri="{FF2B5EF4-FFF2-40B4-BE49-F238E27FC236}">
                  <a16:creationId xmlns:a16="http://schemas.microsoft.com/office/drawing/2014/main" id="{2FCF8982-BC9E-4AEB-9422-DCAD4B418CA5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-4523119" y="2319760"/>
            <a:ext cx="14922268" cy="3191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22" name="1 CuadroTexto">
              <a:extLst>
                <a:ext uri="{FF2B5EF4-FFF2-40B4-BE49-F238E27FC236}">
                  <a16:creationId xmlns:a16="http://schemas.microsoft.com/office/drawing/2014/main" id="{4CBD2916-8F38-439B-B862-27C0DE4BCC7B}"/>
                </a:ext>
              </a:extLst>
            </xdr:cNvPr>
            <xdr:cNvSpPr txBox="1"/>
          </xdr:nvSpPr>
          <xdr:spPr>
            <a:xfrm>
              <a:off x="-3126020" y="5335635"/>
              <a:ext cx="13124034" cy="277662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r>
                <a:rPr lang="es-AR" sz="700" i="1">
                  <a:effectLst/>
                  <a:latin typeface="Arial Nova Light" panose="020B0304020202090204" pitchFamily="34" charset="0"/>
                  <a:ea typeface="+mn-ea"/>
                  <a:cs typeface="+mn-cs"/>
                </a:rPr>
                <a:t>Fuente: BAVSA Research en base a BYMA</a:t>
              </a:r>
              <a:endParaRPr lang="es-AR" sz="300">
                <a:effectLst/>
                <a:latin typeface="Arial Nova Light" panose="020B0304020202090204" pitchFamily="34" charset="0"/>
              </a:endParaRPr>
            </a:p>
          </xdr:txBody>
        </xdr:sp>
      </xdr:grpSp>
      <xdr:sp macro="" textlink="">
        <xdr:nvSpPr>
          <xdr:cNvPr id="23" name="CuadroTexto 4">
            <a:extLst>
              <a:ext uri="{FF2B5EF4-FFF2-40B4-BE49-F238E27FC236}">
                <a16:creationId xmlns:a16="http://schemas.microsoft.com/office/drawing/2014/main" id="{3757064F-ADBA-49FC-8276-8889F22F85D5}"/>
              </a:ext>
            </a:extLst>
          </xdr:cNvPr>
          <xdr:cNvSpPr txBox="1"/>
        </xdr:nvSpPr>
        <xdr:spPr>
          <a:xfrm>
            <a:off x="11611842" y="502228"/>
            <a:ext cx="887082" cy="2385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AR" sz="1050">
                <a:solidFill>
                  <a:sysClr val="windowText" lastClr="000000"/>
                </a:solidFill>
                <a:latin typeface="Bahnschrift SemiBold" panose="020B0502040204020203" pitchFamily="34" charset="0"/>
              </a:rPr>
              <a:t>Cuadro</a:t>
            </a:r>
            <a:r>
              <a:rPr lang="es-AR" sz="1100" baseline="0">
                <a:solidFill>
                  <a:sysClr val="windowText" lastClr="000000"/>
                </a:solidFill>
                <a:latin typeface="Bahnschrift SemiBold" panose="020B0502040204020203" pitchFamily="34" charset="0"/>
              </a:rPr>
              <a:t> II</a:t>
            </a:r>
            <a:endParaRPr lang="es-AR" sz="1100">
              <a:solidFill>
                <a:sysClr val="windowText" lastClr="000000"/>
              </a:solidFill>
              <a:latin typeface="Bahnschrift SemiBold" panose="020B0502040204020203" pitchFamily="34" charset="0"/>
            </a:endParaRPr>
          </a:p>
        </xdr:txBody>
      </xdr:sp>
    </xdr:grpSp>
    <xdr:clientData/>
  </xdr:twoCellAnchor>
  <xdr:twoCellAnchor>
    <xdr:from>
      <xdr:col>17</xdr:col>
      <xdr:colOff>0</xdr:colOff>
      <xdr:row>21</xdr:row>
      <xdr:rowOff>0</xdr:rowOff>
    </xdr:from>
    <xdr:to>
      <xdr:col>22</xdr:col>
      <xdr:colOff>569119</xdr:colOff>
      <xdr:row>35</xdr:row>
      <xdr:rowOff>117523</xdr:rowOff>
    </xdr:to>
    <xdr:grpSp>
      <xdr:nvGrpSpPr>
        <xdr:cNvPr id="24" name="Grupo 23">
          <a:extLst>
            <a:ext uri="{FF2B5EF4-FFF2-40B4-BE49-F238E27FC236}">
              <a16:creationId xmlns:a16="http://schemas.microsoft.com/office/drawing/2014/main" id="{06011623-7ECE-4B05-A951-3B643ABD37EF}"/>
            </a:ext>
          </a:extLst>
        </xdr:cNvPr>
        <xdr:cNvGrpSpPr/>
      </xdr:nvGrpSpPr>
      <xdr:grpSpPr>
        <a:xfrm>
          <a:off x="11344275" y="4029075"/>
          <a:ext cx="4712494" cy="2946448"/>
          <a:chOff x="11395364" y="502228"/>
          <a:chExt cx="4716823" cy="2952509"/>
        </a:xfrm>
      </xdr:grpSpPr>
      <xdr:grpSp>
        <xdr:nvGrpSpPr>
          <xdr:cNvPr id="25" name="40 Grupo">
            <a:extLst>
              <a:ext uri="{FF2B5EF4-FFF2-40B4-BE49-F238E27FC236}">
                <a16:creationId xmlns:a16="http://schemas.microsoft.com/office/drawing/2014/main" id="{FC768B0C-FC08-445F-9D6F-A9C971F1CEB1}"/>
              </a:ext>
            </a:extLst>
          </xdr:cNvPr>
          <xdr:cNvGrpSpPr/>
        </xdr:nvGrpSpPr>
        <xdr:grpSpPr>
          <a:xfrm>
            <a:off x="11395364" y="536864"/>
            <a:ext cx="4716823" cy="2917873"/>
            <a:chOff x="-4523119" y="2319760"/>
            <a:chExt cx="14922268" cy="3293537"/>
          </a:xfrm>
        </xdr:grpSpPr>
        <xdr:graphicFrame macro="">
          <xdr:nvGraphicFramePr>
            <xdr:cNvPr id="28" name="41 Gráfico">
              <a:extLst>
                <a:ext uri="{FF2B5EF4-FFF2-40B4-BE49-F238E27FC236}">
                  <a16:creationId xmlns:a16="http://schemas.microsoft.com/office/drawing/2014/main" id="{30343A8E-9318-4781-9D4F-F701177B9D8E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-4523119" y="2319760"/>
            <a:ext cx="14922268" cy="3191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30" name="1 CuadroTexto">
              <a:extLst>
                <a:ext uri="{FF2B5EF4-FFF2-40B4-BE49-F238E27FC236}">
                  <a16:creationId xmlns:a16="http://schemas.microsoft.com/office/drawing/2014/main" id="{FDDC32E9-BC2B-4622-9C8F-0A33A3921540}"/>
                </a:ext>
              </a:extLst>
            </xdr:cNvPr>
            <xdr:cNvSpPr txBox="1"/>
          </xdr:nvSpPr>
          <xdr:spPr>
            <a:xfrm>
              <a:off x="-3126020" y="5335635"/>
              <a:ext cx="13124034" cy="277662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r>
                <a:rPr lang="es-AR" sz="700" i="1">
                  <a:effectLst/>
                  <a:latin typeface="Arial Nova Light" panose="020B0304020202090204" pitchFamily="34" charset="0"/>
                  <a:ea typeface="+mn-ea"/>
                  <a:cs typeface="+mn-cs"/>
                </a:rPr>
                <a:t>Fuente: BAVSA Research en base a BYMA, IAMC y cálculos propios</a:t>
              </a:r>
              <a:endParaRPr lang="es-AR" sz="300">
                <a:effectLst/>
                <a:latin typeface="Arial Nova Light" panose="020B0304020202090204" pitchFamily="34" charset="0"/>
              </a:endParaRPr>
            </a:p>
          </xdr:txBody>
        </xdr:sp>
      </xdr:grpSp>
      <xdr:sp macro="" textlink="">
        <xdr:nvSpPr>
          <xdr:cNvPr id="26" name="CuadroTexto 4">
            <a:extLst>
              <a:ext uri="{FF2B5EF4-FFF2-40B4-BE49-F238E27FC236}">
                <a16:creationId xmlns:a16="http://schemas.microsoft.com/office/drawing/2014/main" id="{50C38422-77EC-4092-AA22-A427F497F617}"/>
              </a:ext>
            </a:extLst>
          </xdr:cNvPr>
          <xdr:cNvSpPr txBox="1"/>
        </xdr:nvSpPr>
        <xdr:spPr>
          <a:xfrm>
            <a:off x="11611842" y="502228"/>
            <a:ext cx="887082" cy="2385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AR" sz="1050">
                <a:solidFill>
                  <a:sysClr val="windowText" lastClr="000000"/>
                </a:solidFill>
                <a:latin typeface="Bahnschrift SemiBold" panose="020B0502040204020203" pitchFamily="34" charset="0"/>
              </a:rPr>
              <a:t>Cuadro</a:t>
            </a:r>
            <a:r>
              <a:rPr lang="es-AR" sz="1100" baseline="0">
                <a:solidFill>
                  <a:sysClr val="windowText" lastClr="000000"/>
                </a:solidFill>
                <a:latin typeface="Bahnschrift SemiBold" panose="020B0502040204020203" pitchFamily="34" charset="0"/>
              </a:rPr>
              <a:t> III</a:t>
            </a:r>
            <a:endParaRPr lang="es-AR" sz="1100">
              <a:solidFill>
                <a:sysClr val="windowText" lastClr="000000"/>
              </a:solidFill>
              <a:latin typeface="Bahnschrift SemiBold" panose="020B0502040204020203" pitchFamily="34" charset="0"/>
            </a:endParaRPr>
          </a:p>
        </xdr:txBody>
      </xdr:sp>
    </xdr:grpSp>
    <xdr:clientData/>
  </xdr:twoCellAnchor>
  <xdr:twoCellAnchor>
    <xdr:from>
      <xdr:col>24</xdr:col>
      <xdr:colOff>0</xdr:colOff>
      <xdr:row>2</xdr:row>
      <xdr:rowOff>0</xdr:rowOff>
    </xdr:from>
    <xdr:to>
      <xdr:col>30</xdr:col>
      <xdr:colOff>407194</xdr:colOff>
      <xdr:row>17</xdr:row>
      <xdr:rowOff>60373</xdr:rowOff>
    </xdr:to>
    <xdr:grpSp>
      <xdr:nvGrpSpPr>
        <xdr:cNvPr id="31" name="Grupo 30">
          <a:extLst>
            <a:ext uri="{FF2B5EF4-FFF2-40B4-BE49-F238E27FC236}">
              <a16:creationId xmlns:a16="http://schemas.microsoft.com/office/drawing/2014/main" id="{7F4FA0C1-97DF-4CAB-8FDA-46898E71AA0C}"/>
            </a:ext>
          </a:extLst>
        </xdr:cNvPr>
        <xdr:cNvGrpSpPr/>
      </xdr:nvGrpSpPr>
      <xdr:grpSpPr>
        <a:xfrm>
          <a:off x="16849725" y="381000"/>
          <a:ext cx="4712494" cy="2946448"/>
          <a:chOff x="11395364" y="502228"/>
          <a:chExt cx="4716823" cy="2952509"/>
        </a:xfrm>
      </xdr:grpSpPr>
      <xdr:grpSp>
        <xdr:nvGrpSpPr>
          <xdr:cNvPr id="32" name="40 Grupo">
            <a:extLst>
              <a:ext uri="{FF2B5EF4-FFF2-40B4-BE49-F238E27FC236}">
                <a16:creationId xmlns:a16="http://schemas.microsoft.com/office/drawing/2014/main" id="{1FCBBA78-C144-451D-AC5A-0E18AED2260E}"/>
              </a:ext>
            </a:extLst>
          </xdr:cNvPr>
          <xdr:cNvGrpSpPr/>
        </xdr:nvGrpSpPr>
        <xdr:grpSpPr>
          <a:xfrm>
            <a:off x="11395364" y="536864"/>
            <a:ext cx="4716823" cy="2917873"/>
            <a:chOff x="-4523119" y="2319760"/>
            <a:chExt cx="14922268" cy="3293537"/>
          </a:xfrm>
        </xdr:grpSpPr>
        <xdr:graphicFrame macro="">
          <xdr:nvGraphicFramePr>
            <xdr:cNvPr id="34" name="41 Gráfico">
              <a:extLst>
                <a:ext uri="{FF2B5EF4-FFF2-40B4-BE49-F238E27FC236}">
                  <a16:creationId xmlns:a16="http://schemas.microsoft.com/office/drawing/2014/main" id="{F996BFCA-4449-4F3F-9674-C8E6709C4095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-4523119" y="2319760"/>
            <a:ext cx="14922268" cy="3191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">
          <xdr:nvSpPr>
            <xdr:cNvPr id="35" name="1 CuadroTexto">
              <a:extLst>
                <a:ext uri="{FF2B5EF4-FFF2-40B4-BE49-F238E27FC236}">
                  <a16:creationId xmlns:a16="http://schemas.microsoft.com/office/drawing/2014/main" id="{FF11CEAB-39AD-4BF3-8F42-178566F65806}"/>
                </a:ext>
              </a:extLst>
            </xdr:cNvPr>
            <xdr:cNvSpPr txBox="1"/>
          </xdr:nvSpPr>
          <xdr:spPr>
            <a:xfrm>
              <a:off x="-3126020" y="5335635"/>
              <a:ext cx="13124034" cy="277662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r>
                <a:rPr lang="es-AR" sz="700" i="1">
                  <a:effectLst/>
                  <a:latin typeface="Arial Nova Light" panose="020B0304020202090204" pitchFamily="34" charset="0"/>
                  <a:ea typeface="+mn-ea"/>
                  <a:cs typeface="+mn-cs"/>
                </a:rPr>
                <a:t>Fuente: BAVSA Research en base a BYMA</a:t>
              </a:r>
              <a:endParaRPr lang="es-AR" sz="300">
                <a:effectLst/>
                <a:latin typeface="Arial Nova Light" panose="020B0304020202090204" pitchFamily="34" charset="0"/>
              </a:endParaRPr>
            </a:p>
          </xdr:txBody>
        </xdr:sp>
      </xdr:grpSp>
      <xdr:sp macro="" textlink="">
        <xdr:nvSpPr>
          <xdr:cNvPr id="33" name="CuadroTexto 4">
            <a:extLst>
              <a:ext uri="{FF2B5EF4-FFF2-40B4-BE49-F238E27FC236}">
                <a16:creationId xmlns:a16="http://schemas.microsoft.com/office/drawing/2014/main" id="{1EC3E1F3-AB8A-460C-8749-40B64A298720}"/>
              </a:ext>
            </a:extLst>
          </xdr:cNvPr>
          <xdr:cNvSpPr txBox="1"/>
        </xdr:nvSpPr>
        <xdr:spPr>
          <a:xfrm>
            <a:off x="11611842" y="502228"/>
            <a:ext cx="887082" cy="2385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AR" sz="1050">
                <a:solidFill>
                  <a:sysClr val="windowText" lastClr="000000"/>
                </a:solidFill>
                <a:latin typeface="Bahnschrift SemiBold" panose="020B0502040204020203" pitchFamily="34" charset="0"/>
              </a:rPr>
              <a:t>Cuadro</a:t>
            </a:r>
            <a:r>
              <a:rPr lang="es-AR" sz="1100" baseline="0">
                <a:solidFill>
                  <a:sysClr val="windowText" lastClr="000000"/>
                </a:solidFill>
                <a:latin typeface="Bahnschrift SemiBold" panose="020B0502040204020203" pitchFamily="34" charset="0"/>
              </a:rPr>
              <a:t> V</a:t>
            </a:r>
            <a:endParaRPr lang="es-AR" sz="1100">
              <a:solidFill>
                <a:sysClr val="windowText" lastClr="000000"/>
              </a:solidFill>
              <a:latin typeface="Bahnschrift SemiBold" panose="020B0502040204020203" pitchFamily="34" charset="0"/>
            </a:endParaRPr>
          </a:p>
        </xdr:txBody>
      </xdr:sp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0.15658</cdr:x>
      <cdr:y>0.90462</cdr:y>
    </cdr:from>
    <cdr:to>
      <cdr:x>0.91858</cdr:x>
      <cdr:y>0.95692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218F723-54E8-4DF8-8A69-6FB9438A645D}"/>
            </a:ext>
          </a:extLst>
        </cdr:cNvPr>
        <cdr:cNvSpPr txBox="1"/>
      </cdr:nvSpPr>
      <cdr:spPr>
        <a:xfrm xmlns:a="http://schemas.openxmlformats.org/drawingml/2006/main">
          <a:off x="714375" y="2800351"/>
          <a:ext cx="3476625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0.15031</cdr:x>
      <cdr:y>0.89538</cdr:y>
    </cdr:from>
    <cdr:to>
      <cdr:x>0.92902</cdr:x>
      <cdr:y>0.96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FE387DE7-7F37-4136-8494-5FAFA9866E88}"/>
            </a:ext>
          </a:extLst>
        </cdr:cNvPr>
        <cdr:cNvSpPr txBox="1"/>
      </cdr:nvSpPr>
      <cdr:spPr>
        <a:xfrm xmlns:a="http://schemas.openxmlformats.org/drawingml/2006/main">
          <a:off x="685800" y="2771776"/>
          <a:ext cx="35528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0.10751</cdr:x>
      <cdr:y>0.95034</cdr:y>
    </cdr:from>
    <cdr:to>
      <cdr:x>0.98777</cdr:x>
      <cdr:y>1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8B8D3250-B281-413D-8A46-BA8110802784}"/>
            </a:ext>
          </a:extLst>
        </cdr:cNvPr>
        <cdr:cNvSpPr txBox="1"/>
      </cdr:nvSpPr>
      <cdr:spPr>
        <a:xfrm xmlns:a="http://schemas.openxmlformats.org/drawingml/2006/main">
          <a:off x="539790" y="2920630"/>
          <a:ext cx="4419551" cy="15261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r"/>
          <a:r>
            <a:rPr lang="es-AR" sz="700" i="1">
              <a:solidFill>
                <a:sysClr val="windowText" lastClr="000000"/>
              </a:solidFill>
              <a:latin typeface="Arial Nova Light" panose="020B0304020202090204" pitchFamily="34" charset="0"/>
              <a:cs typeface="Arial" panose="020B0604020202020204" pitchFamily="34" charset="0"/>
            </a:rPr>
            <a:t>Fuente: BAVSA Research en base a BYMA, IAMC y cálculos propios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0.15658</cdr:x>
      <cdr:y>0.90462</cdr:y>
    </cdr:from>
    <cdr:to>
      <cdr:x>0.91858</cdr:x>
      <cdr:y>0.95692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218F723-54E8-4DF8-8A69-6FB9438A645D}"/>
            </a:ext>
          </a:extLst>
        </cdr:cNvPr>
        <cdr:cNvSpPr txBox="1"/>
      </cdr:nvSpPr>
      <cdr:spPr>
        <a:xfrm xmlns:a="http://schemas.openxmlformats.org/drawingml/2006/main">
          <a:off x="714375" y="2800351"/>
          <a:ext cx="3476625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0.15031</cdr:x>
      <cdr:y>0.89538</cdr:y>
    </cdr:from>
    <cdr:to>
      <cdr:x>0.92902</cdr:x>
      <cdr:y>0.96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FE387DE7-7F37-4136-8494-5FAFA9866E88}"/>
            </a:ext>
          </a:extLst>
        </cdr:cNvPr>
        <cdr:cNvSpPr txBox="1"/>
      </cdr:nvSpPr>
      <cdr:spPr>
        <a:xfrm xmlns:a="http://schemas.openxmlformats.org/drawingml/2006/main">
          <a:off x="685800" y="2771776"/>
          <a:ext cx="35528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0.10751</cdr:x>
      <cdr:y>0.95034</cdr:y>
    </cdr:from>
    <cdr:to>
      <cdr:x>0.98777</cdr:x>
      <cdr:y>1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8B8D3250-B281-413D-8A46-BA8110802784}"/>
            </a:ext>
          </a:extLst>
        </cdr:cNvPr>
        <cdr:cNvSpPr txBox="1"/>
      </cdr:nvSpPr>
      <cdr:spPr>
        <a:xfrm xmlns:a="http://schemas.openxmlformats.org/drawingml/2006/main">
          <a:off x="539790" y="2920630"/>
          <a:ext cx="4419551" cy="15261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r"/>
          <a:r>
            <a:rPr lang="es-AR" sz="700" i="1">
              <a:solidFill>
                <a:sysClr val="windowText" lastClr="000000"/>
              </a:solidFill>
              <a:latin typeface="Arial Nova Light" panose="020B0304020202090204" pitchFamily="34" charset="0"/>
              <a:cs typeface="Arial" panose="020B0604020202020204" pitchFamily="34" charset="0"/>
            </a:rPr>
            <a:t>Fuente: BAVSA Research en base a BYMA y cálculos propios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0.09325</cdr:x>
      <cdr:y>0.10257</cdr:y>
    </cdr:from>
    <cdr:to>
      <cdr:x>0.9118</cdr:x>
      <cdr:y>0.14859</cdr:y>
    </cdr:to>
    <cdr:sp macro="" textlink="">
      <cdr:nvSpPr>
        <cdr:cNvPr id="3" name="3 CuadroTexto"/>
        <cdr:cNvSpPr txBox="1"/>
      </cdr:nvSpPr>
      <cdr:spPr>
        <a:xfrm xmlns:a="http://schemas.openxmlformats.org/drawingml/2006/main">
          <a:off x="439844" y="289960"/>
          <a:ext cx="3860955" cy="130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solidFill>
                <a:schemeClr val="dk1"/>
              </a:solidFill>
              <a:effectLst/>
              <a:latin typeface="Arial Nova Light" panose="020B0304020202090204" pitchFamily="34" charset="0"/>
              <a:ea typeface="+mn-ea"/>
              <a:cs typeface="Arial" panose="020B0604020202020204" pitchFamily="34" charset="0"/>
            </a:rPr>
            <a:t>Evolución del ratio del</a:t>
          </a:r>
          <a:r>
            <a:rPr lang="es-AR" sz="900" i="1" baseline="0">
              <a:solidFill>
                <a:schemeClr val="dk1"/>
              </a:solidFill>
              <a:effectLst/>
              <a:latin typeface="Arial Nova Light" panose="020B0304020202090204" pitchFamily="34" charset="0"/>
              <a:ea typeface="+mn-ea"/>
              <a:cs typeface="Arial" panose="020B0604020202020204" pitchFamily="34" charset="0"/>
            </a:rPr>
            <a:t> precio en pesos plazo 48hs base cierre</a:t>
          </a:r>
          <a:endParaRPr lang="es-AR" sz="800">
            <a:effectLst/>
            <a:latin typeface="Arial Nova Light" panose="020B030402020209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0.09325</cdr:x>
      <cdr:y>0.10257</cdr:y>
    </cdr:from>
    <cdr:to>
      <cdr:x>0.9118</cdr:x>
      <cdr:y>0.14859</cdr:y>
    </cdr:to>
    <cdr:sp macro="" textlink="">
      <cdr:nvSpPr>
        <cdr:cNvPr id="3" name="3 CuadroTexto"/>
        <cdr:cNvSpPr txBox="1"/>
      </cdr:nvSpPr>
      <cdr:spPr>
        <a:xfrm xmlns:a="http://schemas.openxmlformats.org/drawingml/2006/main">
          <a:off x="439844" y="289960"/>
          <a:ext cx="3860955" cy="130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solidFill>
                <a:schemeClr val="dk1"/>
              </a:solidFill>
              <a:effectLst/>
              <a:latin typeface="Arial Nova Light" panose="020B0304020202090204" pitchFamily="34" charset="0"/>
              <a:ea typeface="+mn-ea"/>
              <a:cs typeface="Arial" panose="020B0604020202020204" pitchFamily="34" charset="0"/>
            </a:rPr>
            <a:t>Evolución del ratio del</a:t>
          </a:r>
          <a:r>
            <a:rPr lang="es-AR" sz="900" i="1" baseline="0">
              <a:solidFill>
                <a:schemeClr val="dk1"/>
              </a:solidFill>
              <a:effectLst/>
              <a:latin typeface="Arial Nova Light" panose="020B0304020202090204" pitchFamily="34" charset="0"/>
              <a:ea typeface="+mn-ea"/>
              <a:cs typeface="Arial" panose="020B0604020202020204" pitchFamily="34" charset="0"/>
            </a:rPr>
            <a:t> precio en pesos base cierre</a:t>
          </a:r>
          <a:endParaRPr lang="es-AR" sz="800">
            <a:effectLst/>
            <a:latin typeface="Arial Nova Light" panose="020B030402020209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nos%20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Y23"/>
      <sheetName val="Variaciones"/>
      <sheetName val="Planilla de datos"/>
      <sheetName val="AA22"/>
      <sheetName val="TB21"/>
      <sheetName val="PR15"/>
      <sheetName val="TO21"/>
      <sheetName val="TO23"/>
      <sheetName val="TO26"/>
      <sheetName val="TC21"/>
      <sheetName val="TX21"/>
      <sheetName val="TX22"/>
      <sheetName val="T2X2"/>
      <sheetName val="TC23"/>
      <sheetName val="TX23"/>
      <sheetName val="T2X3"/>
      <sheetName val="TX24"/>
      <sheetName val="T2X4"/>
      <sheetName val="TC25P"/>
      <sheetName val="TX26"/>
      <sheetName val="TX28"/>
      <sheetName val="LECER"/>
      <sheetName val="Lepase"/>
      <sheetName val="Serie CER"/>
      <sheetName val="Serie BADLAR"/>
      <sheetName val="PBY22"/>
      <sheetName val="PBA25"/>
      <sheetName val="PMJ21"/>
      <sheetName val="BDC28"/>
      <sheetName val="BDC24"/>
      <sheetName val="BDC22"/>
      <sheetName val="BNY22"/>
    </sheetNames>
    <sheetDataSet>
      <sheetData sheetId="0"/>
      <sheetData sheetId="1"/>
      <sheetData sheetId="2">
        <row r="72">
          <cell r="C72">
            <v>148.19999999999999</v>
          </cell>
        </row>
        <row r="73">
          <cell r="C73">
            <v>375</v>
          </cell>
        </row>
        <row r="74">
          <cell r="C74">
            <v>151</v>
          </cell>
        </row>
        <row r="75">
          <cell r="C75">
            <v>135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65"/>
  <sheetViews>
    <sheetView showGridLines="0" tabSelected="1" zoomScale="90" zoomScaleNormal="90" workbookViewId="0">
      <selection activeCell="J28" sqref="J28"/>
    </sheetView>
  </sheetViews>
  <sheetFormatPr baseColWidth="10" defaultRowHeight="14.25" x14ac:dyDescent="0.2"/>
  <cols>
    <col min="1" max="1" width="5.5703125" style="4" customWidth="1"/>
    <col min="2" max="2" width="10.85546875" style="4" customWidth="1"/>
    <col min="3" max="3" width="11.28515625" style="4" bestFit="1" customWidth="1"/>
    <col min="4" max="4" width="9.5703125" style="4" bestFit="1" customWidth="1"/>
    <col min="5" max="5" width="8.7109375" style="4" customWidth="1"/>
    <col min="6" max="6" width="8.7109375" style="4" bestFit="1" customWidth="1"/>
    <col min="7" max="7" width="8.5703125" style="4" customWidth="1"/>
    <col min="8" max="8" width="9" style="4" bestFit="1" customWidth="1"/>
    <col min="9" max="9" width="2.85546875" style="4" customWidth="1"/>
    <col min="10" max="11" width="8.28515625" style="4" bestFit="1" customWidth="1"/>
    <col min="12" max="12" width="7" style="4" bestFit="1" customWidth="1"/>
    <col min="13" max="13" width="8.7109375" style="95" customWidth="1"/>
    <col min="14" max="14" width="9.5703125" style="95" bestFit="1" customWidth="1"/>
    <col min="15" max="15" width="10.42578125" style="4" customWidth="1"/>
    <col min="16" max="16" width="9.7109375" style="4" customWidth="1"/>
    <col min="17" max="17" width="10.140625" style="4" customWidth="1"/>
    <col min="18" max="18" width="8.5703125" style="4" customWidth="1"/>
    <col min="19" max="29" width="8.85546875" style="4" customWidth="1"/>
    <col min="30" max="30" width="11.7109375" style="4" bestFit="1" customWidth="1"/>
    <col min="31" max="31" width="7.85546875" style="4" bestFit="1" customWidth="1"/>
    <col min="32" max="32" width="11.28515625" style="4" customWidth="1"/>
    <col min="33" max="33" width="11.42578125" style="4"/>
    <col min="34" max="34" width="11.85546875" style="4" bestFit="1" customWidth="1"/>
    <col min="35" max="16384" width="11.42578125" style="4"/>
  </cols>
  <sheetData>
    <row r="2" spans="2:31" ht="15" x14ac:dyDescent="0.25">
      <c r="B2" s="1" t="s">
        <v>51</v>
      </c>
      <c r="C2" s="45">
        <v>44370</v>
      </c>
    </row>
    <row r="3" spans="2:31" x14ac:dyDescent="0.2">
      <c r="C3" s="71"/>
    </row>
    <row r="4" spans="2:31" ht="15.75" x14ac:dyDescent="0.25">
      <c r="B4" s="272" t="s">
        <v>165</v>
      </c>
      <c r="C4" s="272"/>
      <c r="D4" s="272"/>
      <c r="E4" s="272"/>
      <c r="F4" s="272"/>
      <c r="G4" s="272"/>
      <c r="H4" s="272"/>
      <c r="I4" s="106"/>
      <c r="J4" s="106"/>
      <c r="K4" s="186"/>
      <c r="L4" s="186"/>
      <c r="M4" s="196"/>
      <c r="N4" s="272" t="s">
        <v>161</v>
      </c>
      <c r="O4" s="272"/>
      <c r="P4" s="272"/>
      <c r="Q4" s="272"/>
      <c r="R4" s="272"/>
      <c r="S4" s="272"/>
    </row>
    <row r="5" spans="2:31" ht="15.75" x14ac:dyDescent="0.25">
      <c r="B5" s="273" t="s">
        <v>166</v>
      </c>
      <c r="C5" s="273"/>
      <c r="D5" s="273"/>
      <c r="E5" s="273"/>
      <c r="F5" s="273"/>
      <c r="G5" s="273"/>
      <c r="H5" s="273"/>
      <c r="I5" s="159"/>
      <c r="J5" s="159"/>
      <c r="K5" s="187"/>
      <c r="L5" s="187"/>
      <c r="M5" s="120"/>
      <c r="N5" s="279" t="s">
        <v>132</v>
      </c>
      <c r="O5" s="279"/>
      <c r="P5" s="279"/>
      <c r="Q5" s="279"/>
      <c r="R5" s="279"/>
      <c r="S5" s="279"/>
    </row>
    <row r="6" spans="2:31" ht="15" x14ac:dyDescent="0.25">
      <c r="B6" s="72" t="s">
        <v>31</v>
      </c>
      <c r="C6" s="72" t="s">
        <v>19</v>
      </c>
      <c r="D6" s="72" t="s">
        <v>18</v>
      </c>
      <c r="E6" s="38" t="s">
        <v>23</v>
      </c>
      <c r="F6" s="38" t="s">
        <v>5</v>
      </c>
      <c r="G6" s="38" t="s">
        <v>22</v>
      </c>
      <c r="H6" s="38" t="s">
        <v>24</v>
      </c>
      <c r="J6" s="189">
        <v>44355</v>
      </c>
      <c r="K6" s="189">
        <v>44330</v>
      </c>
      <c r="L6" s="189">
        <v>44560</v>
      </c>
      <c r="M6" s="157"/>
      <c r="N6" s="275" t="s">
        <v>91</v>
      </c>
      <c r="O6" s="276"/>
      <c r="P6" s="277" t="s">
        <v>92</v>
      </c>
      <c r="Q6" s="277"/>
      <c r="R6" s="277" t="s">
        <v>93</v>
      </c>
      <c r="S6" s="278"/>
      <c r="AC6" s="55"/>
      <c r="AD6" s="55"/>
      <c r="AE6" s="55"/>
    </row>
    <row r="7" spans="2:31" ht="15" x14ac:dyDescent="0.2">
      <c r="B7" s="188" t="s">
        <v>52</v>
      </c>
      <c r="C7" s="188"/>
      <c r="D7" s="188"/>
      <c r="E7" s="188"/>
      <c r="F7" s="188"/>
      <c r="G7" s="188"/>
      <c r="H7" s="188"/>
      <c r="J7" s="188"/>
      <c r="M7" s="158"/>
      <c r="N7" s="72" t="s">
        <v>31</v>
      </c>
      <c r="O7" s="103" t="s">
        <v>19</v>
      </c>
      <c r="P7" s="103" t="s">
        <v>31</v>
      </c>
      <c r="Q7" s="102" t="s">
        <v>19</v>
      </c>
      <c r="R7" s="103" t="s">
        <v>94</v>
      </c>
      <c r="S7" s="72" t="s">
        <v>95</v>
      </c>
      <c r="AC7" s="55"/>
      <c r="AD7" s="144"/>
      <c r="AE7" s="75"/>
    </row>
    <row r="8" spans="2:31" x14ac:dyDescent="0.2">
      <c r="B8" s="43" t="s">
        <v>20</v>
      </c>
      <c r="C8" s="223">
        <v>6300</v>
      </c>
      <c r="D8" s="16">
        <v>39.21</v>
      </c>
      <c r="E8" s="39">
        <f>+'AL29'!C10</f>
        <v>100.80277777777778</v>
      </c>
      <c r="F8" s="40">
        <f>'AL29'!I24</f>
        <v>0.20530791878700264</v>
      </c>
      <c r="G8" s="39">
        <f>'AL29'!I25</f>
        <v>4.6007759063985887</v>
      </c>
      <c r="H8" s="41">
        <f>D8/E8</f>
        <v>0.38897737606437216</v>
      </c>
      <c r="J8" s="39">
        <f>+Histórico!C184</f>
        <v>38.75</v>
      </c>
      <c r="K8" s="39">
        <f>+Histórico!C169</f>
        <v>37.42</v>
      </c>
      <c r="L8" s="39">
        <f>Histórico!C79</f>
        <v>42.35</v>
      </c>
      <c r="M8" s="96"/>
      <c r="N8" s="43" t="s">
        <v>20</v>
      </c>
      <c r="O8" s="44">
        <f>+C8</f>
        <v>6300</v>
      </c>
      <c r="P8" s="105" t="s">
        <v>25</v>
      </c>
      <c r="Q8" s="44">
        <f>+C14</f>
        <v>6930</v>
      </c>
      <c r="R8" s="104">
        <f>Q8-O8</f>
        <v>630</v>
      </c>
      <c r="S8" s="136">
        <f>R8/O8</f>
        <v>0.1</v>
      </c>
      <c r="AC8" s="55"/>
      <c r="AD8" s="144"/>
      <c r="AE8" s="75"/>
    </row>
    <row r="9" spans="2:31" x14ac:dyDescent="0.2">
      <c r="B9" s="43" t="s">
        <v>15</v>
      </c>
      <c r="C9" s="223">
        <v>5962</v>
      </c>
      <c r="D9" s="57">
        <v>37.299999999999997</v>
      </c>
      <c r="E9" s="39">
        <f>+'AL30'!C10</f>
        <v>100.10034722222223</v>
      </c>
      <c r="F9" s="40">
        <f>+'AL30'!I26</f>
        <v>0.19669069647789003</v>
      </c>
      <c r="G9" s="39">
        <f>'AL30'!I27</f>
        <v>4.9549134271585</v>
      </c>
      <c r="H9" s="41">
        <f>D9/E9</f>
        <v>0.37262608007936476</v>
      </c>
      <c r="J9" s="39">
        <f>+Histórico!G184</f>
        <v>37.020000000000003</v>
      </c>
      <c r="K9" s="39">
        <f>+Histórico!G169</f>
        <v>35.090000000000003</v>
      </c>
      <c r="L9" s="39">
        <f>+Histórico!G79</f>
        <v>40.94</v>
      </c>
      <c r="M9" s="96"/>
      <c r="N9" s="43" t="s">
        <v>15</v>
      </c>
      <c r="O9" s="44">
        <f>+C9</f>
        <v>5962</v>
      </c>
      <c r="P9" s="105" t="s">
        <v>26</v>
      </c>
      <c r="Q9" s="44">
        <f>+C15</f>
        <v>6385.5</v>
      </c>
      <c r="R9" s="104">
        <f>Q9-O9</f>
        <v>423.5</v>
      </c>
      <c r="S9" s="136">
        <f>R9/O9</f>
        <v>7.1033210332103316E-2</v>
      </c>
      <c r="AC9" s="55"/>
      <c r="AD9" s="55"/>
      <c r="AE9" s="55"/>
    </row>
    <row r="10" spans="2:31" x14ac:dyDescent="0.2">
      <c r="B10" s="43" t="s">
        <v>16</v>
      </c>
      <c r="C10" s="223">
        <v>5440</v>
      </c>
      <c r="D10" s="16">
        <v>33.81</v>
      </c>
      <c r="E10" s="39">
        <f>+'AL35'!C12</f>
        <v>100.10034722222223</v>
      </c>
      <c r="F10" s="40">
        <f>+'AL35'!I38</f>
        <v>0.16811838746070862</v>
      </c>
      <c r="G10" s="39">
        <f>+'AL35'!I39</f>
        <v>7.8101522908703531</v>
      </c>
      <c r="H10" s="41">
        <f>D10/E10</f>
        <v>0.33776106615236795</v>
      </c>
      <c r="J10" s="39">
        <f>+Histórico!K184</f>
        <v>34.090000000000003</v>
      </c>
      <c r="K10" s="39">
        <f>+Histórico!K169</f>
        <v>32.450000000000003</v>
      </c>
      <c r="L10" s="39">
        <f>+Histórico!K79</f>
        <v>36.5</v>
      </c>
      <c r="M10" s="96"/>
      <c r="N10" s="43" t="s">
        <v>16</v>
      </c>
      <c r="O10" s="44">
        <f>+C10</f>
        <v>5440</v>
      </c>
      <c r="P10" s="105" t="s">
        <v>27</v>
      </c>
      <c r="Q10" s="44">
        <f>+C16</f>
        <v>5683</v>
      </c>
      <c r="R10" s="104">
        <f>Q10-O10</f>
        <v>243</v>
      </c>
      <c r="S10" s="136">
        <f>R10/O10</f>
        <v>4.4669117647058824E-2</v>
      </c>
      <c r="AC10" s="55"/>
      <c r="AD10" s="55"/>
      <c r="AE10" s="55"/>
    </row>
    <row r="11" spans="2:31" x14ac:dyDescent="0.2">
      <c r="B11" s="43" t="s">
        <v>17</v>
      </c>
      <c r="C11" s="223">
        <v>6050</v>
      </c>
      <c r="D11" s="16">
        <v>37.9</v>
      </c>
      <c r="E11" s="39">
        <f>+'AE38'!C11</f>
        <v>100.10034722222223</v>
      </c>
      <c r="F11" s="40">
        <f>+'AE38'!I42</f>
        <v>0.17788648009300234</v>
      </c>
      <c r="G11" s="39">
        <f>'AE38'!I43</f>
        <v>6.5716437306641904</v>
      </c>
      <c r="H11" s="41">
        <f>D11/E11</f>
        <v>0.37862006528171382</v>
      </c>
      <c r="J11" s="39">
        <f>+Histórico!O184</f>
        <v>37.549999999999997</v>
      </c>
      <c r="K11" s="39">
        <f>+Histórico!O169</f>
        <v>34.5</v>
      </c>
      <c r="L11" s="39">
        <f>+Histórico!O79</f>
        <v>38.200000000000003</v>
      </c>
      <c r="M11" s="96"/>
      <c r="N11" s="43" t="s">
        <v>17</v>
      </c>
      <c r="O11" s="44">
        <f>+C11</f>
        <v>6050</v>
      </c>
      <c r="P11" s="105" t="s">
        <v>28</v>
      </c>
      <c r="Q11" s="44">
        <f>+C17</f>
        <v>6600</v>
      </c>
      <c r="R11" s="104">
        <f>Q11-O11</f>
        <v>550</v>
      </c>
      <c r="S11" s="136">
        <f>R11/O11</f>
        <v>9.0909090909090912E-2</v>
      </c>
      <c r="AC11" s="55"/>
      <c r="AD11" s="55"/>
      <c r="AE11" s="55"/>
    </row>
    <row r="12" spans="2:31" x14ac:dyDescent="0.2">
      <c r="B12" s="68" t="s">
        <v>21</v>
      </c>
      <c r="C12" s="224">
        <v>5920</v>
      </c>
      <c r="D12" s="70">
        <v>36.9</v>
      </c>
      <c r="E12" s="73">
        <f>+'AL41'!C11</f>
        <v>100.10034722222223</v>
      </c>
      <c r="F12" s="77">
        <f>+'AL41'!I49</f>
        <v>0.1556748449802399</v>
      </c>
      <c r="G12" s="73">
        <f>'AL41'!I50</f>
        <v>7.5131194205059622</v>
      </c>
      <c r="H12" s="41">
        <f>D12/E12</f>
        <v>0.36863008994446544</v>
      </c>
      <c r="J12" s="39">
        <f>+Histórico!S184</f>
        <v>35.9</v>
      </c>
      <c r="K12" s="39">
        <f>+Histórico!S169</f>
        <v>33.049999999999997</v>
      </c>
      <c r="L12" s="39">
        <f>+Histórico!S79</f>
        <v>35.9</v>
      </c>
      <c r="M12" s="96"/>
      <c r="N12" s="68" t="s">
        <v>21</v>
      </c>
      <c r="O12" s="44">
        <f>+C12</f>
        <v>5920</v>
      </c>
      <c r="P12" s="105" t="s">
        <v>29</v>
      </c>
      <c r="Q12" s="44">
        <f>+C18</f>
        <v>6370</v>
      </c>
      <c r="R12" s="104">
        <f>Q12-O12</f>
        <v>450</v>
      </c>
      <c r="S12" s="136">
        <f>R12/O12</f>
        <v>7.6013513513513514E-2</v>
      </c>
      <c r="AC12" s="55"/>
      <c r="AD12" s="55"/>
      <c r="AE12" s="55"/>
    </row>
    <row r="13" spans="2:31" x14ac:dyDescent="0.2">
      <c r="B13" s="188" t="s">
        <v>53</v>
      </c>
      <c r="C13" s="225"/>
      <c r="D13" s="17"/>
      <c r="J13" s="188"/>
      <c r="K13" s="39"/>
      <c r="L13" s="39"/>
      <c r="M13" s="158"/>
      <c r="N13" s="97"/>
    </row>
    <row r="14" spans="2:31" x14ac:dyDescent="0.2">
      <c r="B14" s="43" t="s">
        <v>25</v>
      </c>
      <c r="C14" s="223">
        <v>6930</v>
      </c>
      <c r="D14" s="16">
        <v>43.2</v>
      </c>
      <c r="E14" s="39">
        <f>'GD29'!C10</f>
        <v>100.80277777777778</v>
      </c>
      <c r="F14" s="40">
        <f>'GD29'!U24</f>
        <v>0.18260790705680849</v>
      </c>
      <c r="G14" s="39">
        <f>+'GD29'!U25</f>
        <v>4.7038208985776873</v>
      </c>
      <c r="H14" s="41">
        <f t="shared" ref="H14:H19" si="0">D14/E14</f>
        <v>0.42855961861721187</v>
      </c>
      <c r="J14" s="39">
        <f>+Histórico!W184</f>
        <v>42.5</v>
      </c>
      <c r="K14" s="39">
        <f>+Histórico!W169</f>
        <v>39.5</v>
      </c>
      <c r="L14" s="39">
        <f>+Histórico!W79</f>
        <v>44.9</v>
      </c>
      <c r="M14" s="96"/>
      <c r="N14" s="97"/>
    </row>
    <row r="15" spans="2:31" ht="15.75" x14ac:dyDescent="0.25">
      <c r="B15" s="43" t="s">
        <v>26</v>
      </c>
      <c r="C15" s="223">
        <v>6385.5</v>
      </c>
      <c r="D15" s="57">
        <v>39.71</v>
      </c>
      <c r="E15" s="39">
        <f>'GD30'!C10</f>
        <v>100.10034722222223</v>
      </c>
      <c r="F15" s="40">
        <f>'GD30'!U26</f>
        <v>0.18306362032890325</v>
      </c>
      <c r="G15" s="39">
        <f>'GD30'!U27</f>
        <v>5.0228680048178713</v>
      </c>
      <c r="H15" s="41">
        <f t="shared" si="0"/>
        <v>0.39670192064213339</v>
      </c>
      <c r="J15" s="39">
        <f>+Histórico!AA184</f>
        <v>39.96</v>
      </c>
      <c r="K15" s="39">
        <f>+Histórico!AA169</f>
        <v>37.450000000000003</v>
      </c>
      <c r="L15" s="39">
        <f>+Histórico!AA79</f>
        <v>41.59</v>
      </c>
      <c r="M15" s="96"/>
      <c r="N15" s="272" t="s">
        <v>101</v>
      </c>
      <c r="O15" s="272"/>
      <c r="P15" s="272"/>
      <c r="Q15" s="272"/>
      <c r="R15" s="272"/>
      <c r="S15" s="272"/>
    </row>
    <row r="16" spans="2:31" x14ac:dyDescent="0.2">
      <c r="B16" s="43" t="s">
        <v>27</v>
      </c>
      <c r="C16" s="223">
        <v>5683</v>
      </c>
      <c r="D16" s="16">
        <v>35.25</v>
      </c>
      <c r="E16" s="39">
        <f>'GD35'!C12</f>
        <v>100.10034722222223</v>
      </c>
      <c r="F16" s="40">
        <f>'GD35'!U38</f>
        <v>0.16240534186363223</v>
      </c>
      <c r="G16" s="39">
        <f>'GD35'!U39</f>
        <v>7.8957170172658149</v>
      </c>
      <c r="H16" s="41">
        <f t="shared" si="0"/>
        <v>0.35214663063800561</v>
      </c>
      <c r="J16" s="39">
        <f>+Histórico!AE184</f>
        <v>35.299999999999997</v>
      </c>
      <c r="K16" s="39">
        <f>+Histórico!AE169</f>
        <v>33.1</v>
      </c>
      <c r="L16" s="39">
        <f>+Histórico!AE79</f>
        <v>37.1</v>
      </c>
      <c r="M16" s="96"/>
      <c r="N16" s="279" t="s">
        <v>184</v>
      </c>
      <c r="O16" s="279"/>
      <c r="P16" s="279"/>
      <c r="Q16" s="279"/>
      <c r="R16" s="279"/>
      <c r="S16" s="279"/>
    </row>
    <row r="17" spans="1:32" ht="15" x14ac:dyDescent="0.25">
      <c r="B17" s="43" t="s">
        <v>28</v>
      </c>
      <c r="C17" s="223">
        <v>6600</v>
      </c>
      <c r="D17" s="16">
        <v>41.75</v>
      </c>
      <c r="E17" s="39">
        <f>+'GD38'!C11</f>
        <v>100.10034722222223</v>
      </c>
      <c r="F17" s="40">
        <f>+'GD38'!U42</f>
        <v>0.16229885220527654</v>
      </c>
      <c r="G17" s="39">
        <f>+'GD38'!U43</f>
        <v>6.8082582641755565</v>
      </c>
      <c r="H17" s="41">
        <f t="shared" si="0"/>
        <v>0.41708147033012011</v>
      </c>
      <c r="J17" s="39">
        <f>+Histórico!AI184</f>
        <v>41.25</v>
      </c>
      <c r="K17" s="39">
        <f>+Histórico!AI169</f>
        <v>39.5</v>
      </c>
      <c r="L17" s="39">
        <f>+Histórico!AI79</f>
        <v>41.6</v>
      </c>
      <c r="M17" s="96"/>
      <c r="N17" s="275" t="s">
        <v>91</v>
      </c>
      <c r="O17" s="276"/>
      <c r="P17" s="277" t="s">
        <v>92</v>
      </c>
      <c r="Q17" s="277"/>
      <c r="R17" s="277" t="s">
        <v>93</v>
      </c>
      <c r="S17" s="278"/>
    </row>
    <row r="18" spans="1:32" ht="14.25" customHeight="1" x14ac:dyDescent="0.2">
      <c r="B18" s="68" t="s">
        <v>29</v>
      </c>
      <c r="C18" s="224">
        <v>6370</v>
      </c>
      <c r="D18" s="70">
        <v>39.19</v>
      </c>
      <c r="E18" s="73">
        <f>'GD41'!C11</f>
        <v>100.10034722222223</v>
      </c>
      <c r="F18" s="77">
        <f>'GD41'!U49</f>
        <v>0.14720516800880437</v>
      </c>
      <c r="G18" s="73">
        <f>'GD41'!U50</f>
        <v>7.6978776266562452</v>
      </c>
      <c r="H18" s="41">
        <f t="shared" si="0"/>
        <v>0.39150713346676419</v>
      </c>
      <c r="J18" s="39">
        <f>+Histórico!AM184</f>
        <v>38.700000000000003</v>
      </c>
      <c r="K18" s="39">
        <f>+Histórico!AM169</f>
        <v>37</v>
      </c>
      <c r="L18" s="39">
        <f>+Histórico!AM79</f>
        <v>38.979999999999997</v>
      </c>
      <c r="M18" s="96"/>
      <c r="N18" s="72" t="s">
        <v>31</v>
      </c>
      <c r="O18" s="103" t="s">
        <v>96</v>
      </c>
      <c r="P18" s="103" t="s">
        <v>31</v>
      </c>
      <c r="Q18" s="102" t="s">
        <v>96</v>
      </c>
      <c r="R18" s="103" t="s">
        <v>167</v>
      </c>
      <c r="S18" s="72" t="s">
        <v>95</v>
      </c>
    </row>
    <row r="19" spans="1:32" x14ac:dyDescent="0.2">
      <c r="B19" s="68" t="s">
        <v>30</v>
      </c>
      <c r="C19" s="224">
        <v>5830</v>
      </c>
      <c r="D19" s="70">
        <v>36.1</v>
      </c>
      <c r="E19" s="39">
        <f>+'GD46'!C11</f>
        <v>100.10034722222223</v>
      </c>
      <c r="F19" s="40">
        <f>+'GD46'!U59</f>
        <v>0.15977626442909246</v>
      </c>
      <c r="G19" s="39">
        <f>+'GD46'!U60</f>
        <v>7.2044001676840024</v>
      </c>
      <c r="H19" s="41">
        <f t="shared" si="0"/>
        <v>0.36063810967466675</v>
      </c>
      <c r="J19" s="39">
        <f>+Histórico!AQ184</f>
        <v>35.799999999999997</v>
      </c>
      <c r="K19" s="39">
        <f>+Histórico!AQ169</f>
        <v>32.1</v>
      </c>
      <c r="L19" s="39">
        <f>+Histórico!AQ79</f>
        <v>37.700000000000003</v>
      </c>
      <c r="M19" s="96"/>
      <c r="N19" s="43" t="s">
        <v>20</v>
      </c>
      <c r="O19" s="44">
        <f>+D8</f>
        <v>39.21</v>
      </c>
      <c r="P19" s="105" t="s">
        <v>25</v>
      </c>
      <c r="Q19" s="44">
        <f>+D14</f>
        <v>43.2</v>
      </c>
      <c r="R19" s="104">
        <f>Q19-O19</f>
        <v>3.990000000000002</v>
      </c>
      <c r="S19" s="136">
        <f>R19/O19</f>
        <v>0.10175975516449889</v>
      </c>
    </row>
    <row r="20" spans="1:32" x14ac:dyDescent="0.2">
      <c r="F20" s="34"/>
      <c r="G20" s="39"/>
      <c r="H20" s="39"/>
      <c r="I20" s="39"/>
      <c r="J20" s="39"/>
      <c r="K20" s="39"/>
      <c r="L20" s="39"/>
      <c r="M20" s="96"/>
      <c r="N20" s="43" t="s">
        <v>15</v>
      </c>
      <c r="O20" s="44">
        <f>+D9</f>
        <v>37.299999999999997</v>
      </c>
      <c r="P20" s="105" t="s">
        <v>26</v>
      </c>
      <c r="Q20" s="44">
        <f>+D15</f>
        <v>39.71</v>
      </c>
      <c r="R20" s="104">
        <f>Q20-O20</f>
        <v>2.4100000000000037</v>
      </c>
      <c r="S20" s="136">
        <f>R20/O20</f>
        <v>6.4611260053619404E-2</v>
      </c>
    </row>
    <row r="21" spans="1:32" x14ac:dyDescent="0.2">
      <c r="A21" s="55"/>
      <c r="B21" s="55"/>
      <c r="C21" s="184"/>
      <c r="D21" s="55"/>
      <c r="E21" s="55"/>
      <c r="F21" s="55"/>
      <c r="G21" s="55"/>
      <c r="H21" s="66"/>
      <c r="I21" s="39"/>
      <c r="J21" s="66"/>
      <c r="K21" s="39"/>
      <c r="L21" s="39"/>
      <c r="M21" s="96"/>
      <c r="N21" s="43" t="s">
        <v>16</v>
      </c>
      <c r="O21" s="44">
        <f>+D10</f>
        <v>33.81</v>
      </c>
      <c r="P21" s="105" t="s">
        <v>27</v>
      </c>
      <c r="Q21" s="44">
        <f>+D16</f>
        <v>35.25</v>
      </c>
      <c r="R21" s="104">
        <f>Q21-O21</f>
        <v>1.4399999999999977</v>
      </c>
      <c r="S21" s="136">
        <f>R21/O21</f>
        <v>4.2590949423247489E-2</v>
      </c>
    </row>
    <row r="22" spans="1:32" x14ac:dyDescent="0.2">
      <c r="A22" s="55"/>
      <c r="C22" s="184"/>
      <c r="D22" s="55"/>
      <c r="E22" s="55"/>
      <c r="F22" s="55"/>
      <c r="G22" s="55"/>
      <c r="H22" s="66"/>
      <c r="I22" s="66"/>
      <c r="J22" s="66"/>
      <c r="K22" s="66"/>
      <c r="L22" s="66"/>
      <c r="N22" s="43" t="s">
        <v>17</v>
      </c>
      <c r="O22" s="44">
        <f>+D11</f>
        <v>37.9</v>
      </c>
      <c r="P22" s="105" t="s">
        <v>28</v>
      </c>
      <c r="Q22" s="44">
        <f>+D17</f>
        <v>41.75</v>
      </c>
      <c r="R22" s="104">
        <f>Q22-O22</f>
        <v>3.8500000000000014</v>
      </c>
      <c r="S22" s="136">
        <f>R22/O22</f>
        <v>0.10158311345646442</v>
      </c>
      <c r="AF22" s="156"/>
    </row>
    <row r="23" spans="1:32" ht="14.25" customHeight="1" x14ac:dyDescent="0.25">
      <c r="A23" s="55"/>
      <c r="J23" s="172"/>
      <c r="K23" s="106"/>
      <c r="L23" s="106"/>
      <c r="N23" s="68" t="s">
        <v>21</v>
      </c>
      <c r="O23" s="44">
        <f>+D12</f>
        <v>36.9</v>
      </c>
      <c r="P23" s="105" t="s">
        <v>29</v>
      </c>
      <c r="Q23" s="44">
        <f>+D18</f>
        <v>39.19</v>
      </c>
      <c r="R23" s="104">
        <f>Q23-O23</f>
        <v>2.2899999999999991</v>
      </c>
      <c r="S23" s="136">
        <f>R23/O23</f>
        <v>6.2059620596205942E-2</v>
      </c>
    </row>
    <row r="24" spans="1:32" ht="15.75" x14ac:dyDescent="0.25">
      <c r="A24" s="55"/>
      <c r="D24" s="3"/>
      <c r="J24" s="172"/>
      <c r="K24" s="106"/>
      <c r="L24" s="106"/>
    </row>
    <row r="25" spans="1:32" x14ac:dyDescent="0.2">
      <c r="A25" s="55"/>
      <c r="J25" s="66"/>
      <c r="K25" s="66"/>
      <c r="L25" s="66"/>
    </row>
    <row r="26" spans="1:32" x14ac:dyDescent="0.2">
      <c r="A26" s="111"/>
      <c r="J26" s="110"/>
      <c r="K26" s="171"/>
      <c r="L26" s="171"/>
      <c r="M26" s="4"/>
      <c r="N26" s="4"/>
    </row>
    <row r="27" spans="1:32" x14ac:dyDescent="0.2">
      <c r="A27" s="111"/>
      <c r="J27" s="111"/>
      <c r="K27" s="111"/>
      <c r="L27" s="111"/>
    </row>
    <row r="28" spans="1:32" x14ac:dyDescent="0.2">
      <c r="A28" s="111"/>
      <c r="J28" s="111"/>
      <c r="K28" s="111"/>
      <c r="L28" s="111"/>
    </row>
    <row r="29" spans="1:32" x14ac:dyDescent="0.2">
      <c r="A29" s="111"/>
      <c r="J29" s="111"/>
      <c r="K29" s="111"/>
      <c r="L29" s="111"/>
    </row>
    <row r="30" spans="1:32" x14ac:dyDescent="0.2">
      <c r="A30" s="111"/>
      <c r="J30" s="111"/>
      <c r="K30" s="111"/>
      <c r="L30" s="111"/>
    </row>
    <row r="31" spans="1:32" x14ac:dyDescent="0.2">
      <c r="A31" s="111"/>
      <c r="J31" s="111"/>
      <c r="K31" s="111"/>
      <c r="L31" s="111"/>
    </row>
    <row r="32" spans="1:32" x14ac:dyDescent="0.2">
      <c r="A32" s="111"/>
      <c r="J32" s="111"/>
      <c r="K32" s="111"/>
      <c r="L32" s="111"/>
    </row>
    <row r="33" spans="1:20" x14ac:dyDescent="0.2">
      <c r="A33" s="111"/>
      <c r="J33" s="111"/>
      <c r="K33" s="111"/>
      <c r="L33" s="111"/>
    </row>
    <row r="36" spans="1:20" ht="15" x14ac:dyDescent="0.25">
      <c r="M36" s="100"/>
      <c r="N36" s="100"/>
      <c r="O36" s="54"/>
      <c r="P36" s="81"/>
      <c r="Q36" s="19"/>
      <c r="R36" s="19"/>
    </row>
    <row r="37" spans="1:20" ht="15" x14ac:dyDescent="0.25">
      <c r="M37" s="100"/>
      <c r="N37" s="100"/>
      <c r="O37" s="54"/>
      <c r="P37" s="81"/>
      <c r="Q37" s="19"/>
      <c r="R37" s="19"/>
      <c r="T37" s="5"/>
    </row>
    <row r="38" spans="1:20" x14ac:dyDescent="0.2">
      <c r="B38" s="210"/>
      <c r="M38" s="274"/>
      <c r="N38" s="274"/>
      <c r="O38" s="274"/>
      <c r="P38" s="274"/>
      <c r="Q38" s="274"/>
      <c r="R38" s="274"/>
    </row>
    <row r="48" spans="1:20" x14ac:dyDescent="0.2">
      <c r="L48" s="3"/>
    </row>
    <row r="50" spans="9:13" x14ac:dyDescent="0.2">
      <c r="L50" s="5"/>
    </row>
    <row r="53" spans="9:13" x14ac:dyDescent="0.2">
      <c r="M53" s="97"/>
    </row>
    <row r="54" spans="9:13" x14ac:dyDescent="0.2">
      <c r="M54" s="97"/>
    </row>
    <row r="55" spans="9:13" x14ac:dyDescent="0.2">
      <c r="M55" s="97"/>
    </row>
    <row r="56" spans="9:13" x14ac:dyDescent="0.2">
      <c r="I56" s="3"/>
      <c r="K56" s="3"/>
      <c r="L56" s="3"/>
      <c r="M56" s="97"/>
    </row>
    <row r="57" spans="9:13" x14ac:dyDescent="0.2">
      <c r="I57" s="3"/>
      <c r="K57" s="3"/>
      <c r="L57" s="3"/>
      <c r="M57" s="97"/>
    </row>
    <row r="58" spans="9:13" x14ac:dyDescent="0.2">
      <c r="I58" s="3"/>
      <c r="K58" s="3"/>
      <c r="L58" s="3"/>
      <c r="M58" s="97"/>
    </row>
    <row r="59" spans="9:13" x14ac:dyDescent="0.2">
      <c r="I59" s="3"/>
      <c r="K59" s="3"/>
      <c r="L59" s="3"/>
      <c r="M59" s="97"/>
    </row>
    <row r="60" spans="9:13" x14ac:dyDescent="0.2">
      <c r="I60" s="3"/>
      <c r="K60" s="3"/>
      <c r="L60" s="3"/>
      <c r="M60" s="97"/>
    </row>
    <row r="61" spans="9:13" x14ac:dyDescent="0.2">
      <c r="I61" s="3"/>
      <c r="K61" s="3"/>
      <c r="L61" s="3"/>
      <c r="M61" s="97"/>
    </row>
    <row r="62" spans="9:13" x14ac:dyDescent="0.2">
      <c r="I62" s="3"/>
      <c r="K62" s="3"/>
      <c r="L62" s="3"/>
      <c r="M62" s="97"/>
    </row>
    <row r="63" spans="9:13" x14ac:dyDescent="0.2">
      <c r="I63" s="3"/>
      <c r="K63" s="3"/>
      <c r="L63" s="3"/>
      <c r="M63" s="97"/>
    </row>
    <row r="65" spans="9:12" x14ac:dyDescent="0.2">
      <c r="I65" s="3"/>
      <c r="K65" s="3"/>
      <c r="L65" s="3"/>
    </row>
  </sheetData>
  <mergeCells count="13">
    <mergeCell ref="N4:S4"/>
    <mergeCell ref="B4:H4"/>
    <mergeCell ref="B5:H5"/>
    <mergeCell ref="N15:S15"/>
    <mergeCell ref="M38:R38"/>
    <mergeCell ref="N6:O6"/>
    <mergeCell ref="P6:Q6"/>
    <mergeCell ref="R6:S6"/>
    <mergeCell ref="N17:O17"/>
    <mergeCell ref="P17:Q17"/>
    <mergeCell ref="R17:S17"/>
    <mergeCell ref="N5:S5"/>
    <mergeCell ref="N16:S1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0:M36"/>
  <sheetViews>
    <sheetView showGridLines="0" zoomScaleNormal="100" workbookViewId="0">
      <selection activeCell="H34" sqref="H34"/>
    </sheetView>
  </sheetViews>
  <sheetFormatPr baseColWidth="10" defaultRowHeight="15" x14ac:dyDescent="0.25"/>
  <sheetData>
    <row r="20" spans="3:13" x14ac:dyDescent="0.25">
      <c r="C20" s="220"/>
      <c r="D20" s="220"/>
      <c r="E20" s="220"/>
      <c r="F20" s="220"/>
      <c r="G20" s="220"/>
      <c r="H20" s="220"/>
      <c r="I20" s="220"/>
      <c r="J20" s="220"/>
      <c r="K20" s="220"/>
    </row>
    <row r="21" spans="3:13" x14ac:dyDescent="0.25">
      <c r="C21" s="220"/>
      <c r="D21" s="220"/>
      <c r="E21" s="220"/>
      <c r="F21" s="220"/>
      <c r="G21" s="220"/>
      <c r="H21" s="220"/>
      <c r="I21" s="220"/>
      <c r="J21" s="220"/>
      <c r="K21" s="220"/>
    </row>
    <row r="22" spans="3:13" x14ac:dyDescent="0.25">
      <c r="C22" s="220"/>
      <c r="D22" s="220"/>
      <c r="E22" s="220"/>
      <c r="F22" s="220"/>
      <c r="G22" s="220"/>
      <c r="H22" s="220"/>
      <c r="I22" s="220"/>
      <c r="J22" s="220"/>
      <c r="K22" s="220"/>
    </row>
    <row r="23" spans="3:13" x14ac:dyDescent="0.25">
      <c r="C23" s="220"/>
      <c r="D23" s="220"/>
      <c r="E23" s="220"/>
      <c r="F23" s="220"/>
      <c r="G23" s="220"/>
      <c r="H23" s="220"/>
      <c r="I23" s="220"/>
      <c r="J23" s="220"/>
      <c r="K23" s="220"/>
    </row>
    <row r="24" spans="3:13" x14ac:dyDescent="0.25">
      <c r="C24" s="220"/>
      <c r="D24" s="220"/>
      <c r="E24" s="220"/>
      <c r="F24" s="220" t="s">
        <v>133</v>
      </c>
      <c r="G24" s="221">
        <f>+'[1]Planilla de datos'!$C$72</f>
        <v>148.19999999999999</v>
      </c>
      <c r="H24" s="153">
        <v>6.8035534024238606E-2</v>
      </c>
      <c r="I24" s="221">
        <v>4.4856766766355722</v>
      </c>
      <c r="J24" s="220"/>
      <c r="K24" s="220"/>
    </row>
    <row r="25" spans="3:13" x14ac:dyDescent="0.25">
      <c r="C25" s="220"/>
      <c r="D25" s="220"/>
      <c r="E25" s="220"/>
      <c r="F25" s="220" t="s">
        <v>134</v>
      </c>
      <c r="G25" s="221">
        <f>+'[1]Planilla de datos'!$C$73</f>
        <v>375</v>
      </c>
      <c r="H25" s="153">
        <v>8.5900000000000004E-2</v>
      </c>
      <c r="I25" s="221">
        <v>5.59</v>
      </c>
      <c r="J25" s="220"/>
      <c r="K25" s="153"/>
      <c r="M25" s="170"/>
    </row>
    <row r="26" spans="3:13" x14ac:dyDescent="0.25">
      <c r="C26" s="220"/>
      <c r="D26" s="220"/>
      <c r="E26" s="220"/>
      <c r="F26" s="220" t="s">
        <v>135</v>
      </c>
      <c r="G26" s="221">
        <f>+'[1]Planilla de datos'!$C$74</f>
        <v>151</v>
      </c>
      <c r="H26" s="153">
        <v>0.10879999999999999</v>
      </c>
      <c r="I26" s="221">
        <v>9.56</v>
      </c>
      <c r="J26" s="220"/>
      <c r="K26" s="220"/>
    </row>
    <row r="27" spans="3:13" x14ac:dyDescent="0.25">
      <c r="C27" s="220"/>
      <c r="D27" s="220"/>
      <c r="E27" s="220"/>
      <c r="F27" s="220" t="s">
        <v>136</v>
      </c>
      <c r="G27" s="221">
        <f>+'[1]Planilla de datos'!$C$75</f>
        <v>135</v>
      </c>
      <c r="H27" s="153">
        <v>0.1081</v>
      </c>
      <c r="I27" s="221">
        <v>10.119999999999999</v>
      </c>
      <c r="J27" s="220"/>
      <c r="K27" s="220"/>
    </row>
    <row r="28" spans="3:13" x14ac:dyDescent="0.25">
      <c r="C28" s="220"/>
      <c r="D28" s="220"/>
      <c r="E28" s="220"/>
      <c r="F28" s="220"/>
      <c r="G28" s="220"/>
      <c r="H28" s="220"/>
      <c r="I28" s="220"/>
      <c r="J28" s="220"/>
      <c r="K28" s="220"/>
    </row>
    <row r="29" spans="3:13" x14ac:dyDescent="0.25">
      <c r="C29" s="220"/>
      <c r="D29" s="220"/>
      <c r="E29" s="220"/>
      <c r="F29" s="220"/>
      <c r="G29" s="220"/>
      <c r="H29" s="220"/>
      <c r="I29" s="220"/>
      <c r="J29" s="220"/>
      <c r="K29" s="220"/>
    </row>
    <row r="30" spans="3:13" x14ac:dyDescent="0.25">
      <c r="C30" s="220"/>
      <c r="D30" s="220"/>
      <c r="E30" s="220">
        <v>95.38</v>
      </c>
      <c r="F30" s="220" t="s">
        <v>20</v>
      </c>
      <c r="G30" s="221">
        <f>Monitor!C8/'Hard dollar vs CER'!E30</f>
        <v>66.051583141119735</v>
      </c>
      <c r="H30" s="153">
        <v>9.0899999999999995E-2</v>
      </c>
      <c r="I30" s="221">
        <v>5.14</v>
      </c>
      <c r="J30" s="220"/>
      <c r="K30" s="220"/>
    </row>
    <row r="31" spans="3:13" x14ac:dyDescent="0.25">
      <c r="C31" s="220"/>
      <c r="D31" s="220"/>
      <c r="E31" s="220">
        <f>+E30</f>
        <v>95.38</v>
      </c>
      <c r="F31" s="220" t="s">
        <v>15</v>
      </c>
      <c r="G31" s="221">
        <f>Monitor!C9/'Hard dollar vs CER'!E31</f>
        <v>62.50786328370728</v>
      </c>
      <c r="H31" s="153">
        <v>9.1499999999999998E-2</v>
      </c>
      <c r="I31" s="221">
        <v>5.52</v>
      </c>
      <c r="J31" s="220"/>
      <c r="K31" s="220"/>
    </row>
    <row r="32" spans="3:13" x14ac:dyDescent="0.25">
      <c r="C32" s="220"/>
      <c r="D32" s="220"/>
      <c r="E32" s="220">
        <f t="shared" ref="E32:E34" si="0">+E31</f>
        <v>95.38</v>
      </c>
      <c r="F32" s="220" t="s">
        <v>16</v>
      </c>
      <c r="G32" s="221">
        <f>Monitor!C10/'Hard dollar vs CER'!E32</f>
        <v>57.03501782344307</v>
      </c>
      <c r="H32" s="153">
        <v>0.1013</v>
      </c>
      <c r="I32" s="221">
        <v>8.82</v>
      </c>
      <c r="J32" s="220"/>
      <c r="K32" s="220"/>
    </row>
    <row r="33" spans="3:11" x14ac:dyDescent="0.25">
      <c r="C33" s="220"/>
      <c r="D33" s="220"/>
      <c r="E33" s="220">
        <f t="shared" si="0"/>
        <v>95.38</v>
      </c>
      <c r="F33" s="220" t="s">
        <v>17</v>
      </c>
      <c r="G33" s="221">
        <f>Monitor!C11/'Hard dollar vs CER'!E33</f>
        <v>63.430488572027684</v>
      </c>
      <c r="H33" s="153">
        <v>0.10150000000000001</v>
      </c>
      <c r="I33" s="221">
        <v>7.81</v>
      </c>
      <c r="J33" s="220"/>
      <c r="K33" s="220"/>
    </row>
    <row r="34" spans="3:11" x14ac:dyDescent="0.25">
      <c r="C34" s="220"/>
      <c r="D34" s="220"/>
      <c r="E34" s="220">
        <f t="shared" si="0"/>
        <v>95.38</v>
      </c>
      <c r="F34" s="220" t="s">
        <v>21</v>
      </c>
      <c r="G34" s="221">
        <f>Monitor!C12/'Hard dollar vs CER'!E34</f>
        <v>62.067519396099812</v>
      </c>
      <c r="H34" s="153">
        <v>9.6600000000000005E-2</v>
      </c>
      <c r="I34" s="221">
        <v>8.9600000000000009</v>
      </c>
      <c r="J34" s="220"/>
      <c r="K34" s="220"/>
    </row>
    <row r="35" spans="3:11" x14ac:dyDescent="0.25">
      <c r="C35" s="220"/>
      <c r="D35" s="220"/>
      <c r="E35" s="220"/>
      <c r="F35" s="220"/>
      <c r="G35" s="220"/>
      <c r="H35" s="220"/>
      <c r="I35" s="220"/>
      <c r="J35" s="220"/>
      <c r="K35" s="220"/>
    </row>
    <row r="36" spans="3:11" x14ac:dyDescent="0.25">
      <c r="C36" s="220"/>
      <c r="D36" s="220"/>
      <c r="E36" s="220"/>
      <c r="F36" s="220"/>
      <c r="G36" s="220"/>
      <c r="H36" s="220"/>
      <c r="I36" s="220"/>
      <c r="J36" s="220"/>
      <c r="K36" s="220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X30"/>
  <sheetViews>
    <sheetView showGridLines="0" zoomScale="90" zoomScaleNormal="90" workbookViewId="0">
      <selection activeCell="I5" sqref="I5"/>
    </sheetView>
  </sheetViews>
  <sheetFormatPr baseColWidth="10" defaultRowHeight="14.25" x14ac:dyDescent="0.2"/>
  <cols>
    <col min="1" max="1" width="11.42578125" style="4"/>
    <col min="2" max="2" width="14.7109375" style="4" bestFit="1" customWidth="1"/>
    <col min="3" max="9" width="11.42578125" style="4"/>
    <col min="10" max="10" width="3.7109375" style="4" customWidth="1"/>
    <col min="11" max="13" width="11.42578125" style="4"/>
    <col min="14" max="14" width="3.140625" style="4" customWidth="1"/>
    <col min="15" max="15" width="11.42578125" style="78"/>
    <col min="16" max="16" width="2.7109375" style="4" customWidth="1"/>
    <col min="17" max="21" width="11.42578125" style="4"/>
    <col min="22" max="22" width="4" style="4" customWidth="1"/>
    <col min="23" max="25" width="11.42578125" style="4"/>
    <col min="26" max="26" width="4.42578125" style="4" customWidth="1"/>
    <col min="27" max="27" width="11.42578125" style="78"/>
    <col min="28" max="33" width="11.42578125" style="4"/>
    <col min="34" max="34" width="4" style="4" customWidth="1"/>
    <col min="35" max="39" width="11.42578125" style="4"/>
    <col min="40" max="40" width="11.42578125" style="78"/>
    <col min="41" max="46" width="11.42578125" style="4"/>
    <col min="47" max="47" width="4" style="4" customWidth="1"/>
    <col min="48" max="16384" width="11.42578125" style="4"/>
  </cols>
  <sheetData>
    <row r="2" spans="2:50" ht="15" x14ac:dyDescent="0.25">
      <c r="E2" s="321" t="s">
        <v>46</v>
      </c>
      <c r="F2" s="321"/>
      <c r="G2" s="321"/>
      <c r="H2" s="321"/>
      <c r="I2" s="321"/>
      <c r="J2" s="321"/>
      <c r="K2" s="321"/>
      <c r="L2" s="321"/>
      <c r="M2" s="321"/>
      <c r="Q2" s="321" t="s">
        <v>47</v>
      </c>
      <c r="R2" s="321"/>
      <c r="S2" s="321"/>
      <c r="T2" s="321"/>
      <c r="U2" s="321"/>
      <c r="V2" s="321"/>
      <c r="W2" s="321"/>
      <c r="X2" s="321"/>
      <c r="Y2" s="321"/>
      <c r="AC2" s="321" t="s">
        <v>47</v>
      </c>
      <c r="AD2" s="321"/>
      <c r="AE2" s="321"/>
      <c r="AF2" s="321"/>
      <c r="AG2" s="321"/>
      <c r="AH2" s="321"/>
      <c r="AI2" s="321"/>
      <c r="AJ2" s="321"/>
      <c r="AK2" s="321"/>
      <c r="AP2" s="321" t="s">
        <v>102</v>
      </c>
      <c r="AQ2" s="321"/>
      <c r="AR2" s="321"/>
      <c r="AS2" s="321"/>
      <c r="AT2" s="321"/>
      <c r="AU2" s="321"/>
    </row>
    <row r="4" spans="2:50" ht="15" x14ac:dyDescent="0.25"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  <c r="K4" s="1" t="s">
        <v>9</v>
      </c>
      <c r="L4" s="1" t="s">
        <v>10</v>
      </c>
      <c r="M4" s="1" t="s">
        <v>11</v>
      </c>
      <c r="Q4" s="47" t="s">
        <v>0</v>
      </c>
      <c r="R4" s="47" t="s">
        <v>1</v>
      </c>
      <c r="S4" s="47" t="s">
        <v>2</v>
      </c>
      <c r="T4" s="47" t="s">
        <v>3</v>
      </c>
      <c r="U4" s="47" t="s">
        <v>4</v>
      </c>
      <c r="W4" s="47" t="s">
        <v>9</v>
      </c>
      <c r="X4" s="47" t="s">
        <v>10</v>
      </c>
      <c r="Y4" s="47" t="s">
        <v>11</v>
      </c>
      <c r="AC4" s="53" t="s">
        <v>0</v>
      </c>
      <c r="AD4" s="53" t="s">
        <v>1</v>
      </c>
      <c r="AE4" s="53" t="s">
        <v>2</v>
      </c>
      <c r="AF4" s="53" t="s">
        <v>3</v>
      </c>
      <c r="AG4" s="53" t="s">
        <v>4</v>
      </c>
      <c r="AI4" s="53" t="s">
        <v>9</v>
      </c>
      <c r="AJ4" s="53" t="s">
        <v>10</v>
      </c>
      <c r="AK4" s="53" t="s">
        <v>11</v>
      </c>
      <c r="AP4" s="53" t="s">
        <v>0</v>
      </c>
      <c r="AQ4" s="53" t="s">
        <v>1</v>
      </c>
      <c r="AR4" s="53" t="s">
        <v>2</v>
      </c>
      <c r="AS4" s="53" t="s">
        <v>3</v>
      </c>
      <c r="AT4" s="53" t="s">
        <v>4</v>
      </c>
      <c r="AW4" s="53" t="s">
        <v>5</v>
      </c>
      <c r="AX4" s="53" t="s">
        <v>61</v>
      </c>
    </row>
    <row r="5" spans="2:50" x14ac:dyDescent="0.2">
      <c r="B5" s="82" t="s">
        <v>36</v>
      </c>
      <c r="C5" s="83">
        <v>44078</v>
      </c>
      <c r="E5" s="2">
        <f>+Monitor!C2</f>
        <v>44370</v>
      </c>
      <c r="F5" s="3">
        <v>100</v>
      </c>
      <c r="I5" s="3">
        <f>-Monitor!D8</f>
        <v>-39.21</v>
      </c>
      <c r="K5" s="4">
        <f>E6-C5</f>
        <v>308</v>
      </c>
      <c r="Q5" s="2">
        <f>+E5</f>
        <v>44370</v>
      </c>
      <c r="R5" s="3">
        <f>+F5</f>
        <v>100</v>
      </c>
      <c r="U5" s="3" t="e">
        <f>-CCL!K6</f>
        <v>#REF!</v>
      </c>
      <c r="AC5" s="2"/>
      <c r="AD5" s="3"/>
      <c r="AG5" s="3"/>
      <c r="AP5" s="2">
        <f>+Q5</f>
        <v>44370</v>
      </c>
      <c r="AQ5" s="3">
        <v>100</v>
      </c>
      <c r="AT5" s="3">
        <f>-CCL!W6</f>
        <v>0</v>
      </c>
      <c r="AW5" s="56">
        <v>0.06</v>
      </c>
      <c r="AX5" s="8">
        <f>XNPV(AW5,AT5:AT22,AP5:AP22)</f>
        <v>77.187715810054684</v>
      </c>
    </row>
    <row r="6" spans="2:50" x14ac:dyDescent="0.2">
      <c r="B6" s="84" t="s">
        <v>37</v>
      </c>
      <c r="C6" s="85">
        <v>0.01</v>
      </c>
      <c r="E6" s="2">
        <v>44386</v>
      </c>
      <c r="F6" s="3">
        <f t="shared" ref="F6:F22" si="0">F5-H5</f>
        <v>100</v>
      </c>
      <c r="G6" s="3">
        <f>0.01*(K5/360)*F6</f>
        <v>0.85555555555555562</v>
      </c>
      <c r="H6" s="3"/>
      <c r="I6" s="3">
        <f t="shared" ref="I6:I22" si="1">SUM(G6:H6)</f>
        <v>0.85555555555555562</v>
      </c>
      <c r="K6" s="4">
        <f t="shared" ref="K6:K22" si="2">DAYS360($E$5,E6)</f>
        <v>16</v>
      </c>
      <c r="L6" s="7">
        <f t="shared" ref="L6:L22" si="3">I6/(1+$I$24)^(K6/360)</f>
        <v>0.84848439576242596</v>
      </c>
      <c r="M6" s="7">
        <f t="shared" ref="M6:M22" si="4">L6*(K6/360)</f>
        <v>3.7710417589441152E-2</v>
      </c>
      <c r="Q6" s="2">
        <f t="shared" ref="Q6:Q23" si="5">+E6</f>
        <v>44386</v>
      </c>
      <c r="R6" s="3">
        <f t="shared" ref="R6:R23" si="6">+F6</f>
        <v>100</v>
      </c>
      <c r="S6" s="3">
        <f>+G6</f>
        <v>0.85555555555555562</v>
      </c>
      <c r="T6" s="3"/>
      <c r="U6" s="3">
        <f t="shared" ref="U6:U23" si="7">SUM(S6:T6)</f>
        <v>0.85555555555555562</v>
      </c>
      <c r="W6" s="4">
        <f>DAYS360($E$5,Q6)</f>
        <v>16</v>
      </c>
      <c r="X6" s="7" t="e">
        <f>U6/(1+$U$25)^(W6/360)</f>
        <v>#REF!</v>
      </c>
      <c r="Y6" s="7" t="e">
        <f>X6*(W6/360)</f>
        <v>#REF!</v>
      </c>
      <c r="AC6" s="2"/>
      <c r="AD6" s="3"/>
      <c r="AE6" s="3"/>
      <c r="AF6" s="3"/>
      <c r="AG6" s="3"/>
      <c r="AJ6" s="7"/>
      <c r="AK6" s="7"/>
      <c r="AP6" s="2">
        <f>+E6</f>
        <v>44386</v>
      </c>
      <c r="AQ6" s="3">
        <v>100</v>
      </c>
      <c r="AR6" s="3">
        <f>+G6</f>
        <v>0.85555555555555562</v>
      </c>
      <c r="AS6" s="3"/>
      <c r="AT6" s="3">
        <f t="shared" ref="AT6:AT22" si="8">SUM(AR6:AS6)</f>
        <v>0.85555555555555562</v>
      </c>
      <c r="AW6" s="56">
        <v>6.5000000000000002E-2</v>
      </c>
      <c r="AX6" s="8">
        <f t="shared" ref="AX6:AX25" si="9">XNPV(AW6,$AT$5:$AT$22,$AP$5:$AP$22)</f>
        <v>75.231917150531061</v>
      </c>
    </row>
    <row r="7" spans="2:50" x14ac:dyDescent="0.2">
      <c r="B7" s="84" t="s">
        <v>38</v>
      </c>
      <c r="C7" s="86">
        <f>DAYS360(C5,E5)</f>
        <v>289</v>
      </c>
      <c r="E7" s="2">
        <v>44570</v>
      </c>
      <c r="F7" s="3">
        <f t="shared" si="0"/>
        <v>100</v>
      </c>
      <c r="G7" s="3">
        <f t="shared" ref="G7:G22" si="10">0.01*(180/360)*F7</f>
        <v>0.5</v>
      </c>
      <c r="H7" s="3"/>
      <c r="I7" s="3">
        <f t="shared" si="1"/>
        <v>0.5</v>
      </c>
      <c r="K7" s="4">
        <f t="shared" si="2"/>
        <v>196</v>
      </c>
      <c r="L7" s="7">
        <f t="shared" si="3"/>
        <v>0.45166521370917223</v>
      </c>
      <c r="M7" s="7">
        <f t="shared" si="4"/>
        <v>0.24590661635277153</v>
      </c>
      <c r="Q7" s="2">
        <f t="shared" si="5"/>
        <v>44570</v>
      </c>
      <c r="R7" s="3">
        <f t="shared" si="6"/>
        <v>100</v>
      </c>
      <c r="S7" s="3">
        <f t="shared" ref="S7:S23" si="11">+G7</f>
        <v>0.5</v>
      </c>
      <c r="T7" s="3"/>
      <c r="U7" s="3">
        <f t="shared" si="7"/>
        <v>0.5</v>
      </c>
      <c r="W7" s="4">
        <f t="shared" ref="W7:W23" si="12">DAYS360($E$5,Q7)</f>
        <v>196</v>
      </c>
      <c r="X7" s="7" t="e">
        <f t="shared" ref="X7:X23" si="13">U7/(1+$U$25)^(W7/360)</f>
        <v>#REF!</v>
      </c>
      <c r="Y7" s="7" t="e">
        <f t="shared" ref="Y7:Y23" si="14">X7*(W7/360)</f>
        <v>#REF!</v>
      </c>
      <c r="AC7" s="2"/>
      <c r="AD7" s="3"/>
      <c r="AE7" s="3"/>
      <c r="AF7" s="3"/>
      <c r="AG7" s="3"/>
      <c r="AJ7" s="7"/>
      <c r="AK7" s="7"/>
      <c r="AP7" s="2">
        <f t="shared" ref="AP7:AP22" si="15">+E7</f>
        <v>44570</v>
      </c>
      <c r="AQ7" s="3">
        <f t="shared" ref="AQ7:AQ22" si="16">AQ6-AS6</f>
        <v>100</v>
      </c>
      <c r="AR7" s="3">
        <f t="shared" ref="AR7:AR22" si="17">+G7</f>
        <v>0.5</v>
      </c>
      <c r="AS7" s="3"/>
      <c r="AT7" s="3">
        <f t="shared" si="8"/>
        <v>0.5</v>
      </c>
      <c r="AW7" s="56">
        <v>7.0000000000000007E-2</v>
      </c>
      <c r="AX7" s="8">
        <f t="shared" si="9"/>
        <v>73.339065786181223</v>
      </c>
    </row>
    <row r="8" spans="2:50" x14ac:dyDescent="0.2">
      <c r="B8" s="84" t="s">
        <v>39</v>
      </c>
      <c r="C8" s="90">
        <f>(C6*100)/360*C7</f>
        <v>0.80277777777777781</v>
      </c>
      <c r="E8" s="2">
        <v>44751</v>
      </c>
      <c r="F8" s="3">
        <f t="shared" si="0"/>
        <v>100</v>
      </c>
      <c r="G8" s="3">
        <f t="shared" si="10"/>
        <v>0.5</v>
      </c>
      <c r="H8" s="3"/>
      <c r="I8" s="3">
        <f t="shared" si="1"/>
        <v>0.5</v>
      </c>
      <c r="K8" s="4">
        <f t="shared" si="2"/>
        <v>376</v>
      </c>
      <c r="L8" s="7">
        <f t="shared" si="3"/>
        <v>0.41140317448178143</v>
      </c>
      <c r="M8" s="7">
        <f t="shared" si="4"/>
        <v>0.42968776001430509</v>
      </c>
      <c r="Q8" s="2">
        <f t="shared" si="5"/>
        <v>44751</v>
      </c>
      <c r="R8" s="3">
        <f t="shared" si="6"/>
        <v>100</v>
      </c>
      <c r="S8" s="3">
        <f t="shared" si="11"/>
        <v>0.5</v>
      </c>
      <c r="T8" s="3"/>
      <c r="U8" s="3">
        <f t="shared" si="7"/>
        <v>0.5</v>
      </c>
      <c r="W8" s="4">
        <f t="shared" si="12"/>
        <v>376</v>
      </c>
      <c r="X8" s="7" t="e">
        <f t="shared" si="13"/>
        <v>#REF!</v>
      </c>
      <c r="Y8" s="7" t="e">
        <f t="shared" si="14"/>
        <v>#REF!</v>
      </c>
      <c r="AC8" s="2"/>
      <c r="AD8" s="3"/>
      <c r="AE8" s="3"/>
      <c r="AF8" s="3"/>
      <c r="AG8" s="3"/>
      <c r="AJ8" s="7"/>
      <c r="AK8" s="7"/>
      <c r="AP8" s="2">
        <f t="shared" si="15"/>
        <v>44751</v>
      </c>
      <c r="AQ8" s="3">
        <f t="shared" si="16"/>
        <v>100</v>
      </c>
      <c r="AR8" s="3">
        <f t="shared" si="17"/>
        <v>0.5</v>
      </c>
      <c r="AS8" s="3"/>
      <c r="AT8" s="3">
        <f t="shared" si="8"/>
        <v>0.5</v>
      </c>
      <c r="AW8" s="56">
        <v>7.4999999999999997E-2</v>
      </c>
      <c r="AX8" s="8">
        <f t="shared" si="9"/>
        <v>71.506769765473763</v>
      </c>
    </row>
    <row r="9" spans="2:50" x14ac:dyDescent="0.2">
      <c r="B9" s="84" t="s">
        <v>35</v>
      </c>
      <c r="C9" s="86">
        <v>100</v>
      </c>
      <c r="E9" s="2">
        <v>44935</v>
      </c>
      <c r="F9" s="3">
        <f t="shared" si="0"/>
        <v>100</v>
      </c>
      <c r="G9" s="3">
        <f t="shared" si="10"/>
        <v>0.5</v>
      </c>
      <c r="H9" s="3"/>
      <c r="I9" s="3">
        <f t="shared" si="1"/>
        <v>0.5</v>
      </c>
      <c r="K9" s="4">
        <f t="shared" si="2"/>
        <v>556</v>
      </c>
      <c r="L9" s="7">
        <f t="shared" si="3"/>
        <v>0.37473014710109831</v>
      </c>
      <c r="M9" s="7">
        <f t="shared" si="4"/>
        <v>0.57874989385614073</v>
      </c>
      <c r="Q9" s="2">
        <f t="shared" si="5"/>
        <v>44935</v>
      </c>
      <c r="R9" s="3">
        <f t="shared" si="6"/>
        <v>100</v>
      </c>
      <c r="S9" s="3">
        <f t="shared" si="11"/>
        <v>0.5</v>
      </c>
      <c r="T9" s="3"/>
      <c r="U9" s="3">
        <f t="shared" si="7"/>
        <v>0.5</v>
      </c>
      <c r="W9" s="4">
        <f t="shared" si="12"/>
        <v>556</v>
      </c>
      <c r="X9" s="7" t="e">
        <f t="shared" si="13"/>
        <v>#REF!</v>
      </c>
      <c r="Y9" s="7" t="e">
        <f t="shared" si="14"/>
        <v>#REF!</v>
      </c>
      <c r="AC9" s="2"/>
      <c r="AD9" s="3"/>
      <c r="AE9" s="3"/>
      <c r="AF9" s="3"/>
      <c r="AG9" s="3"/>
      <c r="AJ9" s="7"/>
      <c r="AK9" s="7"/>
      <c r="AP9" s="2">
        <f t="shared" si="15"/>
        <v>44935</v>
      </c>
      <c r="AQ9" s="3">
        <f t="shared" si="16"/>
        <v>100</v>
      </c>
      <c r="AR9" s="3">
        <f t="shared" si="17"/>
        <v>0.5</v>
      </c>
      <c r="AS9" s="3"/>
      <c r="AT9" s="3">
        <f t="shared" si="8"/>
        <v>0.5</v>
      </c>
      <c r="AW9" s="56">
        <v>0.08</v>
      </c>
      <c r="AX9" s="8">
        <f t="shared" si="9"/>
        <v>69.732740983120806</v>
      </c>
    </row>
    <row r="10" spans="2:50" x14ac:dyDescent="0.2">
      <c r="B10" s="88" t="s">
        <v>23</v>
      </c>
      <c r="C10" s="89">
        <f>+C9+C8</f>
        <v>100.80277777777778</v>
      </c>
      <c r="E10" s="2">
        <v>45116</v>
      </c>
      <c r="F10" s="3">
        <f t="shared" si="0"/>
        <v>100</v>
      </c>
      <c r="G10" s="3">
        <f t="shared" si="10"/>
        <v>0.5</v>
      </c>
      <c r="H10" s="3"/>
      <c r="I10" s="3">
        <f t="shared" si="1"/>
        <v>0.5</v>
      </c>
      <c r="K10" s="4">
        <f t="shared" si="2"/>
        <v>736</v>
      </c>
      <c r="L10" s="7">
        <f t="shared" si="3"/>
        <v>0.34132620226689392</v>
      </c>
      <c r="M10" s="7">
        <f t="shared" si="4"/>
        <v>0.69782245796787201</v>
      </c>
      <c r="Q10" s="2">
        <f t="shared" si="5"/>
        <v>45116</v>
      </c>
      <c r="R10" s="3">
        <f t="shared" si="6"/>
        <v>100</v>
      </c>
      <c r="S10" s="3">
        <f t="shared" si="11"/>
        <v>0.5</v>
      </c>
      <c r="T10" s="3"/>
      <c r="U10" s="3">
        <f t="shared" si="7"/>
        <v>0.5</v>
      </c>
      <c r="W10" s="4">
        <f t="shared" si="12"/>
        <v>736</v>
      </c>
      <c r="X10" s="7" t="e">
        <f t="shared" si="13"/>
        <v>#REF!</v>
      </c>
      <c r="Y10" s="7" t="e">
        <f t="shared" si="14"/>
        <v>#REF!</v>
      </c>
      <c r="AC10" s="31">
        <f>+Informe!B36</f>
        <v>44370</v>
      </c>
      <c r="AD10" s="3"/>
      <c r="AE10" s="3"/>
      <c r="AF10" s="3"/>
      <c r="AG10" s="3">
        <v>0</v>
      </c>
      <c r="AJ10" s="7"/>
      <c r="AK10" s="7"/>
      <c r="AP10" s="2">
        <f t="shared" si="15"/>
        <v>45116</v>
      </c>
      <c r="AQ10" s="3">
        <f t="shared" si="16"/>
        <v>100</v>
      </c>
      <c r="AR10" s="3">
        <f t="shared" si="17"/>
        <v>0.5</v>
      </c>
      <c r="AS10" s="3"/>
      <c r="AT10" s="3">
        <f t="shared" si="8"/>
        <v>0.5</v>
      </c>
      <c r="AW10" s="56">
        <v>8.5000000000000006E-2</v>
      </c>
      <c r="AX10" s="8">
        <f t="shared" si="9"/>
        <v>68.014790138333765</v>
      </c>
    </row>
    <row r="11" spans="2:50" x14ac:dyDescent="0.2">
      <c r="E11" s="2">
        <v>45300</v>
      </c>
      <c r="F11" s="3">
        <f t="shared" si="0"/>
        <v>100</v>
      </c>
      <c r="G11" s="3">
        <f t="shared" si="10"/>
        <v>0.5</v>
      </c>
      <c r="H11" s="3"/>
      <c r="I11" s="3">
        <f t="shared" si="1"/>
        <v>0.5</v>
      </c>
      <c r="K11" s="4">
        <f t="shared" si="2"/>
        <v>916</v>
      </c>
      <c r="L11" s="7">
        <f t="shared" si="3"/>
        <v>0.31089992960323298</v>
      </c>
      <c r="M11" s="7">
        <f t="shared" si="4"/>
        <v>0.79106759865711496</v>
      </c>
      <c r="Q11" s="2">
        <f t="shared" si="5"/>
        <v>45300</v>
      </c>
      <c r="R11" s="3">
        <f t="shared" si="6"/>
        <v>100</v>
      </c>
      <c r="S11" s="3">
        <f t="shared" si="11"/>
        <v>0.5</v>
      </c>
      <c r="T11" s="3"/>
      <c r="U11" s="3">
        <f t="shared" si="7"/>
        <v>0.5</v>
      </c>
      <c r="W11" s="4">
        <f t="shared" si="12"/>
        <v>916</v>
      </c>
      <c r="X11" s="7" t="e">
        <f t="shared" si="13"/>
        <v>#REF!</v>
      </c>
      <c r="Y11" s="7" t="e">
        <f t="shared" si="14"/>
        <v>#REF!</v>
      </c>
      <c r="AC11" s="2">
        <v>45116</v>
      </c>
      <c r="AD11" s="3">
        <v>100</v>
      </c>
      <c r="AE11" s="3">
        <v>0.5</v>
      </c>
      <c r="AF11" s="3">
        <f>+T12</f>
        <v>0</v>
      </c>
      <c r="AG11" s="3">
        <v>0.5</v>
      </c>
      <c r="AI11" s="4">
        <f t="shared" ref="AI11:AI23" si="18">DAYS360($AC$10,AC11)</f>
        <v>736</v>
      </c>
      <c r="AJ11" s="7">
        <f>AG11/(1+$AG$25)^(AI11/360)</f>
        <v>0.39659432123011779</v>
      </c>
      <c r="AK11" s="7">
        <f t="shared" ref="AK11:AK23" si="19">AJ11*(AI11/360)</f>
        <v>0.81081505673712961</v>
      </c>
      <c r="AP11" s="2">
        <f t="shared" si="15"/>
        <v>45300</v>
      </c>
      <c r="AQ11" s="3">
        <f t="shared" si="16"/>
        <v>100</v>
      </c>
      <c r="AR11" s="3">
        <f t="shared" si="17"/>
        <v>0.5</v>
      </c>
      <c r="AS11" s="3"/>
      <c r="AT11" s="3">
        <f t="shared" si="8"/>
        <v>0.5</v>
      </c>
      <c r="AW11" s="56">
        <v>0.09</v>
      </c>
      <c r="AX11" s="8">
        <f t="shared" si="9"/>
        <v>66.350821962680797</v>
      </c>
    </row>
    <row r="12" spans="2:50" x14ac:dyDescent="0.2">
      <c r="E12" s="2">
        <v>45482</v>
      </c>
      <c r="F12" s="3">
        <f t="shared" si="0"/>
        <v>100</v>
      </c>
      <c r="G12" s="3">
        <f t="shared" si="10"/>
        <v>0.5</v>
      </c>
      <c r="H12" s="3"/>
      <c r="I12" s="3">
        <f t="shared" si="1"/>
        <v>0.5</v>
      </c>
      <c r="K12" s="4">
        <f t="shared" si="2"/>
        <v>1096</v>
      </c>
      <c r="L12" s="7">
        <f t="shared" si="3"/>
        <v>0.28318589544354583</v>
      </c>
      <c r="M12" s="7">
        <f t="shared" si="4"/>
        <v>0.8621437261281284</v>
      </c>
      <c r="Q12" s="2">
        <f t="shared" si="5"/>
        <v>45482</v>
      </c>
      <c r="R12" s="3">
        <f t="shared" si="6"/>
        <v>100</v>
      </c>
      <c r="S12" s="3">
        <f t="shared" si="11"/>
        <v>0.5</v>
      </c>
      <c r="T12" s="3"/>
      <c r="U12" s="3">
        <f t="shared" si="7"/>
        <v>0.5</v>
      </c>
      <c r="W12" s="4">
        <f t="shared" si="12"/>
        <v>1096</v>
      </c>
      <c r="X12" s="7" t="e">
        <f t="shared" si="13"/>
        <v>#REF!</v>
      </c>
      <c r="Y12" s="7" t="e">
        <f t="shared" si="14"/>
        <v>#REF!</v>
      </c>
      <c r="AC12" s="2">
        <v>45300</v>
      </c>
      <c r="AD12" s="3">
        <f t="shared" ref="AD12:AD23" si="20">+R12</f>
        <v>100</v>
      </c>
      <c r="AE12" s="3">
        <f t="shared" ref="AE12:AE23" si="21">+S12</f>
        <v>0.5</v>
      </c>
      <c r="AF12" s="3">
        <f t="shared" ref="AF12:AF23" si="22">+T12</f>
        <v>0</v>
      </c>
      <c r="AG12" s="3">
        <f t="shared" ref="AG12:AG23" si="23">+U13</f>
        <v>0.5</v>
      </c>
      <c r="AI12" s="4">
        <f t="shared" si="18"/>
        <v>916</v>
      </c>
      <c r="AJ12" s="7">
        <f t="shared" ref="AJ12:AJ23" si="24">AG12/(1+$AG$25)^(AI12/360)</f>
        <v>0.37474640905548412</v>
      </c>
      <c r="AK12" s="7">
        <f t="shared" si="19"/>
        <v>0.95352141859673178</v>
      </c>
      <c r="AP12" s="2">
        <f t="shared" si="15"/>
        <v>45482</v>
      </c>
      <c r="AQ12" s="3">
        <f t="shared" si="16"/>
        <v>100</v>
      </c>
      <c r="AR12" s="3">
        <f t="shared" si="17"/>
        <v>0.5</v>
      </c>
      <c r="AS12" s="3"/>
      <c r="AT12" s="3">
        <f t="shared" si="8"/>
        <v>0.5</v>
      </c>
      <c r="AW12" s="56">
        <v>9.5000000000000001E-2</v>
      </c>
      <c r="AX12" s="8">
        <f t="shared" si="9"/>
        <v>64.738830701849011</v>
      </c>
    </row>
    <row r="13" spans="2:50" x14ac:dyDescent="0.2">
      <c r="E13" s="2">
        <v>45666</v>
      </c>
      <c r="F13" s="3">
        <f t="shared" si="0"/>
        <v>100</v>
      </c>
      <c r="G13" s="3">
        <f t="shared" si="10"/>
        <v>0.5</v>
      </c>
      <c r="H13" s="3">
        <f>100/10</f>
        <v>10</v>
      </c>
      <c r="I13" s="3">
        <f t="shared" si="1"/>
        <v>10.5</v>
      </c>
      <c r="K13" s="4">
        <f t="shared" si="2"/>
        <v>1276</v>
      </c>
      <c r="L13" s="7">
        <f t="shared" si="3"/>
        <v>5.4167888718747017</v>
      </c>
      <c r="M13" s="7">
        <f t="shared" si="4"/>
        <v>19.199507223644776</v>
      </c>
      <c r="Q13" s="2">
        <f t="shared" si="5"/>
        <v>45666</v>
      </c>
      <c r="R13" s="3">
        <f t="shared" si="6"/>
        <v>100</v>
      </c>
      <c r="S13" s="3">
        <f t="shared" si="11"/>
        <v>0.5</v>
      </c>
      <c r="T13" s="3"/>
      <c r="U13" s="3">
        <f t="shared" si="7"/>
        <v>0.5</v>
      </c>
      <c r="W13" s="4">
        <f t="shared" si="12"/>
        <v>1276</v>
      </c>
      <c r="X13" s="7" t="e">
        <f t="shared" si="13"/>
        <v>#REF!</v>
      </c>
      <c r="Y13" s="7" t="e">
        <f t="shared" si="14"/>
        <v>#REF!</v>
      </c>
      <c r="AC13" s="2">
        <v>45482</v>
      </c>
      <c r="AD13" s="3">
        <f t="shared" si="20"/>
        <v>100</v>
      </c>
      <c r="AE13" s="3">
        <f t="shared" si="21"/>
        <v>0.5</v>
      </c>
      <c r="AF13" s="3">
        <f t="shared" si="22"/>
        <v>0</v>
      </c>
      <c r="AG13" s="3">
        <f t="shared" si="23"/>
        <v>10.45</v>
      </c>
      <c r="AI13" s="4">
        <f t="shared" si="18"/>
        <v>1096</v>
      </c>
      <c r="AJ13" s="7">
        <f t="shared" si="24"/>
        <v>7.4007333158120172</v>
      </c>
      <c r="AK13" s="7">
        <f t="shared" si="19"/>
        <v>22.531121428138807</v>
      </c>
      <c r="AP13" s="2">
        <f t="shared" si="15"/>
        <v>45666</v>
      </c>
      <c r="AQ13" s="3">
        <f t="shared" si="16"/>
        <v>100</v>
      </c>
      <c r="AR13" s="3">
        <f t="shared" si="17"/>
        <v>0.5</v>
      </c>
      <c r="AS13" s="3">
        <f>+H13</f>
        <v>10</v>
      </c>
      <c r="AT13" s="3">
        <f t="shared" si="8"/>
        <v>10.5</v>
      </c>
      <c r="AW13" s="56">
        <v>0.1</v>
      </c>
      <c r="AX13" s="8">
        <f t="shared" si="9"/>
        <v>63.176895836595364</v>
      </c>
    </row>
    <row r="14" spans="2:50" x14ac:dyDescent="0.2">
      <c r="E14" s="2">
        <v>45847</v>
      </c>
      <c r="F14" s="3">
        <f t="shared" si="0"/>
        <v>90</v>
      </c>
      <c r="G14" s="3">
        <f t="shared" si="10"/>
        <v>0.45</v>
      </c>
      <c r="H14" s="3">
        <f t="shared" ref="H14:H22" si="25">100/10</f>
        <v>10</v>
      </c>
      <c r="I14" s="3">
        <f t="shared" si="1"/>
        <v>10.45</v>
      </c>
      <c r="K14" s="4">
        <f t="shared" si="2"/>
        <v>1456</v>
      </c>
      <c r="L14" s="7">
        <f t="shared" si="3"/>
        <v>4.9104341907306575</v>
      </c>
      <c r="M14" s="7">
        <f t="shared" si="4"/>
        <v>19.859978282510657</v>
      </c>
      <c r="Q14" s="2">
        <f t="shared" si="5"/>
        <v>45847</v>
      </c>
      <c r="R14" s="3">
        <f t="shared" si="6"/>
        <v>90</v>
      </c>
      <c r="S14" s="3">
        <f t="shared" si="11"/>
        <v>0.45</v>
      </c>
      <c r="T14" s="3">
        <f>100/10</f>
        <v>10</v>
      </c>
      <c r="U14" s="3">
        <f t="shared" si="7"/>
        <v>10.45</v>
      </c>
      <c r="W14" s="4">
        <f t="shared" si="12"/>
        <v>1456</v>
      </c>
      <c r="X14" s="7" t="e">
        <f t="shared" si="13"/>
        <v>#REF!</v>
      </c>
      <c r="Y14" s="7" t="e">
        <f t="shared" si="14"/>
        <v>#REF!</v>
      </c>
      <c r="AC14" s="2">
        <v>45666</v>
      </c>
      <c r="AD14" s="3">
        <f t="shared" si="20"/>
        <v>90</v>
      </c>
      <c r="AE14" s="3">
        <f t="shared" si="21"/>
        <v>0.45</v>
      </c>
      <c r="AF14" s="3">
        <f t="shared" si="22"/>
        <v>10</v>
      </c>
      <c r="AG14" s="3">
        <f t="shared" si="23"/>
        <v>10.4</v>
      </c>
      <c r="AI14" s="4">
        <f t="shared" si="18"/>
        <v>1276</v>
      </c>
      <c r="AJ14" s="7">
        <f t="shared" si="24"/>
        <v>6.9595761681732755</v>
      </c>
      <c r="AK14" s="7">
        <f t="shared" si="19"/>
        <v>24.66783108496972</v>
      </c>
      <c r="AP14" s="2">
        <f t="shared" si="15"/>
        <v>45847</v>
      </c>
      <c r="AQ14" s="3">
        <f t="shared" si="16"/>
        <v>90</v>
      </c>
      <c r="AR14" s="3">
        <f t="shared" si="17"/>
        <v>0.45</v>
      </c>
      <c r="AS14" s="3">
        <f t="shared" ref="AS14:AS22" si="26">+H14</f>
        <v>10</v>
      </c>
      <c r="AT14" s="3">
        <f t="shared" si="8"/>
        <v>10.45</v>
      </c>
      <c r="AW14" s="56">
        <v>0.105</v>
      </c>
      <c r="AX14" s="8">
        <f t="shared" si="9"/>
        <v>61.663178029096784</v>
      </c>
    </row>
    <row r="15" spans="2:50" x14ac:dyDescent="0.2">
      <c r="E15" s="2">
        <v>46031</v>
      </c>
      <c r="F15" s="3">
        <f t="shared" si="0"/>
        <v>80</v>
      </c>
      <c r="G15" s="3">
        <f t="shared" si="10"/>
        <v>0.4</v>
      </c>
      <c r="H15" s="3">
        <f t="shared" si="25"/>
        <v>10</v>
      </c>
      <c r="I15" s="3">
        <f t="shared" si="1"/>
        <v>10.4</v>
      </c>
      <c r="K15" s="4">
        <f t="shared" si="2"/>
        <v>1636</v>
      </c>
      <c r="L15" s="7">
        <f t="shared" si="3"/>
        <v>4.4513110075869289</v>
      </c>
      <c r="M15" s="7">
        <f t="shared" si="4"/>
        <v>20.228735578922819</v>
      </c>
      <c r="Q15" s="2">
        <f t="shared" si="5"/>
        <v>46031</v>
      </c>
      <c r="R15" s="3">
        <f t="shared" si="6"/>
        <v>80</v>
      </c>
      <c r="S15" s="3">
        <f t="shared" si="11"/>
        <v>0.4</v>
      </c>
      <c r="T15" s="3">
        <f t="shared" ref="T15:T23" si="27">100/10</f>
        <v>10</v>
      </c>
      <c r="U15" s="3">
        <f t="shared" si="7"/>
        <v>10.4</v>
      </c>
      <c r="W15" s="4">
        <f t="shared" si="12"/>
        <v>1636</v>
      </c>
      <c r="X15" s="7" t="e">
        <f t="shared" si="13"/>
        <v>#REF!</v>
      </c>
      <c r="Y15" s="7" t="e">
        <f t="shared" si="14"/>
        <v>#REF!</v>
      </c>
      <c r="AC15" s="2">
        <v>45847</v>
      </c>
      <c r="AD15" s="3">
        <f t="shared" si="20"/>
        <v>80</v>
      </c>
      <c r="AE15" s="3">
        <f t="shared" si="21"/>
        <v>0.4</v>
      </c>
      <c r="AF15" s="3">
        <f t="shared" si="22"/>
        <v>10</v>
      </c>
      <c r="AG15" s="3">
        <f t="shared" si="23"/>
        <v>10.35</v>
      </c>
      <c r="AI15" s="4">
        <f t="shared" si="18"/>
        <v>1456</v>
      </c>
      <c r="AJ15" s="7">
        <f t="shared" si="24"/>
        <v>6.5445650904523562</v>
      </c>
      <c r="AK15" s="7">
        <f t="shared" si="19"/>
        <v>26.469129921385083</v>
      </c>
      <c r="AP15" s="2">
        <f t="shared" si="15"/>
        <v>46031</v>
      </c>
      <c r="AQ15" s="3">
        <f t="shared" si="16"/>
        <v>80</v>
      </c>
      <c r="AR15" s="3">
        <f t="shared" si="17"/>
        <v>0.4</v>
      </c>
      <c r="AS15" s="3">
        <f t="shared" si="26"/>
        <v>10</v>
      </c>
      <c r="AT15" s="3">
        <f t="shared" si="8"/>
        <v>10.4</v>
      </c>
      <c r="AW15" s="56">
        <v>0.11</v>
      </c>
      <c r="AX15" s="8">
        <f t="shared" si="9"/>
        <v>60.195915281762701</v>
      </c>
    </row>
    <row r="16" spans="2:50" x14ac:dyDescent="0.2">
      <c r="E16" s="2">
        <v>46212</v>
      </c>
      <c r="F16" s="3">
        <f t="shared" si="0"/>
        <v>70</v>
      </c>
      <c r="G16" s="3">
        <f t="shared" si="10"/>
        <v>0.35000000000000003</v>
      </c>
      <c r="H16" s="3">
        <f t="shared" si="25"/>
        <v>10</v>
      </c>
      <c r="I16" s="3">
        <f t="shared" si="1"/>
        <v>10.35</v>
      </c>
      <c r="K16" s="4">
        <f t="shared" si="2"/>
        <v>1816</v>
      </c>
      <c r="L16" s="7">
        <f t="shared" si="3"/>
        <v>4.0350223491080124</v>
      </c>
      <c r="M16" s="7">
        <f t="shared" si="4"/>
        <v>20.354446072167082</v>
      </c>
      <c r="Q16" s="2">
        <f t="shared" si="5"/>
        <v>46212</v>
      </c>
      <c r="R16" s="3">
        <f t="shared" si="6"/>
        <v>70</v>
      </c>
      <c r="S16" s="3">
        <f t="shared" si="11"/>
        <v>0.35000000000000003</v>
      </c>
      <c r="T16" s="3">
        <f t="shared" si="27"/>
        <v>10</v>
      </c>
      <c r="U16" s="3">
        <f t="shared" si="7"/>
        <v>10.35</v>
      </c>
      <c r="W16" s="4">
        <f t="shared" si="12"/>
        <v>1816</v>
      </c>
      <c r="X16" s="7" t="e">
        <f t="shared" si="13"/>
        <v>#REF!</v>
      </c>
      <c r="Y16" s="7" t="e">
        <f t="shared" si="14"/>
        <v>#REF!</v>
      </c>
      <c r="AC16" s="2">
        <v>46031</v>
      </c>
      <c r="AD16" s="3">
        <f t="shared" si="20"/>
        <v>70</v>
      </c>
      <c r="AE16" s="3">
        <f t="shared" si="21"/>
        <v>0.35000000000000003</v>
      </c>
      <c r="AF16" s="3">
        <f t="shared" si="22"/>
        <v>10</v>
      </c>
      <c r="AG16" s="3">
        <f t="shared" si="23"/>
        <v>10.3</v>
      </c>
      <c r="AI16" s="4">
        <f t="shared" si="18"/>
        <v>1636</v>
      </c>
      <c r="AJ16" s="7">
        <f t="shared" si="24"/>
        <v>6.1541581844252002</v>
      </c>
      <c r="AK16" s="7">
        <f t="shared" si="19"/>
        <v>27.967229971443409</v>
      </c>
      <c r="AP16" s="2">
        <f t="shared" si="15"/>
        <v>46212</v>
      </c>
      <c r="AQ16" s="3">
        <f t="shared" si="16"/>
        <v>70</v>
      </c>
      <c r="AR16" s="3">
        <f t="shared" si="17"/>
        <v>0.35000000000000003</v>
      </c>
      <c r="AS16" s="3">
        <f t="shared" si="26"/>
        <v>10</v>
      </c>
      <c r="AT16" s="3">
        <f t="shared" si="8"/>
        <v>10.35</v>
      </c>
      <c r="AW16" s="56">
        <v>0.115</v>
      </c>
      <c r="AX16" s="8">
        <f t="shared" si="9"/>
        <v>58.77341929637992</v>
      </c>
    </row>
    <row r="17" spans="5:50" x14ac:dyDescent="0.2">
      <c r="E17" s="2">
        <v>46396</v>
      </c>
      <c r="F17" s="3">
        <f t="shared" si="0"/>
        <v>60</v>
      </c>
      <c r="G17" s="3">
        <f t="shared" si="10"/>
        <v>0.3</v>
      </c>
      <c r="H17" s="3">
        <f t="shared" si="25"/>
        <v>10</v>
      </c>
      <c r="I17" s="3">
        <f t="shared" si="1"/>
        <v>10.3</v>
      </c>
      <c r="K17" s="4">
        <f t="shared" si="2"/>
        <v>1996</v>
      </c>
      <c r="L17" s="7">
        <f t="shared" si="3"/>
        <v>3.6575798362321552</v>
      </c>
      <c r="M17" s="7">
        <f t="shared" si="4"/>
        <v>20.279248203109393</v>
      </c>
      <c r="Q17" s="2">
        <f t="shared" si="5"/>
        <v>46396</v>
      </c>
      <c r="R17" s="3">
        <f t="shared" si="6"/>
        <v>60</v>
      </c>
      <c r="S17" s="3">
        <f t="shared" si="11"/>
        <v>0.3</v>
      </c>
      <c r="T17" s="3">
        <f t="shared" si="27"/>
        <v>10</v>
      </c>
      <c r="U17" s="3">
        <f t="shared" si="7"/>
        <v>10.3</v>
      </c>
      <c r="W17" s="4">
        <f t="shared" si="12"/>
        <v>1996</v>
      </c>
      <c r="X17" s="7" t="e">
        <f t="shared" si="13"/>
        <v>#REF!</v>
      </c>
      <c r="Y17" s="7" t="e">
        <f t="shared" si="14"/>
        <v>#REF!</v>
      </c>
      <c r="AC17" s="2">
        <v>46212</v>
      </c>
      <c r="AD17" s="3">
        <f t="shared" si="20"/>
        <v>60</v>
      </c>
      <c r="AE17" s="3">
        <f t="shared" si="21"/>
        <v>0.3</v>
      </c>
      <c r="AF17" s="3">
        <f t="shared" si="22"/>
        <v>10</v>
      </c>
      <c r="AG17" s="3">
        <f t="shared" si="23"/>
        <v>10.25</v>
      </c>
      <c r="AI17" s="4">
        <f t="shared" si="18"/>
        <v>1816</v>
      </c>
      <c r="AJ17" s="7">
        <f t="shared" si="24"/>
        <v>5.7869040870545767</v>
      </c>
      <c r="AK17" s="7">
        <f t="shared" si="19"/>
        <v>29.191716172475306</v>
      </c>
      <c r="AP17" s="2">
        <f t="shared" si="15"/>
        <v>46396</v>
      </c>
      <c r="AQ17" s="3">
        <f t="shared" si="16"/>
        <v>60</v>
      </c>
      <c r="AR17" s="3">
        <f t="shared" si="17"/>
        <v>0.3</v>
      </c>
      <c r="AS17" s="3">
        <f t="shared" si="26"/>
        <v>10</v>
      </c>
      <c r="AT17" s="3">
        <f t="shared" si="8"/>
        <v>10.3</v>
      </c>
      <c r="AW17" s="56">
        <v>0.12</v>
      </c>
      <c r="AX17" s="8">
        <f t="shared" si="9"/>
        <v>57.394072022203382</v>
      </c>
    </row>
    <row r="18" spans="5:50" x14ac:dyDescent="0.2">
      <c r="E18" s="2">
        <v>46577</v>
      </c>
      <c r="F18" s="3">
        <f t="shared" si="0"/>
        <v>50</v>
      </c>
      <c r="G18" s="3">
        <f t="shared" si="10"/>
        <v>0.25</v>
      </c>
      <c r="H18" s="3">
        <f t="shared" si="25"/>
        <v>10</v>
      </c>
      <c r="I18" s="3">
        <f t="shared" si="1"/>
        <v>10.25</v>
      </c>
      <c r="K18" s="4">
        <f t="shared" si="2"/>
        <v>2176</v>
      </c>
      <c r="L18" s="7">
        <f t="shared" si="3"/>
        <v>3.3153657780243866</v>
      </c>
      <c r="M18" s="7">
        <f t="shared" si="4"/>
        <v>20.039544258280735</v>
      </c>
      <c r="Q18" s="2">
        <f t="shared" si="5"/>
        <v>46577</v>
      </c>
      <c r="R18" s="3">
        <f t="shared" si="6"/>
        <v>50</v>
      </c>
      <c r="S18" s="3">
        <f t="shared" si="11"/>
        <v>0.25</v>
      </c>
      <c r="T18" s="3">
        <f t="shared" si="27"/>
        <v>10</v>
      </c>
      <c r="U18" s="3">
        <f t="shared" si="7"/>
        <v>10.25</v>
      </c>
      <c r="W18" s="4">
        <f t="shared" si="12"/>
        <v>2176</v>
      </c>
      <c r="X18" s="7" t="e">
        <f t="shared" si="13"/>
        <v>#REF!</v>
      </c>
      <c r="Y18" s="7" t="e">
        <f t="shared" si="14"/>
        <v>#REF!</v>
      </c>
      <c r="AC18" s="2">
        <v>46396</v>
      </c>
      <c r="AD18" s="3">
        <f t="shared" si="20"/>
        <v>50</v>
      </c>
      <c r="AE18" s="3">
        <f t="shared" si="21"/>
        <v>0.25</v>
      </c>
      <c r="AF18" s="3">
        <f t="shared" si="22"/>
        <v>10</v>
      </c>
      <c r="AG18" s="3">
        <f t="shared" si="23"/>
        <v>10.199999999999999</v>
      </c>
      <c r="AI18" s="4">
        <f t="shared" si="18"/>
        <v>1996</v>
      </c>
      <c r="AJ18" s="7">
        <f t="shared" si="24"/>
        <v>5.4414366748558454</v>
      </c>
      <c r="AK18" s="7">
        <f t="shared" si="19"/>
        <v>30.169743341700741</v>
      </c>
      <c r="AP18" s="2">
        <f t="shared" si="15"/>
        <v>46577</v>
      </c>
      <c r="AQ18" s="3">
        <f t="shared" si="16"/>
        <v>50</v>
      </c>
      <c r="AR18" s="3">
        <f t="shared" si="17"/>
        <v>0.25</v>
      </c>
      <c r="AS18" s="3">
        <f t="shared" si="26"/>
        <v>10</v>
      </c>
      <c r="AT18" s="3">
        <f t="shared" si="8"/>
        <v>10.25</v>
      </c>
      <c r="AW18" s="56">
        <v>0.125</v>
      </c>
      <c r="AX18" s="8">
        <f t="shared" si="9"/>
        <v>56.056322382308842</v>
      </c>
    </row>
    <row r="19" spans="5:50" x14ac:dyDescent="0.2">
      <c r="E19" s="2">
        <v>46761</v>
      </c>
      <c r="F19" s="3">
        <f t="shared" si="0"/>
        <v>40</v>
      </c>
      <c r="G19" s="3">
        <f t="shared" si="10"/>
        <v>0.2</v>
      </c>
      <c r="H19" s="3">
        <f t="shared" si="25"/>
        <v>10</v>
      </c>
      <c r="I19" s="3">
        <f t="shared" si="1"/>
        <v>10.199999999999999</v>
      </c>
      <c r="K19" s="4">
        <f t="shared" si="2"/>
        <v>2356</v>
      </c>
      <c r="L19" s="7">
        <f t="shared" si="3"/>
        <v>3.005098776775994</v>
      </c>
      <c r="M19" s="7">
        <f t="shared" si="4"/>
        <v>19.666701994678448</v>
      </c>
      <c r="Q19" s="2">
        <f t="shared" si="5"/>
        <v>46761</v>
      </c>
      <c r="R19" s="3">
        <f t="shared" si="6"/>
        <v>40</v>
      </c>
      <c r="S19" s="3">
        <f t="shared" si="11"/>
        <v>0.2</v>
      </c>
      <c r="T19" s="3">
        <f t="shared" si="27"/>
        <v>10</v>
      </c>
      <c r="U19" s="3">
        <f t="shared" si="7"/>
        <v>10.199999999999999</v>
      </c>
      <c r="W19" s="4">
        <f t="shared" si="12"/>
        <v>2356</v>
      </c>
      <c r="X19" s="7" t="e">
        <f t="shared" si="13"/>
        <v>#REF!</v>
      </c>
      <c r="Y19" s="7" t="e">
        <f t="shared" si="14"/>
        <v>#REF!</v>
      </c>
      <c r="AC19" s="2">
        <v>46577</v>
      </c>
      <c r="AD19" s="3">
        <f t="shared" si="20"/>
        <v>40</v>
      </c>
      <c r="AE19" s="3">
        <f t="shared" si="21"/>
        <v>0.2</v>
      </c>
      <c r="AF19" s="3">
        <f t="shared" si="22"/>
        <v>10</v>
      </c>
      <c r="AG19" s="3">
        <f t="shared" si="23"/>
        <v>10.15</v>
      </c>
      <c r="AI19" s="4">
        <f t="shared" si="18"/>
        <v>2176</v>
      </c>
      <c r="AJ19" s="7">
        <f t="shared" si="24"/>
        <v>5.1164700769689846</v>
      </c>
      <c r="AK19" s="7">
        <f t="shared" si="19"/>
        <v>30.926219131901416</v>
      </c>
      <c r="AP19" s="2">
        <f t="shared" si="15"/>
        <v>46761</v>
      </c>
      <c r="AQ19" s="3">
        <f t="shared" si="16"/>
        <v>40</v>
      </c>
      <c r="AR19" s="3">
        <f t="shared" si="17"/>
        <v>0.2</v>
      </c>
      <c r="AS19" s="3">
        <f t="shared" si="26"/>
        <v>10</v>
      </c>
      <c r="AT19" s="3">
        <f t="shared" si="8"/>
        <v>10.199999999999999</v>
      </c>
      <c r="AW19" s="56">
        <v>0.13</v>
      </c>
      <c r="AX19" s="8">
        <f t="shared" si="9"/>
        <v>54.758683168172936</v>
      </c>
    </row>
    <row r="20" spans="5:50" x14ac:dyDescent="0.2">
      <c r="E20" s="2">
        <v>46943</v>
      </c>
      <c r="F20" s="3">
        <f t="shared" si="0"/>
        <v>30</v>
      </c>
      <c r="G20" s="3">
        <f t="shared" si="10"/>
        <v>0.15</v>
      </c>
      <c r="H20" s="3">
        <f t="shared" si="25"/>
        <v>10</v>
      </c>
      <c r="I20" s="3">
        <f t="shared" si="1"/>
        <v>10.15</v>
      </c>
      <c r="K20" s="4">
        <f t="shared" si="2"/>
        <v>2536</v>
      </c>
      <c r="L20" s="7">
        <f t="shared" si="3"/>
        <v>2.7238025195649809</v>
      </c>
      <c r="M20" s="7">
        <f t="shared" si="4"/>
        <v>19.18767552671331</v>
      </c>
      <c r="Q20" s="2">
        <f t="shared" si="5"/>
        <v>46943</v>
      </c>
      <c r="R20" s="3">
        <f t="shared" si="6"/>
        <v>30</v>
      </c>
      <c r="S20" s="3">
        <f t="shared" si="11"/>
        <v>0.15</v>
      </c>
      <c r="T20" s="3">
        <f t="shared" si="27"/>
        <v>10</v>
      </c>
      <c r="U20" s="3">
        <f t="shared" si="7"/>
        <v>10.15</v>
      </c>
      <c r="W20" s="4">
        <f t="shared" si="12"/>
        <v>2536</v>
      </c>
      <c r="X20" s="7" t="e">
        <f t="shared" si="13"/>
        <v>#REF!</v>
      </c>
      <c r="Y20" s="7" t="e">
        <f t="shared" si="14"/>
        <v>#REF!</v>
      </c>
      <c r="AC20" s="2">
        <v>46761</v>
      </c>
      <c r="AD20" s="3">
        <f t="shared" si="20"/>
        <v>30</v>
      </c>
      <c r="AE20" s="3">
        <f t="shared" si="21"/>
        <v>0.15</v>
      </c>
      <c r="AF20" s="3">
        <f t="shared" si="22"/>
        <v>10</v>
      </c>
      <c r="AG20" s="3">
        <f t="shared" si="23"/>
        <v>10.1</v>
      </c>
      <c r="AI20" s="4">
        <f t="shared" si="18"/>
        <v>2356</v>
      </c>
      <c r="AJ20" s="7">
        <f t="shared" si="24"/>
        <v>4.8107939789954512</v>
      </c>
      <c r="AK20" s="7">
        <f t="shared" si="19"/>
        <v>31.483973929203565</v>
      </c>
      <c r="AP20" s="2">
        <f t="shared" si="15"/>
        <v>46943</v>
      </c>
      <c r="AQ20" s="3">
        <f t="shared" si="16"/>
        <v>30</v>
      </c>
      <c r="AR20" s="3">
        <f t="shared" si="17"/>
        <v>0.15</v>
      </c>
      <c r="AS20" s="3">
        <f t="shared" si="26"/>
        <v>10</v>
      </c>
      <c r="AT20" s="3">
        <f t="shared" si="8"/>
        <v>10.15</v>
      </c>
      <c r="AW20" s="56">
        <v>0.13500000000000001</v>
      </c>
      <c r="AX20" s="8">
        <f t="shared" si="9"/>
        <v>53.499728093058572</v>
      </c>
    </row>
    <row r="21" spans="5:50" x14ac:dyDescent="0.2">
      <c r="E21" s="2">
        <v>47127</v>
      </c>
      <c r="F21" s="3">
        <f t="shared" si="0"/>
        <v>20</v>
      </c>
      <c r="G21" s="3">
        <f t="shared" si="10"/>
        <v>0.1</v>
      </c>
      <c r="H21" s="3">
        <f t="shared" si="25"/>
        <v>10</v>
      </c>
      <c r="I21" s="3">
        <f t="shared" si="1"/>
        <v>10.1</v>
      </c>
      <c r="K21" s="4">
        <f t="shared" si="2"/>
        <v>2716</v>
      </c>
      <c r="L21" s="7">
        <f t="shared" si="3"/>
        <v>2.4687774614947564</v>
      </c>
      <c r="M21" s="7">
        <f t="shared" si="4"/>
        <v>18.625554403943774</v>
      </c>
      <c r="Q21" s="2">
        <f t="shared" si="5"/>
        <v>47127</v>
      </c>
      <c r="R21" s="3">
        <f t="shared" si="6"/>
        <v>20</v>
      </c>
      <c r="S21" s="3">
        <f t="shared" si="11"/>
        <v>0.1</v>
      </c>
      <c r="T21" s="3">
        <f t="shared" si="27"/>
        <v>10</v>
      </c>
      <c r="U21" s="3">
        <f t="shared" si="7"/>
        <v>10.1</v>
      </c>
      <c r="W21" s="4">
        <f t="shared" si="12"/>
        <v>2716</v>
      </c>
      <c r="X21" s="7" t="e">
        <f t="shared" si="13"/>
        <v>#REF!</v>
      </c>
      <c r="Y21" s="7" t="e">
        <f t="shared" si="14"/>
        <v>#REF!</v>
      </c>
      <c r="AC21" s="2">
        <v>46943</v>
      </c>
      <c r="AD21" s="3">
        <f t="shared" si="20"/>
        <v>20</v>
      </c>
      <c r="AE21" s="3">
        <f t="shared" si="21"/>
        <v>0.1</v>
      </c>
      <c r="AF21" s="3">
        <f t="shared" si="22"/>
        <v>10</v>
      </c>
      <c r="AG21" s="3">
        <f t="shared" si="23"/>
        <v>10.050000000000001</v>
      </c>
      <c r="AI21" s="4">
        <f t="shared" si="18"/>
        <v>2536</v>
      </c>
      <c r="AJ21" s="7">
        <f t="shared" si="24"/>
        <v>4.5232692006983015</v>
      </c>
      <c r="AK21" s="7">
        <f t="shared" si="19"/>
        <v>31.863918591585811</v>
      </c>
      <c r="AP21" s="2">
        <f t="shared" si="15"/>
        <v>47127</v>
      </c>
      <c r="AQ21" s="3">
        <f t="shared" si="16"/>
        <v>20</v>
      </c>
      <c r="AR21" s="3">
        <f t="shared" si="17"/>
        <v>0.1</v>
      </c>
      <c r="AS21" s="3">
        <f t="shared" si="26"/>
        <v>10</v>
      </c>
      <c r="AT21" s="3">
        <f t="shared" si="8"/>
        <v>10.1</v>
      </c>
      <c r="AW21" s="56">
        <v>0.14000000000000001</v>
      </c>
      <c r="AX21" s="8">
        <f t="shared" si="9"/>
        <v>52.278088995352441</v>
      </c>
    </row>
    <row r="22" spans="5:50" x14ac:dyDescent="0.2">
      <c r="E22" s="2">
        <v>47308</v>
      </c>
      <c r="F22" s="3">
        <f t="shared" si="0"/>
        <v>10</v>
      </c>
      <c r="G22" s="3">
        <f t="shared" si="10"/>
        <v>0.05</v>
      </c>
      <c r="H22" s="3">
        <f t="shared" si="25"/>
        <v>10</v>
      </c>
      <c r="I22" s="3">
        <f t="shared" si="1"/>
        <v>10.050000000000001</v>
      </c>
      <c r="K22" s="4">
        <f t="shared" si="2"/>
        <v>2896</v>
      </c>
      <c r="L22" s="7">
        <f t="shared" si="3"/>
        <v>2.2375751330627263</v>
      </c>
      <c r="M22" s="7">
        <f t="shared" si="4"/>
        <v>18.000048848193487</v>
      </c>
      <c r="Q22" s="2">
        <f t="shared" si="5"/>
        <v>47308</v>
      </c>
      <c r="R22" s="3">
        <f t="shared" si="6"/>
        <v>10</v>
      </c>
      <c r="S22" s="3">
        <f t="shared" si="11"/>
        <v>0.05</v>
      </c>
      <c r="T22" s="3">
        <f t="shared" si="27"/>
        <v>10</v>
      </c>
      <c r="U22" s="3">
        <f t="shared" si="7"/>
        <v>10.050000000000001</v>
      </c>
      <c r="W22" s="4">
        <f t="shared" si="12"/>
        <v>2896</v>
      </c>
      <c r="X22" s="7" t="e">
        <f t="shared" si="13"/>
        <v>#REF!</v>
      </c>
      <c r="Y22" s="7" t="e">
        <f t="shared" si="14"/>
        <v>#REF!</v>
      </c>
      <c r="AC22" s="2">
        <v>47127</v>
      </c>
      <c r="AD22" s="3">
        <f t="shared" si="20"/>
        <v>10</v>
      </c>
      <c r="AE22" s="3">
        <f t="shared" si="21"/>
        <v>0.05</v>
      </c>
      <c r="AF22" s="3">
        <f t="shared" si="22"/>
        <v>10</v>
      </c>
      <c r="AG22" s="3">
        <f t="shared" si="23"/>
        <v>10</v>
      </c>
      <c r="AI22" s="4">
        <f t="shared" si="18"/>
        <v>2716</v>
      </c>
      <c r="AJ22" s="7">
        <f t="shared" si="24"/>
        <v>4.2528235316437861</v>
      </c>
      <c r="AK22" s="7">
        <f t="shared" si="19"/>
        <v>32.085190866512562</v>
      </c>
      <c r="AP22" s="2">
        <f t="shared" si="15"/>
        <v>47308</v>
      </c>
      <c r="AQ22" s="3">
        <f t="shared" si="16"/>
        <v>10</v>
      </c>
      <c r="AR22" s="3">
        <f t="shared" si="17"/>
        <v>0.05</v>
      </c>
      <c r="AS22" s="3">
        <f t="shared" si="26"/>
        <v>10</v>
      </c>
      <c r="AT22" s="3">
        <f t="shared" si="8"/>
        <v>10.050000000000001</v>
      </c>
      <c r="AW22" s="56">
        <v>0.14499999999999999</v>
      </c>
      <c r="AX22" s="8">
        <f t="shared" si="9"/>
        <v>51.092453183534602</v>
      </c>
    </row>
    <row r="23" spans="5:50" x14ac:dyDescent="0.2">
      <c r="L23" s="7">
        <f>SUM(L6:L22)</f>
        <v>39.243450882823446</v>
      </c>
      <c r="M23" s="7">
        <f>SUM(M6:M22)</f>
        <v>199.08452886273028</v>
      </c>
      <c r="Q23" s="2">
        <f t="shared" si="5"/>
        <v>0</v>
      </c>
      <c r="R23" s="3">
        <f t="shared" si="6"/>
        <v>0</v>
      </c>
      <c r="S23" s="3">
        <f t="shared" si="11"/>
        <v>0</v>
      </c>
      <c r="T23" s="3">
        <f t="shared" si="27"/>
        <v>10</v>
      </c>
      <c r="U23" s="3">
        <f t="shared" si="7"/>
        <v>10</v>
      </c>
      <c r="W23" s="4">
        <f t="shared" si="12"/>
        <v>-43733</v>
      </c>
      <c r="X23" s="7" t="e">
        <f t="shared" si="13"/>
        <v>#REF!</v>
      </c>
      <c r="Y23" s="7" t="e">
        <f t="shared" si="14"/>
        <v>#REF!</v>
      </c>
      <c r="AC23" s="2">
        <v>47308</v>
      </c>
      <c r="AD23" s="3">
        <f t="shared" si="20"/>
        <v>0</v>
      </c>
      <c r="AE23" s="3">
        <f t="shared" si="21"/>
        <v>0</v>
      </c>
      <c r="AF23" s="3">
        <f t="shared" si="22"/>
        <v>10</v>
      </c>
      <c r="AG23" s="3">
        <f t="shared" si="23"/>
        <v>0</v>
      </c>
      <c r="AI23" s="4">
        <f t="shared" si="18"/>
        <v>2896</v>
      </c>
      <c r="AJ23" s="7">
        <f t="shared" si="24"/>
        <v>0</v>
      </c>
      <c r="AK23" s="7">
        <f t="shared" si="19"/>
        <v>0</v>
      </c>
      <c r="AW23" s="56">
        <v>0.15</v>
      </c>
      <c r="AX23" s="8">
        <f t="shared" si="9"/>
        <v>49.941560914959304</v>
      </c>
    </row>
    <row r="24" spans="5:50" ht="15" x14ac:dyDescent="0.25">
      <c r="H24" s="6" t="s">
        <v>5</v>
      </c>
      <c r="I24" s="5">
        <f>XIRR(I5:I22,E5:E22)</f>
        <v>0.20530791878700264</v>
      </c>
      <c r="X24" s="7" t="e">
        <f>SUM(X6:X23)</f>
        <v>#REF!</v>
      </c>
      <c r="Y24" s="7" t="e">
        <f>SUM(Y6:Y23)</f>
        <v>#REF!</v>
      </c>
      <c r="AJ24" s="7">
        <f>SUM(AJ6:AJ23)</f>
        <v>57.762071039365388</v>
      </c>
      <c r="AK24" s="7">
        <f>SUM(AK6:AK23)</f>
        <v>289.12041091465028</v>
      </c>
      <c r="AW24" s="56">
        <v>0.155</v>
      </c>
      <c r="AX24" s="8">
        <f t="shared" si="9"/>
        <v>48.82420300109316</v>
      </c>
    </row>
    <row r="25" spans="5:50" ht="15" x14ac:dyDescent="0.25">
      <c r="H25" s="6" t="s">
        <v>8</v>
      </c>
      <c r="I25" s="3">
        <f>M25/(1+(I24/2))</f>
        <v>4.6007759063985887</v>
      </c>
      <c r="L25" s="4" t="s">
        <v>7</v>
      </c>
      <c r="M25" s="3">
        <f>M23/L23</f>
        <v>5.073063769472629</v>
      </c>
      <c r="T25" s="6" t="s">
        <v>5</v>
      </c>
      <c r="U25" s="5" t="e">
        <f>XIRR(U5:U23,Q5:Q23)</f>
        <v>#REF!</v>
      </c>
      <c r="AF25" s="6" t="s">
        <v>5</v>
      </c>
      <c r="AG25" s="5">
        <f>+Informe!D28</f>
        <v>0.12</v>
      </c>
      <c r="AS25" s="6"/>
      <c r="AT25" s="5"/>
      <c r="AW25" s="56">
        <v>0.16</v>
      </c>
      <c r="AX25" s="8">
        <f t="shared" si="9"/>
        <v>47.739218532292604</v>
      </c>
    </row>
    <row r="26" spans="5:50" ht="15" x14ac:dyDescent="0.25">
      <c r="T26" s="6" t="s">
        <v>8</v>
      </c>
      <c r="U26" s="3" t="e">
        <f>Y26/(1+(U25/2))</f>
        <v>#REF!</v>
      </c>
      <c r="X26" s="4" t="s">
        <v>7</v>
      </c>
      <c r="Y26" s="3" t="e">
        <f>Y24/X24</f>
        <v>#REF!</v>
      </c>
      <c r="AF26" s="6" t="s">
        <v>8</v>
      </c>
      <c r="AG26" s="3">
        <f>AK26/(1+(AG25/2))</f>
        <v>4.7220451020632099</v>
      </c>
      <c r="AJ26" s="4" t="s">
        <v>7</v>
      </c>
      <c r="AK26" s="3">
        <f>AK24/AJ24</f>
        <v>5.0053678081870023</v>
      </c>
      <c r="AS26" s="6"/>
      <c r="AT26" s="3"/>
    </row>
    <row r="27" spans="5:50" ht="15" x14ac:dyDescent="0.25">
      <c r="AF27" s="91" t="s">
        <v>61</v>
      </c>
      <c r="AG27" s="92">
        <f>XNPV(AG25,AG10:AG23,AC10:AC23)</f>
        <v>57.732608514509899</v>
      </c>
    </row>
    <row r="30" spans="5:50" x14ac:dyDescent="0.2">
      <c r="G30" s="5"/>
    </row>
  </sheetData>
  <mergeCells count="4">
    <mergeCell ref="E2:M2"/>
    <mergeCell ref="Q2:Y2"/>
    <mergeCell ref="AP2:AU2"/>
    <mergeCell ref="AC2:AK2"/>
  </mergeCells>
  <pageMargins left="0.7" right="0.7" top="0.75" bottom="0.75" header="0.3" footer="0.3"/>
  <ignoredErrors>
    <ignoredError sqref="AQ7:AQ22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W57"/>
  <sheetViews>
    <sheetView showGridLines="0" zoomScale="90" zoomScaleNormal="90" workbookViewId="0">
      <selection activeCell="I5" sqref="I5"/>
    </sheetView>
  </sheetViews>
  <sheetFormatPr baseColWidth="10" defaultRowHeight="14.25" x14ac:dyDescent="0.2"/>
  <cols>
    <col min="1" max="1" width="4.85546875" style="4" customWidth="1"/>
    <col min="2" max="2" width="14.7109375" style="4" bestFit="1" customWidth="1"/>
    <col min="3" max="3" width="11.42578125" style="4"/>
    <col min="4" max="4" width="5.7109375" style="4" customWidth="1"/>
    <col min="5" max="9" width="11.42578125" style="4"/>
    <col min="10" max="10" width="3.140625" style="4" customWidth="1"/>
    <col min="11" max="13" width="11.42578125" style="4"/>
    <col min="14" max="14" width="3" style="4" customWidth="1"/>
    <col min="15" max="15" width="11.42578125" style="78"/>
    <col min="16" max="16" width="2.85546875" style="4" customWidth="1"/>
    <col min="17" max="26" width="11.42578125" style="4"/>
    <col min="27" max="27" width="11.42578125" style="78"/>
    <col min="28" max="38" width="11.42578125" style="4"/>
    <col min="39" max="39" width="11.42578125" style="78"/>
    <col min="40" max="16384" width="11.42578125" style="4"/>
  </cols>
  <sheetData>
    <row r="2" spans="2:49" ht="15" x14ac:dyDescent="0.25">
      <c r="D2" s="121"/>
      <c r="E2" s="321" t="s">
        <v>54</v>
      </c>
      <c r="F2" s="321"/>
      <c r="G2" s="321"/>
      <c r="H2" s="321"/>
      <c r="I2" s="321"/>
      <c r="J2" s="321"/>
      <c r="K2" s="321"/>
      <c r="L2" s="321"/>
      <c r="M2" s="321"/>
      <c r="N2" s="63"/>
      <c r="O2" s="79"/>
      <c r="P2" s="63"/>
      <c r="Q2" s="321" t="s">
        <v>56</v>
      </c>
      <c r="R2" s="321"/>
      <c r="S2" s="321"/>
      <c r="T2" s="321"/>
      <c r="U2" s="321"/>
      <c r="V2" s="321"/>
      <c r="W2" s="321"/>
      <c r="X2" s="321"/>
      <c r="Y2" s="321"/>
      <c r="AC2" s="321" t="s">
        <v>62</v>
      </c>
      <c r="AD2" s="321"/>
      <c r="AE2" s="321"/>
      <c r="AF2" s="321"/>
      <c r="AG2" s="321"/>
      <c r="AH2" s="321"/>
      <c r="AI2" s="321"/>
      <c r="AJ2" s="321"/>
      <c r="AK2" s="321"/>
      <c r="AO2" s="321" t="s">
        <v>58</v>
      </c>
      <c r="AP2" s="321"/>
      <c r="AQ2" s="321"/>
      <c r="AR2" s="321"/>
      <c r="AS2" s="321"/>
      <c r="AT2" s="74"/>
      <c r="AU2" s="74"/>
      <c r="AV2" s="74"/>
      <c r="AW2" s="74"/>
    </row>
    <row r="3" spans="2:49" x14ac:dyDescent="0.2">
      <c r="D3" s="121"/>
      <c r="P3" s="23"/>
      <c r="Q3" s="23"/>
      <c r="R3" s="122"/>
    </row>
    <row r="4" spans="2:49" ht="15" x14ac:dyDescent="0.25"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  <c r="K4" s="1" t="s">
        <v>6</v>
      </c>
      <c r="L4" s="1" t="s">
        <v>10</v>
      </c>
      <c r="M4" s="1" t="s">
        <v>11</v>
      </c>
      <c r="N4" s="63"/>
      <c r="O4" s="79"/>
      <c r="Q4" s="47" t="s">
        <v>0</v>
      </c>
      <c r="R4" s="47" t="s">
        <v>1</v>
      </c>
      <c r="S4" s="47" t="s">
        <v>2</v>
      </c>
      <c r="T4" s="47" t="s">
        <v>3</v>
      </c>
      <c r="U4" s="47" t="s">
        <v>4</v>
      </c>
      <c r="W4" s="47" t="s">
        <v>6</v>
      </c>
      <c r="X4" s="47" t="s">
        <v>10</v>
      </c>
      <c r="Y4" s="47" t="s">
        <v>11</v>
      </c>
      <c r="AC4" s="53" t="s">
        <v>0</v>
      </c>
      <c r="AD4" s="53" t="s">
        <v>1</v>
      </c>
      <c r="AE4" s="53" t="s">
        <v>2</v>
      </c>
      <c r="AF4" s="53" t="s">
        <v>3</v>
      </c>
      <c r="AG4" s="53" t="s">
        <v>4</v>
      </c>
      <c r="AI4" s="53" t="s">
        <v>9</v>
      </c>
      <c r="AJ4" s="53" t="s">
        <v>10</v>
      </c>
      <c r="AK4" s="53" t="s">
        <v>11</v>
      </c>
      <c r="AO4" s="53" t="s">
        <v>0</v>
      </c>
      <c r="AP4" s="53" t="s">
        <v>1</v>
      </c>
      <c r="AQ4" s="53" t="s">
        <v>2</v>
      </c>
      <c r="AR4" s="53" t="s">
        <v>3</v>
      </c>
      <c r="AS4" s="53" t="s">
        <v>4</v>
      </c>
      <c r="AU4" s="53" t="s">
        <v>5</v>
      </c>
      <c r="AV4" s="53" t="s">
        <v>61</v>
      </c>
    </row>
    <row r="5" spans="2:49" x14ac:dyDescent="0.2">
      <c r="B5" s="82" t="s">
        <v>36</v>
      </c>
      <c r="C5" s="83">
        <v>44078</v>
      </c>
      <c r="E5" s="2">
        <f>+Monitor!C2</f>
        <v>44370</v>
      </c>
      <c r="F5" s="3">
        <v>100</v>
      </c>
      <c r="I5" s="3">
        <f>-Monitor!D9</f>
        <v>-37.299999999999997</v>
      </c>
      <c r="K5" s="4">
        <f>DAYS360(C5,E6)</f>
        <v>305</v>
      </c>
      <c r="Q5" s="2">
        <f>+E5</f>
        <v>44370</v>
      </c>
      <c r="R5" s="3">
        <v>100</v>
      </c>
      <c r="U5" s="3" t="e">
        <f>-CCL!K7</f>
        <v>#REF!</v>
      </c>
      <c r="AO5" s="2">
        <f t="shared" ref="AO5:AQ6" si="0">+E5</f>
        <v>44370</v>
      </c>
      <c r="AP5" s="3">
        <f t="shared" si="0"/>
        <v>100</v>
      </c>
      <c r="AQ5" s="3">
        <f t="shared" si="0"/>
        <v>0</v>
      </c>
      <c r="AR5" s="3"/>
      <c r="AS5" s="3">
        <v>0</v>
      </c>
      <c r="AU5" s="56">
        <v>0.06</v>
      </c>
      <c r="AV5" s="8">
        <f t="shared" ref="AV5:AV25" si="1">XNPV(AU5,$AS$5:$AS$24,$AO$5:$AO$24)</f>
        <v>74.124511730186228</v>
      </c>
    </row>
    <row r="6" spans="2:49" x14ac:dyDescent="0.2">
      <c r="B6" s="84" t="s">
        <v>37</v>
      </c>
      <c r="C6" s="85">
        <v>1.25E-3</v>
      </c>
      <c r="E6" s="2">
        <v>44386</v>
      </c>
      <c r="F6" s="3">
        <v>100</v>
      </c>
      <c r="G6" s="3">
        <f>(F5*C6)/360*K5</f>
        <v>0.10590277777777778</v>
      </c>
      <c r="I6" s="3">
        <f t="shared" ref="I6:I24" si="2">SUM(G6:H6)</f>
        <v>0.10590277777777778</v>
      </c>
      <c r="K6" s="4">
        <f t="shared" ref="K6:K24" si="3">DAYS360($E$5,E6)</f>
        <v>16</v>
      </c>
      <c r="L6" s="7">
        <f t="shared" ref="L6:L24" si="4">I6/(1+$I$26)^(K6/360)</f>
        <v>0.10506098995822588</v>
      </c>
      <c r="M6" s="7">
        <f t="shared" ref="M6:M24" si="5">L6*(K6/360)</f>
        <v>4.6693773314767061E-3</v>
      </c>
      <c r="N6" s="7"/>
      <c r="O6" s="80"/>
      <c r="P6" s="7"/>
      <c r="Q6" s="2">
        <v>44205</v>
      </c>
      <c r="R6" s="3">
        <v>100</v>
      </c>
      <c r="S6" s="3">
        <v>0</v>
      </c>
      <c r="U6" s="3">
        <f t="shared" ref="U6" si="6">SUM(S6:T6)</f>
        <v>0</v>
      </c>
      <c r="W6" s="4">
        <f t="shared" ref="W6:W25" si="7">DAYS360($E$5,Q6)</f>
        <v>-164</v>
      </c>
      <c r="X6" s="7" t="e">
        <f t="shared" ref="X6:X25" si="8">U6/(1+$U$27)^(W6/360)</f>
        <v>#REF!</v>
      </c>
      <c r="Y6" s="7" t="e">
        <f t="shared" ref="Y6:Y25" si="9">X6*(W6/360)</f>
        <v>#REF!</v>
      </c>
      <c r="AO6" s="2">
        <f t="shared" si="0"/>
        <v>44386</v>
      </c>
      <c r="AP6" s="3">
        <f t="shared" si="0"/>
        <v>100</v>
      </c>
      <c r="AQ6" s="3">
        <f t="shared" si="0"/>
        <v>0.10590277777777778</v>
      </c>
      <c r="AR6" s="3"/>
      <c r="AS6" s="3">
        <f t="shared" ref="AS6:AS24" si="10">+I6</f>
        <v>0.10590277777777778</v>
      </c>
      <c r="AU6" s="56">
        <v>6.5000000000000002E-2</v>
      </c>
      <c r="AV6" s="8">
        <f t="shared" si="1"/>
        <v>72.105012976069276</v>
      </c>
    </row>
    <row r="7" spans="2:49" x14ac:dyDescent="0.2">
      <c r="B7" s="84" t="s">
        <v>38</v>
      </c>
      <c r="C7" s="86">
        <f>DAYS360(C5,E5)</f>
        <v>289</v>
      </c>
      <c r="E7" s="2">
        <v>44570</v>
      </c>
      <c r="F7" s="3">
        <v>100</v>
      </c>
      <c r="G7" s="3">
        <f>0.005*F7/360*180</f>
        <v>0.25</v>
      </c>
      <c r="I7" s="3">
        <f t="shared" si="2"/>
        <v>0.25</v>
      </c>
      <c r="K7" s="4">
        <f t="shared" si="3"/>
        <v>196</v>
      </c>
      <c r="L7" s="7">
        <f t="shared" si="4"/>
        <v>0.22671653134759565</v>
      </c>
      <c r="M7" s="7">
        <f t="shared" si="5"/>
        <v>0.12343455595591317</v>
      </c>
      <c r="N7" s="7"/>
      <c r="O7" s="80"/>
      <c r="P7" s="7"/>
      <c r="Q7" s="2">
        <v>44386</v>
      </c>
      <c r="R7" s="3">
        <v>100</v>
      </c>
      <c r="S7" s="3">
        <f>0.00125*R7/360*W7</f>
        <v>5.5555555555555558E-3</v>
      </c>
      <c r="U7" s="3">
        <f t="shared" ref="U7:U25" si="11">SUM(S7:T7)</f>
        <v>5.5555555555555558E-3</v>
      </c>
      <c r="W7" s="4">
        <f t="shared" si="7"/>
        <v>16</v>
      </c>
      <c r="X7" s="7" t="e">
        <f t="shared" si="8"/>
        <v>#REF!</v>
      </c>
      <c r="Y7" s="7" t="e">
        <f t="shared" si="9"/>
        <v>#REF!</v>
      </c>
      <c r="AO7" s="2">
        <f t="shared" ref="AO7:AO24" si="12">+E7</f>
        <v>44570</v>
      </c>
      <c r="AP7" s="3">
        <f t="shared" ref="AP7:AP24" si="13">+F7</f>
        <v>100</v>
      </c>
      <c r="AQ7" s="3">
        <f t="shared" ref="AQ7:AQ24" si="14">+G7</f>
        <v>0.25</v>
      </c>
      <c r="AR7" s="3"/>
      <c r="AS7" s="3">
        <f t="shared" si="10"/>
        <v>0.25</v>
      </c>
      <c r="AU7" s="56">
        <v>7.0000000000000007E-2</v>
      </c>
      <c r="AV7" s="8">
        <f t="shared" si="1"/>
        <v>70.15511296435109</v>
      </c>
    </row>
    <row r="8" spans="2:49" x14ac:dyDescent="0.2">
      <c r="B8" s="84" t="s">
        <v>39</v>
      </c>
      <c r="C8" s="87">
        <f>(C6*100)/360*C7</f>
        <v>0.10034722222222223</v>
      </c>
      <c r="E8" s="2">
        <v>44751</v>
      </c>
      <c r="F8" s="3">
        <v>100</v>
      </c>
      <c r="G8" s="3">
        <f>0.005*F8/360*180</f>
        <v>0.25</v>
      </c>
      <c r="H8" s="3"/>
      <c r="I8" s="3">
        <f t="shared" si="2"/>
        <v>0.25</v>
      </c>
      <c r="K8" s="4">
        <f t="shared" si="3"/>
        <v>376</v>
      </c>
      <c r="L8" s="7">
        <f t="shared" si="4"/>
        <v>0.20724889855315004</v>
      </c>
      <c r="M8" s="7">
        <f t="shared" si="5"/>
        <v>0.21645996071106782</v>
      </c>
      <c r="N8" s="7"/>
      <c r="O8" s="80"/>
      <c r="P8" s="7"/>
      <c r="Q8" s="2">
        <v>44570</v>
      </c>
      <c r="R8" s="3">
        <v>100</v>
      </c>
      <c r="S8" s="3">
        <f>0.005*R8/360*180</f>
        <v>0.25</v>
      </c>
      <c r="U8" s="3">
        <f t="shared" si="11"/>
        <v>0.25</v>
      </c>
      <c r="W8" s="4">
        <f t="shared" si="7"/>
        <v>196</v>
      </c>
      <c r="X8" s="7" t="e">
        <f t="shared" si="8"/>
        <v>#REF!</v>
      </c>
      <c r="Y8" s="7" t="e">
        <f t="shared" si="9"/>
        <v>#REF!</v>
      </c>
      <c r="AO8" s="2">
        <f t="shared" si="12"/>
        <v>44751</v>
      </c>
      <c r="AP8" s="3">
        <f t="shared" si="13"/>
        <v>100</v>
      </c>
      <c r="AQ8" s="3">
        <f t="shared" si="14"/>
        <v>0.25</v>
      </c>
      <c r="AR8" s="3"/>
      <c r="AS8" s="3">
        <f t="shared" si="10"/>
        <v>0.25</v>
      </c>
      <c r="AU8" s="56">
        <v>7.4999999999999997E-2</v>
      </c>
      <c r="AV8" s="8">
        <f t="shared" si="1"/>
        <v>68.271974186944675</v>
      </c>
    </row>
    <row r="9" spans="2:49" x14ac:dyDescent="0.2">
      <c r="B9" s="84" t="s">
        <v>35</v>
      </c>
      <c r="C9" s="86">
        <v>100</v>
      </c>
      <c r="E9" s="2">
        <v>44935</v>
      </c>
      <c r="F9" s="3">
        <v>100</v>
      </c>
      <c r="G9" s="3">
        <f>0.005*F9/360*180</f>
        <v>0.25</v>
      </c>
      <c r="H9" s="3"/>
      <c r="I9" s="3">
        <f t="shared" si="2"/>
        <v>0.25</v>
      </c>
      <c r="K9" s="4">
        <f t="shared" si="3"/>
        <v>556</v>
      </c>
      <c r="L9" s="7">
        <f t="shared" si="4"/>
        <v>0.18945290710028048</v>
      </c>
      <c r="M9" s="7">
        <f t="shared" si="5"/>
        <v>0.29259948985487766</v>
      </c>
      <c r="N9" s="7"/>
      <c r="O9" s="80"/>
      <c r="P9" s="7"/>
      <c r="Q9" s="2">
        <v>44751</v>
      </c>
      <c r="R9" s="3">
        <v>100</v>
      </c>
      <c r="S9" s="3">
        <f>0.005*R9/360*180</f>
        <v>0.25</v>
      </c>
      <c r="T9" s="3"/>
      <c r="U9" s="3">
        <f t="shared" si="11"/>
        <v>0.25</v>
      </c>
      <c r="W9" s="4">
        <f t="shared" si="7"/>
        <v>376</v>
      </c>
      <c r="X9" s="7" t="e">
        <f t="shared" si="8"/>
        <v>#REF!</v>
      </c>
      <c r="Y9" s="7" t="e">
        <f t="shared" si="9"/>
        <v>#REF!</v>
      </c>
      <c r="AO9" s="2">
        <f t="shared" si="12"/>
        <v>44935</v>
      </c>
      <c r="AP9" s="3">
        <f t="shared" si="13"/>
        <v>100</v>
      </c>
      <c r="AQ9" s="3">
        <f t="shared" si="14"/>
        <v>0.25</v>
      </c>
      <c r="AR9" s="3"/>
      <c r="AS9" s="3">
        <f t="shared" si="10"/>
        <v>0.25</v>
      </c>
      <c r="AU9" s="56">
        <v>0.08</v>
      </c>
      <c r="AV9" s="8">
        <f t="shared" si="1"/>
        <v>66.452891145076691</v>
      </c>
    </row>
    <row r="10" spans="2:49" x14ac:dyDescent="0.2">
      <c r="B10" s="88" t="s">
        <v>23</v>
      </c>
      <c r="C10" s="89">
        <f>+C9+C8</f>
        <v>100.10034722222223</v>
      </c>
      <c r="E10" s="2">
        <v>45116</v>
      </c>
      <c r="F10" s="3">
        <v>100</v>
      </c>
      <c r="G10" s="3">
        <f>0.005*F10/360*180</f>
        <v>0.25</v>
      </c>
      <c r="H10" s="3"/>
      <c r="I10" s="3">
        <f t="shared" si="2"/>
        <v>0.25</v>
      </c>
      <c r="K10" s="4">
        <f t="shared" si="3"/>
        <v>736</v>
      </c>
      <c r="L10" s="7">
        <f t="shared" si="4"/>
        <v>0.17318501694976549</v>
      </c>
      <c r="M10" s="7">
        <f t="shared" si="5"/>
        <v>0.35406714576396497</v>
      </c>
      <c r="N10" s="7"/>
      <c r="O10" s="80"/>
      <c r="P10" s="7"/>
      <c r="Q10" s="2">
        <v>44935</v>
      </c>
      <c r="R10" s="3">
        <v>100</v>
      </c>
      <c r="S10" s="3">
        <f>0.005*R10/360*180</f>
        <v>0.25</v>
      </c>
      <c r="T10" s="3"/>
      <c r="U10" s="3">
        <f t="shared" si="11"/>
        <v>0.25</v>
      </c>
      <c r="W10" s="4">
        <f t="shared" si="7"/>
        <v>556</v>
      </c>
      <c r="X10" s="7" t="e">
        <f t="shared" si="8"/>
        <v>#REF!</v>
      </c>
      <c r="Y10" s="7" t="e">
        <f t="shared" si="9"/>
        <v>#REF!</v>
      </c>
      <c r="AC10" s="31">
        <f>Informe!B36</f>
        <v>44370</v>
      </c>
      <c r="AG10" s="3">
        <v>0</v>
      </c>
      <c r="AJ10" s="7"/>
      <c r="AK10" s="7"/>
      <c r="AO10" s="2">
        <f t="shared" si="12"/>
        <v>45116</v>
      </c>
      <c r="AP10" s="3">
        <f t="shared" si="13"/>
        <v>100</v>
      </c>
      <c r="AQ10" s="3">
        <f t="shared" si="14"/>
        <v>0.25</v>
      </c>
      <c r="AR10" s="3"/>
      <c r="AS10" s="3">
        <f t="shared" si="10"/>
        <v>0.25</v>
      </c>
      <c r="AU10" s="56">
        <v>8.5000000000000006E-2</v>
      </c>
      <c r="AV10" s="8">
        <f t="shared" si="1"/>
        <v>64.695283499913643</v>
      </c>
    </row>
    <row r="11" spans="2:49" x14ac:dyDescent="0.2">
      <c r="E11" s="2">
        <v>45300</v>
      </c>
      <c r="F11" s="3">
        <v>100</v>
      </c>
      <c r="G11" s="3">
        <f>0.0075*(180/360)*F11</f>
        <v>0.375</v>
      </c>
      <c r="H11" s="3"/>
      <c r="I11" s="3">
        <f t="shared" si="2"/>
        <v>0.375</v>
      </c>
      <c r="K11" s="4">
        <f t="shared" si="3"/>
        <v>916</v>
      </c>
      <c r="L11" s="7">
        <f t="shared" si="4"/>
        <v>0.2374710202785229</v>
      </c>
      <c r="M11" s="7">
        <f t="shared" si="5"/>
        <v>0.60423181826424155</v>
      </c>
      <c r="N11" s="7"/>
      <c r="O11" s="80"/>
      <c r="P11" s="7"/>
      <c r="Q11" s="2">
        <v>45116</v>
      </c>
      <c r="R11" s="3">
        <v>100</v>
      </c>
      <c r="S11" s="3">
        <f>0.005*R11/360*180</f>
        <v>0.25</v>
      </c>
      <c r="T11" s="3"/>
      <c r="U11" s="3">
        <f t="shared" si="11"/>
        <v>0.25</v>
      </c>
      <c r="W11" s="4">
        <f t="shared" si="7"/>
        <v>736</v>
      </c>
      <c r="X11" s="7" t="e">
        <f t="shared" si="8"/>
        <v>#REF!</v>
      </c>
      <c r="Y11" s="7" t="e">
        <f t="shared" si="9"/>
        <v>#REF!</v>
      </c>
      <c r="AC11" s="2">
        <v>45116</v>
      </c>
      <c r="AD11" s="3">
        <v>100</v>
      </c>
      <c r="AE11" s="3">
        <v>0.25</v>
      </c>
      <c r="AF11" s="3"/>
      <c r="AG11" s="3">
        <v>0.25</v>
      </c>
      <c r="AI11" s="4">
        <f t="shared" ref="AI11:AI25" si="15">DAYS360($AC$10,AC11)</f>
        <v>736</v>
      </c>
      <c r="AJ11" s="7">
        <f>AG11/(1+$AF$27)^(AI11/360)</f>
        <v>0.19829716061505889</v>
      </c>
      <c r="AK11" s="7">
        <f t="shared" ref="AK11" si="16">AJ11*(AI11/360)</f>
        <v>0.40540752836856481</v>
      </c>
      <c r="AO11" s="2">
        <f t="shared" si="12"/>
        <v>45300</v>
      </c>
      <c r="AP11" s="3">
        <f t="shared" si="13"/>
        <v>100</v>
      </c>
      <c r="AQ11" s="3">
        <f t="shared" si="14"/>
        <v>0.375</v>
      </c>
      <c r="AR11" s="3"/>
      <c r="AS11" s="3">
        <f t="shared" si="10"/>
        <v>0.375</v>
      </c>
      <c r="AU11" s="56">
        <v>0.09</v>
      </c>
      <c r="AV11" s="8">
        <f t="shared" si="1"/>
        <v>62.996689613347918</v>
      </c>
    </row>
    <row r="12" spans="2:49" x14ac:dyDescent="0.2">
      <c r="E12" s="2">
        <v>45482</v>
      </c>
      <c r="F12" s="3">
        <v>100</v>
      </c>
      <c r="G12" s="3">
        <f t="shared" ref="G12:G18" si="17">0.0075*(180/360)*F12</f>
        <v>0.375</v>
      </c>
      <c r="H12" s="3">
        <v>4</v>
      </c>
      <c r="I12" s="3">
        <f t="shared" si="2"/>
        <v>4.375</v>
      </c>
      <c r="K12" s="4">
        <f t="shared" si="3"/>
        <v>1096</v>
      </c>
      <c r="L12" s="7">
        <f t="shared" si="4"/>
        <v>2.5325991131551269</v>
      </c>
      <c r="M12" s="7">
        <f t="shared" si="5"/>
        <v>7.7103573000500525</v>
      </c>
      <c r="N12" s="7"/>
      <c r="O12" s="80"/>
      <c r="P12" s="7"/>
      <c r="Q12" s="2">
        <v>45300</v>
      </c>
      <c r="R12" s="3">
        <v>100</v>
      </c>
      <c r="S12" s="3">
        <f t="shared" ref="S12:S19" si="18">0.0075*(180/360)*R12</f>
        <v>0.375</v>
      </c>
      <c r="T12" s="3"/>
      <c r="U12" s="3">
        <f t="shared" si="11"/>
        <v>0.375</v>
      </c>
      <c r="W12" s="4">
        <f t="shared" si="7"/>
        <v>916</v>
      </c>
      <c r="X12" s="7" t="e">
        <f t="shared" si="8"/>
        <v>#REF!</v>
      </c>
      <c r="Y12" s="7" t="e">
        <f t="shared" si="9"/>
        <v>#REF!</v>
      </c>
      <c r="AC12" s="2">
        <v>45300</v>
      </c>
      <c r="AD12" s="3">
        <v>100</v>
      </c>
      <c r="AE12" s="3">
        <f>0.0075*(180/360)*AD12</f>
        <v>0.375</v>
      </c>
      <c r="AF12" s="3"/>
      <c r="AG12" s="3">
        <f t="shared" ref="AG12:AG25" si="19">SUM(AE12:AF12)</f>
        <v>0.375</v>
      </c>
      <c r="AI12" s="4">
        <f t="shared" si="15"/>
        <v>916</v>
      </c>
      <c r="AJ12" s="7">
        <f>AG12/(1+$AF$27)^(AI12/360)</f>
        <v>0.28105980679161308</v>
      </c>
      <c r="AK12" s="7">
        <f t="shared" ref="AK12:AK25" si="20">AJ12*(AI12/360)</f>
        <v>0.71514106394754873</v>
      </c>
      <c r="AO12" s="2">
        <f t="shared" si="12"/>
        <v>45482</v>
      </c>
      <c r="AP12" s="3">
        <f t="shared" si="13"/>
        <v>100</v>
      </c>
      <c r="AQ12" s="3">
        <f t="shared" si="14"/>
        <v>0.375</v>
      </c>
      <c r="AR12" s="3">
        <f t="shared" ref="AR12:AR24" si="21">+H12</f>
        <v>4</v>
      </c>
      <c r="AS12" s="3">
        <f t="shared" si="10"/>
        <v>4.375</v>
      </c>
      <c r="AU12" s="56">
        <v>9.5000000000000001E-2</v>
      </c>
      <c r="AV12" s="8">
        <f t="shared" si="1"/>
        <v>61.354760454824145</v>
      </c>
    </row>
    <row r="13" spans="2:49" x14ac:dyDescent="0.2">
      <c r="E13" s="2">
        <v>45666</v>
      </c>
      <c r="F13" s="3">
        <f t="shared" ref="F13:F24" si="22">F12-H12</f>
        <v>96</v>
      </c>
      <c r="G13" s="3">
        <f t="shared" si="17"/>
        <v>0.36</v>
      </c>
      <c r="H13" s="3">
        <v>8</v>
      </c>
      <c r="I13" s="3">
        <f t="shared" si="2"/>
        <v>8.36</v>
      </c>
      <c r="K13" s="4">
        <f t="shared" si="3"/>
        <v>1276</v>
      </c>
      <c r="L13" s="7">
        <f t="shared" si="4"/>
        <v>4.4238838219911596</v>
      </c>
      <c r="M13" s="7">
        <f t="shared" si="5"/>
        <v>15.68021043572422</v>
      </c>
      <c r="N13" s="7"/>
      <c r="O13" s="80"/>
      <c r="P13" s="7"/>
      <c r="Q13" s="2">
        <v>45482</v>
      </c>
      <c r="R13" s="3">
        <v>100</v>
      </c>
      <c r="S13" s="3">
        <f t="shared" si="18"/>
        <v>0.375</v>
      </c>
      <c r="T13" s="3">
        <v>4</v>
      </c>
      <c r="U13" s="3">
        <f t="shared" si="11"/>
        <v>4.375</v>
      </c>
      <c r="W13" s="4">
        <f t="shared" si="7"/>
        <v>1096</v>
      </c>
      <c r="X13" s="7" t="e">
        <f t="shared" si="8"/>
        <v>#REF!</v>
      </c>
      <c r="Y13" s="7" t="e">
        <f t="shared" si="9"/>
        <v>#REF!</v>
      </c>
      <c r="AC13" s="2">
        <v>45482</v>
      </c>
      <c r="AD13" s="3">
        <v>100</v>
      </c>
      <c r="AE13" s="3">
        <f t="shared" ref="AE13:AE19" si="23">0.0075*(180/360)*AD13</f>
        <v>0.375</v>
      </c>
      <c r="AF13" s="3">
        <v>4</v>
      </c>
      <c r="AG13" s="3">
        <f t="shared" si="19"/>
        <v>4.375</v>
      </c>
      <c r="AI13" s="4">
        <f t="shared" si="15"/>
        <v>1096</v>
      </c>
      <c r="AJ13" s="7">
        <f t="shared" ref="AJ13:AJ25" si="24">AG13/(1+$AF$27)^(AI13/360)</f>
        <v>3.0983931346102946</v>
      </c>
      <c r="AK13" s="7">
        <f t="shared" si="20"/>
        <v>9.432885765369118</v>
      </c>
      <c r="AO13" s="2">
        <f t="shared" si="12"/>
        <v>45666</v>
      </c>
      <c r="AP13" s="3">
        <f t="shared" si="13"/>
        <v>96</v>
      </c>
      <c r="AQ13" s="3">
        <f t="shared" si="14"/>
        <v>0.36</v>
      </c>
      <c r="AR13" s="3">
        <f t="shared" si="21"/>
        <v>8</v>
      </c>
      <c r="AS13" s="3">
        <f t="shared" si="10"/>
        <v>8.36</v>
      </c>
      <c r="AU13" s="56">
        <v>0.1</v>
      </c>
      <c r="AV13" s="8">
        <f t="shared" si="1"/>
        <v>59.767253851685481</v>
      </c>
    </row>
    <row r="14" spans="2:49" x14ac:dyDescent="0.2">
      <c r="E14" s="2">
        <v>45847</v>
      </c>
      <c r="F14" s="3">
        <f t="shared" si="22"/>
        <v>88</v>
      </c>
      <c r="G14" s="3">
        <f t="shared" si="17"/>
        <v>0.32999999999999996</v>
      </c>
      <c r="H14" s="3">
        <f>+H13</f>
        <v>8</v>
      </c>
      <c r="I14" s="3">
        <f t="shared" si="2"/>
        <v>8.33</v>
      </c>
      <c r="K14" s="4">
        <f t="shared" si="3"/>
        <v>1456</v>
      </c>
      <c r="L14" s="7">
        <f t="shared" si="4"/>
        <v>4.0295029665056425</v>
      </c>
      <c r="M14" s="7">
        <f t="shared" si="5"/>
        <v>16.297100886756155</v>
      </c>
      <c r="N14" s="7"/>
      <c r="O14" s="80"/>
      <c r="P14" s="7"/>
      <c r="Q14" s="2">
        <v>45666</v>
      </c>
      <c r="R14" s="3">
        <f t="shared" ref="R14:R25" si="25">R13-T13</f>
        <v>96</v>
      </c>
      <c r="S14" s="3">
        <f t="shared" si="18"/>
        <v>0.36</v>
      </c>
      <c r="T14" s="3">
        <v>8</v>
      </c>
      <c r="U14" s="3">
        <f t="shared" si="11"/>
        <v>8.36</v>
      </c>
      <c r="W14" s="4">
        <f t="shared" si="7"/>
        <v>1276</v>
      </c>
      <c r="X14" s="7" t="e">
        <f t="shared" si="8"/>
        <v>#REF!</v>
      </c>
      <c r="Y14" s="7" t="e">
        <f t="shared" si="9"/>
        <v>#REF!</v>
      </c>
      <c r="AC14" s="2">
        <v>45666</v>
      </c>
      <c r="AD14" s="3">
        <f t="shared" ref="AD14:AD25" si="26">AD13-AF13</f>
        <v>96</v>
      </c>
      <c r="AE14" s="3">
        <f t="shared" si="23"/>
        <v>0.36</v>
      </c>
      <c r="AF14" s="3">
        <v>8</v>
      </c>
      <c r="AG14" s="3">
        <f t="shared" si="19"/>
        <v>8.36</v>
      </c>
      <c r="AI14" s="4">
        <f t="shared" si="15"/>
        <v>1276</v>
      </c>
      <c r="AJ14" s="7">
        <f t="shared" si="24"/>
        <v>5.5944285351854397</v>
      </c>
      <c r="AK14" s="7">
        <f t="shared" si="20"/>
        <v>19.829141141379502</v>
      </c>
      <c r="AO14" s="2">
        <f t="shared" si="12"/>
        <v>45847</v>
      </c>
      <c r="AP14" s="3">
        <f t="shared" si="13"/>
        <v>88</v>
      </c>
      <c r="AQ14" s="3">
        <f t="shared" si="14"/>
        <v>0.32999999999999996</v>
      </c>
      <c r="AR14" s="3">
        <f t="shared" si="21"/>
        <v>8</v>
      </c>
      <c r="AS14" s="3">
        <f t="shared" si="10"/>
        <v>8.33</v>
      </c>
      <c r="AU14" s="56">
        <v>0.105</v>
      </c>
      <c r="AV14" s="8">
        <f t="shared" si="1"/>
        <v>58.232029062015776</v>
      </c>
    </row>
    <row r="15" spans="2:49" x14ac:dyDescent="0.2">
      <c r="E15" s="2">
        <v>46031</v>
      </c>
      <c r="F15" s="3">
        <f t="shared" si="22"/>
        <v>80</v>
      </c>
      <c r="G15" s="3">
        <f t="shared" si="17"/>
        <v>0.3</v>
      </c>
      <c r="H15" s="3">
        <f t="shared" ref="H15:H24" si="27">+H14</f>
        <v>8</v>
      </c>
      <c r="I15" s="3">
        <f t="shared" si="2"/>
        <v>8.3000000000000007</v>
      </c>
      <c r="K15" s="4">
        <f t="shared" si="3"/>
        <v>1636</v>
      </c>
      <c r="L15" s="7">
        <f t="shared" si="4"/>
        <v>3.6702328116691603</v>
      </c>
      <c r="M15" s="7">
        <f t="shared" si="5"/>
        <v>16.679169110807628</v>
      </c>
      <c r="N15" s="7"/>
      <c r="O15" s="80"/>
      <c r="P15" s="7"/>
      <c r="Q15" s="2">
        <v>45847</v>
      </c>
      <c r="R15" s="3">
        <f t="shared" si="25"/>
        <v>88</v>
      </c>
      <c r="S15" s="3">
        <f t="shared" si="18"/>
        <v>0.32999999999999996</v>
      </c>
      <c r="T15" s="3">
        <f t="shared" ref="T15:T25" si="28">+T14</f>
        <v>8</v>
      </c>
      <c r="U15" s="3">
        <f t="shared" si="11"/>
        <v>8.33</v>
      </c>
      <c r="W15" s="4">
        <f t="shared" si="7"/>
        <v>1456</v>
      </c>
      <c r="X15" s="7" t="e">
        <f t="shared" si="8"/>
        <v>#REF!</v>
      </c>
      <c r="Y15" s="7" t="e">
        <f t="shared" si="9"/>
        <v>#REF!</v>
      </c>
      <c r="AC15" s="2">
        <v>45847</v>
      </c>
      <c r="AD15" s="3">
        <f t="shared" si="26"/>
        <v>88</v>
      </c>
      <c r="AE15" s="3">
        <f t="shared" si="23"/>
        <v>0.32999999999999996</v>
      </c>
      <c r="AF15" s="3">
        <f>+AF14</f>
        <v>8</v>
      </c>
      <c r="AG15" s="3">
        <f t="shared" si="19"/>
        <v>8.33</v>
      </c>
      <c r="AI15" s="4">
        <f t="shared" si="15"/>
        <v>1456</v>
      </c>
      <c r="AJ15" s="7">
        <f t="shared" si="24"/>
        <v>5.2672683288375008</v>
      </c>
      <c r="AK15" s="7">
        <f t="shared" si="20"/>
        <v>21.303174129965001</v>
      </c>
      <c r="AO15" s="2">
        <f t="shared" si="12"/>
        <v>46031</v>
      </c>
      <c r="AP15" s="3">
        <f t="shared" si="13"/>
        <v>80</v>
      </c>
      <c r="AQ15" s="3">
        <f t="shared" si="14"/>
        <v>0.3</v>
      </c>
      <c r="AR15" s="3">
        <f t="shared" si="21"/>
        <v>8</v>
      </c>
      <c r="AS15" s="3">
        <f t="shared" si="10"/>
        <v>8.3000000000000007</v>
      </c>
      <c r="AU15" s="56">
        <v>0.11</v>
      </c>
      <c r="AV15" s="8">
        <f t="shared" si="1"/>
        <v>56.747041650333166</v>
      </c>
    </row>
    <row r="16" spans="2:49" x14ac:dyDescent="0.2">
      <c r="E16" s="2">
        <v>46212</v>
      </c>
      <c r="F16" s="3">
        <f t="shared" si="22"/>
        <v>72</v>
      </c>
      <c r="G16" s="3">
        <f t="shared" si="17"/>
        <v>0.27</v>
      </c>
      <c r="H16" s="3">
        <f t="shared" si="27"/>
        <v>8</v>
      </c>
      <c r="I16" s="3">
        <f t="shared" si="2"/>
        <v>8.27</v>
      </c>
      <c r="K16" s="4">
        <f t="shared" si="3"/>
        <v>1816</v>
      </c>
      <c r="L16" s="7">
        <f t="shared" si="4"/>
        <v>3.3429514805359952</v>
      </c>
      <c r="M16" s="7">
        <f t="shared" si="5"/>
        <v>16.863333024037132</v>
      </c>
      <c r="N16" s="7"/>
      <c r="O16" s="80"/>
      <c r="P16" s="7"/>
      <c r="Q16" s="2">
        <v>46031</v>
      </c>
      <c r="R16" s="3">
        <f t="shared" si="25"/>
        <v>80</v>
      </c>
      <c r="S16" s="3">
        <f t="shared" si="18"/>
        <v>0.3</v>
      </c>
      <c r="T16" s="3">
        <f t="shared" si="28"/>
        <v>8</v>
      </c>
      <c r="U16" s="3">
        <f t="shared" si="11"/>
        <v>8.3000000000000007</v>
      </c>
      <c r="W16" s="4">
        <f t="shared" si="7"/>
        <v>1636</v>
      </c>
      <c r="X16" s="7" t="e">
        <f t="shared" si="8"/>
        <v>#REF!</v>
      </c>
      <c r="Y16" s="7" t="e">
        <f t="shared" si="9"/>
        <v>#REF!</v>
      </c>
      <c r="AC16" s="2">
        <v>46031</v>
      </c>
      <c r="AD16" s="3">
        <f t="shared" si="26"/>
        <v>80</v>
      </c>
      <c r="AE16" s="3">
        <f t="shared" si="23"/>
        <v>0.3</v>
      </c>
      <c r="AF16" s="3">
        <f t="shared" ref="AF16:AF25" si="29">+AF15</f>
        <v>8</v>
      </c>
      <c r="AG16" s="3">
        <f t="shared" si="19"/>
        <v>8.3000000000000007</v>
      </c>
      <c r="AI16" s="4">
        <f t="shared" si="15"/>
        <v>1636</v>
      </c>
      <c r="AJ16" s="7">
        <f t="shared" si="24"/>
        <v>4.9591760126921516</v>
      </c>
      <c r="AK16" s="7">
        <f t="shared" si="20"/>
        <v>22.536699879901001</v>
      </c>
      <c r="AO16" s="2">
        <f t="shared" si="12"/>
        <v>46212</v>
      </c>
      <c r="AP16" s="3">
        <f t="shared" si="13"/>
        <v>72</v>
      </c>
      <c r="AQ16" s="3">
        <f t="shared" si="14"/>
        <v>0.27</v>
      </c>
      <c r="AR16" s="3">
        <f t="shared" si="21"/>
        <v>8</v>
      </c>
      <c r="AS16" s="3">
        <f t="shared" si="10"/>
        <v>8.27</v>
      </c>
      <c r="AU16" s="56">
        <v>0.115</v>
      </c>
      <c r="AV16" s="8">
        <f t="shared" si="1"/>
        <v>55.310338647783382</v>
      </c>
    </row>
    <row r="17" spans="5:48" x14ac:dyDescent="0.2">
      <c r="E17" s="2">
        <v>46396</v>
      </c>
      <c r="F17" s="3">
        <f t="shared" si="22"/>
        <v>64</v>
      </c>
      <c r="G17" s="3">
        <f t="shared" si="17"/>
        <v>0.24</v>
      </c>
      <c r="H17" s="3">
        <f t="shared" si="27"/>
        <v>8</v>
      </c>
      <c r="I17" s="3">
        <f t="shared" si="2"/>
        <v>8.24</v>
      </c>
      <c r="K17" s="4">
        <f t="shared" si="3"/>
        <v>1996</v>
      </c>
      <c r="L17" s="7">
        <f t="shared" si="4"/>
        <v>3.0448143525603406</v>
      </c>
      <c r="M17" s="7">
        <f t="shared" si="5"/>
        <v>16.881804021417889</v>
      </c>
      <c r="N17" s="7"/>
      <c r="O17" s="80"/>
      <c r="P17" s="7"/>
      <c r="Q17" s="2">
        <v>46212</v>
      </c>
      <c r="R17" s="3">
        <f t="shared" si="25"/>
        <v>72</v>
      </c>
      <c r="S17" s="3">
        <f t="shared" si="18"/>
        <v>0.27</v>
      </c>
      <c r="T17" s="3">
        <f t="shared" si="28"/>
        <v>8</v>
      </c>
      <c r="U17" s="3">
        <f t="shared" si="11"/>
        <v>8.27</v>
      </c>
      <c r="W17" s="4">
        <f t="shared" si="7"/>
        <v>1816</v>
      </c>
      <c r="X17" s="7" t="e">
        <f t="shared" si="8"/>
        <v>#REF!</v>
      </c>
      <c r="Y17" s="7" t="e">
        <f t="shared" si="9"/>
        <v>#REF!</v>
      </c>
      <c r="AC17" s="2">
        <v>46212</v>
      </c>
      <c r="AD17" s="3">
        <f t="shared" si="26"/>
        <v>72</v>
      </c>
      <c r="AE17" s="3">
        <f t="shared" si="23"/>
        <v>0.27</v>
      </c>
      <c r="AF17" s="3">
        <f t="shared" si="29"/>
        <v>8</v>
      </c>
      <c r="AG17" s="3">
        <f t="shared" si="19"/>
        <v>8.27</v>
      </c>
      <c r="AI17" s="4">
        <f t="shared" si="15"/>
        <v>1816</v>
      </c>
      <c r="AJ17" s="7">
        <f t="shared" si="24"/>
        <v>4.6690435902381804</v>
      </c>
      <c r="AK17" s="7">
        <f t="shared" si="20"/>
        <v>23.552730999645931</v>
      </c>
      <c r="AO17" s="2">
        <f t="shared" si="12"/>
        <v>46396</v>
      </c>
      <c r="AP17" s="3">
        <f t="shared" si="13"/>
        <v>64</v>
      </c>
      <c r="AQ17" s="3">
        <f t="shared" si="14"/>
        <v>0.24</v>
      </c>
      <c r="AR17" s="3">
        <f t="shared" si="21"/>
        <v>8</v>
      </c>
      <c r="AS17" s="3">
        <f t="shared" si="10"/>
        <v>8.24</v>
      </c>
      <c r="AU17" s="56">
        <v>0.12</v>
      </c>
      <c r="AV17" s="8">
        <f t="shared" si="1"/>
        <v>53.920053979673881</v>
      </c>
    </row>
    <row r="18" spans="5:48" x14ac:dyDescent="0.2">
      <c r="E18" s="2">
        <v>46577</v>
      </c>
      <c r="F18" s="3">
        <f t="shared" si="22"/>
        <v>56</v>
      </c>
      <c r="G18" s="3">
        <f t="shared" si="17"/>
        <v>0.21</v>
      </c>
      <c r="H18" s="3">
        <f t="shared" si="27"/>
        <v>8</v>
      </c>
      <c r="I18" s="3">
        <f t="shared" si="2"/>
        <v>8.2100000000000009</v>
      </c>
      <c r="K18" s="4">
        <f t="shared" si="3"/>
        <v>2176</v>
      </c>
      <c r="L18" s="7">
        <f t="shared" si="4"/>
        <v>2.7732294672734432</v>
      </c>
      <c r="M18" s="7">
        <f t="shared" si="5"/>
        <v>16.762631446630589</v>
      </c>
      <c r="N18" s="7"/>
      <c r="O18" s="80"/>
      <c r="P18" s="7"/>
      <c r="Q18" s="2">
        <v>46396</v>
      </c>
      <c r="R18" s="3">
        <f t="shared" si="25"/>
        <v>64</v>
      </c>
      <c r="S18" s="3">
        <f t="shared" si="18"/>
        <v>0.24</v>
      </c>
      <c r="T18" s="3">
        <f t="shared" si="28"/>
        <v>8</v>
      </c>
      <c r="U18" s="3">
        <f t="shared" si="11"/>
        <v>8.24</v>
      </c>
      <c r="W18" s="4">
        <f t="shared" si="7"/>
        <v>1996</v>
      </c>
      <c r="X18" s="7" t="e">
        <f t="shared" si="8"/>
        <v>#REF!</v>
      </c>
      <c r="Y18" s="7" t="e">
        <f t="shared" si="9"/>
        <v>#REF!</v>
      </c>
      <c r="AC18" s="2">
        <v>46396</v>
      </c>
      <c r="AD18" s="3">
        <f t="shared" si="26"/>
        <v>64</v>
      </c>
      <c r="AE18" s="3">
        <f t="shared" si="23"/>
        <v>0.24</v>
      </c>
      <c r="AF18" s="3">
        <f t="shared" si="29"/>
        <v>8</v>
      </c>
      <c r="AG18" s="3">
        <f t="shared" si="19"/>
        <v>8.24</v>
      </c>
      <c r="AI18" s="4">
        <f t="shared" si="15"/>
        <v>1996</v>
      </c>
      <c r="AJ18" s="7">
        <f t="shared" si="24"/>
        <v>4.3958272745894282</v>
      </c>
      <c r="AK18" s="7">
        <f t="shared" si="20"/>
        <v>24.372420111334719</v>
      </c>
      <c r="AO18" s="2">
        <f t="shared" si="12"/>
        <v>46577</v>
      </c>
      <c r="AP18" s="3">
        <f t="shared" si="13"/>
        <v>56</v>
      </c>
      <c r="AQ18" s="3">
        <f t="shared" si="14"/>
        <v>0.21</v>
      </c>
      <c r="AR18" s="3">
        <f t="shared" si="21"/>
        <v>8</v>
      </c>
      <c r="AS18" s="3">
        <f t="shared" si="10"/>
        <v>8.2100000000000009</v>
      </c>
      <c r="AU18" s="56">
        <v>0.125</v>
      </c>
      <c r="AV18" s="8">
        <f t="shared" si="1"/>
        <v>52.574404144308133</v>
      </c>
    </row>
    <row r="19" spans="5:48" x14ac:dyDescent="0.2">
      <c r="E19" s="2">
        <v>46761</v>
      </c>
      <c r="F19" s="3">
        <f t="shared" si="22"/>
        <v>48</v>
      </c>
      <c r="G19" s="3">
        <f t="shared" ref="G19:G24" si="30">0.0175*(180/360)*F19</f>
        <v>0.42000000000000004</v>
      </c>
      <c r="H19" s="3">
        <f t="shared" si="27"/>
        <v>8</v>
      </c>
      <c r="I19" s="3">
        <f t="shared" si="2"/>
        <v>8.42</v>
      </c>
      <c r="K19" s="4">
        <f t="shared" si="3"/>
        <v>2356</v>
      </c>
      <c r="L19" s="7">
        <f t="shared" si="4"/>
        <v>2.5999427392589007</v>
      </c>
      <c r="M19" s="7">
        <f t="shared" si="5"/>
        <v>17.015180815816585</v>
      </c>
      <c r="N19" s="7"/>
      <c r="O19" s="80"/>
      <c r="P19" s="7"/>
      <c r="Q19" s="2">
        <v>46577</v>
      </c>
      <c r="R19" s="3">
        <f t="shared" si="25"/>
        <v>56</v>
      </c>
      <c r="S19" s="3">
        <f t="shared" si="18"/>
        <v>0.21</v>
      </c>
      <c r="T19" s="3">
        <f t="shared" si="28"/>
        <v>8</v>
      </c>
      <c r="U19" s="3">
        <f t="shared" si="11"/>
        <v>8.2100000000000009</v>
      </c>
      <c r="W19" s="4">
        <f t="shared" si="7"/>
        <v>2176</v>
      </c>
      <c r="X19" s="7" t="e">
        <f t="shared" si="8"/>
        <v>#REF!</v>
      </c>
      <c r="Y19" s="7" t="e">
        <f t="shared" si="9"/>
        <v>#REF!</v>
      </c>
      <c r="AC19" s="2">
        <v>46577</v>
      </c>
      <c r="AD19" s="3">
        <f t="shared" si="26"/>
        <v>56</v>
      </c>
      <c r="AE19" s="3">
        <f t="shared" si="23"/>
        <v>0.21</v>
      </c>
      <c r="AF19" s="3">
        <f t="shared" si="29"/>
        <v>8</v>
      </c>
      <c r="AG19" s="3">
        <f t="shared" si="19"/>
        <v>8.2100000000000009</v>
      </c>
      <c r="AI19" s="4">
        <f t="shared" si="15"/>
        <v>2176</v>
      </c>
      <c r="AJ19" s="7">
        <f t="shared" si="24"/>
        <v>4.1385437765433863</v>
      </c>
      <c r="AK19" s="7">
        <f t="shared" si="20"/>
        <v>25.015197938217803</v>
      </c>
      <c r="AO19" s="2">
        <f t="shared" si="12"/>
        <v>46761</v>
      </c>
      <c r="AP19" s="3">
        <f t="shared" si="13"/>
        <v>48</v>
      </c>
      <c r="AQ19" s="3">
        <f t="shared" si="14"/>
        <v>0.42000000000000004</v>
      </c>
      <c r="AR19" s="3">
        <f t="shared" si="21"/>
        <v>8</v>
      </c>
      <c r="AS19" s="3">
        <f t="shared" si="10"/>
        <v>8.42</v>
      </c>
      <c r="AU19" s="56">
        <v>0.13</v>
      </c>
      <c r="AV19" s="8">
        <f t="shared" si="1"/>
        <v>51.271684128111694</v>
      </c>
    </row>
    <row r="20" spans="5:48" x14ac:dyDescent="0.2">
      <c r="E20" s="2">
        <v>46943</v>
      </c>
      <c r="F20" s="3">
        <f t="shared" si="22"/>
        <v>40</v>
      </c>
      <c r="G20" s="3">
        <f t="shared" si="30"/>
        <v>0.35000000000000003</v>
      </c>
      <c r="H20" s="3">
        <f t="shared" si="27"/>
        <v>8</v>
      </c>
      <c r="I20" s="3">
        <f t="shared" si="2"/>
        <v>8.35</v>
      </c>
      <c r="K20" s="4">
        <f t="shared" si="3"/>
        <v>2536</v>
      </c>
      <c r="L20" s="7">
        <f t="shared" si="4"/>
        <v>2.3569328522683848</v>
      </c>
      <c r="M20" s="7">
        <f t="shared" si="5"/>
        <v>16.603282537090621</v>
      </c>
      <c r="N20" s="7"/>
      <c r="O20" s="80"/>
      <c r="P20" s="7"/>
      <c r="Q20" s="2">
        <v>46761</v>
      </c>
      <c r="R20" s="3">
        <f t="shared" si="25"/>
        <v>48</v>
      </c>
      <c r="S20" s="3">
        <f t="shared" ref="S20:S25" si="31">0.0175*(180/360)*R20</f>
        <v>0.42000000000000004</v>
      </c>
      <c r="T20" s="3">
        <f t="shared" si="28"/>
        <v>8</v>
      </c>
      <c r="U20" s="3">
        <f t="shared" si="11"/>
        <v>8.42</v>
      </c>
      <c r="W20" s="4">
        <f t="shared" si="7"/>
        <v>2356</v>
      </c>
      <c r="X20" s="7" t="e">
        <f t="shared" si="8"/>
        <v>#REF!</v>
      </c>
      <c r="Y20" s="7" t="e">
        <f t="shared" si="9"/>
        <v>#REF!</v>
      </c>
      <c r="AC20" s="2">
        <v>46761</v>
      </c>
      <c r="AD20" s="3">
        <f t="shared" si="26"/>
        <v>48</v>
      </c>
      <c r="AE20" s="3">
        <f t="shared" ref="AE20:AE25" si="32">0.0175*(180/360)*AD20</f>
        <v>0.42000000000000004</v>
      </c>
      <c r="AF20" s="3">
        <f t="shared" si="29"/>
        <v>8</v>
      </c>
      <c r="AG20" s="3">
        <f t="shared" si="19"/>
        <v>8.42</v>
      </c>
      <c r="AI20" s="4">
        <f t="shared" si="15"/>
        <v>2356</v>
      </c>
      <c r="AJ20" s="7">
        <f t="shared" si="24"/>
        <v>4.0105827032813561</v>
      </c>
      <c r="AK20" s="7">
        <f t="shared" si="20"/>
        <v>26.247035691474654</v>
      </c>
      <c r="AO20" s="2">
        <f t="shared" si="12"/>
        <v>46943</v>
      </c>
      <c r="AP20" s="3">
        <f t="shared" si="13"/>
        <v>40</v>
      </c>
      <c r="AQ20" s="3">
        <f t="shared" si="14"/>
        <v>0.35000000000000003</v>
      </c>
      <c r="AR20" s="3">
        <f t="shared" si="21"/>
        <v>8</v>
      </c>
      <c r="AS20" s="3">
        <f t="shared" si="10"/>
        <v>8.35</v>
      </c>
      <c r="AU20" s="56">
        <v>0.13500000000000001</v>
      </c>
      <c r="AV20" s="8">
        <f t="shared" si="1"/>
        <v>50.01026354301073</v>
      </c>
    </row>
    <row r="21" spans="5:48" x14ac:dyDescent="0.2">
      <c r="E21" s="2">
        <v>47127</v>
      </c>
      <c r="F21" s="3">
        <f t="shared" si="22"/>
        <v>32</v>
      </c>
      <c r="G21" s="3">
        <f t="shared" si="30"/>
        <v>0.28000000000000003</v>
      </c>
      <c r="H21" s="3">
        <f t="shared" si="27"/>
        <v>8</v>
      </c>
      <c r="I21" s="3">
        <f t="shared" si="2"/>
        <v>8.2799999999999994</v>
      </c>
      <c r="K21" s="4">
        <f t="shared" si="3"/>
        <v>2716</v>
      </c>
      <c r="L21" s="7">
        <f t="shared" si="4"/>
        <v>2.1364863076667984</v>
      </c>
      <c r="M21" s="7">
        <f t="shared" si="5"/>
        <v>16.118602254508399</v>
      </c>
      <c r="N21" s="7"/>
      <c r="O21" s="80"/>
      <c r="P21" s="7"/>
      <c r="Q21" s="2">
        <v>46943</v>
      </c>
      <c r="R21" s="3">
        <f t="shared" si="25"/>
        <v>40</v>
      </c>
      <c r="S21" s="3">
        <f t="shared" si="31"/>
        <v>0.35000000000000003</v>
      </c>
      <c r="T21" s="3">
        <f t="shared" si="28"/>
        <v>8</v>
      </c>
      <c r="U21" s="3">
        <f t="shared" si="11"/>
        <v>8.35</v>
      </c>
      <c r="W21" s="4">
        <f t="shared" si="7"/>
        <v>2536</v>
      </c>
      <c r="X21" s="7" t="e">
        <f t="shared" si="8"/>
        <v>#REF!</v>
      </c>
      <c r="Y21" s="7" t="e">
        <f t="shared" si="9"/>
        <v>#REF!</v>
      </c>
      <c r="AC21" s="2">
        <v>46943</v>
      </c>
      <c r="AD21" s="3">
        <f t="shared" si="26"/>
        <v>40</v>
      </c>
      <c r="AE21" s="3">
        <f t="shared" si="32"/>
        <v>0.35000000000000003</v>
      </c>
      <c r="AF21" s="3">
        <f t="shared" si="29"/>
        <v>8</v>
      </c>
      <c r="AG21" s="3">
        <f t="shared" si="19"/>
        <v>8.35</v>
      </c>
      <c r="AI21" s="4">
        <f t="shared" si="15"/>
        <v>2536</v>
      </c>
      <c r="AJ21" s="7">
        <f t="shared" si="24"/>
        <v>3.7581390871473448</v>
      </c>
      <c r="AK21" s="7">
        <f t="shared" si="20"/>
        <v>26.474002013904627</v>
      </c>
      <c r="AO21" s="2">
        <f t="shared" si="12"/>
        <v>47127</v>
      </c>
      <c r="AP21" s="3">
        <f t="shared" si="13"/>
        <v>32</v>
      </c>
      <c r="AQ21" s="3">
        <f t="shared" si="14"/>
        <v>0.28000000000000003</v>
      </c>
      <c r="AR21" s="3">
        <f t="shared" si="21"/>
        <v>8</v>
      </c>
      <c r="AS21" s="3">
        <f t="shared" si="10"/>
        <v>8.2799999999999994</v>
      </c>
      <c r="AU21" s="56">
        <v>0.14000000000000001</v>
      </c>
      <c r="AV21" s="8">
        <f t="shared" si="1"/>
        <v>48.788582972919038</v>
      </c>
    </row>
    <row r="22" spans="5:48" x14ac:dyDescent="0.2">
      <c r="E22" s="2">
        <v>47308</v>
      </c>
      <c r="F22" s="3">
        <f t="shared" si="22"/>
        <v>24</v>
      </c>
      <c r="G22" s="3">
        <f t="shared" si="30"/>
        <v>0.21000000000000002</v>
      </c>
      <c r="H22" s="3">
        <f t="shared" si="27"/>
        <v>8</v>
      </c>
      <c r="I22" s="3">
        <f t="shared" si="2"/>
        <v>8.2100000000000009</v>
      </c>
      <c r="K22" s="4">
        <f t="shared" si="3"/>
        <v>2896</v>
      </c>
      <c r="L22" s="7">
        <f t="shared" si="4"/>
        <v>1.9365199562802653</v>
      </c>
      <c r="M22" s="7">
        <f t="shared" si="5"/>
        <v>15.578227203854578</v>
      </c>
      <c r="N22" s="7"/>
      <c r="O22" s="80"/>
      <c r="P22" s="7"/>
      <c r="Q22" s="2">
        <v>47127</v>
      </c>
      <c r="R22" s="3">
        <f t="shared" si="25"/>
        <v>32</v>
      </c>
      <c r="S22" s="3">
        <f t="shared" si="31"/>
        <v>0.28000000000000003</v>
      </c>
      <c r="T22" s="3">
        <f t="shared" si="28"/>
        <v>8</v>
      </c>
      <c r="U22" s="3">
        <f t="shared" si="11"/>
        <v>8.2799999999999994</v>
      </c>
      <c r="W22" s="4">
        <f t="shared" si="7"/>
        <v>2716</v>
      </c>
      <c r="X22" s="7" t="e">
        <f t="shared" si="8"/>
        <v>#REF!</v>
      </c>
      <c r="Y22" s="7" t="e">
        <f t="shared" si="9"/>
        <v>#REF!</v>
      </c>
      <c r="AC22" s="2">
        <v>47127</v>
      </c>
      <c r="AD22" s="3">
        <f t="shared" si="26"/>
        <v>32</v>
      </c>
      <c r="AE22" s="3">
        <f t="shared" si="32"/>
        <v>0.28000000000000003</v>
      </c>
      <c r="AF22" s="3">
        <f t="shared" si="29"/>
        <v>8</v>
      </c>
      <c r="AG22" s="3">
        <f t="shared" si="19"/>
        <v>8.2799999999999994</v>
      </c>
      <c r="AI22" s="4">
        <f t="shared" si="15"/>
        <v>2716</v>
      </c>
      <c r="AJ22" s="7">
        <f t="shared" si="24"/>
        <v>3.5213378842010545</v>
      </c>
      <c r="AK22" s="7">
        <f t="shared" si="20"/>
        <v>26.566538037472398</v>
      </c>
      <c r="AO22" s="2">
        <f t="shared" si="12"/>
        <v>47308</v>
      </c>
      <c r="AP22" s="3">
        <f t="shared" si="13"/>
        <v>24</v>
      </c>
      <c r="AQ22" s="3">
        <f t="shared" si="14"/>
        <v>0.21000000000000002</v>
      </c>
      <c r="AR22" s="3">
        <f t="shared" si="21"/>
        <v>8</v>
      </c>
      <c r="AS22" s="3">
        <f t="shared" si="10"/>
        <v>8.2100000000000009</v>
      </c>
      <c r="AU22" s="56">
        <v>0.14499999999999999</v>
      </c>
      <c r="AV22" s="8">
        <f t="shared" si="1"/>
        <v>47.605150517028626</v>
      </c>
    </row>
    <row r="23" spans="5:48" x14ac:dyDescent="0.2">
      <c r="E23" s="2">
        <v>47492</v>
      </c>
      <c r="F23" s="3">
        <f t="shared" si="22"/>
        <v>16</v>
      </c>
      <c r="G23" s="3">
        <f t="shared" si="30"/>
        <v>0.14000000000000001</v>
      </c>
      <c r="H23" s="3">
        <f t="shared" si="27"/>
        <v>8</v>
      </c>
      <c r="I23" s="3">
        <f t="shared" si="2"/>
        <v>8.14</v>
      </c>
      <c r="K23" s="4">
        <f t="shared" si="3"/>
        <v>3076</v>
      </c>
      <c r="L23" s="7">
        <f t="shared" si="4"/>
        <v>1.7551420339660169</v>
      </c>
      <c r="M23" s="7">
        <f t="shared" si="5"/>
        <v>14.996713601331855</v>
      </c>
      <c r="N23" s="7"/>
      <c r="O23" s="80"/>
      <c r="P23" s="7"/>
      <c r="Q23" s="2">
        <v>47308</v>
      </c>
      <c r="R23" s="3">
        <f t="shared" si="25"/>
        <v>24</v>
      </c>
      <c r="S23" s="3">
        <f t="shared" si="31"/>
        <v>0.21000000000000002</v>
      </c>
      <c r="T23" s="3">
        <f t="shared" si="28"/>
        <v>8</v>
      </c>
      <c r="U23" s="3">
        <f t="shared" si="11"/>
        <v>8.2100000000000009</v>
      </c>
      <c r="W23" s="4">
        <f t="shared" si="7"/>
        <v>2896</v>
      </c>
      <c r="X23" s="7" t="e">
        <f t="shared" si="8"/>
        <v>#REF!</v>
      </c>
      <c r="Y23" s="7" t="e">
        <f t="shared" si="9"/>
        <v>#REF!</v>
      </c>
      <c r="AC23" s="2">
        <v>47308</v>
      </c>
      <c r="AD23" s="3">
        <f t="shared" si="26"/>
        <v>24</v>
      </c>
      <c r="AE23" s="3">
        <f t="shared" si="32"/>
        <v>0.21000000000000002</v>
      </c>
      <c r="AF23" s="3">
        <f t="shared" si="29"/>
        <v>8</v>
      </c>
      <c r="AG23" s="3">
        <f t="shared" si="19"/>
        <v>8.2100000000000009</v>
      </c>
      <c r="AI23" s="4">
        <f t="shared" si="15"/>
        <v>2896</v>
      </c>
      <c r="AJ23" s="7">
        <f t="shared" si="24"/>
        <v>3.2992217606372654</v>
      </c>
      <c r="AK23" s="7">
        <f t="shared" si="20"/>
        <v>26.540406163348667</v>
      </c>
      <c r="AO23" s="2">
        <f t="shared" si="12"/>
        <v>47492</v>
      </c>
      <c r="AP23" s="3">
        <f t="shared" si="13"/>
        <v>16</v>
      </c>
      <c r="AQ23" s="3">
        <f t="shared" si="14"/>
        <v>0.14000000000000001</v>
      </c>
      <c r="AR23" s="3">
        <f t="shared" si="21"/>
        <v>8</v>
      </c>
      <c r="AS23" s="3">
        <f t="shared" si="10"/>
        <v>8.14</v>
      </c>
      <c r="AU23" s="56">
        <v>0.15</v>
      </c>
      <c r="AV23" s="8">
        <f t="shared" si="1"/>
        <v>46.458538518377985</v>
      </c>
    </row>
    <row r="24" spans="5:48" x14ac:dyDescent="0.2">
      <c r="E24" s="2">
        <v>47673</v>
      </c>
      <c r="F24" s="3">
        <f t="shared" si="22"/>
        <v>8</v>
      </c>
      <c r="G24" s="3">
        <f t="shared" si="30"/>
        <v>7.0000000000000007E-2</v>
      </c>
      <c r="H24" s="3">
        <f t="shared" si="27"/>
        <v>8</v>
      </c>
      <c r="I24" s="3">
        <f t="shared" si="2"/>
        <v>8.07</v>
      </c>
      <c r="K24" s="4">
        <f t="shared" si="3"/>
        <v>3256</v>
      </c>
      <c r="L24" s="7">
        <f t="shared" si="4"/>
        <v>1.5906346536313343</v>
      </c>
      <c r="M24" s="7">
        <f t="shared" si="5"/>
        <v>14.386406756176735</v>
      </c>
      <c r="N24" s="7"/>
      <c r="O24" s="80"/>
      <c r="P24" s="7"/>
      <c r="Q24" s="2">
        <v>47492</v>
      </c>
      <c r="R24" s="3">
        <f t="shared" si="25"/>
        <v>16</v>
      </c>
      <c r="S24" s="3">
        <f t="shared" si="31"/>
        <v>0.14000000000000001</v>
      </c>
      <c r="T24" s="3">
        <f t="shared" si="28"/>
        <v>8</v>
      </c>
      <c r="U24" s="3">
        <f t="shared" si="11"/>
        <v>8.14</v>
      </c>
      <c r="W24" s="4">
        <f t="shared" si="7"/>
        <v>3076</v>
      </c>
      <c r="X24" s="7" t="e">
        <f t="shared" si="8"/>
        <v>#REF!</v>
      </c>
      <c r="Y24" s="7" t="e">
        <f t="shared" si="9"/>
        <v>#REF!</v>
      </c>
      <c r="AC24" s="2">
        <v>47492</v>
      </c>
      <c r="AD24" s="3">
        <f t="shared" si="26"/>
        <v>16</v>
      </c>
      <c r="AE24" s="3">
        <f t="shared" si="32"/>
        <v>0.14000000000000001</v>
      </c>
      <c r="AF24" s="3">
        <f t="shared" si="29"/>
        <v>8</v>
      </c>
      <c r="AG24" s="3">
        <f t="shared" si="19"/>
        <v>8.14</v>
      </c>
      <c r="AI24" s="4">
        <f t="shared" si="15"/>
        <v>3076</v>
      </c>
      <c r="AJ24" s="7">
        <f t="shared" si="24"/>
        <v>3.0908913881768232</v>
      </c>
      <c r="AK24" s="7">
        <f t="shared" si="20"/>
        <v>26.409949750088632</v>
      </c>
      <c r="AO24" s="2">
        <f t="shared" si="12"/>
        <v>47673</v>
      </c>
      <c r="AP24" s="3">
        <f t="shared" si="13"/>
        <v>8</v>
      </c>
      <c r="AQ24" s="3">
        <f t="shared" si="14"/>
        <v>7.0000000000000007E-2</v>
      </c>
      <c r="AR24" s="3">
        <f t="shared" si="21"/>
        <v>8</v>
      </c>
      <c r="AS24" s="3">
        <f t="shared" si="10"/>
        <v>8.07</v>
      </c>
      <c r="AU24" s="56">
        <v>0.155</v>
      </c>
      <c r="AV24" s="8">
        <f t="shared" si="1"/>
        <v>45.347380466900532</v>
      </c>
    </row>
    <row r="25" spans="5:48" x14ac:dyDescent="0.2">
      <c r="L25" s="7">
        <f>SUM(L6:L24)</f>
        <v>37.332007920950105</v>
      </c>
      <c r="M25" s="7">
        <f>SUM(M6:M24)</f>
        <v>203.168481742084</v>
      </c>
      <c r="N25" s="7"/>
      <c r="O25" s="80"/>
      <c r="P25" s="7"/>
      <c r="Q25" s="2">
        <v>47673</v>
      </c>
      <c r="R25" s="3">
        <f t="shared" si="25"/>
        <v>8</v>
      </c>
      <c r="S25" s="3">
        <f t="shared" si="31"/>
        <v>7.0000000000000007E-2</v>
      </c>
      <c r="T25" s="3">
        <f t="shared" si="28"/>
        <v>8</v>
      </c>
      <c r="U25" s="3">
        <f t="shared" si="11"/>
        <v>8.07</v>
      </c>
      <c r="W25" s="4">
        <f t="shared" si="7"/>
        <v>3256</v>
      </c>
      <c r="X25" s="7" t="e">
        <f t="shared" si="8"/>
        <v>#REF!</v>
      </c>
      <c r="Y25" s="7" t="e">
        <f t="shared" si="9"/>
        <v>#REF!</v>
      </c>
      <c r="AC25" s="2">
        <v>47673</v>
      </c>
      <c r="AD25" s="3">
        <f t="shared" si="26"/>
        <v>8</v>
      </c>
      <c r="AE25" s="3">
        <f t="shared" si="32"/>
        <v>7.0000000000000007E-2</v>
      </c>
      <c r="AF25" s="3">
        <f t="shared" si="29"/>
        <v>8</v>
      </c>
      <c r="AG25" s="3">
        <f t="shared" si="19"/>
        <v>8.07</v>
      </c>
      <c r="AI25" s="4">
        <f t="shared" si="15"/>
        <v>3256</v>
      </c>
      <c r="AJ25" s="7">
        <f t="shared" si="24"/>
        <v>2.8955019584503576</v>
      </c>
      <c r="AK25" s="7">
        <f t="shared" si="20"/>
        <v>26.188206601984344</v>
      </c>
      <c r="AU25" s="56">
        <v>0.16</v>
      </c>
      <c r="AV25" s="8">
        <f t="shared" si="1"/>
        <v>44.270368066832276</v>
      </c>
    </row>
    <row r="26" spans="5:48" ht="15" x14ac:dyDescent="0.25">
      <c r="H26" s="6" t="s">
        <v>5</v>
      </c>
      <c r="I26" s="5">
        <f>XIRR(I5:I24,E5:E24)</f>
        <v>0.19669069647789003</v>
      </c>
      <c r="N26" s="7"/>
      <c r="O26" s="80"/>
      <c r="P26" s="7"/>
      <c r="X26" s="7" t="e">
        <f>SUM(X6:X25)</f>
        <v>#REF!</v>
      </c>
      <c r="Y26" s="7" t="e">
        <f>SUM(Y6:Y25)</f>
        <v>#REF!</v>
      </c>
      <c r="AJ26" s="7">
        <f>SUM(AJ12:AJ25)</f>
        <v>52.979415241382199</v>
      </c>
      <c r="AK26" s="7">
        <f>SUM(AK6:AK25)</f>
        <v>305.58893681640251</v>
      </c>
      <c r="AQ26" s="3"/>
    </row>
    <row r="27" spans="5:48" ht="15" x14ac:dyDescent="0.25">
      <c r="H27" s="6" t="s">
        <v>8</v>
      </c>
      <c r="I27" s="3">
        <f>M27/(1+(I26/2))</f>
        <v>4.9549134271585</v>
      </c>
      <c r="L27" s="4" t="s">
        <v>7</v>
      </c>
      <c r="M27" s="3">
        <f>M25/L25</f>
        <v>5.4422061136462263</v>
      </c>
      <c r="T27" s="6" t="s">
        <v>5</v>
      </c>
      <c r="U27" s="5" t="e">
        <f>XIRR(U5:U25,Q5:Q25)</f>
        <v>#REF!</v>
      </c>
      <c r="AE27" s="4" t="s">
        <v>5</v>
      </c>
      <c r="AF27" s="5">
        <f>Informe!D29</f>
        <v>0.12</v>
      </c>
    </row>
    <row r="28" spans="5:48" ht="15" x14ac:dyDescent="0.25">
      <c r="N28" s="3"/>
      <c r="O28" s="37"/>
      <c r="P28" s="3"/>
      <c r="T28" s="6" t="s">
        <v>8</v>
      </c>
      <c r="U28" s="3" t="e">
        <f>Y28/(1+(U27/2))</f>
        <v>#REF!</v>
      </c>
      <c r="X28" s="4" t="s">
        <v>7</v>
      </c>
      <c r="Y28" s="3" t="e">
        <f>Y26/X26</f>
        <v>#REF!</v>
      </c>
      <c r="AE28" s="4" t="s">
        <v>8</v>
      </c>
      <c r="AF28" s="3">
        <f>AK28/(1+AF27)</f>
        <v>5.1500618451810354</v>
      </c>
      <c r="AJ28" s="4" t="s">
        <v>7</v>
      </c>
      <c r="AK28" s="4">
        <f>AK26/AJ26</f>
        <v>5.76806926660276</v>
      </c>
    </row>
    <row r="29" spans="5:48" ht="15" x14ac:dyDescent="0.25">
      <c r="AE29" s="91" t="s">
        <v>61</v>
      </c>
      <c r="AF29" s="92">
        <f>XNPV(AF27,AG10:AG25,AC10:AC25)</f>
        <v>53.147845396107876</v>
      </c>
      <c r="AG29" s="5"/>
    </row>
    <row r="32" spans="5:48" ht="15" x14ac:dyDescent="0.25">
      <c r="AO32" s="321" t="s">
        <v>58</v>
      </c>
      <c r="AP32" s="321"/>
      <c r="AQ32" s="321"/>
      <c r="AR32" s="321"/>
      <c r="AS32" s="321"/>
    </row>
    <row r="33" spans="5:45" x14ac:dyDescent="0.2">
      <c r="G33" s="3"/>
    </row>
    <row r="34" spans="5:45" ht="15" x14ac:dyDescent="0.25">
      <c r="G34" s="5"/>
      <c r="AO34" s="53" t="s">
        <v>0</v>
      </c>
      <c r="AP34" s="53" t="s">
        <v>1</v>
      </c>
      <c r="AQ34" s="53" t="s">
        <v>2</v>
      </c>
      <c r="AR34" s="53" t="s">
        <v>3</v>
      </c>
      <c r="AS34" s="53" t="s">
        <v>4</v>
      </c>
    </row>
    <row r="35" spans="5:45" x14ac:dyDescent="0.2">
      <c r="AO35" s="2"/>
      <c r="AP35" s="3"/>
      <c r="AQ35" s="3"/>
      <c r="AR35" s="3"/>
      <c r="AS35" s="3"/>
    </row>
    <row r="36" spans="5:45" x14ac:dyDescent="0.2">
      <c r="E36" s="2"/>
      <c r="F36" s="3"/>
      <c r="G36" s="3"/>
      <c r="H36" s="3"/>
      <c r="I36" s="3"/>
      <c r="AO36" s="2"/>
      <c r="AP36" s="3"/>
      <c r="AQ36" s="3"/>
      <c r="AR36" s="3"/>
      <c r="AS36" s="3"/>
    </row>
    <row r="37" spans="5:45" x14ac:dyDescent="0.2">
      <c r="E37" s="2"/>
      <c r="F37" s="3"/>
      <c r="G37" s="3"/>
      <c r="H37" s="3"/>
      <c r="I37" s="3"/>
      <c r="AO37" s="2">
        <v>44530</v>
      </c>
      <c r="AP37" s="3">
        <v>100</v>
      </c>
      <c r="AQ37" s="3">
        <v>6.5625000000000003E-2</v>
      </c>
      <c r="AR37" s="3">
        <v>0</v>
      </c>
      <c r="AS37" s="3">
        <v>-44.2</v>
      </c>
    </row>
    <row r="38" spans="5:45" x14ac:dyDescent="0.2">
      <c r="E38" s="2"/>
      <c r="F38" s="3"/>
      <c r="G38" s="3"/>
      <c r="H38" s="3"/>
      <c r="I38" s="3"/>
      <c r="AO38" s="2">
        <v>44570</v>
      </c>
      <c r="AP38" s="3">
        <v>100</v>
      </c>
      <c r="AQ38" s="3">
        <v>0.25</v>
      </c>
      <c r="AR38" s="3">
        <v>0</v>
      </c>
      <c r="AS38" s="3">
        <v>0.25</v>
      </c>
    </row>
    <row r="39" spans="5:45" x14ac:dyDescent="0.2">
      <c r="E39" s="2"/>
      <c r="F39" s="3"/>
      <c r="G39" s="3"/>
      <c r="H39" s="3"/>
      <c r="I39" s="3"/>
      <c r="AO39" s="2">
        <v>44751</v>
      </c>
      <c r="AP39" s="3">
        <v>100</v>
      </c>
      <c r="AQ39" s="3">
        <v>0.25</v>
      </c>
      <c r="AR39" s="3">
        <v>0</v>
      </c>
      <c r="AS39" s="3">
        <v>0.25</v>
      </c>
    </row>
    <row r="40" spans="5:45" x14ac:dyDescent="0.2">
      <c r="E40" s="2"/>
      <c r="F40" s="3"/>
      <c r="G40" s="3"/>
      <c r="H40" s="3"/>
      <c r="I40" s="3"/>
      <c r="AO40" s="2">
        <v>44935</v>
      </c>
      <c r="AP40" s="3">
        <v>100</v>
      </c>
      <c r="AQ40" s="3">
        <v>0.25</v>
      </c>
      <c r="AR40" s="3">
        <v>0</v>
      </c>
      <c r="AS40" s="3">
        <v>0.25</v>
      </c>
    </row>
    <row r="41" spans="5:45" x14ac:dyDescent="0.2">
      <c r="E41" s="2"/>
      <c r="F41" s="3"/>
      <c r="G41" s="3"/>
      <c r="H41" s="3"/>
      <c r="I41" s="3"/>
      <c r="AO41" s="2">
        <v>45116</v>
      </c>
      <c r="AP41" s="3">
        <v>100</v>
      </c>
      <c r="AQ41" s="3">
        <v>0.25</v>
      </c>
      <c r="AR41" s="3">
        <v>0</v>
      </c>
      <c r="AS41" s="3">
        <v>0.25</v>
      </c>
    </row>
    <row r="42" spans="5:45" x14ac:dyDescent="0.2">
      <c r="E42" s="2"/>
      <c r="F42" s="3"/>
      <c r="G42" s="3"/>
      <c r="H42" s="3"/>
      <c r="I42" s="3"/>
      <c r="AO42" s="2">
        <v>45300</v>
      </c>
      <c r="AP42" s="3">
        <v>100</v>
      </c>
      <c r="AQ42" s="3">
        <v>0.375</v>
      </c>
      <c r="AR42" s="3">
        <v>0</v>
      </c>
      <c r="AS42" s="3">
        <v>0.375</v>
      </c>
    </row>
    <row r="43" spans="5:45" x14ac:dyDescent="0.2">
      <c r="E43" s="2"/>
      <c r="F43" s="3"/>
      <c r="G43" s="3"/>
      <c r="H43" s="3"/>
      <c r="I43" s="3"/>
      <c r="AO43" s="2">
        <v>45482</v>
      </c>
      <c r="AP43" s="3">
        <v>100</v>
      </c>
      <c r="AQ43" s="3">
        <v>0.375</v>
      </c>
      <c r="AR43" s="3">
        <v>4</v>
      </c>
      <c r="AS43" s="3">
        <v>4.375</v>
      </c>
    </row>
    <row r="44" spans="5:45" x14ac:dyDescent="0.2">
      <c r="E44" s="2"/>
      <c r="F44" s="3"/>
      <c r="G44" s="3"/>
      <c r="H44" s="3"/>
      <c r="I44" s="3"/>
      <c r="AO44" s="2">
        <v>45666</v>
      </c>
      <c r="AP44" s="3">
        <v>96</v>
      </c>
      <c r="AQ44" s="3">
        <v>0.36</v>
      </c>
      <c r="AR44" s="3">
        <v>8</v>
      </c>
      <c r="AS44" s="3">
        <v>8.36</v>
      </c>
    </row>
    <row r="45" spans="5:45" x14ac:dyDescent="0.2">
      <c r="E45" s="2"/>
      <c r="F45" s="3"/>
      <c r="G45" s="3"/>
      <c r="H45" s="3"/>
      <c r="I45" s="3"/>
      <c r="AO45" s="2">
        <v>45847</v>
      </c>
      <c r="AP45" s="3">
        <v>88</v>
      </c>
      <c r="AQ45" s="3">
        <v>0.32999999999999996</v>
      </c>
      <c r="AR45" s="3">
        <v>8</v>
      </c>
      <c r="AS45" s="3">
        <v>8.33</v>
      </c>
    </row>
    <row r="46" spans="5:45" x14ac:dyDescent="0.2">
      <c r="E46" s="2"/>
      <c r="F46" s="3"/>
      <c r="G46" s="3"/>
      <c r="H46" s="3"/>
      <c r="I46" s="3"/>
      <c r="AO46" s="2">
        <v>46031</v>
      </c>
      <c r="AP46" s="3">
        <v>80</v>
      </c>
      <c r="AQ46" s="3">
        <v>0.3</v>
      </c>
      <c r="AR46" s="3">
        <v>8</v>
      </c>
      <c r="AS46" s="3">
        <v>8.3000000000000007</v>
      </c>
    </row>
    <row r="47" spans="5:45" x14ac:dyDescent="0.2">
      <c r="E47" s="2"/>
      <c r="F47" s="3"/>
      <c r="G47" s="3"/>
      <c r="H47" s="3"/>
      <c r="I47" s="3"/>
      <c r="AO47" s="2">
        <v>46212</v>
      </c>
      <c r="AP47" s="3">
        <v>72</v>
      </c>
      <c r="AQ47" s="3">
        <v>0.27</v>
      </c>
      <c r="AR47" s="3">
        <v>8</v>
      </c>
      <c r="AS47" s="3">
        <v>8.27</v>
      </c>
    </row>
    <row r="48" spans="5:45" x14ac:dyDescent="0.2">
      <c r="E48" s="2"/>
      <c r="F48" s="3"/>
      <c r="G48" s="3"/>
      <c r="H48" s="3"/>
      <c r="I48" s="3"/>
      <c r="AO48" s="2">
        <v>46396</v>
      </c>
      <c r="AP48" s="3">
        <v>64</v>
      </c>
      <c r="AQ48" s="3">
        <v>0.24</v>
      </c>
      <c r="AR48" s="3">
        <v>8</v>
      </c>
      <c r="AS48" s="3">
        <v>8.24</v>
      </c>
    </row>
    <row r="49" spans="5:45" x14ac:dyDescent="0.2">
      <c r="E49" s="2"/>
      <c r="F49" s="3"/>
      <c r="G49" s="3"/>
      <c r="H49" s="3"/>
      <c r="I49" s="3"/>
      <c r="AO49" s="2">
        <v>46577</v>
      </c>
      <c r="AP49" s="3">
        <v>56</v>
      </c>
      <c r="AQ49" s="3">
        <v>0.21</v>
      </c>
      <c r="AR49" s="3">
        <v>8</v>
      </c>
      <c r="AS49" s="3">
        <v>8.2100000000000009</v>
      </c>
    </row>
    <row r="50" spans="5:45" x14ac:dyDescent="0.2">
      <c r="E50" s="2"/>
      <c r="F50" s="3"/>
      <c r="G50" s="3"/>
      <c r="H50" s="3"/>
      <c r="I50" s="3"/>
      <c r="AO50" s="2">
        <v>46761</v>
      </c>
      <c r="AP50" s="3">
        <v>48</v>
      </c>
      <c r="AQ50" s="3">
        <v>0.42000000000000004</v>
      </c>
      <c r="AR50" s="3">
        <v>8</v>
      </c>
      <c r="AS50" s="3">
        <v>8.42</v>
      </c>
    </row>
    <row r="51" spans="5:45" x14ac:dyDescent="0.2">
      <c r="E51" s="2"/>
      <c r="F51" s="3"/>
      <c r="G51" s="3"/>
      <c r="H51" s="3"/>
      <c r="I51" s="3"/>
      <c r="AO51" s="2">
        <v>46943</v>
      </c>
      <c r="AP51" s="3">
        <v>40</v>
      </c>
      <c r="AQ51" s="3">
        <v>0.35000000000000003</v>
      </c>
      <c r="AR51" s="3">
        <v>8</v>
      </c>
      <c r="AS51" s="3">
        <v>8.35</v>
      </c>
    </row>
    <row r="52" spans="5:45" x14ac:dyDescent="0.2">
      <c r="E52" s="2"/>
      <c r="F52" s="3"/>
      <c r="G52" s="3"/>
      <c r="H52" s="3"/>
      <c r="I52" s="3"/>
      <c r="AO52" s="2">
        <v>47127</v>
      </c>
      <c r="AP52" s="3">
        <v>32</v>
      </c>
      <c r="AQ52" s="3">
        <v>0.28000000000000003</v>
      </c>
      <c r="AR52" s="3">
        <v>8</v>
      </c>
      <c r="AS52" s="3">
        <v>8.2799999999999994</v>
      </c>
    </row>
    <row r="53" spans="5:45" x14ac:dyDescent="0.2">
      <c r="E53" s="2"/>
      <c r="F53" s="3"/>
      <c r="G53" s="3"/>
      <c r="H53" s="3"/>
      <c r="I53" s="3"/>
      <c r="AO53" s="2">
        <v>47308</v>
      </c>
      <c r="AP53" s="3">
        <v>24</v>
      </c>
      <c r="AQ53" s="3">
        <v>0.21000000000000002</v>
      </c>
      <c r="AR53" s="3">
        <v>8</v>
      </c>
      <c r="AS53" s="3">
        <v>8.2100000000000009</v>
      </c>
    </row>
    <row r="54" spans="5:45" x14ac:dyDescent="0.2">
      <c r="E54" s="2"/>
      <c r="F54" s="3"/>
      <c r="G54" s="3"/>
      <c r="H54" s="3"/>
      <c r="I54" s="3"/>
      <c r="AO54" s="2">
        <v>47492</v>
      </c>
      <c r="AP54" s="3">
        <v>16</v>
      </c>
      <c r="AQ54" s="3">
        <v>0.14000000000000001</v>
      </c>
      <c r="AR54" s="3">
        <v>8</v>
      </c>
      <c r="AS54" s="3">
        <v>8.14</v>
      </c>
    </row>
    <row r="55" spans="5:45" x14ac:dyDescent="0.2">
      <c r="E55" s="2"/>
      <c r="F55" s="3"/>
      <c r="G55" s="3"/>
      <c r="H55" s="3"/>
      <c r="I55" s="3"/>
      <c r="AO55" s="2">
        <v>47673</v>
      </c>
      <c r="AP55" s="3">
        <v>8</v>
      </c>
      <c r="AQ55" s="3">
        <v>7.0000000000000007E-2</v>
      </c>
      <c r="AR55" s="3">
        <v>8</v>
      </c>
      <c r="AS55" s="3">
        <v>8.07</v>
      </c>
    </row>
    <row r="56" spans="5:45" x14ac:dyDescent="0.2">
      <c r="E56" s="2"/>
      <c r="F56" s="3"/>
      <c r="G56" s="3"/>
      <c r="H56" s="3"/>
      <c r="I56" s="3"/>
    </row>
    <row r="57" spans="5:45" x14ac:dyDescent="0.2">
      <c r="AS57" s="5">
        <f>XIRR(AS37:AS55,AO37:AO55)</f>
        <v>0.17468307614326478</v>
      </c>
    </row>
  </sheetData>
  <mergeCells count="5">
    <mergeCell ref="AO2:AS2"/>
    <mergeCell ref="E2:M2"/>
    <mergeCell ref="Q2:Y2"/>
    <mergeCell ref="AC2:AK2"/>
    <mergeCell ref="AO32:AS32"/>
  </mergeCells>
  <pageMargins left="0.7" right="0.7" top="0.75" bottom="0.75" header="0.3" footer="0.3"/>
  <ignoredErrors>
    <ignoredError sqref="U6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BB84"/>
  <sheetViews>
    <sheetView showGridLines="0" zoomScale="90" zoomScaleNormal="90" workbookViewId="0">
      <selection activeCell="I6" sqref="I6"/>
    </sheetView>
  </sheetViews>
  <sheetFormatPr baseColWidth="10" defaultRowHeight="14.25" x14ac:dyDescent="0.2"/>
  <cols>
    <col min="1" max="1" width="7.28515625" style="4" customWidth="1"/>
    <col min="2" max="2" width="14.7109375" style="4" bestFit="1" customWidth="1"/>
    <col min="3" max="3" width="11.42578125" style="4"/>
    <col min="4" max="4" width="8.140625" style="4" customWidth="1"/>
    <col min="5" max="9" width="11.42578125" style="4"/>
    <col min="10" max="10" width="5.42578125" style="4" customWidth="1"/>
    <col min="11" max="13" width="11.42578125" style="4"/>
    <col min="14" max="14" width="7.140625" style="4" customWidth="1"/>
    <col min="15" max="15" width="11.42578125" style="78"/>
    <col min="16" max="16" width="5.7109375" style="4" customWidth="1"/>
    <col min="17" max="21" width="11.42578125" style="4"/>
    <col min="22" max="22" width="5.42578125" style="4" customWidth="1"/>
    <col min="23" max="26" width="11.42578125" style="4"/>
    <col min="27" max="27" width="11.42578125" style="78"/>
    <col min="28" max="32" width="11.42578125" style="4"/>
    <col min="33" max="33" width="11.85546875" style="4" bestFit="1" customWidth="1"/>
    <col min="34" max="34" width="7.140625" style="4" customWidth="1"/>
    <col min="35" max="35" width="8.85546875" style="4" customWidth="1"/>
    <col min="36" max="38" width="11.42578125" style="4"/>
    <col min="39" max="39" width="11.42578125" style="78"/>
    <col min="40" max="16384" width="11.42578125" style="4"/>
  </cols>
  <sheetData>
    <row r="3" spans="2:54" ht="15" x14ac:dyDescent="0.25">
      <c r="E3" s="321" t="s">
        <v>63</v>
      </c>
      <c r="F3" s="321"/>
      <c r="G3" s="321"/>
      <c r="H3" s="321"/>
      <c r="I3" s="321"/>
      <c r="J3" s="321"/>
      <c r="K3" s="321"/>
      <c r="L3" s="321"/>
      <c r="M3" s="321"/>
      <c r="Q3" s="321" t="s">
        <v>64</v>
      </c>
      <c r="R3" s="321"/>
      <c r="S3" s="321"/>
      <c r="T3" s="321"/>
      <c r="U3" s="321"/>
      <c r="V3" s="321"/>
      <c r="W3" s="321"/>
      <c r="X3" s="321"/>
      <c r="Y3" s="321"/>
      <c r="AC3" s="321" t="s">
        <v>65</v>
      </c>
      <c r="AD3" s="321"/>
      <c r="AE3" s="321"/>
      <c r="AF3" s="321"/>
      <c r="AG3" s="321"/>
      <c r="AH3" s="321"/>
      <c r="AI3" s="321"/>
      <c r="AJ3" s="321"/>
      <c r="AK3" s="321"/>
    </row>
    <row r="4" spans="2:54" ht="15" x14ac:dyDescent="0.25">
      <c r="E4"/>
      <c r="F4"/>
      <c r="G4"/>
      <c r="H4"/>
      <c r="I4"/>
      <c r="Q4"/>
      <c r="R4"/>
      <c r="S4"/>
      <c r="T4"/>
      <c r="U4"/>
      <c r="AO4"/>
      <c r="AP4"/>
      <c r="AQ4"/>
      <c r="AR4"/>
      <c r="AS4"/>
      <c r="AX4"/>
      <c r="AY4"/>
      <c r="AZ4"/>
      <c r="BA4"/>
      <c r="BB4"/>
    </row>
    <row r="5" spans="2:54" ht="15" x14ac:dyDescent="0.25"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K5" s="1" t="s">
        <v>9</v>
      </c>
      <c r="L5" s="1" t="s">
        <v>10</v>
      </c>
      <c r="M5" s="1" t="s">
        <v>11</v>
      </c>
      <c r="Q5" s="47" t="s">
        <v>0</v>
      </c>
      <c r="R5" s="47" t="s">
        <v>1</v>
      </c>
      <c r="S5" s="47" t="s">
        <v>2</v>
      </c>
      <c r="T5" s="47" t="s">
        <v>3</v>
      </c>
      <c r="U5" s="47" t="s">
        <v>4</v>
      </c>
      <c r="W5" s="47" t="s">
        <v>9</v>
      </c>
      <c r="X5" s="47" t="s">
        <v>10</v>
      </c>
      <c r="Y5" s="47" t="s">
        <v>11</v>
      </c>
      <c r="AC5" s="53" t="s">
        <v>0</v>
      </c>
      <c r="AD5" s="53" t="s">
        <v>1</v>
      </c>
      <c r="AE5" s="53" t="s">
        <v>2</v>
      </c>
      <c r="AF5" s="53" t="s">
        <v>3</v>
      </c>
      <c r="AG5" s="53" t="s">
        <v>4</v>
      </c>
      <c r="AI5" s="53" t="s">
        <v>9</v>
      </c>
      <c r="AJ5" s="53" t="s">
        <v>10</v>
      </c>
      <c r="AK5" s="53" t="s">
        <v>11</v>
      </c>
      <c r="AO5" s="53" t="s">
        <v>0</v>
      </c>
      <c r="AP5" s="53" t="s">
        <v>1</v>
      </c>
      <c r="AQ5" s="53" t="s">
        <v>2</v>
      </c>
      <c r="AR5" s="53" t="s">
        <v>3</v>
      </c>
      <c r="AS5" s="53" t="s">
        <v>4</v>
      </c>
      <c r="AU5" s="53" t="s">
        <v>5</v>
      </c>
      <c r="AV5" s="53" t="s">
        <v>61</v>
      </c>
      <c r="AX5" s="53" t="s">
        <v>0</v>
      </c>
      <c r="AY5" s="53" t="s">
        <v>1</v>
      </c>
      <c r="AZ5" s="53" t="s">
        <v>2</v>
      </c>
      <c r="BA5" s="53" t="s">
        <v>3</v>
      </c>
      <c r="BB5" s="53" t="s">
        <v>4</v>
      </c>
    </row>
    <row r="6" spans="2:54" x14ac:dyDescent="0.2">
      <c r="B6" s="82" t="s">
        <v>36</v>
      </c>
      <c r="C6" s="83">
        <v>44078</v>
      </c>
      <c r="E6" s="2">
        <f>+Monitor!C2</f>
        <v>44370</v>
      </c>
      <c r="F6" s="3">
        <v>100</v>
      </c>
      <c r="G6" s="3"/>
      <c r="H6" s="3"/>
      <c r="I6" s="3">
        <f>-Monitor!D11</f>
        <v>-37.9</v>
      </c>
      <c r="K6" s="4">
        <f>DAYS360(C6,E7)</f>
        <v>305</v>
      </c>
      <c r="Q6" s="2">
        <f>+E6</f>
        <v>44370</v>
      </c>
      <c r="R6" s="3">
        <f>+F6</f>
        <v>100</v>
      </c>
      <c r="S6" s="3"/>
      <c r="T6" s="3"/>
      <c r="U6" s="3" t="e">
        <f>-CCL!K15</f>
        <v>#REF!</v>
      </c>
      <c r="AO6" s="2">
        <f>+Q6</f>
        <v>44370</v>
      </c>
      <c r="AP6" s="3">
        <v>100</v>
      </c>
      <c r="AQ6" s="3">
        <f>+S6</f>
        <v>0</v>
      </c>
      <c r="AR6" s="3"/>
      <c r="AS6" s="3">
        <f>-CCL!AB15</f>
        <v>0</v>
      </c>
      <c r="AU6" s="56">
        <v>0.06</v>
      </c>
      <c r="AV6" s="8">
        <f t="shared" ref="AV6:AV26" si="0">XNPV(AU6,$AS$6:$AS$40,$AO$6:$AO$40)</f>
        <v>88.030799366391051</v>
      </c>
      <c r="AX6" s="2">
        <f t="shared" ref="AX6:AX40" si="1">+AO6</f>
        <v>44370</v>
      </c>
      <c r="AY6" s="3">
        <f t="shared" ref="AY6:AY40" si="2">+AP6</f>
        <v>100</v>
      </c>
      <c r="AZ6" s="3">
        <f t="shared" ref="AZ6:AZ40" si="3">+AQ6</f>
        <v>0</v>
      </c>
      <c r="BA6" s="3"/>
      <c r="BB6" s="3">
        <f>-Upsides!W27</f>
        <v>-60.728657398897589</v>
      </c>
    </row>
    <row r="7" spans="2:54" x14ac:dyDescent="0.2">
      <c r="B7" s="84" t="s">
        <v>37</v>
      </c>
      <c r="C7" s="85">
        <v>1.25E-3</v>
      </c>
      <c r="E7" s="2">
        <v>44386</v>
      </c>
      <c r="F7" s="3">
        <f>+F6</f>
        <v>100</v>
      </c>
      <c r="G7" s="3">
        <f>(C7*F6)/360*K6</f>
        <v>0.10590277777777778</v>
      </c>
      <c r="H7" s="3"/>
      <c r="I7" s="3">
        <f>SUM(G7:H7)</f>
        <v>0.10590277777777778</v>
      </c>
      <c r="K7" s="4">
        <f t="shared" ref="K7:K40" si="4">DAYS360($E$6,E7)</f>
        <v>16</v>
      </c>
      <c r="L7" s="7">
        <f t="shared" ref="L7:L40" si="5">I7/(1+$I$42)^(K7/360)</f>
        <v>0.10513497090068996</v>
      </c>
      <c r="M7" s="7">
        <f t="shared" ref="M7:M40" si="6">L7*(K7/360)</f>
        <v>4.672665373363998E-3</v>
      </c>
      <c r="Q7" s="2">
        <f>+E7</f>
        <v>44386</v>
      </c>
      <c r="R7" s="3">
        <f>+F7</f>
        <v>100</v>
      </c>
      <c r="S7" s="3">
        <f>+G7</f>
        <v>0.10590277777777778</v>
      </c>
      <c r="T7" s="3"/>
      <c r="U7" s="3">
        <f>SUM(S7:T7)</f>
        <v>0.10590277777777778</v>
      </c>
      <c r="W7" s="4">
        <f t="shared" ref="W7:W40" si="7">DAYS360($E$6,Q7)</f>
        <v>16</v>
      </c>
      <c r="X7" s="7" t="e">
        <f t="shared" ref="X7:X40" si="8">U7/(1+$U$42)^(W7/360)</f>
        <v>#REF!</v>
      </c>
      <c r="Y7" s="7" t="e">
        <f t="shared" ref="Y7:Y40" si="9">X7*(W7/360)</f>
        <v>#REF!</v>
      </c>
      <c r="AO7" s="2">
        <f>+E7</f>
        <v>44386</v>
      </c>
      <c r="AP7" s="3">
        <f>+F7</f>
        <v>100</v>
      </c>
      <c r="AQ7" s="3">
        <f>+G7</f>
        <v>0.10590277777777778</v>
      </c>
      <c r="AR7" s="3"/>
      <c r="AS7" s="3">
        <f>SUM(AQ7:AR7)</f>
        <v>0.10590277777777778</v>
      </c>
      <c r="AU7" s="56">
        <v>6.5000000000000002E-2</v>
      </c>
      <c r="AV7" s="8">
        <f t="shared" si="0"/>
        <v>84.458435604668949</v>
      </c>
      <c r="AX7" s="2">
        <f t="shared" si="1"/>
        <v>44386</v>
      </c>
      <c r="AY7" s="3">
        <f t="shared" si="2"/>
        <v>100</v>
      </c>
      <c r="AZ7" s="3">
        <f t="shared" si="3"/>
        <v>0.10590277777777778</v>
      </c>
      <c r="BA7" s="3"/>
      <c r="BB7" s="3">
        <f>SUM(AZ7:BA7)</f>
        <v>0.10590277777777778</v>
      </c>
    </row>
    <row r="8" spans="2:54" x14ac:dyDescent="0.2">
      <c r="B8" s="84" t="s">
        <v>38</v>
      </c>
      <c r="C8" s="86">
        <f>DAYS360(C6,E6)</f>
        <v>289</v>
      </c>
      <c r="E8" s="2">
        <v>44570</v>
      </c>
      <c r="F8" s="3">
        <f>+F7</f>
        <v>100</v>
      </c>
      <c r="G8" s="3">
        <f>0.02*(180/360)*F10</f>
        <v>1</v>
      </c>
      <c r="H8" s="3"/>
      <c r="I8" s="3">
        <f>SUM(G8:H8)</f>
        <v>1</v>
      </c>
      <c r="K8" s="4">
        <f t="shared" si="4"/>
        <v>196</v>
      </c>
      <c r="L8" s="7">
        <f t="shared" si="5"/>
        <v>0.91471990292634409</v>
      </c>
      <c r="M8" s="7">
        <f t="shared" si="6"/>
        <v>0.49801416937100951</v>
      </c>
      <c r="Q8" s="2">
        <f t="shared" ref="Q8:Q40" si="10">+E8</f>
        <v>44570</v>
      </c>
      <c r="R8" s="3">
        <f t="shared" ref="R8:R40" si="11">+F8</f>
        <v>100</v>
      </c>
      <c r="S8" s="3">
        <f t="shared" ref="S8:S40" si="12">+G8</f>
        <v>1</v>
      </c>
      <c r="T8" s="3"/>
      <c r="U8" s="3">
        <f>SUM(S8:T8)</f>
        <v>1</v>
      </c>
      <c r="W8" s="4">
        <f t="shared" si="7"/>
        <v>196</v>
      </c>
      <c r="X8" s="7" t="e">
        <f t="shared" si="8"/>
        <v>#REF!</v>
      </c>
      <c r="Y8" s="7" t="e">
        <f t="shared" si="9"/>
        <v>#REF!</v>
      </c>
      <c r="AO8" s="2">
        <f t="shared" ref="AO8:AO40" si="13">+E8</f>
        <v>44570</v>
      </c>
      <c r="AP8" s="3">
        <f t="shared" ref="AP8:AP40" si="14">+F8</f>
        <v>100</v>
      </c>
      <c r="AQ8" s="3">
        <f t="shared" ref="AQ8:AQ40" si="15">+G8</f>
        <v>1</v>
      </c>
      <c r="AR8" s="3"/>
      <c r="AS8" s="3">
        <f>SUM(AQ8:AR8)</f>
        <v>1</v>
      </c>
      <c r="AU8" s="56">
        <v>7.0000000000000007E-2</v>
      </c>
      <c r="AV8" s="8">
        <f t="shared" si="0"/>
        <v>81.075824118583583</v>
      </c>
      <c r="AX8" s="2">
        <f t="shared" si="1"/>
        <v>44570</v>
      </c>
      <c r="AY8" s="3">
        <f t="shared" si="2"/>
        <v>100</v>
      </c>
      <c r="AZ8" s="3">
        <f t="shared" si="3"/>
        <v>1</v>
      </c>
      <c r="BA8" s="3"/>
      <c r="BB8" s="3">
        <f>SUM(AZ8:BA8)</f>
        <v>1</v>
      </c>
    </row>
    <row r="9" spans="2:54" x14ac:dyDescent="0.2">
      <c r="B9" s="84" t="s">
        <v>39</v>
      </c>
      <c r="C9" s="87">
        <f>(C7*100)/360*C8</f>
        <v>0.10034722222222223</v>
      </c>
      <c r="E9" s="2">
        <v>44751</v>
      </c>
      <c r="F9" s="3">
        <v>100</v>
      </c>
      <c r="G9" s="3">
        <f>0.02*(180/360)*F11</f>
        <v>1</v>
      </c>
      <c r="H9" s="3"/>
      <c r="I9" s="3">
        <f>SUM(G9:H9)</f>
        <v>1</v>
      </c>
      <c r="K9" s="4">
        <f t="shared" si="4"/>
        <v>376</v>
      </c>
      <c r="L9" s="7">
        <f t="shared" si="5"/>
        <v>0.84282306142288765</v>
      </c>
      <c r="M9" s="7">
        <f t="shared" si="6"/>
        <v>0.88028186415279386</v>
      </c>
      <c r="Q9" s="2">
        <f t="shared" si="10"/>
        <v>44751</v>
      </c>
      <c r="R9" s="3">
        <f t="shared" si="11"/>
        <v>100</v>
      </c>
      <c r="S9" s="3">
        <f t="shared" si="12"/>
        <v>1</v>
      </c>
      <c r="T9" s="3"/>
      <c r="U9" s="3">
        <f>SUM(S9:T9)</f>
        <v>1</v>
      </c>
      <c r="W9" s="4">
        <f t="shared" si="7"/>
        <v>376</v>
      </c>
      <c r="X9" s="7" t="e">
        <f t="shared" si="8"/>
        <v>#REF!</v>
      </c>
      <c r="Y9" s="7" t="e">
        <f t="shared" si="9"/>
        <v>#REF!</v>
      </c>
      <c r="AO9" s="2">
        <f t="shared" si="13"/>
        <v>44751</v>
      </c>
      <c r="AP9" s="3">
        <f t="shared" si="14"/>
        <v>100</v>
      </c>
      <c r="AQ9" s="3">
        <f t="shared" si="15"/>
        <v>1</v>
      </c>
      <c r="AR9" s="3"/>
      <c r="AS9" s="3">
        <f>SUM(AQ9:AR9)</f>
        <v>1</v>
      </c>
      <c r="AU9" s="56">
        <v>7.4999999999999997E-2</v>
      </c>
      <c r="AV9" s="8">
        <f t="shared" si="0"/>
        <v>77.871158693643835</v>
      </c>
      <c r="AX9" s="2">
        <f t="shared" si="1"/>
        <v>44751</v>
      </c>
      <c r="AY9" s="3">
        <f t="shared" si="2"/>
        <v>100</v>
      </c>
      <c r="AZ9" s="3">
        <f t="shared" si="3"/>
        <v>1</v>
      </c>
      <c r="BA9" s="3"/>
      <c r="BB9" s="3">
        <f>SUM(AZ9:BA9)</f>
        <v>1</v>
      </c>
    </row>
    <row r="10" spans="2:54" x14ac:dyDescent="0.2">
      <c r="B10" s="84" t="s">
        <v>35</v>
      </c>
      <c r="C10" s="86">
        <v>100</v>
      </c>
      <c r="E10" s="2">
        <v>44935</v>
      </c>
      <c r="F10" s="3">
        <v>100</v>
      </c>
      <c r="G10" s="3">
        <f>0.03875*(180/360)*F10</f>
        <v>1.9375</v>
      </c>
      <c r="H10" s="3"/>
      <c r="I10" s="3">
        <f>SUM(G10:H10)</f>
        <v>1.9375</v>
      </c>
      <c r="K10" s="4">
        <f t="shared" si="4"/>
        <v>556</v>
      </c>
      <c r="L10" s="7">
        <f t="shared" si="5"/>
        <v>1.5046185195876083</v>
      </c>
      <c r="M10" s="7">
        <f t="shared" si="6"/>
        <v>2.3237997135853061</v>
      </c>
      <c r="Q10" s="2">
        <f t="shared" si="10"/>
        <v>44935</v>
      </c>
      <c r="R10" s="3">
        <f t="shared" si="11"/>
        <v>100</v>
      </c>
      <c r="S10" s="3">
        <f t="shared" si="12"/>
        <v>1.9375</v>
      </c>
      <c r="T10" s="3"/>
      <c r="U10" s="3">
        <f>SUM(S10:T10)</f>
        <v>1.9375</v>
      </c>
      <c r="W10" s="4">
        <f t="shared" si="7"/>
        <v>556</v>
      </c>
      <c r="X10" s="7" t="e">
        <f t="shared" si="8"/>
        <v>#REF!</v>
      </c>
      <c r="Y10" s="7" t="e">
        <f t="shared" si="9"/>
        <v>#REF!</v>
      </c>
      <c r="AO10" s="2">
        <f t="shared" si="13"/>
        <v>44935</v>
      </c>
      <c r="AP10" s="3">
        <f t="shared" si="14"/>
        <v>100</v>
      </c>
      <c r="AQ10" s="3">
        <f t="shared" si="15"/>
        <v>1.9375</v>
      </c>
      <c r="AR10" s="3"/>
      <c r="AS10" s="3">
        <f>SUM(AQ10:AR10)</f>
        <v>1.9375</v>
      </c>
      <c r="AU10" s="56">
        <v>0.08</v>
      </c>
      <c r="AV10" s="8">
        <f t="shared" si="0"/>
        <v>74.833457417427255</v>
      </c>
      <c r="AX10" s="2">
        <f t="shared" si="1"/>
        <v>44935</v>
      </c>
      <c r="AY10" s="3">
        <f t="shared" si="2"/>
        <v>100</v>
      </c>
      <c r="AZ10" s="3">
        <f t="shared" si="3"/>
        <v>1.9375</v>
      </c>
      <c r="BA10" s="3"/>
      <c r="BB10" s="3">
        <f>SUM(AZ10:BA10)</f>
        <v>1.9375</v>
      </c>
    </row>
    <row r="11" spans="2:54" x14ac:dyDescent="0.2">
      <c r="B11" s="88" t="s">
        <v>23</v>
      </c>
      <c r="C11" s="89">
        <f>+C10+C9</f>
        <v>100.10034722222223</v>
      </c>
      <c r="E11" s="2">
        <v>45116</v>
      </c>
      <c r="F11" s="3">
        <v>100</v>
      </c>
      <c r="G11" s="3">
        <f>0.03875*(180/360)*F11</f>
        <v>1.9375</v>
      </c>
      <c r="H11" s="3"/>
      <c r="I11" s="3">
        <f t="shared" ref="I11:I40" si="16">SUM(G11:H11)</f>
        <v>1.9375</v>
      </c>
      <c r="K11" s="4">
        <f t="shared" si="4"/>
        <v>736</v>
      </c>
      <c r="L11" s="7">
        <f t="shared" si="5"/>
        <v>1.3863557389485537</v>
      </c>
      <c r="M11" s="7">
        <f t="shared" si="6"/>
        <v>2.8343272885170427</v>
      </c>
      <c r="Q11" s="2">
        <f t="shared" si="10"/>
        <v>45116</v>
      </c>
      <c r="R11" s="3">
        <f t="shared" si="11"/>
        <v>100</v>
      </c>
      <c r="S11" s="3">
        <f t="shared" si="12"/>
        <v>1.9375</v>
      </c>
      <c r="T11" s="3"/>
      <c r="U11" s="3">
        <f t="shared" ref="U11:U40" si="17">SUM(S11:T11)</f>
        <v>1.9375</v>
      </c>
      <c r="W11" s="4">
        <f t="shared" si="7"/>
        <v>736</v>
      </c>
      <c r="X11" s="7" t="e">
        <f t="shared" si="8"/>
        <v>#REF!</v>
      </c>
      <c r="Y11" s="7" t="e">
        <f t="shared" si="9"/>
        <v>#REF!</v>
      </c>
      <c r="AC11" s="31">
        <f>Informe!B36</f>
        <v>44370</v>
      </c>
      <c r="AG11" s="4">
        <v>0</v>
      </c>
      <c r="AJ11" s="7"/>
      <c r="AK11" s="7"/>
      <c r="AO11" s="2">
        <f t="shared" si="13"/>
        <v>45116</v>
      </c>
      <c r="AP11" s="3">
        <f t="shared" si="14"/>
        <v>100</v>
      </c>
      <c r="AQ11" s="3">
        <f t="shared" si="15"/>
        <v>1.9375</v>
      </c>
      <c r="AR11" s="3"/>
      <c r="AS11" s="3">
        <f t="shared" ref="AS11:AS40" si="18">SUM(AQ11:AR11)</f>
        <v>1.9375</v>
      </c>
      <c r="AU11" s="56">
        <v>8.5000000000000006E-2</v>
      </c>
      <c r="AV11" s="8">
        <f t="shared" si="0"/>
        <v>71.952499636195483</v>
      </c>
      <c r="AX11" s="2">
        <f t="shared" si="1"/>
        <v>45116</v>
      </c>
      <c r="AY11" s="3">
        <f t="shared" si="2"/>
        <v>100</v>
      </c>
      <c r="AZ11" s="3">
        <f t="shared" si="3"/>
        <v>1.9375</v>
      </c>
      <c r="BA11" s="3"/>
      <c r="BB11" s="3">
        <f t="shared" ref="BB11:BB40" si="19">SUM(AZ11:BA11)</f>
        <v>1.9375</v>
      </c>
    </row>
    <row r="12" spans="2:54" x14ac:dyDescent="0.2">
      <c r="E12" s="2">
        <v>45300</v>
      </c>
      <c r="F12" s="3">
        <v>100</v>
      </c>
      <c r="G12" s="3">
        <f>0.0425*(180/360)*F12</f>
        <v>2.125</v>
      </c>
      <c r="H12" s="3"/>
      <c r="I12" s="3">
        <f t="shared" si="16"/>
        <v>2.125</v>
      </c>
      <c r="K12" s="4">
        <f t="shared" si="4"/>
        <v>916</v>
      </c>
      <c r="L12" s="7">
        <f t="shared" si="5"/>
        <v>1.4010066261125356</v>
      </c>
      <c r="M12" s="7">
        <f t="shared" si="6"/>
        <v>3.5647835264418957</v>
      </c>
      <c r="Q12" s="2">
        <f t="shared" si="10"/>
        <v>45300</v>
      </c>
      <c r="R12" s="3">
        <f t="shared" si="11"/>
        <v>100</v>
      </c>
      <c r="S12" s="3">
        <f t="shared" si="12"/>
        <v>2.125</v>
      </c>
      <c r="T12" s="3"/>
      <c r="U12" s="3">
        <f t="shared" si="17"/>
        <v>2.125</v>
      </c>
      <c r="W12" s="4">
        <f t="shared" si="7"/>
        <v>916</v>
      </c>
      <c r="X12" s="7" t="e">
        <f t="shared" si="8"/>
        <v>#REF!</v>
      </c>
      <c r="Y12" s="7" t="e">
        <f t="shared" si="9"/>
        <v>#REF!</v>
      </c>
      <c r="AC12" s="2">
        <v>45116</v>
      </c>
      <c r="AD12" s="3">
        <v>100</v>
      </c>
      <c r="AE12" s="3">
        <v>1.9375</v>
      </c>
      <c r="AF12" s="3"/>
      <c r="AG12" s="3">
        <v>1.9375</v>
      </c>
      <c r="AI12" s="4">
        <f t="shared" ref="AI12:AI41" si="20">DAYS360($AC$11,AC12)</f>
        <v>736</v>
      </c>
      <c r="AJ12" s="7">
        <f>AG12/(1+$AF$44)^(AI12/360)</f>
        <v>1.5368029947667063</v>
      </c>
      <c r="AK12" s="7">
        <f t="shared" ref="AK12" si="21">AJ12*(AI12/360)</f>
        <v>3.1419083448563772</v>
      </c>
      <c r="AO12" s="2">
        <f t="shared" si="13"/>
        <v>45300</v>
      </c>
      <c r="AP12" s="3">
        <f t="shared" si="14"/>
        <v>100</v>
      </c>
      <c r="AQ12" s="3">
        <f t="shared" si="15"/>
        <v>2.125</v>
      </c>
      <c r="AR12" s="3"/>
      <c r="AS12" s="3">
        <f t="shared" si="18"/>
        <v>2.125</v>
      </c>
      <c r="AU12" s="56">
        <v>0.09</v>
      </c>
      <c r="AV12" s="8">
        <f t="shared" si="0"/>
        <v>69.218768112034823</v>
      </c>
      <c r="AX12" s="2">
        <f t="shared" si="1"/>
        <v>45300</v>
      </c>
      <c r="AY12" s="3">
        <f t="shared" si="2"/>
        <v>100</v>
      </c>
      <c r="AZ12" s="3">
        <f t="shared" si="3"/>
        <v>2.125</v>
      </c>
      <c r="BA12" s="3"/>
      <c r="BB12" s="3">
        <f t="shared" si="19"/>
        <v>2.125</v>
      </c>
    </row>
    <row r="13" spans="2:54" x14ac:dyDescent="0.2">
      <c r="E13" s="2">
        <v>45482</v>
      </c>
      <c r="F13" s="3">
        <v>100</v>
      </c>
      <c r="G13" s="3">
        <f>0.0425*(180/360)*F13</f>
        <v>2.125</v>
      </c>
      <c r="H13" s="3"/>
      <c r="I13" s="3">
        <f t="shared" si="16"/>
        <v>2.125</v>
      </c>
      <c r="K13" s="4">
        <f t="shared" si="4"/>
        <v>1096</v>
      </c>
      <c r="L13" s="7">
        <f t="shared" si="5"/>
        <v>1.2908877241178818</v>
      </c>
      <c r="M13" s="7">
        <f t="shared" si="6"/>
        <v>3.9300359600922175</v>
      </c>
      <c r="Q13" s="2">
        <f t="shared" si="10"/>
        <v>45482</v>
      </c>
      <c r="R13" s="3">
        <f t="shared" si="11"/>
        <v>100</v>
      </c>
      <c r="S13" s="3">
        <f t="shared" si="12"/>
        <v>2.125</v>
      </c>
      <c r="T13" s="3"/>
      <c r="U13" s="3">
        <f t="shared" si="17"/>
        <v>2.125</v>
      </c>
      <c r="W13" s="4">
        <f t="shared" si="7"/>
        <v>1096</v>
      </c>
      <c r="X13" s="7" t="e">
        <f t="shared" si="8"/>
        <v>#REF!</v>
      </c>
      <c r="Y13" s="7" t="e">
        <f t="shared" si="9"/>
        <v>#REF!</v>
      </c>
      <c r="AC13" s="2">
        <v>45300</v>
      </c>
      <c r="AD13" s="3">
        <v>100</v>
      </c>
      <c r="AE13" s="3">
        <f>0.0425*(180/360)*AD13</f>
        <v>2.125</v>
      </c>
      <c r="AF13" s="3"/>
      <c r="AG13" s="3">
        <f t="shared" ref="AG13:AG41" si="22">SUM(AE13:AF13)</f>
        <v>2.125</v>
      </c>
      <c r="AI13" s="4">
        <f t="shared" si="20"/>
        <v>916</v>
      </c>
      <c r="AJ13" s="7">
        <f>AG13/(1+$AF$44)^(AI13/360)</f>
        <v>1.5926722384858074</v>
      </c>
      <c r="AK13" s="7">
        <f t="shared" ref="AK13:AK41" si="23">AJ13*(AI13/360)</f>
        <v>4.0524660290361094</v>
      </c>
      <c r="AO13" s="2">
        <f t="shared" si="13"/>
        <v>45482</v>
      </c>
      <c r="AP13" s="3">
        <f t="shared" si="14"/>
        <v>100</v>
      </c>
      <c r="AQ13" s="3">
        <f t="shared" si="15"/>
        <v>2.125</v>
      </c>
      <c r="AR13" s="3"/>
      <c r="AS13" s="3">
        <f t="shared" si="18"/>
        <v>2.125</v>
      </c>
      <c r="AU13" s="56">
        <v>9.5000000000000001E-2</v>
      </c>
      <c r="AV13" s="8">
        <f t="shared" si="0"/>
        <v>66.623395922727411</v>
      </c>
      <c r="AX13" s="2">
        <f t="shared" si="1"/>
        <v>45482</v>
      </c>
      <c r="AY13" s="3">
        <f t="shared" si="2"/>
        <v>100</v>
      </c>
      <c r="AZ13" s="3">
        <f t="shared" si="3"/>
        <v>2.125</v>
      </c>
      <c r="BA13" s="3"/>
      <c r="BB13" s="3">
        <f t="shared" si="19"/>
        <v>2.125</v>
      </c>
    </row>
    <row r="14" spans="2:54" x14ac:dyDescent="0.2">
      <c r="E14" s="2">
        <v>45666</v>
      </c>
      <c r="F14" s="3">
        <v>100</v>
      </c>
      <c r="G14" s="3">
        <f>0.05*(180/360)*F14</f>
        <v>2.5</v>
      </c>
      <c r="H14" s="3"/>
      <c r="I14" s="3">
        <f t="shared" si="16"/>
        <v>2.5</v>
      </c>
      <c r="K14" s="4">
        <f t="shared" si="4"/>
        <v>1276</v>
      </c>
      <c r="L14" s="7">
        <f t="shared" si="5"/>
        <v>1.3993225301423098</v>
      </c>
      <c r="M14" s="7">
        <f t="shared" si="6"/>
        <v>4.9598209679488532</v>
      </c>
      <c r="Q14" s="2">
        <f t="shared" si="10"/>
        <v>45666</v>
      </c>
      <c r="R14" s="3">
        <f t="shared" si="11"/>
        <v>100</v>
      </c>
      <c r="S14" s="3">
        <f t="shared" si="12"/>
        <v>2.5</v>
      </c>
      <c r="T14" s="3"/>
      <c r="U14" s="3">
        <f t="shared" si="17"/>
        <v>2.5</v>
      </c>
      <c r="W14" s="4">
        <f t="shared" si="7"/>
        <v>1276</v>
      </c>
      <c r="X14" s="7" t="e">
        <f t="shared" si="8"/>
        <v>#REF!</v>
      </c>
      <c r="Y14" s="7" t="e">
        <f t="shared" si="9"/>
        <v>#REF!</v>
      </c>
      <c r="AC14" s="2">
        <v>45482</v>
      </c>
      <c r="AD14" s="3">
        <v>100</v>
      </c>
      <c r="AE14" s="3">
        <f>0.0425*(180/360)*AD14</f>
        <v>2.125</v>
      </c>
      <c r="AF14" s="3"/>
      <c r="AG14" s="3">
        <f t="shared" si="22"/>
        <v>2.125</v>
      </c>
      <c r="AI14" s="4">
        <f t="shared" si="20"/>
        <v>1096</v>
      </c>
      <c r="AJ14" s="7">
        <f t="shared" ref="AJ14:AJ41" si="24">AG14/(1+$AF$44)^(AI14/360)</f>
        <v>1.504933808239286</v>
      </c>
      <c r="AK14" s="7">
        <f t="shared" si="23"/>
        <v>4.5816873717507152</v>
      </c>
      <c r="AO14" s="2">
        <f t="shared" si="13"/>
        <v>45666</v>
      </c>
      <c r="AP14" s="3">
        <f t="shared" si="14"/>
        <v>100</v>
      </c>
      <c r="AQ14" s="3">
        <f t="shared" si="15"/>
        <v>2.5</v>
      </c>
      <c r="AR14" s="3"/>
      <c r="AS14" s="3">
        <f t="shared" si="18"/>
        <v>2.5</v>
      </c>
      <c r="AU14" s="56">
        <v>0.1</v>
      </c>
      <c r="AV14" s="8">
        <f t="shared" si="0"/>
        <v>64.158117689223189</v>
      </c>
      <c r="AX14" s="2">
        <f t="shared" si="1"/>
        <v>45666</v>
      </c>
      <c r="AY14" s="3">
        <f t="shared" si="2"/>
        <v>100</v>
      </c>
      <c r="AZ14" s="3">
        <f t="shared" si="3"/>
        <v>2.5</v>
      </c>
      <c r="BA14" s="3"/>
      <c r="BB14" s="3">
        <f t="shared" si="19"/>
        <v>2.5</v>
      </c>
    </row>
    <row r="15" spans="2:54" x14ac:dyDescent="0.2">
      <c r="E15" s="2">
        <v>45847</v>
      </c>
      <c r="F15" s="3">
        <v>100</v>
      </c>
      <c r="G15" s="3">
        <f t="shared" ref="G15:G40" si="25">0.05*(180/360)*F15</f>
        <v>2.5</v>
      </c>
      <c r="H15" s="3"/>
      <c r="I15" s="3">
        <f t="shared" si="16"/>
        <v>2.5</v>
      </c>
      <c r="K15" s="4">
        <f t="shared" si="4"/>
        <v>1456</v>
      </c>
      <c r="L15" s="7">
        <f t="shared" si="5"/>
        <v>1.2893359978278833</v>
      </c>
      <c r="M15" s="7">
        <f t="shared" si="6"/>
        <v>5.2146478134372165</v>
      </c>
      <c r="Q15" s="2">
        <f t="shared" si="10"/>
        <v>45847</v>
      </c>
      <c r="R15" s="3">
        <f t="shared" si="11"/>
        <v>100</v>
      </c>
      <c r="S15" s="3">
        <f t="shared" si="12"/>
        <v>2.5</v>
      </c>
      <c r="T15" s="3"/>
      <c r="U15" s="3">
        <f t="shared" si="17"/>
        <v>2.5</v>
      </c>
      <c r="W15" s="4">
        <f t="shared" si="7"/>
        <v>1456</v>
      </c>
      <c r="X15" s="7" t="e">
        <f t="shared" si="8"/>
        <v>#REF!</v>
      </c>
      <c r="Y15" s="7" t="e">
        <f t="shared" si="9"/>
        <v>#REF!</v>
      </c>
      <c r="AC15" s="2">
        <v>45666</v>
      </c>
      <c r="AD15" s="3">
        <v>100</v>
      </c>
      <c r="AE15" s="3">
        <f>0.05*(180/360)*AD15</f>
        <v>2.5</v>
      </c>
      <c r="AF15" s="3"/>
      <c r="AG15" s="3">
        <f t="shared" si="22"/>
        <v>2.5</v>
      </c>
      <c r="AI15" s="4">
        <f t="shared" si="20"/>
        <v>1276</v>
      </c>
      <c r="AJ15" s="7">
        <f t="shared" si="24"/>
        <v>1.672975040426268</v>
      </c>
      <c r="AK15" s="7">
        <f t="shared" si="23"/>
        <v>5.9297670877331052</v>
      </c>
      <c r="AO15" s="2">
        <f t="shared" si="13"/>
        <v>45847</v>
      </c>
      <c r="AP15" s="3">
        <f t="shared" si="14"/>
        <v>100</v>
      </c>
      <c r="AQ15" s="3">
        <f t="shared" si="15"/>
        <v>2.5</v>
      </c>
      <c r="AR15" s="3"/>
      <c r="AS15" s="3">
        <f t="shared" si="18"/>
        <v>2.5</v>
      </c>
      <c r="AU15" s="56">
        <v>0.105</v>
      </c>
      <c r="AV15" s="8">
        <f t="shared" si="0"/>
        <v>61.815224754078187</v>
      </c>
      <c r="AX15" s="2">
        <f t="shared" si="1"/>
        <v>45847</v>
      </c>
      <c r="AY15" s="3">
        <f t="shared" si="2"/>
        <v>100</v>
      </c>
      <c r="AZ15" s="3">
        <f t="shared" si="3"/>
        <v>2.5</v>
      </c>
      <c r="BA15" s="3"/>
      <c r="BB15" s="3">
        <f t="shared" si="19"/>
        <v>2.5</v>
      </c>
    </row>
    <row r="16" spans="2:54" x14ac:dyDescent="0.2">
      <c r="E16" s="2">
        <v>46031</v>
      </c>
      <c r="F16" s="3">
        <v>100</v>
      </c>
      <c r="G16" s="3">
        <f t="shared" si="25"/>
        <v>2.5</v>
      </c>
      <c r="H16" s="3"/>
      <c r="I16" s="3">
        <f t="shared" si="16"/>
        <v>2.5</v>
      </c>
      <c r="K16" s="4">
        <f t="shared" si="4"/>
        <v>1636</v>
      </c>
      <c r="L16" s="7">
        <f t="shared" si="5"/>
        <v>1.1879943897750009</v>
      </c>
      <c r="M16" s="7">
        <f t="shared" si="6"/>
        <v>5.3987745046441704</v>
      </c>
      <c r="Q16" s="2">
        <f t="shared" si="10"/>
        <v>46031</v>
      </c>
      <c r="R16" s="3">
        <f t="shared" si="11"/>
        <v>100</v>
      </c>
      <c r="S16" s="3">
        <f t="shared" si="12"/>
        <v>2.5</v>
      </c>
      <c r="T16" s="3"/>
      <c r="U16" s="3">
        <f t="shared" si="17"/>
        <v>2.5</v>
      </c>
      <c r="W16" s="4">
        <f t="shared" si="7"/>
        <v>1636</v>
      </c>
      <c r="X16" s="7" t="e">
        <f t="shared" si="8"/>
        <v>#REF!</v>
      </c>
      <c r="Y16" s="7" t="e">
        <f t="shared" si="9"/>
        <v>#REF!</v>
      </c>
      <c r="AC16" s="2">
        <v>45847</v>
      </c>
      <c r="AD16" s="3">
        <v>100</v>
      </c>
      <c r="AE16" s="3">
        <f t="shared" ref="AE16:AE41" si="26">0.05*(180/360)*AD16</f>
        <v>2.5</v>
      </c>
      <c r="AF16" s="3"/>
      <c r="AG16" s="3">
        <f t="shared" si="22"/>
        <v>2.5</v>
      </c>
      <c r="AI16" s="4">
        <f t="shared" si="20"/>
        <v>1456</v>
      </c>
      <c r="AJ16" s="7">
        <f t="shared" si="24"/>
        <v>1.5808128237807624</v>
      </c>
      <c r="AK16" s="7">
        <f t="shared" si="23"/>
        <v>6.3935096428466389</v>
      </c>
      <c r="AO16" s="2">
        <f t="shared" si="13"/>
        <v>46031</v>
      </c>
      <c r="AP16" s="3">
        <f t="shared" si="14"/>
        <v>100</v>
      </c>
      <c r="AQ16" s="3">
        <f t="shared" si="15"/>
        <v>2.5</v>
      </c>
      <c r="AR16" s="3"/>
      <c r="AS16" s="3">
        <f t="shared" si="18"/>
        <v>2.5</v>
      </c>
      <c r="AU16" s="56">
        <v>0.11</v>
      </c>
      <c r="AV16" s="8">
        <f t="shared" si="0"/>
        <v>59.587523968945014</v>
      </c>
      <c r="AX16" s="2">
        <f t="shared" si="1"/>
        <v>46031</v>
      </c>
      <c r="AY16" s="3">
        <f t="shared" si="2"/>
        <v>100</v>
      </c>
      <c r="AZ16" s="3">
        <f t="shared" si="3"/>
        <v>2.5</v>
      </c>
      <c r="BA16" s="3"/>
      <c r="BB16" s="3">
        <f t="shared" si="19"/>
        <v>2.5</v>
      </c>
    </row>
    <row r="17" spans="5:54" x14ac:dyDescent="0.2">
      <c r="E17" s="2">
        <v>46212</v>
      </c>
      <c r="F17" s="3">
        <v>100</v>
      </c>
      <c r="G17" s="3">
        <f t="shared" si="25"/>
        <v>2.5</v>
      </c>
      <c r="H17" s="3"/>
      <c r="I17" s="3">
        <f t="shared" si="16"/>
        <v>2.5</v>
      </c>
      <c r="K17" s="4">
        <f t="shared" si="4"/>
        <v>1816</v>
      </c>
      <c r="L17" s="7">
        <f t="shared" si="5"/>
        <v>1.0946182162869222</v>
      </c>
      <c r="M17" s="7">
        <f t="shared" si="6"/>
        <v>5.5217407799362519</v>
      </c>
      <c r="Q17" s="2">
        <f t="shared" si="10"/>
        <v>46212</v>
      </c>
      <c r="R17" s="3">
        <f t="shared" si="11"/>
        <v>100</v>
      </c>
      <c r="S17" s="3">
        <f t="shared" si="12"/>
        <v>2.5</v>
      </c>
      <c r="T17" s="3"/>
      <c r="U17" s="3">
        <f t="shared" si="17"/>
        <v>2.5</v>
      </c>
      <c r="W17" s="4">
        <f t="shared" si="7"/>
        <v>1816</v>
      </c>
      <c r="X17" s="7" t="e">
        <f t="shared" si="8"/>
        <v>#REF!</v>
      </c>
      <c r="Y17" s="7" t="e">
        <f t="shared" si="9"/>
        <v>#REF!</v>
      </c>
      <c r="AC17" s="2">
        <v>46031</v>
      </c>
      <c r="AD17" s="3">
        <v>100</v>
      </c>
      <c r="AE17" s="3">
        <f t="shared" si="26"/>
        <v>2.5</v>
      </c>
      <c r="AF17" s="3"/>
      <c r="AG17" s="3">
        <f t="shared" si="22"/>
        <v>2.5</v>
      </c>
      <c r="AI17" s="4">
        <f t="shared" si="20"/>
        <v>1636</v>
      </c>
      <c r="AJ17" s="7">
        <f t="shared" si="24"/>
        <v>1.4937277146663106</v>
      </c>
      <c r="AK17" s="7">
        <f t="shared" si="23"/>
        <v>6.7881626144280114</v>
      </c>
      <c r="AO17" s="2">
        <f t="shared" si="13"/>
        <v>46212</v>
      </c>
      <c r="AP17" s="3">
        <f t="shared" si="14"/>
        <v>100</v>
      </c>
      <c r="AQ17" s="3">
        <f t="shared" si="15"/>
        <v>2.5</v>
      </c>
      <c r="AR17" s="3"/>
      <c r="AS17" s="3">
        <f t="shared" si="18"/>
        <v>2.5</v>
      </c>
      <c r="AU17" s="56">
        <v>0.115</v>
      </c>
      <c r="AV17" s="8">
        <f t="shared" si="0"/>
        <v>57.468299780565665</v>
      </c>
      <c r="AX17" s="2">
        <f t="shared" si="1"/>
        <v>46212</v>
      </c>
      <c r="AY17" s="3">
        <f t="shared" si="2"/>
        <v>100</v>
      </c>
      <c r="AZ17" s="3">
        <f t="shared" si="3"/>
        <v>2.5</v>
      </c>
      <c r="BA17" s="3"/>
      <c r="BB17" s="3">
        <f t="shared" si="19"/>
        <v>2.5</v>
      </c>
    </row>
    <row r="18" spans="5:54" x14ac:dyDescent="0.2">
      <c r="E18" s="2">
        <v>46396</v>
      </c>
      <c r="F18" s="3">
        <v>100</v>
      </c>
      <c r="G18" s="3">
        <f t="shared" si="25"/>
        <v>2.5</v>
      </c>
      <c r="H18" s="3"/>
      <c r="I18" s="3">
        <f t="shared" si="16"/>
        <v>2.5</v>
      </c>
      <c r="K18" s="4">
        <f t="shared" si="4"/>
        <v>1996</v>
      </c>
      <c r="L18" s="7">
        <f t="shared" si="5"/>
        <v>1.0085813954509439</v>
      </c>
      <c r="M18" s="7">
        <f t="shared" si="6"/>
        <v>5.5920235147780115</v>
      </c>
      <c r="Q18" s="2">
        <f t="shared" si="10"/>
        <v>46396</v>
      </c>
      <c r="R18" s="3">
        <f t="shared" si="11"/>
        <v>100</v>
      </c>
      <c r="S18" s="3">
        <f t="shared" si="12"/>
        <v>2.5</v>
      </c>
      <c r="T18" s="3"/>
      <c r="U18" s="3">
        <f t="shared" si="17"/>
        <v>2.5</v>
      </c>
      <c r="W18" s="4">
        <f t="shared" si="7"/>
        <v>1996</v>
      </c>
      <c r="X18" s="7" t="e">
        <f t="shared" si="8"/>
        <v>#REF!</v>
      </c>
      <c r="Y18" s="7" t="e">
        <f t="shared" si="9"/>
        <v>#REF!</v>
      </c>
      <c r="AC18" s="2">
        <v>46212</v>
      </c>
      <c r="AD18" s="3">
        <v>100</v>
      </c>
      <c r="AE18" s="3">
        <f t="shared" si="26"/>
        <v>2.5</v>
      </c>
      <c r="AF18" s="3"/>
      <c r="AG18" s="3">
        <f t="shared" si="22"/>
        <v>2.5</v>
      </c>
      <c r="AI18" s="4">
        <f t="shared" si="20"/>
        <v>1816</v>
      </c>
      <c r="AJ18" s="7">
        <f t="shared" si="24"/>
        <v>1.4114400212328235</v>
      </c>
      <c r="AK18" s="7">
        <f t="shared" si="23"/>
        <v>7.119930773774465</v>
      </c>
      <c r="AO18" s="2">
        <f t="shared" si="13"/>
        <v>46396</v>
      </c>
      <c r="AP18" s="3">
        <f t="shared" si="14"/>
        <v>100</v>
      </c>
      <c r="AQ18" s="3">
        <f t="shared" si="15"/>
        <v>2.5</v>
      </c>
      <c r="AR18" s="3"/>
      <c r="AS18" s="3">
        <f t="shared" si="18"/>
        <v>2.5</v>
      </c>
      <c r="AU18" s="56">
        <v>0.12</v>
      </c>
      <c r="AV18" s="8">
        <f t="shared" si="0"/>
        <v>55.451279333037796</v>
      </c>
      <c r="AX18" s="2">
        <f t="shared" si="1"/>
        <v>46396</v>
      </c>
      <c r="AY18" s="3">
        <f t="shared" si="2"/>
        <v>100</v>
      </c>
      <c r="AZ18" s="3">
        <f t="shared" si="3"/>
        <v>2.5</v>
      </c>
      <c r="BA18" s="3">
        <f t="shared" ref="BA18:BA40" si="27">+AR18</f>
        <v>0</v>
      </c>
      <c r="BB18" s="3">
        <f t="shared" si="19"/>
        <v>2.5</v>
      </c>
    </row>
    <row r="19" spans="5:54" x14ac:dyDescent="0.2">
      <c r="E19" s="2">
        <v>46577</v>
      </c>
      <c r="F19" s="3">
        <v>100</v>
      </c>
      <c r="G19" s="3">
        <f t="shared" si="25"/>
        <v>2.5</v>
      </c>
      <c r="H19" s="3">
        <f>100/22</f>
        <v>4.5454545454545459</v>
      </c>
      <c r="I19" s="3">
        <f t="shared" si="16"/>
        <v>7.0454545454545459</v>
      </c>
      <c r="K19" s="4">
        <f t="shared" si="4"/>
        <v>2176</v>
      </c>
      <c r="L19" s="7">
        <f t="shared" si="5"/>
        <v>2.6189562467402192</v>
      </c>
      <c r="M19" s="7">
        <f t="shared" si="6"/>
        <v>15.830135535851991</v>
      </c>
      <c r="Q19" s="2">
        <f t="shared" si="10"/>
        <v>46577</v>
      </c>
      <c r="R19" s="3">
        <f t="shared" si="11"/>
        <v>100</v>
      </c>
      <c r="S19" s="3">
        <f t="shared" si="12"/>
        <v>2.5</v>
      </c>
      <c r="T19" s="3">
        <f>+H19</f>
        <v>4.5454545454545459</v>
      </c>
      <c r="U19" s="3">
        <f t="shared" si="17"/>
        <v>7.0454545454545459</v>
      </c>
      <c r="W19" s="4">
        <f t="shared" si="7"/>
        <v>2176</v>
      </c>
      <c r="X19" s="7" t="e">
        <f t="shared" si="8"/>
        <v>#REF!</v>
      </c>
      <c r="Y19" s="7" t="e">
        <f t="shared" si="9"/>
        <v>#REF!</v>
      </c>
      <c r="AC19" s="2">
        <v>46396</v>
      </c>
      <c r="AD19" s="3">
        <v>100</v>
      </c>
      <c r="AE19" s="3">
        <f t="shared" si="26"/>
        <v>2.5</v>
      </c>
      <c r="AF19" s="3"/>
      <c r="AG19" s="3">
        <f t="shared" si="22"/>
        <v>2.5</v>
      </c>
      <c r="AI19" s="4">
        <f t="shared" si="20"/>
        <v>1996</v>
      </c>
      <c r="AJ19" s="7">
        <f t="shared" si="24"/>
        <v>1.3336854595234915</v>
      </c>
      <c r="AK19" s="7">
        <f t="shared" si="23"/>
        <v>7.394544936691358</v>
      </c>
      <c r="AO19" s="2">
        <f t="shared" si="13"/>
        <v>46577</v>
      </c>
      <c r="AP19" s="3">
        <f t="shared" si="14"/>
        <v>100</v>
      </c>
      <c r="AQ19" s="3">
        <f t="shared" si="15"/>
        <v>2.5</v>
      </c>
      <c r="AR19" s="3">
        <f>100/22</f>
        <v>4.5454545454545459</v>
      </c>
      <c r="AS19" s="3">
        <f t="shared" si="18"/>
        <v>7.0454545454545459</v>
      </c>
      <c r="AU19" s="56">
        <v>0.125</v>
      </c>
      <c r="AV19" s="8">
        <f t="shared" si="0"/>
        <v>53.530600329735748</v>
      </c>
      <c r="AX19" s="2">
        <f t="shared" si="1"/>
        <v>46577</v>
      </c>
      <c r="AY19" s="3">
        <f t="shared" si="2"/>
        <v>100</v>
      </c>
      <c r="AZ19" s="3">
        <f t="shared" si="3"/>
        <v>2.5</v>
      </c>
      <c r="BA19" s="3">
        <f t="shared" si="27"/>
        <v>4.5454545454545459</v>
      </c>
      <c r="BB19" s="3">
        <f t="shared" si="19"/>
        <v>7.0454545454545459</v>
      </c>
    </row>
    <row r="20" spans="5:54" x14ac:dyDescent="0.2">
      <c r="E20" s="2">
        <v>46761</v>
      </c>
      <c r="F20" s="3">
        <f t="shared" ref="F20:F40" si="28">F19-H19</f>
        <v>95.454545454545453</v>
      </c>
      <c r="G20" s="3">
        <f t="shared" si="25"/>
        <v>2.3863636363636362</v>
      </c>
      <c r="H20" s="3">
        <f>100/22</f>
        <v>4.5454545454545459</v>
      </c>
      <c r="I20" s="3">
        <f t="shared" si="16"/>
        <v>6.9318181818181817</v>
      </c>
      <c r="K20" s="4">
        <f t="shared" si="4"/>
        <v>2356</v>
      </c>
      <c r="L20" s="7">
        <f t="shared" si="5"/>
        <v>2.3741856190686201</v>
      </c>
      <c r="M20" s="7">
        <f t="shared" si="6"/>
        <v>15.537725884793526</v>
      </c>
      <c r="Q20" s="2">
        <f t="shared" si="10"/>
        <v>46761</v>
      </c>
      <c r="R20" s="3">
        <f t="shared" si="11"/>
        <v>95.454545454545453</v>
      </c>
      <c r="S20" s="3">
        <f t="shared" si="12"/>
        <v>2.3863636363636362</v>
      </c>
      <c r="T20" s="3">
        <f t="shared" ref="T20:T40" si="29">+H20</f>
        <v>4.5454545454545459</v>
      </c>
      <c r="U20" s="3">
        <f t="shared" si="17"/>
        <v>6.9318181818181817</v>
      </c>
      <c r="W20" s="4">
        <f t="shared" si="7"/>
        <v>2356</v>
      </c>
      <c r="X20" s="7" t="e">
        <f t="shared" si="8"/>
        <v>#REF!</v>
      </c>
      <c r="Y20" s="7" t="e">
        <f t="shared" si="9"/>
        <v>#REF!</v>
      </c>
      <c r="AC20" s="2">
        <v>46577</v>
      </c>
      <c r="AD20" s="3">
        <v>100</v>
      </c>
      <c r="AE20" s="3">
        <f t="shared" si="26"/>
        <v>2.5</v>
      </c>
      <c r="AF20" s="3">
        <f>100/22</f>
        <v>4.5454545454545459</v>
      </c>
      <c r="AG20" s="3">
        <f t="shared" si="22"/>
        <v>7.0454545454545459</v>
      </c>
      <c r="AI20" s="4">
        <f t="shared" si="20"/>
        <v>2176</v>
      </c>
      <c r="AJ20" s="7">
        <f t="shared" si="24"/>
        <v>3.5515130404397341</v>
      </c>
      <c r="AK20" s="7">
        <f t="shared" si="23"/>
        <v>21.466923266657947</v>
      </c>
      <c r="AO20" s="2">
        <f t="shared" si="13"/>
        <v>46761</v>
      </c>
      <c r="AP20" s="3">
        <f t="shared" si="14"/>
        <v>95.454545454545453</v>
      </c>
      <c r="AQ20" s="3">
        <f t="shared" si="15"/>
        <v>2.3863636363636362</v>
      </c>
      <c r="AR20" s="3">
        <f>100/22</f>
        <v>4.5454545454545459</v>
      </c>
      <c r="AS20" s="3">
        <f t="shared" si="18"/>
        <v>6.9318181818181817</v>
      </c>
      <c r="AU20" s="56">
        <v>0.13</v>
      </c>
      <c r="AV20" s="8">
        <f t="shared" si="0"/>
        <v>51.700781421419642</v>
      </c>
      <c r="AX20" s="2">
        <f t="shared" si="1"/>
        <v>46761</v>
      </c>
      <c r="AY20" s="3">
        <f t="shared" si="2"/>
        <v>95.454545454545453</v>
      </c>
      <c r="AZ20" s="3">
        <f t="shared" si="3"/>
        <v>2.3863636363636362</v>
      </c>
      <c r="BA20" s="3">
        <f t="shared" si="27"/>
        <v>4.5454545454545459</v>
      </c>
      <c r="BB20" s="3">
        <f t="shared" si="19"/>
        <v>6.9318181818181817</v>
      </c>
    </row>
    <row r="21" spans="5:54" x14ac:dyDescent="0.2">
      <c r="E21" s="2">
        <v>46943</v>
      </c>
      <c r="F21" s="3">
        <f t="shared" si="28"/>
        <v>90.909090909090907</v>
      </c>
      <c r="G21" s="3">
        <f t="shared" si="25"/>
        <v>2.2727272727272729</v>
      </c>
      <c r="H21" s="3">
        <f>100/22</f>
        <v>4.5454545454545459</v>
      </c>
      <c r="I21" s="3">
        <f t="shared" si="16"/>
        <v>6.8181818181818183</v>
      </c>
      <c r="K21" s="4">
        <f t="shared" si="4"/>
        <v>2536</v>
      </c>
      <c r="L21" s="7">
        <f t="shared" si="5"/>
        <v>2.1517131149750868</v>
      </c>
      <c r="M21" s="7">
        <f t="shared" si="6"/>
        <v>15.157623498824499</v>
      </c>
      <c r="Q21" s="2">
        <f t="shared" si="10"/>
        <v>46943</v>
      </c>
      <c r="R21" s="3">
        <f t="shared" si="11"/>
        <v>90.909090909090907</v>
      </c>
      <c r="S21" s="3">
        <f t="shared" si="12"/>
        <v>2.2727272727272729</v>
      </c>
      <c r="T21" s="3">
        <f t="shared" si="29"/>
        <v>4.5454545454545459</v>
      </c>
      <c r="U21" s="3">
        <f t="shared" si="17"/>
        <v>6.8181818181818183</v>
      </c>
      <c r="W21" s="4">
        <f t="shared" si="7"/>
        <v>2536</v>
      </c>
      <c r="X21" s="7" t="e">
        <f t="shared" si="8"/>
        <v>#REF!</v>
      </c>
      <c r="Y21" s="7" t="e">
        <f t="shared" si="9"/>
        <v>#REF!</v>
      </c>
      <c r="AC21" s="2">
        <v>46761</v>
      </c>
      <c r="AD21" s="3">
        <f t="shared" ref="AD21:AD41" si="30">AD20-AF20</f>
        <v>95.454545454545453</v>
      </c>
      <c r="AE21" s="3">
        <f t="shared" si="26"/>
        <v>2.3863636363636362</v>
      </c>
      <c r="AF21" s="3">
        <f>100/22</f>
        <v>4.5454545454545459</v>
      </c>
      <c r="AG21" s="3">
        <f t="shared" si="22"/>
        <v>6.9318181818181817</v>
      </c>
      <c r="AI21" s="4">
        <f t="shared" si="20"/>
        <v>2356</v>
      </c>
      <c r="AJ21" s="7">
        <f t="shared" si="24"/>
        <v>3.3017375418398123</v>
      </c>
      <c r="AK21" s="7">
        <f t="shared" si="23"/>
        <v>21.608037912707214</v>
      </c>
      <c r="AO21" s="2">
        <f t="shared" si="13"/>
        <v>46943</v>
      </c>
      <c r="AP21" s="3">
        <f t="shared" si="14"/>
        <v>90.909090909090907</v>
      </c>
      <c r="AQ21" s="3">
        <f t="shared" si="15"/>
        <v>2.2727272727272729</v>
      </c>
      <c r="AR21" s="3">
        <f>100/22</f>
        <v>4.5454545454545459</v>
      </c>
      <c r="AS21" s="3">
        <f t="shared" si="18"/>
        <v>6.8181818181818183</v>
      </c>
      <c r="AU21" s="56">
        <v>0.13500000000000001</v>
      </c>
      <c r="AV21" s="8">
        <f t="shared" si="0"/>
        <v>49.95669490802463</v>
      </c>
      <c r="AX21" s="2">
        <f t="shared" si="1"/>
        <v>46943</v>
      </c>
      <c r="AY21" s="3">
        <f t="shared" si="2"/>
        <v>90.909090909090907</v>
      </c>
      <c r="AZ21" s="3">
        <f t="shared" si="3"/>
        <v>2.2727272727272729</v>
      </c>
      <c r="BA21" s="3">
        <f t="shared" si="27"/>
        <v>4.5454545454545459</v>
      </c>
      <c r="BB21" s="3">
        <f t="shared" si="19"/>
        <v>6.8181818181818183</v>
      </c>
    </row>
    <row r="22" spans="5:54" x14ac:dyDescent="0.2">
      <c r="E22" s="2">
        <v>47127</v>
      </c>
      <c r="F22" s="3">
        <f t="shared" si="28"/>
        <v>86.36363636363636</v>
      </c>
      <c r="G22" s="3">
        <f t="shared" si="25"/>
        <v>2.1590909090909092</v>
      </c>
      <c r="H22" s="3">
        <f>100/22</f>
        <v>4.5454545454545459</v>
      </c>
      <c r="I22" s="3">
        <f t="shared" si="16"/>
        <v>6.704545454545455</v>
      </c>
      <c r="K22" s="4">
        <f t="shared" si="4"/>
        <v>2716</v>
      </c>
      <c r="L22" s="7">
        <f t="shared" si="5"/>
        <v>1.949545653535675</v>
      </c>
      <c r="M22" s="7">
        <f t="shared" si="6"/>
        <v>14.708238875008037</v>
      </c>
      <c r="Q22" s="2">
        <f t="shared" si="10"/>
        <v>47127</v>
      </c>
      <c r="R22" s="3">
        <f t="shared" si="11"/>
        <v>86.36363636363636</v>
      </c>
      <c r="S22" s="3">
        <f t="shared" si="12"/>
        <v>2.1590909090909092</v>
      </c>
      <c r="T22" s="3">
        <f t="shared" si="29"/>
        <v>4.5454545454545459</v>
      </c>
      <c r="U22" s="3">
        <f t="shared" si="17"/>
        <v>6.704545454545455</v>
      </c>
      <c r="W22" s="4">
        <f t="shared" si="7"/>
        <v>2716</v>
      </c>
      <c r="X22" s="7" t="e">
        <f t="shared" si="8"/>
        <v>#REF!</v>
      </c>
      <c r="Y22" s="7" t="e">
        <f t="shared" si="9"/>
        <v>#REF!</v>
      </c>
      <c r="AC22" s="2">
        <v>46943</v>
      </c>
      <c r="AD22" s="3">
        <f t="shared" si="30"/>
        <v>90.909090909090907</v>
      </c>
      <c r="AE22" s="3">
        <f t="shared" si="26"/>
        <v>2.2727272727272729</v>
      </c>
      <c r="AF22" s="3">
        <f>100/22</f>
        <v>4.5454545454545459</v>
      </c>
      <c r="AG22" s="3">
        <f t="shared" si="22"/>
        <v>6.8181818181818183</v>
      </c>
      <c r="AI22" s="4">
        <f t="shared" si="20"/>
        <v>2536</v>
      </c>
      <c r="AJ22" s="7">
        <f t="shared" si="24"/>
        <v>3.0687036639744245</v>
      </c>
      <c r="AK22" s="7">
        <f t="shared" si="23"/>
        <v>21.617312477330945</v>
      </c>
      <c r="AO22" s="2">
        <f t="shared" si="13"/>
        <v>47127</v>
      </c>
      <c r="AP22" s="3">
        <f t="shared" si="14"/>
        <v>86.36363636363636</v>
      </c>
      <c r="AQ22" s="3">
        <f t="shared" si="15"/>
        <v>2.1590909090909092</v>
      </c>
      <c r="AR22" s="3">
        <f>100/22</f>
        <v>4.5454545454545459</v>
      </c>
      <c r="AS22" s="3">
        <f t="shared" si="18"/>
        <v>6.704545454545455</v>
      </c>
      <c r="AU22" s="56">
        <v>0.14000000000000001</v>
      </c>
      <c r="AV22" s="8">
        <f t="shared" si="0"/>
        <v>48.293541560589944</v>
      </c>
      <c r="AX22" s="2">
        <f t="shared" si="1"/>
        <v>47127</v>
      </c>
      <c r="AY22" s="3">
        <f t="shared" si="2"/>
        <v>86.36363636363636</v>
      </c>
      <c r="AZ22" s="3">
        <f t="shared" si="3"/>
        <v>2.1590909090909092</v>
      </c>
      <c r="BA22" s="3">
        <f t="shared" si="27"/>
        <v>4.5454545454545459</v>
      </c>
      <c r="BB22" s="3">
        <f t="shared" si="19"/>
        <v>6.704545454545455</v>
      </c>
    </row>
    <row r="23" spans="5:54" x14ac:dyDescent="0.2">
      <c r="E23" s="2">
        <v>47308</v>
      </c>
      <c r="F23" s="3">
        <f t="shared" si="28"/>
        <v>81.818181818181813</v>
      </c>
      <c r="G23" s="3">
        <f t="shared" si="25"/>
        <v>2.0454545454545454</v>
      </c>
      <c r="H23" s="3">
        <f t="shared" ref="H23:H40" si="31">100/22</f>
        <v>4.5454545454545459</v>
      </c>
      <c r="I23" s="3">
        <f t="shared" si="16"/>
        <v>6.5909090909090917</v>
      </c>
      <c r="K23" s="4">
        <f t="shared" si="4"/>
        <v>2896</v>
      </c>
      <c r="L23" s="7">
        <f t="shared" si="5"/>
        <v>1.7658657091570387</v>
      </c>
      <c r="M23" s="7">
        <f t="shared" si="6"/>
        <v>14.205408593663288</v>
      </c>
      <c r="Q23" s="2">
        <f t="shared" si="10"/>
        <v>47308</v>
      </c>
      <c r="R23" s="3">
        <f t="shared" si="11"/>
        <v>81.818181818181813</v>
      </c>
      <c r="S23" s="3">
        <f t="shared" si="12"/>
        <v>2.0454545454545454</v>
      </c>
      <c r="T23" s="3">
        <f t="shared" si="29"/>
        <v>4.5454545454545459</v>
      </c>
      <c r="U23" s="3">
        <f t="shared" si="17"/>
        <v>6.5909090909090917</v>
      </c>
      <c r="W23" s="4">
        <f t="shared" si="7"/>
        <v>2896</v>
      </c>
      <c r="X23" s="7" t="e">
        <f t="shared" si="8"/>
        <v>#REF!</v>
      </c>
      <c r="Y23" s="7" t="e">
        <f t="shared" si="9"/>
        <v>#REF!</v>
      </c>
      <c r="AC23" s="2">
        <v>47127</v>
      </c>
      <c r="AD23" s="3">
        <f t="shared" si="30"/>
        <v>86.36363636363636</v>
      </c>
      <c r="AE23" s="3">
        <f t="shared" si="26"/>
        <v>2.1590909090909092</v>
      </c>
      <c r="AF23" s="3">
        <f>100/22</f>
        <v>4.5454545454545459</v>
      </c>
      <c r="AG23" s="3">
        <f t="shared" si="22"/>
        <v>6.704545454545455</v>
      </c>
      <c r="AI23" s="4">
        <f t="shared" si="20"/>
        <v>2716</v>
      </c>
      <c r="AJ23" s="7">
        <f t="shared" si="24"/>
        <v>2.8513248678066296</v>
      </c>
      <c r="AK23" s="7">
        <f t="shared" si="23"/>
        <v>21.511662058230016</v>
      </c>
      <c r="AO23" s="2">
        <f t="shared" si="13"/>
        <v>47308</v>
      </c>
      <c r="AP23" s="3">
        <f t="shared" si="14"/>
        <v>81.818181818181813</v>
      </c>
      <c r="AQ23" s="3">
        <f t="shared" si="15"/>
        <v>2.0454545454545454</v>
      </c>
      <c r="AR23" s="3">
        <f t="shared" ref="AR23:AR40" si="32">100/22</f>
        <v>4.5454545454545459</v>
      </c>
      <c r="AS23" s="3">
        <f t="shared" si="18"/>
        <v>6.5909090909090917</v>
      </c>
      <c r="AU23" s="56">
        <v>0.14499999999999999</v>
      </c>
      <c r="AV23" s="8">
        <f t="shared" si="0"/>
        <v>46.70682738697527</v>
      </c>
      <c r="AX23" s="2">
        <f t="shared" si="1"/>
        <v>47308</v>
      </c>
      <c r="AY23" s="3">
        <f t="shared" si="2"/>
        <v>81.818181818181813</v>
      </c>
      <c r="AZ23" s="3">
        <f t="shared" si="3"/>
        <v>2.0454545454545454</v>
      </c>
      <c r="BA23" s="3">
        <f t="shared" si="27"/>
        <v>4.5454545454545459</v>
      </c>
      <c r="BB23" s="3">
        <f t="shared" si="19"/>
        <v>6.5909090909090917</v>
      </c>
    </row>
    <row r="24" spans="5:54" x14ac:dyDescent="0.2">
      <c r="E24" s="2">
        <v>47492</v>
      </c>
      <c r="F24" s="3">
        <f t="shared" si="28"/>
        <v>77.272727272727266</v>
      </c>
      <c r="G24" s="3">
        <f t="shared" si="25"/>
        <v>1.9318181818181817</v>
      </c>
      <c r="H24" s="3">
        <f t="shared" si="31"/>
        <v>4.5454545454545459</v>
      </c>
      <c r="I24" s="3">
        <f t="shared" si="16"/>
        <v>6.4772727272727275</v>
      </c>
      <c r="K24" s="4">
        <f t="shared" si="4"/>
        <v>3076</v>
      </c>
      <c r="L24" s="7">
        <f t="shared" si="5"/>
        <v>1.5990160274585805</v>
      </c>
      <c r="M24" s="7">
        <f t="shared" si="6"/>
        <v>13.662703612396093</v>
      </c>
      <c r="Q24" s="2">
        <f t="shared" si="10"/>
        <v>47492</v>
      </c>
      <c r="R24" s="3">
        <f t="shared" si="11"/>
        <v>77.272727272727266</v>
      </c>
      <c r="S24" s="3">
        <f t="shared" si="12"/>
        <v>1.9318181818181817</v>
      </c>
      <c r="T24" s="3">
        <f t="shared" si="29"/>
        <v>4.5454545454545459</v>
      </c>
      <c r="U24" s="3">
        <f t="shared" si="17"/>
        <v>6.4772727272727275</v>
      </c>
      <c r="W24" s="4">
        <f t="shared" si="7"/>
        <v>3076</v>
      </c>
      <c r="X24" s="7" t="e">
        <f t="shared" si="8"/>
        <v>#REF!</v>
      </c>
      <c r="Y24" s="7" t="e">
        <f t="shared" si="9"/>
        <v>#REF!</v>
      </c>
      <c r="AC24" s="2">
        <v>47308</v>
      </c>
      <c r="AD24" s="3">
        <f t="shared" si="30"/>
        <v>81.818181818181813</v>
      </c>
      <c r="AE24" s="3">
        <f t="shared" si="26"/>
        <v>2.0454545454545454</v>
      </c>
      <c r="AF24" s="3">
        <f t="shared" ref="AF24:AF41" si="33">100/22</f>
        <v>4.5454545454545459</v>
      </c>
      <c r="AG24" s="3">
        <f t="shared" si="22"/>
        <v>6.5909090909090917</v>
      </c>
      <c r="AI24" s="4">
        <f t="shared" si="20"/>
        <v>2896</v>
      </c>
      <c r="AJ24" s="7">
        <f t="shared" si="24"/>
        <v>2.6485835195017358</v>
      </c>
      <c r="AK24" s="7">
        <f t="shared" si="23"/>
        <v>21.306382979102853</v>
      </c>
      <c r="AO24" s="2">
        <f t="shared" si="13"/>
        <v>47492</v>
      </c>
      <c r="AP24" s="3">
        <f t="shared" si="14"/>
        <v>77.272727272727266</v>
      </c>
      <c r="AQ24" s="3">
        <f t="shared" si="15"/>
        <v>1.9318181818181817</v>
      </c>
      <c r="AR24" s="3">
        <f t="shared" si="32"/>
        <v>4.5454545454545459</v>
      </c>
      <c r="AS24" s="3">
        <f t="shared" si="18"/>
        <v>6.4772727272727275</v>
      </c>
      <c r="AU24" s="56">
        <v>0.15</v>
      </c>
      <c r="AV24" s="8">
        <f t="shared" si="0"/>
        <v>45.192342180586373</v>
      </c>
      <c r="AX24" s="2">
        <f t="shared" si="1"/>
        <v>47492</v>
      </c>
      <c r="AY24" s="3">
        <f t="shared" si="2"/>
        <v>77.272727272727266</v>
      </c>
      <c r="AZ24" s="3">
        <f t="shared" si="3"/>
        <v>1.9318181818181817</v>
      </c>
      <c r="BA24" s="3">
        <f t="shared" si="27"/>
        <v>4.5454545454545459</v>
      </c>
      <c r="BB24" s="3">
        <f t="shared" si="19"/>
        <v>6.4772727272727275</v>
      </c>
    </row>
    <row r="25" spans="5:54" x14ac:dyDescent="0.2">
      <c r="E25" s="2">
        <v>47673</v>
      </c>
      <c r="F25" s="3">
        <f t="shared" si="28"/>
        <v>72.72727272727272</v>
      </c>
      <c r="G25" s="3">
        <f t="shared" si="25"/>
        <v>1.8181818181818181</v>
      </c>
      <c r="H25" s="3">
        <f t="shared" si="31"/>
        <v>4.5454545454545459</v>
      </c>
      <c r="I25" s="3">
        <f t="shared" si="16"/>
        <v>6.3636363636363642</v>
      </c>
      <c r="K25" s="4">
        <f t="shared" si="4"/>
        <v>3256</v>
      </c>
      <c r="L25" s="7">
        <f t="shared" si="5"/>
        <v>1.447485659243668</v>
      </c>
      <c r="M25" s="7">
        <f t="shared" si="6"/>
        <v>13.091703629159397</v>
      </c>
      <c r="Q25" s="2">
        <f t="shared" si="10"/>
        <v>47673</v>
      </c>
      <c r="R25" s="3">
        <f t="shared" si="11"/>
        <v>72.72727272727272</v>
      </c>
      <c r="S25" s="3">
        <f t="shared" si="12"/>
        <v>1.8181818181818181</v>
      </c>
      <c r="T25" s="3">
        <f t="shared" si="29"/>
        <v>4.5454545454545459</v>
      </c>
      <c r="U25" s="3">
        <f t="shared" si="17"/>
        <v>6.3636363636363642</v>
      </c>
      <c r="W25" s="4">
        <f t="shared" si="7"/>
        <v>3256</v>
      </c>
      <c r="X25" s="7" t="e">
        <f t="shared" si="8"/>
        <v>#REF!</v>
      </c>
      <c r="Y25" s="7" t="e">
        <f t="shared" si="9"/>
        <v>#REF!</v>
      </c>
      <c r="AC25" s="2">
        <v>47492</v>
      </c>
      <c r="AD25" s="3">
        <f t="shared" si="30"/>
        <v>77.272727272727266</v>
      </c>
      <c r="AE25" s="3">
        <f t="shared" si="26"/>
        <v>1.9318181818181817</v>
      </c>
      <c r="AF25" s="3">
        <f t="shared" si="33"/>
        <v>4.5454545454545459</v>
      </c>
      <c r="AG25" s="3">
        <f t="shared" si="22"/>
        <v>6.4772727272727275</v>
      </c>
      <c r="AI25" s="4">
        <f t="shared" si="20"/>
        <v>3076</v>
      </c>
      <c r="AJ25" s="7">
        <f t="shared" si="24"/>
        <v>2.4595265960196406</v>
      </c>
      <c r="AK25" s="7">
        <f t="shared" si="23"/>
        <v>21.015288359323375</v>
      </c>
      <c r="AO25" s="2">
        <f t="shared" si="13"/>
        <v>47673</v>
      </c>
      <c r="AP25" s="3">
        <f t="shared" si="14"/>
        <v>72.72727272727272</v>
      </c>
      <c r="AQ25" s="3">
        <f t="shared" si="15"/>
        <v>1.8181818181818181</v>
      </c>
      <c r="AR25" s="3">
        <f t="shared" si="32"/>
        <v>4.5454545454545459</v>
      </c>
      <c r="AS25" s="3">
        <f t="shared" si="18"/>
        <v>6.3636363636363642</v>
      </c>
      <c r="AU25" s="56">
        <v>0.155</v>
      </c>
      <c r="AV25" s="8">
        <f t="shared" si="0"/>
        <v>43.746139705458283</v>
      </c>
      <c r="AX25" s="2">
        <f t="shared" si="1"/>
        <v>47673</v>
      </c>
      <c r="AY25" s="3">
        <f t="shared" si="2"/>
        <v>72.72727272727272</v>
      </c>
      <c r="AZ25" s="3">
        <f t="shared" si="3"/>
        <v>1.8181818181818181</v>
      </c>
      <c r="BA25" s="3">
        <f t="shared" si="27"/>
        <v>4.5454545454545459</v>
      </c>
      <c r="BB25" s="3">
        <f t="shared" si="19"/>
        <v>6.3636363636363642</v>
      </c>
    </row>
    <row r="26" spans="5:54" x14ac:dyDescent="0.2">
      <c r="E26" s="2">
        <v>47857</v>
      </c>
      <c r="F26" s="3">
        <f t="shared" si="28"/>
        <v>68.181818181818173</v>
      </c>
      <c r="G26" s="3">
        <f t="shared" si="25"/>
        <v>1.7045454545454544</v>
      </c>
      <c r="H26" s="3">
        <f t="shared" si="31"/>
        <v>4.5454545454545459</v>
      </c>
      <c r="I26" s="3">
        <f t="shared" si="16"/>
        <v>6.25</v>
      </c>
      <c r="K26" s="4">
        <f t="shared" si="4"/>
        <v>3436</v>
      </c>
      <c r="L26" s="7">
        <f t="shared" si="5"/>
        <v>1.3098971997809965</v>
      </c>
      <c r="M26" s="7">
        <f t="shared" si="6"/>
        <v>12.502241051243066</v>
      </c>
      <c r="Q26" s="2">
        <f t="shared" si="10"/>
        <v>47857</v>
      </c>
      <c r="R26" s="3">
        <f t="shared" si="11"/>
        <v>68.181818181818173</v>
      </c>
      <c r="S26" s="3">
        <f t="shared" si="12"/>
        <v>1.7045454545454544</v>
      </c>
      <c r="T26" s="3">
        <f t="shared" si="29"/>
        <v>4.5454545454545459</v>
      </c>
      <c r="U26" s="3">
        <f t="shared" si="17"/>
        <v>6.25</v>
      </c>
      <c r="W26" s="4">
        <f t="shared" si="7"/>
        <v>3436</v>
      </c>
      <c r="X26" s="7" t="e">
        <f t="shared" si="8"/>
        <v>#REF!</v>
      </c>
      <c r="Y26" s="7" t="e">
        <f t="shared" si="9"/>
        <v>#REF!</v>
      </c>
      <c r="AC26" s="2">
        <v>47673</v>
      </c>
      <c r="AD26" s="3">
        <f t="shared" si="30"/>
        <v>72.72727272727272</v>
      </c>
      <c r="AE26" s="3">
        <f t="shared" si="26"/>
        <v>1.8181818181818181</v>
      </c>
      <c r="AF26" s="3">
        <f t="shared" si="33"/>
        <v>4.5454545454545459</v>
      </c>
      <c r="AG26" s="3">
        <f t="shared" si="22"/>
        <v>6.3636363636363642</v>
      </c>
      <c r="AI26" s="4">
        <f t="shared" si="20"/>
        <v>3256</v>
      </c>
      <c r="AJ26" s="7">
        <f t="shared" si="24"/>
        <v>2.2832616547428755</v>
      </c>
      <c r="AK26" s="7">
        <f t="shared" si="23"/>
        <v>20.650833188452228</v>
      </c>
      <c r="AO26" s="2">
        <f t="shared" si="13"/>
        <v>47857</v>
      </c>
      <c r="AP26" s="3">
        <f t="shared" si="14"/>
        <v>68.181818181818173</v>
      </c>
      <c r="AQ26" s="3">
        <f t="shared" si="15"/>
        <v>1.7045454545454544</v>
      </c>
      <c r="AR26" s="3">
        <f t="shared" si="32"/>
        <v>4.5454545454545459</v>
      </c>
      <c r="AS26" s="3">
        <f t="shared" si="18"/>
        <v>6.25</v>
      </c>
      <c r="AU26" s="56">
        <v>0.16</v>
      </c>
      <c r="AV26" s="8">
        <f t="shared" si="0"/>
        <v>42.3645193838572</v>
      </c>
      <c r="AX26" s="2">
        <f t="shared" si="1"/>
        <v>47857</v>
      </c>
      <c r="AY26" s="3">
        <f t="shared" si="2"/>
        <v>68.181818181818173</v>
      </c>
      <c r="AZ26" s="3">
        <f t="shared" si="3"/>
        <v>1.7045454545454544</v>
      </c>
      <c r="BA26" s="3">
        <f t="shared" si="27"/>
        <v>4.5454545454545459</v>
      </c>
      <c r="BB26" s="3">
        <f t="shared" si="19"/>
        <v>6.25</v>
      </c>
    </row>
    <row r="27" spans="5:54" x14ac:dyDescent="0.2">
      <c r="E27" s="2">
        <v>48038</v>
      </c>
      <c r="F27" s="3">
        <f t="shared" si="28"/>
        <v>63.636363636363626</v>
      </c>
      <c r="G27" s="3">
        <f t="shared" si="25"/>
        <v>1.5909090909090908</v>
      </c>
      <c r="H27" s="3">
        <f t="shared" si="31"/>
        <v>4.5454545454545459</v>
      </c>
      <c r="I27" s="3">
        <f t="shared" si="16"/>
        <v>6.1363636363636367</v>
      </c>
      <c r="K27" s="4">
        <f t="shared" si="4"/>
        <v>3616</v>
      </c>
      <c r="L27" s="7">
        <f t="shared" si="5"/>
        <v>1.1849951302029558</v>
      </c>
      <c r="M27" s="7">
        <f t="shared" si="6"/>
        <v>11.902617752260801</v>
      </c>
      <c r="Q27" s="2">
        <f t="shared" si="10"/>
        <v>48038</v>
      </c>
      <c r="R27" s="3">
        <f t="shared" si="11"/>
        <v>63.636363636363626</v>
      </c>
      <c r="S27" s="3">
        <f t="shared" si="12"/>
        <v>1.5909090909090908</v>
      </c>
      <c r="T27" s="3">
        <f t="shared" si="29"/>
        <v>4.5454545454545459</v>
      </c>
      <c r="U27" s="3">
        <f t="shared" si="17"/>
        <v>6.1363636363636367</v>
      </c>
      <c r="W27" s="4">
        <f t="shared" si="7"/>
        <v>3616</v>
      </c>
      <c r="X27" s="7" t="e">
        <f t="shared" si="8"/>
        <v>#REF!</v>
      </c>
      <c r="Y27" s="7" t="e">
        <f t="shared" si="9"/>
        <v>#REF!</v>
      </c>
      <c r="AC27" s="2">
        <v>47857</v>
      </c>
      <c r="AD27" s="3">
        <f t="shared" si="30"/>
        <v>68.181818181818173</v>
      </c>
      <c r="AE27" s="3">
        <f t="shared" si="26"/>
        <v>1.7045454545454544</v>
      </c>
      <c r="AF27" s="3">
        <f t="shared" si="33"/>
        <v>4.5454545454545459</v>
      </c>
      <c r="AG27" s="3">
        <f t="shared" si="22"/>
        <v>6.25</v>
      </c>
      <c r="AI27" s="4">
        <f t="shared" si="20"/>
        <v>3436</v>
      </c>
      <c r="AJ27" s="7">
        <f t="shared" si="24"/>
        <v>2.1189530510820838</v>
      </c>
      <c r="AK27" s="7">
        <f t="shared" si="23"/>
        <v>20.224229676438998</v>
      </c>
      <c r="AO27" s="2">
        <f t="shared" si="13"/>
        <v>48038</v>
      </c>
      <c r="AP27" s="3">
        <f t="shared" si="14"/>
        <v>63.636363636363626</v>
      </c>
      <c r="AQ27" s="3">
        <f t="shared" si="15"/>
        <v>1.5909090909090908</v>
      </c>
      <c r="AR27" s="3">
        <f t="shared" si="32"/>
        <v>4.5454545454545459</v>
      </c>
      <c r="AS27" s="3">
        <f t="shared" si="18"/>
        <v>6.1363636363636367</v>
      </c>
      <c r="AX27" s="2">
        <f t="shared" si="1"/>
        <v>48038</v>
      </c>
      <c r="AY27" s="3">
        <f t="shared" si="2"/>
        <v>63.636363636363626</v>
      </c>
      <c r="AZ27" s="3">
        <f t="shared" si="3"/>
        <v>1.5909090909090908</v>
      </c>
      <c r="BA27" s="3">
        <f t="shared" si="27"/>
        <v>4.5454545454545459</v>
      </c>
      <c r="BB27" s="3">
        <f t="shared" si="19"/>
        <v>6.1363636363636367</v>
      </c>
    </row>
    <row r="28" spans="5:54" x14ac:dyDescent="0.2">
      <c r="E28" s="2">
        <v>48222</v>
      </c>
      <c r="F28" s="3">
        <f t="shared" si="28"/>
        <v>59.090909090909079</v>
      </c>
      <c r="G28" s="3">
        <f t="shared" si="25"/>
        <v>1.4772727272727271</v>
      </c>
      <c r="H28" s="3">
        <f t="shared" si="31"/>
        <v>4.5454545454545459</v>
      </c>
      <c r="I28" s="3">
        <f t="shared" si="16"/>
        <v>6.0227272727272734</v>
      </c>
      <c r="K28" s="4">
        <f t="shared" si="4"/>
        <v>3796</v>
      </c>
      <c r="L28" s="7">
        <f t="shared" si="5"/>
        <v>1.0716351666034492</v>
      </c>
      <c r="M28" s="7">
        <f t="shared" si="6"/>
        <v>11.299797478963036</v>
      </c>
      <c r="Q28" s="2">
        <f t="shared" si="10"/>
        <v>48222</v>
      </c>
      <c r="R28" s="3">
        <f t="shared" si="11"/>
        <v>59.090909090909079</v>
      </c>
      <c r="S28" s="3">
        <f t="shared" si="12"/>
        <v>1.4772727272727271</v>
      </c>
      <c r="T28" s="3">
        <f t="shared" si="29"/>
        <v>4.5454545454545459</v>
      </c>
      <c r="U28" s="3">
        <f t="shared" si="17"/>
        <v>6.0227272727272734</v>
      </c>
      <c r="W28" s="4">
        <f t="shared" si="7"/>
        <v>3796</v>
      </c>
      <c r="X28" s="7" t="e">
        <f t="shared" si="8"/>
        <v>#REF!</v>
      </c>
      <c r="Y28" s="7" t="e">
        <f t="shared" si="9"/>
        <v>#REF!</v>
      </c>
      <c r="AC28" s="2">
        <v>48038</v>
      </c>
      <c r="AD28" s="3">
        <f t="shared" si="30"/>
        <v>63.636363636363626</v>
      </c>
      <c r="AE28" s="3">
        <f t="shared" si="26"/>
        <v>1.5909090909090908</v>
      </c>
      <c r="AF28" s="3">
        <f t="shared" si="33"/>
        <v>4.5454545454545459</v>
      </c>
      <c r="AG28" s="3">
        <f t="shared" si="22"/>
        <v>6.1363636363636367</v>
      </c>
      <c r="AI28" s="4">
        <f t="shared" si="20"/>
        <v>3616</v>
      </c>
      <c r="AJ28" s="7">
        <f t="shared" si="24"/>
        <v>1.9658183889686742</v>
      </c>
      <c r="AK28" s="7">
        <f t="shared" si="23"/>
        <v>19.745553595863129</v>
      </c>
      <c r="AO28" s="2">
        <f t="shared" si="13"/>
        <v>48222</v>
      </c>
      <c r="AP28" s="3">
        <f t="shared" si="14"/>
        <v>59.090909090909079</v>
      </c>
      <c r="AQ28" s="3">
        <f t="shared" si="15"/>
        <v>1.4772727272727271</v>
      </c>
      <c r="AR28" s="3">
        <f t="shared" si="32"/>
        <v>4.5454545454545459</v>
      </c>
      <c r="AS28" s="3">
        <f t="shared" si="18"/>
        <v>6.0227272727272734</v>
      </c>
      <c r="AX28" s="2">
        <f t="shared" si="1"/>
        <v>48222</v>
      </c>
      <c r="AY28" s="3">
        <f t="shared" si="2"/>
        <v>59.090909090909079</v>
      </c>
      <c r="AZ28" s="3">
        <f t="shared" si="3"/>
        <v>1.4772727272727271</v>
      </c>
      <c r="BA28" s="3">
        <f t="shared" si="27"/>
        <v>4.5454545454545459</v>
      </c>
      <c r="BB28" s="3">
        <f t="shared" si="19"/>
        <v>6.0227272727272734</v>
      </c>
    </row>
    <row r="29" spans="5:54" x14ac:dyDescent="0.2">
      <c r="E29" s="2">
        <v>48404</v>
      </c>
      <c r="F29" s="3">
        <f t="shared" si="28"/>
        <v>54.545454545454533</v>
      </c>
      <c r="G29" s="3">
        <f t="shared" si="25"/>
        <v>1.3636363636363633</v>
      </c>
      <c r="H29" s="3">
        <f t="shared" si="31"/>
        <v>4.5454545454545459</v>
      </c>
      <c r="I29" s="3">
        <f t="shared" si="16"/>
        <v>5.9090909090909092</v>
      </c>
      <c r="K29" s="4">
        <f t="shared" si="4"/>
        <v>3976</v>
      </c>
      <c r="L29" s="7">
        <f t="shared" si="5"/>
        <v>0.96877453045120465</v>
      </c>
      <c r="M29" s="7">
        <f t="shared" si="6"/>
        <v>10.699576480761083</v>
      </c>
      <c r="Q29" s="2">
        <f t="shared" si="10"/>
        <v>48404</v>
      </c>
      <c r="R29" s="3">
        <f t="shared" si="11"/>
        <v>54.545454545454533</v>
      </c>
      <c r="S29" s="3">
        <f t="shared" si="12"/>
        <v>1.3636363636363633</v>
      </c>
      <c r="T29" s="3">
        <f t="shared" si="29"/>
        <v>4.5454545454545459</v>
      </c>
      <c r="U29" s="3">
        <f t="shared" si="17"/>
        <v>5.9090909090909092</v>
      </c>
      <c r="W29" s="4">
        <f t="shared" si="7"/>
        <v>3976</v>
      </c>
      <c r="X29" s="7" t="e">
        <f t="shared" si="8"/>
        <v>#REF!</v>
      </c>
      <c r="Y29" s="7" t="e">
        <f t="shared" si="9"/>
        <v>#REF!</v>
      </c>
      <c r="AC29" s="2">
        <v>48222</v>
      </c>
      <c r="AD29" s="3">
        <f t="shared" si="30"/>
        <v>59.090909090909079</v>
      </c>
      <c r="AE29" s="3">
        <f t="shared" si="26"/>
        <v>1.4772727272727271</v>
      </c>
      <c r="AF29" s="3">
        <f t="shared" si="33"/>
        <v>4.5454545454545459</v>
      </c>
      <c r="AG29" s="3">
        <f t="shared" si="22"/>
        <v>6.0227272727272734</v>
      </c>
      <c r="AI29" s="4">
        <f t="shared" si="20"/>
        <v>3796</v>
      </c>
      <c r="AJ29" s="7">
        <f t="shared" si="24"/>
        <v>1.8231251900543903</v>
      </c>
      <c r="AK29" s="7">
        <f t="shared" si="23"/>
        <v>19.223842281795736</v>
      </c>
      <c r="AO29" s="2">
        <f t="shared" si="13"/>
        <v>48404</v>
      </c>
      <c r="AP29" s="3">
        <f t="shared" si="14"/>
        <v>54.545454545454533</v>
      </c>
      <c r="AQ29" s="3">
        <f t="shared" si="15"/>
        <v>1.3636363636363633</v>
      </c>
      <c r="AR29" s="3">
        <f t="shared" si="32"/>
        <v>4.5454545454545459</v>
      </c>
      <c r="AS29" s="3">
        <f t="shared" si="18"/>
        <v>5.9090909090909092</v>
      </c>
      <c r="AX29" s="2">
        <f t="shared" si="1"/>
        <v>48404</v>
      </c>
      <c r="AY29" s="3">
        <f t="shared" si="2"/>
        <v>54.545454545454533</v>
      </c>
      <c r="AZ29" s="3">
        <f t="shared" si="3"/>
        <v>1.3636363636363633</v>
      </c>
      <c r="BA29" s="3">
        <f t="shared" si="27"/>
        <v>4.5454545454545459</v>
      </c>
      <c r="BB29" s="3">
        <f t="shared" si="19"/>
        <v>5.9090909090909092</v>
      </c>
    </row>
    <row r="30" spans="5:54" x14ac:dyDescent="0.2">
      <c r="E30" s="2">
        <v>48588</v>
      </c>
      <c r="F30" s="3">
        <f t="shared" si="28"/>
        <v>49.999999999999986</v>
      </c>
      <c r="G30" s="3">
        <f t="shared" si="25"/>
        <v>1.2499999999999998</v>
      </c>
      <c r="H30" s="3">
        <f t="shared" si="31"/>
        <v>4.5454545454545459</v>
      </c>
      <c r="I30" s="3">
        <f t="shared" si="16"/>
        <v>5.7954545454545459</v>
      </c>
      <c r="K30" s="4">
        <f t="shared" si="4"/>
        <v>4156</v>
      </c>
      <c r="L30" s="7">
        <f t="shared" si="5"/>
        <v>0.87546306128866758</v>
      </c>
      <c r="M30" s="7">
        <f t="shared" si="6"/>
        <v>10.106734674210285</v>
      </c>
      <c r="Q30" s="2">
        <f t="shared" si="10"/>
        <v>48588</v>
      </c>
      <c r="R30" s="3">
        <f t="shared" si="11"/>
        <v>49.999999999999986</v>
      </c>
      <c r="S30" s="3">
        <f t="shared" si="12"/>
        <v>1.2499999999999998</v>
      </c>
      <c r="T30" s="3">
        <f t="shared" si="29"/>
        <v>4.5454545454545459</v>
      </c>
      <c r="U30" s="3">
        <f t="shared" si="17"/>
        <v>5.7954545454545459</v>
      </c>
      <c r="W30" s="4">
        <f t="shared" si="7"/>
        <v>4156</v>
      </c>
      <c r="X30" s="7" t="e">
        <f t="shared" si="8"/>
        <v>#REF!</v>
      </c>
      <c r="Y30" s="7" t="e">
        <f t="shared" si="9"/>
        <v>#REF!</v>
      </c>
      <c r="AC30" s="2">
        <v>48404</v>
      </c>
      <c r="AD30" s="3">
        <f t="shared" si="30"/>
        <v>54.545454545454533</v>
      </c>
      <c r="AE30" s="3">
        <f t="shared" si="26"/>
        <v>1.3636363636363633</v>
      </c>
      <c r="AF30" s="3">
        <f t="shared" si="33"/>
        <v>4.5454545454545459</v>
      </c>
      <c r="AG30" s="3">
        <f t="shared" si="22"/>
        <v>5.9090909090909092</v>
      </c>
      <c r="AI30" s="4">
        <f t="shared" si="20"/>
        <v>3976</v>
      </c>
      <c r="AJ30" s="7">
        <f t="shared" si="24"/>
        <v>1.6901877682931721</v>
      </c>
      <c r="AK30" s="7">
        <f t="shared" si="23"/>
        <v>18.667184907593477</v>
      </c>
      <c r="AO30" s="2">
        <f t="shared" si="13"/>
        <v>48588</v>
      </c>
      <c r="AP30" s="3">
        <f t="shared" si="14"/>
        <v>49.999999999999986</v>
      </c>
      <c r="AQ30" s="3">
        <f t="shared" si="15"/>
        <v>1.2499999999999998</v>
      </c>
      <c r="AR30" s="3">
        <f t="shared" si="32"/>
        <v>4.5454545454545459</v>
      </c>
      <c r="AS30" s="3">
        <f t="shared" si="18"/>
        <v>5.7954545454545459</v>
      </c>
      <c r="AX30" s="2">
        <f t="shared" si="1"/>
        <v>48588</v>
      </c>
      <c r="AY30" s="3">
        <f t="shared" si="2"/>
        <v>49.999999999999986</v>
      </c>
      <c r="AZ30" s="3">
        <f t="shared" si="3"/>
        <v>1.2499999999999998</v>
      </c>
      <c r="BA30" s="3">
        <f t="shared" si="27"/>
        <v>4.5454545454545459</v>
      </c>
      <c r="BB30" s="3">
        <f t="shared" si="19"/>
        <v>5.7954545454545459</v>
      </c>
    </row>
    <row r="31" spans="5:54" x14ac:dyDescent="0.2">
      <c r="E31" s="2">
        <v>48769</v>
      </c>
      <c r="F31" s="3">
        <f t="shared" si="28"/>
        <v>45.454545454545439</v>
      </c>
      <c r="G31" s="3">
        <f t="shared" si="25"/>
        <v>1.136363636363636</v>
      </c>
      <c r="H31" s="3">
        <f t="shared" si="31"/>
        <v>4.5454545454545459</v>
      </c>
      <c r="I31" s="3">
        <f t="shared" si="16"/>
        <v>5.6818181818181817</v>
      </c>
      <c r="K31" s="4">
        <f t="shared" si="4"/>
        <v>4336</v>
      </c>
      <c r="L31" s="7">
        <f t="shared" si="5"/>
        <v>0.79083509941819463</v>
      </c>
      <c r="M31" s="7">
        <f t="shared" si="6"/>
        <v>9.5251694196591448</v>
      </c>
      <c r="Q31" s="2">
        <f t="shared" si="10"/>
        <v>48769</v>
      </c>
      <c r="R31" s="3">
        <f t="shared" si="11"/>
        <v>45.454545454545439</v>
      </c>
      <c r="S31" s="3">
        <f t="shared" si="12"/>
        <v>1.136363636363636</v>
      </c>
      <c r="T31" s="3">
        <f t="shared" si="29"/>
        <v>4.5454545454545459</v>
      </c>
      <c r="U31" s="3">
        <f t="shared" si="17"/>
        <v>5.6818181818181817</v>
      </c>
      <c r="W31" s="4">
        <f t="shared" si="7"/>
        <v>4336</v>
      </c>
      <c r="X31" s="7" t="e">
        <f t="shared" si="8"/>
        <v>#REF!</v>
      </c>
      <c r="Y31" s="7" t="e">
        <f t="shared" si="9"/>
        <v>#REF!</v>
      </c>
      <c r="AC31" s="2">
        <v>48588</v>
      </c>
      <c r="AD31" s="3">
        <f t="shared" si="30"/>
        <v>49.999999999999986</v>
      </c>
      <c r="AE31" s="3">
        <f t="shared" si="26"/>
        <v>1.2499999999999998</v>
      </c>
      <c r="AF31" s="3">
        <f t="shared" si="33"/>
        <v>4.5454545454545459</v>
      </c>
      <c r="AG31" s="3">
        <f t="shared" si="22"/>
        <v>5.7954545454545459</v>
      </c>
      <c r="AI31" s="4">
        <f t="shared" si="20"/>
        <v>4156</v>
      </c>
      <c r="AJ31" s="7">
        <f t="shared" si="24"/>
        <v>1.5663642973850052</v>
      </c>
      <c r="AK31" s="7">
        <f t="shared" si="23"/>
        <v>18.082805610922449</v>
      </c>
      <c r="AO31" s="2">
        <f t="shared" si="13"/>
        <v>48769</v>
      </c>
      <c r="AP31" s="3">
        <f t="shared" si="14"/>
        <v>45.454545454545439</v>
      </c>
      <c r="AQ31" s="3">
        <f t="shared" si="15"/>
        <v>1.136363636363636</v>
      </c>
      <c r="AR31" s="3">
        <f t="shared" si="32"/>
        <v>4.5454545454545459</v>
      </c>
      <c r="AS31" s="3">
        <f t="shared" si="18"/>
        <v>5.6818181818181817</v>
      </c>
      <c r="AX31" s="2">
        <f t="shared" si="1"/>
        <v>48769</v>
      </c>
      <c r="AY31" s="3">
        <f t="shared" si="2"/>
        <v>45.454545454545439</v>
      </c>
      <c r="AZ31" s="3">
        <f t="shared" si="3"/>
        <v>1.136363636363636</v>
      </c>
      <c r="BA31" s="3">
        <f t="shared" si="27"/>
        <v>4.5454545454545459</v>
      </c>
      <c r="BB31" s="3">
        <f t="shared" si="19"/>
        <v>5.6818181818181817</v>
      </c>
    </row>
    <row r="32" spans="5:54" x14ac:dyDescent="0.2">
      <c r="E32" s="2">
        <v>48953</v>
      </c>
      <c r="F32" s="3">
        <f t="shared" si="28"/>
        <v>40.909090909090892</v>
      </c>
      <c r="G32" s="3">
        <f t="shared" si="25"/>
        <v>1.0227272727272723</v>
      </c>
      <c r="H32" s="3">
        <f t="shared" si="31"/>
        <v>4.5454545454545459</v>
      </c>
      <c r="I32" s="3">
        <f t="shared" si="16"/>
        <v>5.5681818181818183</v>
      </c>
      <c r="K32" s="4">
        <f t="shared" si="4"/>
        <v>4516</v>
      </c>
      <c r="L32" s="7">
        <f t="shared" si="5"/>
        <v>0.71410207243896384</v>
      </c>
      <c r="M32" s="7">
        <f t="shared" si="6"/>
        <v>8.9580137753732245</v>
      </c>
      <c r="Q32" s="2">
        <f t="shared" si="10"/>
        <v>48953</v>
      </c>
      <c r="R32" s="3">
        <f t="shared" si="11"/>
        <v>40.909090909090892</v>
      </c>
      <c r="S32" s="3">
        <f t="shared" si="12"/>
        <v>1.0227272727272723</v>
      </c>
      <c r="T32" s="3">
        <f t="shared" si="29"/>
        <v>4.5454545454545459</v>
      </c>
      <c r="U32" s="3">
        <f t="shared" si="17"/>
        <v>5.5681818181818183</v>
      </c>
      <c r="W32" s="4">
        <f t="shared" si="7"/>
        <v>4516</v>
      </c>
      <c r="X32" s="7" t="e">
        <f t="shared" si="8"/>
        <v>#REF!</v>
      </c>
      <c r="Y32" s="7" t="e">
        <f t="shared" si="9"/>
        <v>#REF!</v>
      </c>
      <c r="AC32" s="2">
        <v>48769</v>
      </c>
      <c r="AD32" s="3">
        <f t="shared" si="30"/>
        <v>45.454545454545439</v>
      </c>
      <c r="AE32" s="3">
        <f t="shared" si="26"/>
        <v>1.136363636363636</v>
      </c>
      <c r="AF32" s="3">
        <f t="shared" si="33"/>
        <v>4.5454545454545459</v>
      </c>
      <c r="AG32" s="3">
        <f t="shared" si="22"/>
        <v>5.6818181818181817</v>
      </c>
      <c r="AI32" s="4">
        <f t="shared" si="20"/>
        <v>4336</v>
      </c>
      <c r="AJ32" s="7">
        <f t="shared" si="24"/>
        <v>1.4510540593176267</v>
      </c>
      <c r="AK32" s="7">
        <f t="shared" si="23"/>
        <v>17.477140003336746</v>
      </c>
      <c r="AO32" s="2">
        <f t="shared" si="13"/>
        <v>48953</v>
      </c>
      <c r="AP32" s="3">
        <f t="shared" si="14"/>
        <v>40.909090909090892</v>
      </c>
      <c r="AQ32" s="3">
        <f t="shared" si="15"/>
        <v>1.0227272727272723</v>
      </c>
      <c r="AR32" s="3">
        <f t="shared" si="32"/>
        <v>4.5454545454545459</v>
      </c>
      <c r="AS32" s="3">
        <f t="shared" si="18"/>
        <v>5.5681818181818183</v>
      </c>
      <c r="AX32" s="2">
        <f t="shared" si="1"/>
        <v>48953</v>
      </c>
      <c r="AY32" s="3">
        <f t="shared" si="2"/>
        <v>40.909090909090892</v>
      </c>
      <c r="AZ32" s="3">
        <f t="shared" si="3"/>
        <v>1.0227272727272723</v>
      </c>
      <c r="BA32" s="3">
        <f t="shared" si="27"/>
        <v>4.5454545454545459</v>
      </c>
      <c r="BB32" s="3">
        <f t="shared" si="19"/>
        <v>5.5681818181818183</v>
      </c>
    </row>
    <row r="33" spans="5:54" x14ac:dyDescent="0.2">
      <c r="E33" s="2">
        <v>49134</v>
      </c>
      <c r="F33" s="3">
        <f t="shared" si="28"/>
        <v>36.363636363636346</v>
      </c>
      <c r="G33" s="3">
        <f t="shared" si="25"/>
        <v>0.90909090909090873</v>
      </c>
      <c r="H33" s="3">
        <f t="shared" si="31"/>
        <v>4.5454545454545459</v>
      </c>
      <c r="I33" s="3">
        <f t="shared" si="16"/>
        <v>5.454545454545455</v>
      </c>
      <c r="K33" s="4">
        <f t="shared" si="4"/>
        <v>4696</v>
      </c>
      <c r="L33" s="7">
        <f t="shared" si="5"/>
        <v>0.64454572513772534</v>
      </c>
      <c r="M33" s="7">
        <f t="shared" si="6"/>
        <v>8.4077409034632176</v>
      </c>
      <c r="Q33" s="2">
        <f t="shared" si="10"/>
        <v>49134</v>
      </c>
      <c r="R33" s="3">
        <f t="shared" si="11"/>
        <v>36.363636363636346</v>
      </c>
      <c r="S33" s="3">
        <f t="shared" si="12"/>
        <v>0.90909090909090873</v>
      </c>
      <c r="T33" s="3">
        <f t="shared" si="29"/>
        <v>4.5454545454545459</v>
      </c>
      <c r="U33" s="3">
        <f t="shared" si="17"/>
        <v>5.454545454545455</v>
      </c>
      <c r="W33" s="4">
        <f t="shared" si="7"/>
        <v>4696</v>
      </c>
      <c r="X33" s="7" t="e">
        <f t="shared" si="8"/>
        <v>#REF!</v>
      </c>
      <c r="Y33" s="7" t="e">
        <f t="shared" si="9"/>
        <v>#REF!</v>
      </c>
      <c r="AC33" s="2">
        <v>48953</v>
      </c>
      <c r="AD33" s="3">
        <f t="shared" si="30"/>
        <v>40.909090909090892</v>
      </c>
      <c r="AE33" s="3">
        <f t="shared" si="26"/>
        <v>1.0227272727272723</v>
      </c>
      <c r="AF33" s="3">
        <f t="shared" si="33"/>
        <v>4.5454545454545459</v>
      </c>
      <c r="AG33" s="3">
        <f t="shared" si="22"/>
        <v>5.5681818181818183</v>
      </c>
      <c r="AI33" s="4">
        <f t="shared" si="20"/>
        <v>4516</v>
      </c>
      <c r="AJ33" s="7">
        <f t="shared" si="24"/>
        <v>1.3436948629528227</v>
      </c>
      <c r="AK33" s="7">
        <f t="shared" si="23"/>
        <v>16.855905558597076</v>
      </c>
      <c r="AO33" s="2">
        <f t="shared" si="13"/>
        <v>49134</v>
      </c>
      <c r="AP33" s="3">
        <f t="shared" si="14"/>
        <v>36.363636363636346</v>
      </c>
      <c r="AQ33" s="3">
        <f t="shared" si="15"/>
        <v>0.90909090909090873</v>
      </c>
      <c r="AR33" s="3">
        <f t="shared" si="32"/>
        <v>4.5454545454545459</v>
      </c>
      <c r="AS33" s="3">
        <f t="shared" si="18"/>
        <v>5.454545454545455</v>
      </c>
      <c r="AX33" s="2">
        <f t="shared" si="1"/>
        <v>49134</v>
      </c>
      <c r="AY33" s="3">
        <f t="shared" si="2"/>
        <v>36.363636363636346</v>
      </c>
      <c r="AZ33" s="3">
        <f t="shared" si="3"/>
        <v>0.90909090909090873</v>
      </c>
      <c r="BA33" s="3">
        <f t="shared" si="27"/>
        <v>4.5454545454545459</v>
      </c>
      <c r="BB33" s="3">
        <f t="shared" si="19"/>
        <v>5.454545454545455</v>
      </c>
    </row>
    <row r="34" spans="5:54" x14ac:dyDescent="0.2">
      <c r="E34" s="2">
        <v>49318</v>
      </c>
      <c r="F34" s="3">
        <f t="shared" si="28"/>
        <v>31.818181818181799</v>
      </c>
      <c r="G34" s="3">
        <f t="shared" si="25"/>
        <v>0.79545454545454497</v>
      </c>
      <c r="H34" s="3">
        <f t="shared" si="31"/>
        <v>4.5454545454545459</v>
      </c>
      <c r="I34" s="3">
        <f t="shared" si="16"/>
        <v>5.3409090909090908</v>
      </c>
      <c r="K34" s="4">
        <f t="shared" si="4"/>
        <v>4876</v>
      </c>
      <c r="L34" s="7">
        <f t="shared" si="5"/>
        <v>0.5815119373982679</v>
      </c>
      <c r="M34" s="7">
        <f t="shared" si="6"/>
        <v>7.876256129872095</v>
      </c>
      <c r="Q34" s="2">
        <f t="shared" si="10"/>
        <v>49318</v>
      </c>
      <c r="R34" s="3">
        <f t="shared" si="11"/>
        <v>31.818181818181799</v>
      </c>
      <c r="S34" s="3">
        <f t="shared" si="12"/>
        <v>0.79545454545454497</v>
      </c>
      <c r="T34" s="3">
        <f t="shared" si="29"/>
        <v>4.5454545454545459</v>
      </c>
      <c r="U34" s="3">
        <f t="shared" si="17"/>
        <v>5.3409090909090908</v>
      </c>
      <c r="W34" s="4">
        <f t="shared" si="7"/>
        <v>4876</v>
      </c>
      <c r="X34" s="7" t="e">
        <f t="shared" si="8"/>
        <v>#REF!</v>
      </c>
      <c r="Y34" s="7" t="e">
        <f t="shared" si="9"/>
        <v>#REF!</v>
      </c>
      <c r="AC34" s="2">
        <v>49134</v>
      </c>
      <c r="AD34" s="3">
        <f t="shared" si="30"/>
        <v>36.363636363636346</v>
      </c>
      <c r="AE34" s="3">
        <f t="shared" si="26"/>
        <v>0.90909090909090873</v>
      </c>
      <c r="AF34" s="3">
        <f t="shared" si="33"/>
        <v>4.5454545454545459</v>
      </c>
      <c r="AG34" s="3">
        <f t="shared" si="22"/>
        <v>5.454545454545455</v>
      </c>
      <c r="AI34" s="4">
        <f t="shared" si="20"/>
        <v>4696</v>
      </c>
      <c r="AJ34" s="7">
        <f t="shared" si="24"/>
        <v>1.2437606222722515</v>
      </c>
      <c r="AK34" s="7">
        <f t="shared" si="23"/>
        <v>16.224166339418037</v>
      </c>
      <c r="AO34" s="2">
        <f t="shared" si="13"/>
        <v>49318</v>
      </c>
      <c r="AP34" s="3">
        <f t="shared" si="14"/>
        <v>31.818181818181799</v>
      </c>
      <c r="AQ34" s="3">
        <f t="shared" si="15"/>
        <v>0.79545454545454497</v>
      </c>
      <c r="AR34" s="3">
        <f t="shared" si="32"/>
        <v>4.5454545454545459</v>
      </c>
      <c r="AS34" s="3">
        <f t="shared" si="18"/>
        <v>5.3409090909090908</v>
      </c>
      <c r="AX34" s="2">
        <f t="shared" si="1"/>
        <v>49318</v>
      </c>
      <c r="AY34" s="3">
        <f t="shared" si="2"/>
        <v>31.818181818181799</v>
      </c>
      <c r="AZ34" s="3">
        <f t="shared" si="3"/>
        <v>0.79545454545454497</v>
      </c>
      <c r="BA34" s="3">
        <f t="shared" si="27"/>
        <v>4.5454545454545459</v>
      </c>
      <c r="BB34" s="3">
        <f t="shared" si="19"/>
        <v>5.3409090909090908</v>
      </c>
    </row>
    <row r="35" spans="5:54" x14ac:dyDescent="0.2">
      <c r="E35" s="2">
        <v>49499</v>
      </c>
      <c r="F35" s="3">
        <f t="shared" si="28"/>
        <v>27.272727272727252</v>
      </c>
      <c r="G35" s="3">
        <f t="shared" si="25"/>
        <v>0.68181818181818132</v>
      </c>
      <c r="H35" s="3">
        <f t="shared" si="31"/>
        <v>4.5454545454545459</v>
      </c>
      <c r="I35" s="3">
        <f t="shared" si="16"/>
        <v>5.2272727272727275</v>
      </c>
      <c r="K35" s="4">
        <f t="shared" si="4"/>
        <v>5056</v>
      </c>
      <c r="L35" s="7">
        <f t="shared" si="5"/>
        <v>0.52440507951854221</v>
      </c>
      <c r="M35" s="7">
        <f t="shared" si="6"/>
        <v>7.3649780056826373</v>
      </c>
      <c r="Q35" s="2">
        <f t="shared" si="10"/>
        <v>49499</v>
      </c>
      <c r="R35" s="3">
        <f t="shared" si="11"/>
        <v>27.272727272727252</v>
      </c>
      <c r="S35" s="3">
        <f t="shared" si="12"/>
        <v>0.68181818181818132</v>
      </c>
      <c r="T35" s="3">
        <f t="shared" si="29"/>
        <v>4.5454545454545459</v>
      </c>
      <c r="U35" s="3">
        <f t="shared" si="17"/>
        <v>5.2272727272727275</v>
      </c>
      <c r="W35" s="4">
        <f t="shared" si="7"/>
        <v>5056</v>
      </c>
      <c r="X35" s="7" t="e">
        <f t="shared" si="8"/>
        <v>#REF!</v>
      </c>
      <c r="Y35" s="7" t="e">
        <f t="shared" si="9"/>
        <v>#REF!</v>
      </c>
      <c r="AC35" s="2">
        <v>49318</v>
      </c>
      <c r="AD35" s="3">
        <f t="shared" si="30"/>
        <v>31.818181818181799</v>
      </c>
      <c r="AE35" s="3">
        <f t="shared" si="26"/>
        <v>0.79545454545454497</v>
      </c>
      <c r="AF35" s="3">
        <f t="shared" si="33"/>
        <v>4.5454545454545459</v>
      </c>
      <c r="AG35" s="3">
        <f t="shared" si="22"/>
        <v>5.3409090909090908</v>
      </c>
      <c r="AI35" s="4">
        <f t="shared" si="20"/>
        <v>4876</v>
      </c>
      <c r="AJ35" s="7">
        <f t="shared" si="24"/>
        <v>1.150759084525923</v>
      </c>
      <c r="AK35" s="7">
        <f t="shared" si="23"/>
        <v>15.586392489301113</v>
      </c>
      <c r="AO35" s="2">
        <f t="shared" si="13"/>
        <v>49499</v>
      </c>
      <c r="AP35" s="3">
        <f t="shared" si="14"/>
        <v>27.272727272727252</v>
      </c>
      <c r="AQ35" s="3">
        <f t="shared" si="15"/>
        <v>0.68181818181818132</v>
      </c>
      <c r="AR35" s="3">
        <f t="shared" si="32"/>
        <v>4.5454545454545459</v>
      </c>
      <c r="AS35" s="3">
        <f t="shared" si="18"/>
        <v>5.2272727272727275</v>
      </c>
      <c r="AX35" s="2">
        <f t="shared" si="1"/>
        <v>49499</v>
      </c>
      <c r="AY35" s="3">
        <f t="shared" si="2"/>
        <v>27.272727272727252</v>
      </c>
      <c r="AZ35" s="3">
        <f t="shared" si="3"/>
        <v>0.68181818181818132</v>
      </c>
      <c r="BA35" s="3">
        <f t="shared" si="27"/>
        <v>4.5454545454545459</v>
      </c>
      <c r="BB35" s="3">
        <f t="shared" si="19"/>
        <v>5.2272727272727275</v>
      </c>
    </row>
    <row r="36" spans="5:54" x14ac:dyDescent="0.2">
      <c r="E36" s="2">
        <v>49683</v>
      </c>
      <c r="F36" s="3">
        <f t="shared" si="28"/>
        <v>22.727272727272705</v>
      </c>
      <c r="G36" s="3">
        <f t="shared" si="25"/>
        <v>0.56818181818181768</v>
      </c>
      <c r="H36" s="3">
        <f t="shared" si="31"/>
        <v>4.5454545454545459</v>
      </c>
      <c r="I36" s="3">
        <f t="shared" si="16"/>
        <v>5.1136363636363633</v>
      </c>
      <c r="K36" s="4">
        <f t="shared" si="4"/>
        <v>5236</v>
      </c>
      <c r="L36" s="7">
        <f t="shared" si="5"/>
        <v>0.47268285864767651</v>
      </c>
      <c r="M36" s="7">
        <f t="shared" si="6"/>
        <v>6.8749095774423168</v>
      </c>
      <c r="Q36" s="2">
        <f t="shared" si="10"/>
        <v>49683</v>
      </c>
      <c r="R36" s="3">
        <f t="shared" si="11"/>
        <v>22.727272727272705</v>
      </c>
      <c r="S36" s="3">
        <f t="shared" si="12"/>
        <v>0.56818181818181768</v>
      </c>
      <c r="T36" s="3">
        <f t="shared" si="29"/>
        <v>4.5454545454545459</v>
      </c>
      <c r="U36" s="3">
        <f t="shared" si="17"/>
        <v>5.1136363636363633</v>
      </c>
      <c r="W36" s="4">
        <f t="shared" si="7"/>
        <v>5236</v>
      </c>
      <c r="X36" s="7" t="e">
        <f t="shared" si="8"/>
        <v>#REF!</v>
      </c>
      <c r="Y36" s="7" t="e">
        <f t="shared" si="9"/>
        <v>#REF!</v>
      </c>
      <c r="AC36" s="2">
        <v>49499</v>
      </c>
      <c r="AD36" s="3">
        <f t="shared" si="30"/>
        <v>27.272727272727252</v>
      </c>
      <c r="AE36" s="3">
        <f t="shared" si="26"/>
        <v>0.68181818181818132</v>
      </c>
      <c r="AF36" s="3">
        <f t="shared" si="33"/>
        <v>4.5454545454545459</v>
      </c>
      <c r="AG36" s="3">
        <f t="shared" si="22"/>
        <v>5.2272727272727275</v>
      </c>
      <c r="AI36" s="4">
        <f t="shared" si="20"/>
        <v>5056</v>
      </c>
      <c r="AJ36" s="7">
        <f t="shared" si="24"/>
        <v>1.0642296991168818</v>
      </c>
      <c r="AK36" s="7">
        <f t="shared" si="23"/>
        <v>14.946514885374873</v>
      </c>
      <c r="AO36" s="2">
        <f t="shared" si="13"/>
        <v>49683</v>
      </c>
      <c r="AP36" s="3">
        <f t="shared" si="14"/>
        <v>22.727272727272705</v>
      </c>
      <c r="AQ36" s="3">
        <f t="shared" si="15"/>
        <v>0.56818181818181768</v>
      </c>
      <c r="AR36" s="3">
        <f t="shared" si="32"/>
        <v>4.5454545454545459</v>
      </c>
      <c r="AS36" s="3">
        <f t="shared" si="18"/>
        <v>5.1136363636363633</v>
      </c>
      <c r="AX36" s="2">
        <f t="shared" si="1"/>
        <v>49683</v>
      </c>
      <c r="AY36" s="3">
        <f t="shared" si="2"/>
        <v>22.727272727272705</v>
      </c>
      <c r="AZ36" s="3">
        <f t="shared" si="3"/>
        <v>0.56818181818181768</v>
      </c>
      <c r="BA36" s="3">
        <f t="shared" si="27"/>
        <v>4.5454545454545459</v>
      </c>
      <c r="BB36" s="3">
        <f t="shared" si="19"/>
        <v>5.1136363636363633</v>
      </c>
    </row>
    <row r="37" spans="5:54" x14ac:dyDescent="0.2">
      <c r="E37" s="2">
        <v>49865</v>
      </c>
      <c r="F37" s="3">
        <f t="shared" si="28"/>
        <v>18.181818181818159</v>
      </c>
      <c r="G37" s="3">
        <f t="shared" si="25"/>
        <v>0.45454545454545398</v>
      </c>
      <c r="H37" s="3">
        <f t="shared" si="31"/>
        <v>4.5454545454545459</v>
      </c>
      <c r="I37" s="3">
        <f t="shared" si="16"/>
        <v>5</v>
      </c>
      <c r="K37" s="4">
        <f t="shared" si="4"/>
        <v>5416</v>
      </c>
      <c r="L37" s="7">
        <f t="shared" si="5"/>
        <v>0.42585161401148325</v>
      </c>
      <c r="M37" s="7">
        <f t="shared" si="6"/>
        <v>6.4067009485727588</v>
      </c>
      <c r="Q37" s="2">
        <f t="shared" si="10"/>
        <v>49865</v>
      </c>
      <c r="R37" s="3">
        <f t="shared" si="11"/>
        <v>18.181818181818159</v>
      </c>
      <c r="S37" s="3">
        <f t="shared" si="12"/>
        <v>0.45454545454545398</v>
      </c>
      <c r="T37" s="3">
        <f t="shared" si="29"/>
        <v>4.5454545454545459</v>
      </c>
      <c r="U37" s="3">
        <f t="shared" si="17"/>
        <v>5</v>
      </c>
      <c r="W37" s="4">
        <f t="shared" si="7"/>
        <v>5416</v>
      </c>
      <c r="X37" s="7" t="e">
        <f t="shared" si="8"/>
        <v>#REF!</v>
      </c>
      <c r="Y37" s="7" t="e">
        <f t="shared" si="9"/>
        <v>#REF!</v>
      </c>
      <c r="AC37" s="2">
        <v>49683</v>
      </c>
      <c r="AD37" s="3">
        <f t="shared" si="30"/>
        <v>22.727272727272705</v>
      </c>
      <c r="AE37" s="3">
        <f t="shared" si="26"/>
        <v>0.56818181818181768</v>
      </c>
      <c r="AF37" s="3">
        <f t="shared" si="33"/>
        <v>4.5454545454545459</v>
      </c>
      <c r="AG37" s="3">
        <f t="shared" si="22"/>
        <v>5.1136363636363633</v>
      </c>
      <c r="AI37" s="4">
        <f t="shared" si="20"/>
        <v>5236</v>
      </c>
      <c r="AJ37" s="7">
        <f t="shared" si="24"/>
        <v>0.98374161861068621</v>
      </c>
      <c r="AK37" s="7">
        <f t="shared" si="23"/>
        <v>14.30797531957098</v>
      </c>
      <c r="AO37" s="2">
        <f t="shared" si="13"/>
        <v>49865</v>
      </c>
      <c r="AP37" s="3">
        <f t="shared" si="14"/>
        <v>18.181818181818159</v>
      </c>
      <c r="AQ37" s="3">
        <f t="shared" si="15"/>
        <v>0.45454545454545398</v>
      </c>
      <c r="AR37" s="3">
        <f t="shared" si="32"/>
        <v>4.5454545454545459</v>
      </c>
      <c r="AS37" s="3">
        <f t="shared" si="18"/>
        <v>5</v>
      </c>
      <c r="AX37" s="2">
        <f t="shared" si="1"/>
        <v>49865</v>
      </c>
      <c r="AY37" s="3">
        <f t="shared" si="2"/>
        <v>18.181818181818159</v>
      </c>
      <c r="AZ37" s="3">
        <f t="shared" si="3"/>
        <v>0.45454545454545398</v>
      </c>
      <c r="BA37" s="3">
        <f t="shared" si="27"/>
        <v>4.5454545454545459</v>
      </c>
      <c r="BB37" s="3">
        <f t="shared" si="19"/>
        <v>5</v>
      </c>
    </row>
    <row r="38" spans="5:54" x14ac:dyDescent="0.2">
      <c r="E38" s="2">
        <v>50049</v>
      </c>
      <c r="F38" s="3">
        <f t="shared" si="28"/>
        <v>13.636363636363612</v>
      </c>
      <c r="G38" s="3">
        <f t="shared" si="25"/>
        <v>0.34090909090909033</v>
      </c>
      <c r="H38" s="3">
        <f t="shared" si="31"/>
        <v>4.5454545454545459</v>
      </c>
      <c r="I38" s="3">
        <f t="shared" si="16"/>
        <v>4.8863636363636358</v>
      </c>
      <c r="K38" s="4">
        <f t="shared" si="4"/>
        <v>5596</v>
      </c>
      <c r="L38" s="7">
        <f t="shared" si="5"/>
        <v>0.38346202221542242</v>
      </c>
      <c r="M38" s="7">
        <f t="shared" si="6"/>
        <v>5.960704100881955</v>
      </c>
      <c r="Q38" s="2">
        <f t="shared" si="10"/>
        <v>50049</v>
      </c>
      <c r="R38" s="3">
        <f t="shared" si="11"/>
        <v>13.636363636363612</v>
      </c>
      <c r="S38" s="3">
        <f t="shared" si="12"/>
        <v>0.34090909090909033</v>
      </c>
      <c r="T38" s="3">
        <f t="shared" si="29"/>
        <v>4.5454545454545459</v>
      </c>
      <c r="U38" s="3">
        <f t="shared" si="17"/>
        <v>4.8863636363636358</v>
      </c>
      <c r="W38" s="4">
        <f t="shared" si="7"/>
        <v>5596</v>
      </c>
      <c r="X38" s="7" t="e">
        <f t="shared" si="8"/>
        <v>#REF!</v>
      </c>
      <c r="Y38" s="7" t="e">
        <f t="shared" si="9"/>
        <v>#REF!</v>
      </c>
      <c r="AC38" s="2">
        <v>49865</v>
      </c>
      <c r="AD38" s="3">
        <f t="shared" si="30"/>
        <v>18.181818181818159</v>
      </c>
      <c r="AE38" s="3">
        <f t="shared" si="26"/>
        <v>0.45454545454545398</v>
      </c>
      <c r="AF38" s="3">
        <f t="shared" si="33"/>
        <v>4.5454545454545459</v>
      </c>
      <c r="AG38" s="3">
        <f t="shared" si="22"/>
        <v>5</v>
      </c>
      <c r="AI38" s="4">
        <f t="shared" si="20"/>
        <v>5416</v>
      </c>
      <c r="AJ38" s="7">
        <f t="shared" si="24"/>
        <v>0.90889182377994548</v>
      </c>
      <c r="AK38" s="7">
        <f t="shared" si="23"/>
        <v>13.673772548867179</v>
      </c>
      <c r="AO38" s="2">
        <f t="shared" si="13"/>
        <v>50049</v>
      </c>
      <c r="AP38" s="3">
        <f t="shared" si="14"/>
        <v>13.636363636363612</v>
      </c>
      <c r="AQ38" s="3">
        <f t="shared" si="15"/>
        <v>0.34090909090909033</v>
      </c>
      <c r="AR38" s="3">
        <f t="shared" si="32"/>
        <v>4.5454545454545459</v>
      </c>
      <c r="AS38" s="3">
        <f t="shared" si="18"/>
        <v>4.8863636363636358</v>
      </c>
      <c r="AX38" s="2">
        <f t="shared" si="1"/>
        <v>50049</v>
      </c>
      <c r="AY38" s="3">
        <f t="shared" si="2"/>
        <v>13.636363636363612</v>
      </c>
      <c r="AZ38" s="3">
        <f t="shared" si="3"/>
        <v>0.34090909090909033</v>
      </c>
      <c r="BA38" s="3">
        <f t="shared" si="27"/>
        <v>4.5454545454545459</v>
      </c>
      <c r="BB38" s="3">
        <f t="shared" si="19"/>
        <v>4.8863636363636358</v>
      </c>
    </row>
    <row r="39" spans="5:54" x14ac:dyDescent="0.2">
      <c r="E39" s="2">
        <v>50230</v>
      </c>
      <c r="F39" s="3">
        <f t="shared" si="28"/>
        <v>9.0909090909090651</v>
      </c>
      <c r="G39" s="3">
        <f t="shared" si="25"/>
        <v>0.22727272727272663</v>
      </c>
      <c r="H39" s="3">
        <f t="shared" si="31"/>
        <v>4.5454545454545459</v>
      </c>
      <c r="I39" s="3">
        <f t="shared" si="16"/>
        <v>4.7727272727272725</v>
      </c>
      <c r="K39" s="4">
        <f t="shared" si="4"/>
        <v>5776</v>
      </c>
      <c r="L39" s="7">
        <f t="shared" si="5"/>
        <v>0.34510517722676581</v>
      </c>
      <c r="M39" s="7">
        <f t="shared" si="6"/>
        <v>5.5370208435049983</v>
      </c>
      <c r="Q39" s="2">
        <f t="shared" si="10"/>
        <v>50230</v>
      </c>
      <c r="R39" s="3">
        <f t="shared" si="11"/>
        <v>9.0909090909090651</v>
      </c>
      <c r="S39" s="3">
        <f t="shared" si="12"/>
        <v>0.22727272727272663</v>
      </c>
      <c r="T39" s="3">
        <f t="shared" si="29"/>
        <v>4.5454545454545459</v>
      </c>
      <c r="U39" s="3">
        <f t="shared" si="17"/>
        <v>4.7727272727272725</v>
      </c>
      <c r="W39" s="4">
        <f t="shared" si="7"/>
        <v>5776</v>
      </c>
      <c r="X39" s="7" t="e">
        <f t="shared" si="8"/>
        <v>#REF!</v>
      </c>
      <c r="Y39" s="7" t="e">
        <f t="shared" si="9"/>
        <v>#REF!</v>
      </c>
      <c r="AC39" s="2">
        <v>50049</v>
      </c>
      <c r="AD39" s="3">
        <f t="shared" si="30"/>
        <v>13.636363636363612</v>
      </c>
      <c r="AE39" s="3">
        <f t="shared" si="26"/>
        <v>0.34090909090909033</v>
      </c>
      <c r="AF39" s="3">
        <f t="shared" si="33"/>
        <v>4.5454545454545459</v>
      </c>
      <c r="AG39" s="3">
        <f t="shared" si="22"/>
        <v>4.8863636363636358</v>
      </c>
      <c r="AI39" s="4">
        <f t="shared" si="20"/>
        <v>5596</v>
      </c>
      <c r="AJ39" s="7">
        <f t="shared" si="24"/>
        <v>0.83930336508451397</v>
      </c>
      <c r="AK39" s="7">
        <f t="shared" si="23"/>
        <v>13.0465045305915</v>
      </c>
      <c r="AO39" s="2">
        <f t="shared" si="13"/>
        <v>50230</v>
      </c>
      <c r="AP39" s="3">
        <f t="shared" si="14"/>
        <v>9.0909090909090651</v>
      </c>
      <c r="AQ39" s="3">
        <f t="shared" si="15"/>
        <v>0.22727272727272663</v>
      </c>
      <c r="AR39" s="3">
        <f t="shared" si="32"/>
        <v>4.5454545454545459</v>
      </c>
      <c r="AS39" s="3">
        <f t="shared" si="18"/>
        <v>4.7727272727272725</v>
      </c>
      <c r="AX39" s="2">
        <f t="shared" si="1"/>
        <v>50230</v>
      </c>
      <c r="AY39" s="3">
        <f t="shared" si="2"/>
        <v>9.0909090909090651</v>
      </c>
      <c r="AZ39" s="3">
        <f t="shared" si="3"/>
        <v>0.22727272727272663</v>
      </c>
      <c r="BA39" s="3">
        <f t="shared" si="27"/>
        <v>4.5454545454545459</v>
      </c>
      <c r="BB39" s="3">
        <f t="shared" si="19"/>
        <v>4.7727272727272725</v>
      </c>
    </row>
    <row r="40" spans="5:54" x14ac:dyDescent="0.2">
      <c r="E40" s="2">
        <v>50414</v>
      </c>
      <c r="F40" s="3">
        <f t="shared" si="28"/>
        <v>4.5454545454545192</v>
      </c>
      <c r="G40" s="3">
        <f t="shared" si="25"/>
        <v>0.11363636363636298</v>
      </c>
      <c r="H40" s="3">
        <f t="shared" si="31"/>
        <v>4.5454545454545459</v>
      </c>
      <c r="I40" s="3">
        <f t="shared" si="16"/>
        <v>4.6590909090909092</v>
      </c>
      <c r="K40" s="4">
        <f t="shared" si="4"/>
        <v>5956</v>
      </c>
      <c r="L40" s="7">
        <f t="shared" si="5"/>
        <v>0.31040901266887205</v>
      </c>
      <c r="M40" s="7">
        <f t="shared" si="6"/>
        <v>5.1355446651550052</v>
      </c>
      <c r="Q40" s="2">
        <f t="shared" si="10"/>
        <v>50414</v>
      </c>
      <c r="R40" s="3">
        <f t="shared" si="11"/>
        <v>4.5454545454545192</v>
      </c>
      <c r="S40" s="3">
        <f t="shared" si="12"/>
        <v>0.11363636363636298</v>
      </c>
      <c r="T40" s="3">
        <f t="shared" si="29"/>
        <v>4.5454545454545459</v>
      </c>
      <c r="U40" s="3">
        <f t="shared" si="17"/>
        <v>4.6590909090909092</v>
      </c>
      <c r="W40" s="4">
        <f t="shared" si="7"/>
        <v>5956</v>
      </c>
      <c r="X40" s="7" t="e">
        <f t="shared" si="8"/>
        <v>#REF!</v>
      </c>
      <c r="Y40" s="7" t="e">
        <f t="shared" si="9"/>
        <v>#REF!</v>
      </c>
      <c r="AC40" s="2">
        <v>50230</v>
      </c>
      <c r="AD40" s="3">
        <f t="shared" si="30"/>
        <v>9.0909090909090651</v>
      </c>
      <c r="AE40" s="3">
        <f t="shared" si="26"/>
        <v>0.22727272727272663</v>
      </c>
      <c r="AF40" s="3">
        <f t="shared" si="33"/>
        <v>4.5454545454545459</v>
      </c>
      <c r="AG40" s="3">
        <f t="shared" si="22"/>
        <v>4.7727272727272725</v>
      </c>
      <c r="AI40" s="4">
        <f t="shared" si="20"/>
        <v>5776</v>
      </c>
      <c r="AJ40" s="7">
        <f t="shared" si="24"/>
        <v>0.77462371344881709</v>
      </c>
      <c r="AK40" s="7">
        <f t="shared" si="23"/>
        <v>12.428407135778798</v>
      </c>
      <c r="AO40" s="2">
        <f t="shared" si="13"/>
        <v>50414</v>
      </c>
      <c r="AP40" s="3">
        <f t="shared" si="14"/>
        <v>4.5454545454545192</v>
      </c>
      <c r="AQ40" s="3">
        <f t="shared" si="15"/>
        <v>0.11363636363636298</v>
      </c>
      <c r="AR40" s="3">
        <f t="shared" si="32"/>
        <v>4.5454545454545459</v>
      </c>
      <c r="AS40" s="3">
        <f t="shared" si="18"/>
        <v>4.6590909090909092</v>
      </c>
      <c r="AX40" s="2">
        <f t="shared" si="1"/>
        <v>50414</v>
      </c>
      <c r="AY40" s="3">
        <f t="shared" si="2"/>
        <v>4.5454545454545192</v>
      </c>
      <c r="AZ40" s="3">
        <f t="shared" si="3"/>
        <v>0.11363636363636298</v>
      </c>
      <c r="BA40" s="3">
        <f t="shared" si="27"/>
        <v>4.5454545454545459</v>
      </c>
      <c r="BB40" s="3">
        <f t="shared" si="19"/>
        <v>4.6590909090909092</v>
      </c>
    </row>
    <row r="41" spans="5:54" x14ac:dyDescent="0.2">
      <c r="L41" s="7">
        <f>SUM(L7:L40)</f>
        <v>37.935842790687659</v>
      </c>
      <c r="M41" s="7">
        <f>SUM(M7:M40)</f>
        <v>271.47446820502057</v>
      </c>
      <c r="X41" s="7" t="e">
        <f>SUM(X7:X40)</f>
        <v>#REF!</v>
      </c>
      <c r="Y41" s="7" t="e">
        <f>SUM(Y7:Y40)</f>
        <v>#REF!</v>
      </c>
      <c r="AC41" s="2">
        <v>50414</v>
      </c>
      <c r="AD41" s="3">
        <f t="shared" si="30"/>
        <v>4.5454545454545192</v>
      </c>
      <c r="AE41" s="3">
        <f t="shared" si="26"/>
        <v>0.11363636363636298</v>
      </c>
      <c r="AF41" s="3">
        <f t="shared" si="33"/>
        <v>4.5454545454545459</v>
      </c>
      <c r="AG41" s="3">
        <f t="shared" si="22"/>
        <v>4.6590909090909092</v>
      </c>
      <c r="AI41" s="4">
        <f t="shared" si="20"/>
        <v>5956</v>
      </c>
      <c r="AJ41" s="7">
        <f t="shared" si="24"/>
        <v>0.71452321363091931</v>
      </c>
      <c r="AK41" s="7">
        <f t="shared" si="23"/>
        <v>11.821389612182653</v>
      </c>
    </row>
    <row r="42" spans="5:54" ht="15" x14ac:dyDescent="0.25">
      <c r="H42" s="6" t="s">
        <v>5</v>
      </c>
      <c r="I42" s="5">
        <f>XIRR(I6:I40,E6:E40)</f>
        <v>0.17788648009300234</v>
      </c>
      <c r="T42" s="6" t="s">
        <v>5</v>
      </c>
      <c r="U42" s="5" t="e">
        <f>XIRR(U6:U40,Q6:Q40)</f>
        <v>#REF!</v>
      </c>
      <c r="AJ42" s="7">
        <f>SUM(AJ7:AJ41)</f>
        <v>51.930731743970007</v>
      </c>
      <c r="AK42" s="7">
        <f>SUM(AK7:AK41)</f>
        <v>436.89020153855409</v>
      </c>
      <c r="BA42" s="6"/>
      <c r="BB42" s="5">
        <f>XIRR(BB6:BB40,AX6:AX40)</f>
        <v>0.10740744471549987</v>
      </c>
    </row>
    <row r="43" spans="5:54" ht="15" x14ac:dyDescent="0.25">
      <c r="H43" s="6" t="s">
        <v>8</v>
      </c>
      <c r="I43" s="3">
        <f>M43/(1+(I42/2))</f>
        <v>6.5716437306641904</v>
      </c>
      <c r="L43" s="4" t="s">
        <v>7</v>
      </c>
      <c r="M43" s="3">
        <f>M41/L41</f>
        <v>7.1561470165007393</v>
      </c>
      <c r="T43" s="6" t="s">
        <v>8</v>
      </c>
      <c r="U43" s="3" t="e">
        <f>Y43/(1+(U42/2))</f>
        <v>#REF!</v>
      </c>
      <c r="X43" s="4" t="s">
        <v>7</v>
      </c>
      <c r="Y43" s="3" t="e">
        <f>Y41/X41</f>
        <v>#REF!</v>
      </c>
      <c r="AR43" s="6"/>
      <c r="AS43" s="5"/>
    </row>
    <row r="44" spans="5:54" ht="15" x14ac:dyDescent="0.25">
      <c r="AE44" s="4" t="s">
        <v>5</v>
      </c>
      <c r="AF44" s="5">
        <f>Informe!D30</f>
        <v>0.12</v>
      </c>
      <c r="AJ44" s="4" t="s">
        <v>7</v>
      </c>
      <c r="AK44" s="30">
        <f>AK42/AJ42</f>
        <v>8.412941371450712</v>
      </c>
      <c r="AR44" s="6"/>
      <c r="AS44" s="3"/>
      <c r="BA44" s="6"/>
      <c r="BB44" s="3"/>
    </row>
    <row r="45" spans="5:54" x14ac:dyDescent="0.2">
      <c r="AE45" s="4" t="s">
        <v>22</v>
      </c>
      <c r="AF45" s="3">
        <f>AK44/(1+AF44)</f>
        <v>7.5115547959381352</v>
      </c>
    </row>
    <row r="46" spans="5:54" ht="15" x14ac:dyDescent="0.25">
      <c r="E46" s="5"/>
      <c r="AE46" s="91" t="s">
        <v>61</v>
      </c>
      <c r="AF46" s="92">
        <f>XNPV(AF44,AG11:AG41,AC11:AC41)</f>
        <v>51.891923622057028</v>
      </c>
      <c r="AR46" s="5">
        <v>0.3</v>
      </c>
      <c r="AS46" s="3">
        <f>XNPV(AR46,AS53:AS84,AO53:AO84)</f>
        <v>27.199453961311104</v>
      </c>
    </row>
    <row r="47" spans="5:54" x14ac:dyDescent="0.2">
      <c r="G47" s="3"/>
    </row>
    <row r="48" spans="5:54" x14ac:dyDescent="0.2">
      <c r="G48" s="5">
        <f>2/-I6</f>
        <v>5.2770448548812667E-2</v>
      </c>
      <c r="I48" s="3">
        <f>SUM(I7:I11)</f>
        <v>5.9809027777777777</v>
      </c>
    </row>
    <row r="49" spans="9:45" x14ac:dyDescent="0.2">
      <c r="I49" s="4">
        <f>I48*1.11</f>
        <v>6.6388020833333341</v>
      </c>
    </row>
    <row r="53" spans="9:45" x14ac:dyDescent="0.2">
      <c r="AO53" s="36">
        <v>44918</v>
      </c>
      <c r="AS53" s="4">
        <v>0</v>
      </c>
    </row>
    <row r="54" spans="9:45" x14ac:dyDescent="0.2">
      <c r="AO54" s="2">
        <v>44935</v>
      </c>
      <c r="AP54" s="3">
        <v>100</v>
      </c>
      <c r="AQ54" s="3">
        <v>1.9375</v>
      </c>
      <c r="AR54" s="3"/>
      <c r="AS54" s="3">
        <v>1.9375</v>
      </c>
    </row>
    <row r="55" spans="9:45" x14ac:dyDescent="0.2">
      <c r="AO55" s="2">
        <v>45116</v>
      </c>
      <c r="AP55" s="3">
        <v>100</v>
      </c>
      <c r="AQ55" s="3">
        <v>1.9375</v>
      </c>
      <c r="AR55" s="3"/>
      <c r="AS55" s="3">
        <v>1.9375</v>
      </c>
    </row>
    <row r="56" spans="9:45" x14ac:dyDescent="0.2">
      <c r="AO56" s="2">
        <v>45300</v>
      </c>
      <c r="AP56" s="3">
        <v>100</v>
      </c>
      <c r="AQ56" s="3">
        <v>2.125</v>
      </c>
      <c r="AR56" s="3"/>
      <c r="AS56" s="3">
        <v>2.125</v>
      </c>
    </row>
    <row r="57" spans="9:45" x14ac:dyDescent="0.2">
      <c r="AO57" s="2">
        <v>45482</v>
      </c>
      <c r="AP57" s="3">
        <v>100</v>
      </c>
      <c r="AQ57" s="3">
        <v>2.125</v>
      </c>
      <c r="AR57" s="3"/>
      <c r="AS57" s="3">
        <v>2.125</v>
      </c>
    </row>
    <row r="58" spans="9:45" x14ac:dyDescent="0.2">
      <c r="AO58" s="2">
        <v>45666</v>
      </c>
      <c r="AP58" s="3">
        <v>100</v>
      </c>
      <c r="AQ58" s="3">
        <v>2.5</v>
      </c>
      <c r="AR58" s="3"/>
      <c r="AS58" s="3">
        <v>2.5</v>
      </c>
    </row>
    <row r="59" spans="9:45" x14ac:dyDescent="0.2">
      <c r="AO59" s="2">
        <v>45847</v>
      </c>
      <c r="AP59" s="3">
        <v>100</v>
      </c>
      <c r="AQ59" s="3">
        <v>2.5</v>
      </c>
      <c r="AR59" s="3"/>
      <c r="AS59" s="3">
        <v>2.5</v>
      </c>
    </row>
    <row r="60" spans="9:45" x14ac:dyDescent="0.2">
      <c r="AO60" s="2">
        <v>46031</v>
      </c>
      <c r="AP60" s="3">
        <v>100</v>
      </c>
      <c r="AQ60" s="3">
        <v>2.5</v>
      </c>
      <c r="AR60" s="3"/>
      <c r="AS60" s="3">
        <v>2.5</v>
      </c>
    </row>
    <row r="61" spans="9:45" x14ac:dyDescent="0.2">
      <c r="AO61" s="2">
        <v>46212</v>
      </c>
      <c r="AP61" s="3">
        <v>100</v>
      </c>
      <c r="AQ61" s="3">
        <v>2.5</v>
      </c>
      <c r="AR61" s="3"/>
      <c r="AS61" s="3">
        <v>2.5</v>
      </c>
    </row>
    <row r="62" spans="9:45" x14ac:dyDescent="0.2">
      <c r="AO62" s="2">
        <v>46396</v>
      </c>
      <c r="AP62" s="3">
        <v>100</v>
      </c>
      <c r="AQ62" s="3">
        <v>2.5</v>
      </c>
      <c r="AR62" s="3"/>
      <c r="AS62" s="3">
        <v>2.5</v>
      </c>
    </row>
    <row r="63" spans="9:45" x14ac:dyDescent="0.2">
      <c r="AO63" s="2">
        <v>46577</v>
      </c>
      <c r="AP63" s="3">
        <v>100</v>
      </c>
      <c r="AQ63" s="3">
        <v>2.5</v>
      </c>
      <c r="AR63" s="3">
        <v>4.5454545454545459</v>
      </c>
      <c r="AS63" s="3">
        <v>7.0454545454545459</v>
      </c>
    </row>
    <row r="64" spans="9:45" x14ac:dyDescent="0.2">
      <c r="AO64" s="2">
        <v>46761</v>
      </c>
      <c r="AP64" s="3">
        <v>95.454545454545453</v>
      </c>
      <c r="AQ64" s="3">
        <v>2.3863636363636362</v>
      </c>
      <c r="AR64" s="3">
        <v>4.5454545454545459</v>
      </c>
      <c r="AS64" s="3">
        <v>6.9318181818181817</v>
      </c>
    </row>
    <row r="65" spans="41:45" x14ac:dyDescent="0.2">
      <c r="AO65" s="2">
        <v>46943</v>
      </c>
      <c r="AP65" s="3">
        <v>90.909090909090907</v>
      </c>
      <c r="AQ65" s="3">
        <v>2.2727272727272729</v>
      </c>
      <c r="AR65" s="3">
        <v>4.5454545454545459</v>
      </c>
      <c r="AS65" s="3">
        <v>6.8181818181818183</v>
      </c>
    </row>
    <row r="66" spans="41:45" x14ac:dyDescent="0.2">
      <c r="AO66" s="2">
        <v>47127</v>
      </c>
      <c r="AP66" s="3">
        <v>86.36363636363636</v>
      </c>
      <c r="AQ66" s="3">
        <v>2.1590909090909092</v>
      </c>
      <c r="AR66" s="3">
        <v>4.5454545454545459</v>
      </c>
      <c r="AS66" s="3">
        <v>6.704545454545455</v>
      </c>
    </row>
    <row r="67" spans="41:45" x14ac:dyDescent="0.2">
      <c r="AO67" s="2">
        <v>47308</v>
      </c>
      <c r="AP67" s="3">
        <v>81.818181818181813</v>
      </c>
      <c r="AQ67" s="3">
        <v>2.0454545454545454</v>
      </c>
      <c r="AR67" s="3">
        <v>4.5454545454545459</v>
      </c>
      <c r="AS67" s="3">
        <v>6.5909090909090917</v>
      </c>
    </row>
    <row r="68" spans="41:45" x14ac:dyDescent="0.2">
      <c r="AO68" s="2">
        <v>47492</v>
      </c>
      <c r="AP68" s="3">
        <v>77.272727272727266</v>
      </c>
      <c r="AQ68" s="3">
        <v>1.9318181818181817</v>
      </c>
      <c r="AR68" s="3">
        <v>4.5454545454545459</v>
      </c>
      <c r="AS68" s="3">
        <v>6.4772727272727275</v>
      </c>
    </row>
    <row r="69" spans="41:45" x14ac:dyDescent="0.2">
      <c r="AO69" s="2">
        <v>47673</v>
      </c>
      <c r="AP69" s="3">
        <v>72.72727272727272</v>
      </c>
      <c r="AQ69" s="3">
        <v>1.8181818181818181</v>
      </c>
      <c r="AR69" s="3">
        <v>4.5454545454545459</v>
      </c>
      <c r="AS69" s="3">
        <v>6.3636363636363642</v>
      </c>
    </row>
    <row r="70" spans="41:45" x14ac:dyDescent="0.2">
      <c r="AO70" s="2">
        <v>47857</v>
      </c>
      <c r="AP70" s="3">
        <v>68.181818181818173</v>
      </c>
      <c r="AQ70" s="3">
        <v>1.7045454545454544</v>
      </c>
      <c r="AR70" s="3">
        <v>4.5454545454545459</v>
      </c>
      <c r="AS70" s="3">
        <v>6.25</v>
      </c>
    </row>
    <row r="71" spans="41:45" x14ac:dyDescent="0.2">
      <c r="AO71" s="2">
        <v>48038</v>
      </c>
      <c r="AP71" s="3">
        <v>63.636363636363626</v>
      </c>
      <c r="AQ71" s="3">
        <v>1.5909090909090908</v>
      </c>
      <c r="AR71" s="3">
        <v>4.5454545454545459</v>
      </c>
      <c r="AS71" s="3">
        <v>6.1363636363636367</v>
      </c>
    </row>
    <row r="72" spans="41:45" x14ac:dyDescent="0.2">
      <c r="AO72" s="2">
        <v>48222</v>
      </c>
      <c r="AP72" s="3">
        <v>59.090909090909079</v>
      </c>
      <c r="AQ72" s="3">
        <v>1.4772727272727271</v>
      </c>
      <c r="AR72" s="3">
        <v>4.5454545454545459</v>
      </c>
      <c r="AS72" s="3">
        <v>6.0227272727272734</v>
      </c>
    </row>
    <row r="73" spans="41:45" x14ac:dyDescent="0.2">
      <c r="AO73" s="2">
        <v>48404</v>
      </c>
      <c r="AP73" s="3">
        <v>54.545454545454533</v>
      </c>
      <c r="AQ73" s="3">
        <v>1.3636363636363633</v>
      </c>
      <c r="AR73" s="3">
        <v>4.5454545454545459</v>
      </c>
      <c r="AS73" s="3">
        <v>5.9090909090909092</v>
      </c>
    </row>
    <row r="74" spans="41:45" x14ac:dyDescent="0.2">
      <c r="AO74" s="2">
        <v>48588</v>
      </c>
      <c r="AP74" s="3">
        <v>49.999999999999986</v>
      </c>
      <c r="AQ74" s="3">
        <v>1.2499999999999998</v>
      </c>
      <c r="AR74" s="3">
        <v>4.5454545454545459</v>
      </c>
      <c r="AS74" s="3">
        <v>5.7954545454545459</v>
      </c>
    </row>
    <row r="75" spans="41:45" x14ac:dyDescent="0.2">
      <c r="AO75" s="2">
        <v>48769</v>
      </c>
      <c r="AP75" s="3">
        <v>45.454545454545439</v>
      </c>
      <c r="AQ75" s="3">
        <v>1.136363636363636</v>
      </c>
      <c r="AR75" s="3">
        <v>4.5454545454545459</v>
      </c>
      <c r="AS75" s="3">
        <v>5.6818181818181817</v>
      </c>
    </row>
    <row r="76" spans="41:45" x14ac:dyDescent="0.2">
      <c r="AO76" s="2">
        <v>48953</v>
      </c>
      <c r="AP76" s="3">
        <v>40.909090909090892</v>
      </c>
      <c r="AQ76" s="3">
        <v>1.0227272727272723</v>
      </c>
      <c r="AR76" s="3">
        <v>4.5454545454545459</v>
      </c>
      <c r="AS76" s="3">
        <v>5.5681818181818183</v>
      </c>
    </row>
    <row r="77" spans="41:45" x14ac:dyDescent="0.2">
      <c r="AO77" s="2">
        <v>49134</v>
      </c>
      <c r="AP77" s="3">
        <v>36.363636363636346</v>
      </c>
      <c r="AQ77" s="3">
        <v>0.90909090909090873</v>
      </c>
      <c r="AR77" s="3">
        <v>4.5454545454545459</v>
      </c>
      <c r="AS77" s="3">
        <v>5.454545454545455</v>
      </c>
    </row>
    <row r="78" spans="41:45" x14ac:dyDescent="0.2">
      <c r="AO78" s="2">
        <v>49318</v>
      </c>
      <c r="AP78" s="3">
        <v>31.818181818181799</v>
      </c>
      <c r="AQ78" s="3">
        <v>0.79545454545454497</v>
      </c>
      <c r="AR78" s="3">
        <v>4.5454545454545459</v>
      </c>
      <c r="AS78" s="3">
        <v>5.3409090909090908</v>
      </c>
    </row>
    <row r="79" spans="41:45" x14ac:dyDescent="0.2">
      <c r="AO79" s="2">
        <v>49499</v>
      </c>
      <c r="AP79" s="3">
        <v>27.272727272727252</v>
      </c>
      <c r="AQ79" s="3">
        <v>0.68181818181818132</v>
      </c>
      <c r="AR79" s="3">
        <v>4.5454545454545459</v>
      </c>
      <c r="AS79" s="3">
        <v>5.2272727272727275</v>
      </c>
    </row>
    <row r="80" spans="41:45" x14ac:dyDescent="0.2">
      <c r="AO80" s="2">
        <v>49683</v>
      </c>
      <c r="AP80" s="3">
        <v>22.727272727272705</v>
      </c>
      <c r="AQ80" s="3">
        <v>0.56818181818181768</v>
      </c>
      <c r="AR80" s="3">
        <v>4.5454545454545459</v>
      </c>
      <c r="AS80" s="3">
        <v>5.1136363636363633</v>
      </c>
    </row>
    <row r="81" spans="41:45" x14ac:dyDescent="0.2">
      <c r="AO81" s="2">
        <v>49865</v>
      </c>
      <c r="AP81" s="3">
        <v>18.181818181818159</v>
      </c>
      <c r="AQ81" s="3">
        <v>0.45454545454545398</v>
      </c>
      <c r="AR81" s="3">
        <v>4.5454545454545459</v>
      </c>
      <c r="AS81" s="3">
        <v>5</v>
      </c>
    </row>
    <row r="82" spans="41:45" x14ac:dyDescent="0.2">
      <c r="AO82" s="2">
        <v>50049</v>
      </c>
      <c r="AP82" s="3">
        <v>13.636363636363612</v>
      </c>
      <c r="AQ82" s="3">
        <v>0.34090909090909033</v>
      </c>
      <c r="AR82" s="3">
        <v>4.5454545454545459</v>
      </c>
      <c r="AS82" s="3">
        <v>4.8863636363636358</v>
      </c>
    </row>
    <row r="83" spans="41:45" x14ac:dyDescent="0.2">
      <c r="AO83" s="2">
        <v>50230</v>
      </c>
      <c r="AP83" s="3">
        <v>9.0909090909090651</v>
      </c>
      <c r="AQ83" s="3">
        <v>0.22727272727272663</v>
      </c>
      <c r="AR83" s="3">
        <v>4.5454545454545459</v>
      </c>
      <c r="AS83" s="3">
        <v>4.7727272727272725</v>
      </c>
    </row>
    <row r="84" spans="41:45" x14ac:dyDescent="0.2">
      <c r="AO84" s="2">
        <v>50414</v>
      </c>
      <c r="AP84" s="3">
        <v>4.5454545454545192</v>
      </c>
      <c r="AQ84" s="3">
        <v>0.11363636363636298</v>
      </c>
      <c r="AR84" s="3">
        <v>4.5454545454545459</v>
      </c>
      <c r="AS84" s="3">
        <v>4.6590909090909092</v>
      </c>
    </row>
  </sheetData>
  <mergeCells count="3">
    <mergeCell ref="E3:M3"/>
    <mergeCell ref="Q3:Y3"/>
    <mergeCell ref="AC3:AK3"/>
  </mergeCells>
  <pageMargins left="0.7" right="0.7" top="0.75" bottom="0.75" header="0.3" footer="0.3"/>
  <ignoredErrors>
    <ignoredError sqref="AQ7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4:AW46"/>
  <sheetViews>
    <sheetView showGridLines="0" zoomScale="90" zoomScaleNormal="90" workbookViewId="0">
      <selection activeCell="I7" sqref="I7"/>
    </sheetView>
  </sheetViews>
  <sheetFormatPr baseColWidth="10" defaultRowHeight="14.25" x14ac:dyDescent="0.2"/>
  <cols>
    <col min="1" max="1" width="11" style="4" customWidth="1"/>
    <col min="2" max="2" width="14.7109375" style="4" bestFit="1" customWidth="1"/>
    <col min="3" max="3" width="11.42578125" style="4"/>
    <col min="4" max="4" width="10" style="4" customWidth="1"/>
    <col min="5" max="9" width="11.42578125" style="4"/>
    <col min="10" max="10" width="4.28515625" style="4" customWidth="1"/>
    <col min="11" max="13" width="11.42578125" style="4"/>
    <col min="14" max="14" width="5.5703125" style="4" customWidth="1"/>
    <col min="15" max="15" width="10.42578125" style="78" customWidth="1"/>
    <col min="16" max="16" width="5.5703125" style="4" customWidth="1"/>
    <col min="17" max="21" width="11.42578125" style="4"/>
    <col min="22" max="22" width="4.28515625" style="4" customWidth="1"/>
    <col min="23" max="25" width="11.42578125" style="4"/>
    <col min="26" max="26" width="5.5703125" style="4" customWidth="1"/>
    <col min="27" max="27" width="10.85546875" style="78" customWidth="1"/>
    <col min="28" max="28" width="5.5703125" style="4" customWidth="1"/>
    <col min="29" max="33" width="11.42578125" style="4"/>
    <col min="34" max="34" width="5.42578125" style="4" customWidth="1"/>
    <col min="35" max="35" width="9.85546875" style="4" customWidth="1"/>
    <col min="36" max="36" width="11.5703125" style="4" bestFit="1" customWidth="1"/>
    <col min="37" max="37" width="11.85546875" style="4" bestFit="1" customWidth="1"/>
    <col min="38" max="38" width="11.42578125" style="4"/>
    <col min="39" max="39" width="10.85546875" style="78" customWidth="1"/>
    <col min="40" max="16384" width="11.42578125" style="4"/>
  </cols>
  <sheetData>
    <row r="4" spans="2:49" ht="15" x14ac:dyDescent="0.25">
      <c r="E4" s="321" t="s">
        <v>55</v>
      </c>
      <c r="F4" s="321"/>
      <c r="G4" s="321"/>
      <c r="H4" s="321"/>
      <c r="I4" s="321"/>
      <c r="J4" s="321"/>
      <c r="K4" s="321"/>
      <c r="L4" s="321"/>
      <c r="M4" s="321"/>
      <c r="Q4" s="321" t="s">
        <v>57</v>
      </c>
      <c r="R4" s="321"/>
      <c r="S4" s="321"/>
      <c r="T4" s="321"/>
      <c r="U4" s="321"/>
      <c r="V4" s="321"/>
      <c r="W4" s="321"/>
      <c r="X4" s="321"/>
      <c r="Y4" s="321"/>
      <c r="AC4" s="321" t="s">
        <v>60</v>
      </c>
      <c r="AD4" s="321"/>
      <c r="AE4" s="321"/>
      <c r="AF4" s="321"/>
      <c r="AG4" s="321"/>
      <c r="AH4" s="321"/>
      <c r="AI4" s="321"/>
      <c r="AJ4" s="321"/>
      <c r="AK4" s="321"/>
      <c r="AO4" s="321" t="s">
        <v>59</v>
      </c>
      <c r="AP4" s="321"/>
      <c r="AQ4" s="321"/>
      <c r="AR4" s="321"/>
      <c r="AS4" s="321"/>
      <c r="AT4" s="74"/>
      <c r="AU4" s="74"/>
      <c r="AV4" s="74"/>
      <c r="AW4" s="74"/>
    </row>
    <row r="6" spans="2:49" ht="15" x14ac:dyDescent="0.25">
      <c r="E6" s="1" t="s">
        <v>0</v>
      </c>
      <c r="F6" s="1" t="s">
        <v>1</v>
      </c>
      <c r="G6" s="1" t="s">
        <v>2</v>
      </c>
      <c r="H6" s="1" t="s">
        <v>3</v>
      </c>
      <c r="I6" s="1" t="s">
        <v>4</v>
      </c>
      <c r="K6" s="1" t="s">
        <v>9</v>
      </c>
      <c r="L6" s="1" t="s">
        <v>10</v>
      </c>
      <c r="M6" s="1" t="s">
        <v>11</v>
      </c>
      <c r="Q6" s="47" t="s">
        <v>0</v>
      </c>
      <c r="R6" s="47" t="s">
        <v>1</v>
      </c>
      <c r="S6" s="47" t="s">
        <v>2</v>
      </c>
      <c r="T6" s="47" t="s">
        <v>3</v>
      </c>
      <c r="U6" s="47" t="s">
        <v>4</v>
      </c>
      <c r="W6" s="47" t="s">
        <v>9</v>
      </c>
      <c r="X6" s="47" t="s">
        <v>10</v>
      </c>
      <c r="Y6" s="47" t="s">
        <v>11</v>
      </c>
      <c r="AC6" s="53" t="s">
        <v>0</v>
      </c>
      <c r="AD6" s="53" t="s">
        <v>1</v>
      </c>
      <c r="AE6" s="53" t="s">
        <v>2</v>
      </c>
      <c r="AF6" s="53" t="s">
        <v>3</v>
      </c>
      <c r="AG6" s="53" t="s">
        <v>4</v>
      </c>
      <c r="AI6" s="53" t="s">
        <v>9</v>
      </c>
      <c r="AJ6" s="53" t="s">
        <v>10</v>
      </c>
      <c r="AK6" s="53" t="s">
        <v>11</v>
      </c>
      <c r="AO6" s="53" t="s">
        <v>0</v>
      </c>
      <c r="AP6" s="53" t="s">
        <v>1</v>
      </c>
      <c r="AQ6" s="53" t="s">
        <v>2</v>
      </c>
      <c r="AR6" s="53" t="s">
        <v>3</v>
      </c>
      <c r="AS6" s="53" t="s">
        <v>4</v>
      </c>
      <c r="AU6" s="53" t="s">
        <v>5</v>
      </c>
      <c r="AV6" s="53" t="s">
        <v>61</v>
      </c>
    </row>
    <row r="7" spans="2:49" x14ac:dyDescent="0.2">
      <c r="B7" s="82" t="s">
        <v>36</v>
      </c>
      <c r="C7" s="83">
        <v>44078</v>
      </c>
      <c r="E7" s="2">
        <f>+Monitor!C2</f>
        <v>44370</v>
      </c>
      <c r="F7" s="3">
        <v>100</v>
      </c>
      <c r="I7" s="3">
        <f>-Monitor!D10</f>
        <v>-33.81</v>
      </c>
      <c r="K7" s="4">
        <f>DAYS360(C7,E8)</f>
        <v>305</v>
      </c>
      <c r="Q7" s="2">
        <f>+E7</f>
        <v>44370</v>
      </c>
      <c r="R7" s="3">
        <v>100</v>
      </c>
      <c r="U7" s="3" t="e">
        <f>-CCL!K8</f>
        <v>#REF!</v>
      </c>
      <c r="AC7" s="2"/>
      <c r="AD7" s="3"/>
      <c r="AG7" s="3"/>
      <c r="AO7" s="2">
        <f>Q7</f>
        <v>44370</v>
      </c>
      <c r="AP7" s="3">
        <f>+F7</f>
        <v>100</v>
      </c>
      <c r="AQ7" s="3"/>
      <c r="AS7" s="3">
        <f>-CCL!AB8</f>
        <v>0</v>
      </c>
      <c r="AU7" s="56">
        <v>0.06</v>
      </c>
      <c r="AV7" s="8">
        <f t="shared" ref="AV7:AV27" si="0">XNPV(AU7,$AS$7:$AS$36,$AO$7:$AO$36)</f>
        <v>82.028979846573435</v>
      </c>
    </row>
    <row r="8" spans="2:49" x14ac:dyDescent="0.2">
      <c r="B8" s="84" t="s">
        <v>37</v>
      </c>
      <c r="C8" s="85">
        <v>1.25E-3</v>
      </c>
      <c r="E8" s="2">
        <v>44386</v>
      </c>
      <c r="F8" s="3">
        <f>+F7</f>
        <v>100</v>
      </c>
      <c r="G8" s="3">
        <f>(C8*F7)/360*K7</f>
        <v>0.10590277777777778</v>
      </c>
      <c r="I8" s="3">
        <f t="shared" ref="I8:I36" si="1">SUM(G8:H8)</f>
        <v>0.10590277777777778</v>
      </c>
      <c r="K8" s="4">
        <f t="shared" ref="K8:K36" si="2">DAYS360($E$7,E8)</f>
        <v>16</v>
      </c>
      <c r="L8" s="7">
        <f t="shared" ref="L8:L36" si="3">I8/(1+$I$38)^(K8/360)</f>
        <v>0.10517388960897278</v>
      </c>
      <c r="M8" s="7">
        <f t="shared" ref="M8:M36" si="4">L8*(K8/360)</f>
        <v>4.6743950937321241E-3</v>
      </c>
      <c r="Q8" s="2">
        <f>+E8</f>
        <v>44386</v>
      </c>
      <c r="R8" s="3">
        <f>+F8</f>
        <v>100</v>
      </c>
      <c r="S8" s="3">
        <f>+G8</f>
        <v>0.10590277777777778</v>
      </c>
      <c r="U8" s="3">
        <f t="shared" ref="U8:U36" si="5">SUM(S8:T8)</f>
        <v>0.10590277777777778</v>
      </c>
      <c r="W8" s="4">
        <f>DAYS360($E$7,Q8)</f>
        <v>16</v>
      </c>
      <c r="X8" s="7" t="e">
        <f>U8/(1+$U$39)^(W8/360)</f>
        <v>#REF!</v>
      </c>
      <c r="Y8" s="7" t="e">
        <f>X8*(W8/360)</f>
        <v>#REF!</v>
      </c>
      <c r="AC8" s="2"/>
      <c r="AD8" s="3"/>
      <c r="AE8" s="3"/>
      <c r="AG8" s="3"/>
      <c r="AO8" s="2">
        <f>+E8</f>
        <v>44386</v>
      </c>
      <c r="AP8" s="3">
        <f t="shared" ref="AP8:AP36" si="6">+F8</f>
        <v>100</v>
      </c>
      <c r="AQ8" s="3">
        <f>+G8</f>
        <v>0.10590277777777778</v>
      </c>
      <c r="AS8" s="3">
        <f t="shared" ref="AS8:AS36" si="7">SUM(AQ8:AR8)</f>
        <v>0.10590277777777778</v>
      </c>
      <c r="AU8" s="56">
        <v>6.5000000000000002E-2</v>
      </c>
      <c r="AV8" s="8">
        <f t="shared" si="0"/>
        <v>78.368115204738501</v>
      </c>
    </row>
    <row r="9" spans="2:49" x14ac:dyDescent="0.2">
      <c r="B9" s="84" t="s">
        <v>38</v>
      </c>
      <c r="C9" s="86">
        <f>DAYS360(C7,E7)</f>
        <v>289</v>
      </c>
      <c r="E9" s="2">
        <v>44570</v>
      </c>
      <c r="F9" s="3">
        <f>+F8</f>
        <v>100</v>
      </c>
      <c r="G9" s="3">
        <f>0.01125*(180/360)*F9</f>
        <v>0.5625</v>
      </c>
      <c r="I9" s="3">
        <f t="shared" si="1"/>
        <v>0.5625</v>
      </c>
      <c r="K9" s="4">
        <f t="shared" si="2"/>
        <v>196</v>
      </c>
      <c r="L9" s="7">
        <f t="shared" si="3"/>
        <v>0.5168680421375188</v>
      </c>
      <c r="M9" s="7">
        <f t="shared" si="4"/>
        <v>0.28140593405264908</v>
      </c>
      <c r="Q9" s="2">
        <f t="shared" ref="Q9:Q36" si="8">+E9</f>
        <v>44570</v>
      </c>
      <c r="R9" s="3">
        <f t="shared" ref="R9:R36" si="9">+F9</f>
        <v>100</v>
      </c>
      <c r="S9" s="3">
        <f t="shared" ref="S9:S36" si="10">+G9</f>
        <v>0.5625</v>
      </c>
      <c r="U9" s="3">
        <f t="shared" si="5"/>
        <v>0.5625</v>
      </c>
      <c r="W9" s="4">
        <f t="shared" ref="W9:W36" si="11">DAYS360($E$7,Q9)</f>
        <v>196</v>
      </c>
      <c r="X9" s="7" t="e">
        <f t="shared" ref="X9:X36" si="12">U9/(1+$U$39)^(W9/360)</f>
        <v>#REF!</v>
      </c>
      <c r="Y9" s="7" t="e">
        <f t="shared" ref="Y9:Y36" si="13">X9*(W9/360)</f>
        <v>#REF!</v>
      </c>
      <c r="AC9" s="2"/>
      <c r="AD9" s="3"/>
      <c r="AE9" s="3"/>
      <c r="AG9" s="3"/>
      <c r="AO9" s="2">
        <f t="shared" ref="AO9:AO36" si="14">+E9</f>
        <v>44570</v>
      </c>
      <c r="AP9" s="3">
        <f t="shared" si="6"/>
        <v>100</v>
      </c>
      <c r="AQ9" s="3">
        <f t="shared" ref="AQ9:AQ36" si="15">+G9</f>
        <v>0.5625</v>
      </c>
      <c r="AS9" s="3">
        <f t="shared" si="7"/>
        <v>0.5625</v>
      </c>
      <c r="AU9" s="56">
        <v>7.0000000000000007E-2</v>
      </c>
      <c r="AV9" s="8">
        <f t="shared" si="0"/>
        <v>74.905549023280869</v>
      </c>
    </row>
    <row r="10" spans="2:49" x14ac:dyDescent="0.2">
      <c r="B10" s="84" t="s">
        <v>39</v>
      </c>
      <c r="C10" s="87">
        <f>(C8*100)/360*C9</f>
        <v>0.10034722222222223</v>
      </c>
      <c r="E10" s="2">
        <v>44751</v>
      </c>
      <c r="F10" s="3">
        <v>100</v>
      </c>
      <c r="G10" s="3">
        <f>0.01125*(180/360)*F10</f>
        <v>0.5625</v>
      </c>
      <c r="H10" s="3"/>
      <c r="I10" s="3">
        <f t="shared" si="1"/>
        <v>0.5625</v>
      </c>
      <c r="K10" s="4">
        <f t="shared" si="2"/>
        <v>376</v>
      </c>
      <c r="L10" s="7">
        <f t="shared" si="3"/>
        <v>0.47822937675798044</v>
      </c>
      <c r="M10" s="7">
        <f t="shared" si="4"/>
        <v>0.49948401572500184</v>
      </c>
      <c r="Q10" s="2">
        <f t="shared" si="8"/>
        <v>44751</v>
      </c>
      <c r="R10" s="3">
        <f t="shared" si="9"/>
        <v>100</v>
      </c>
      <c r="S10" s="3">
        <f t="shared" si="10"/>
        <v>0.5625</v>
      </c>
      <c r="U10" s="3">
        <f t="shared" si="5"/>
        <v>0.5625</v>
      </c>
      <c r="W10" s="4">
        <f t="shared" si="11"/>
        <v>376</v>
      </c>
      <c r="X10" s="7" t="e">
        <f t="shared" si="12"/>
        <v>#REF!</v>
      </c>
      <c r="Y10" s="7" t="e">
        <f t="shared" si="13"/>
        <v>#REF!</v>
      </c>
      <c r="AC10" s="2"/>
      <c r="AD10" s="3"/>
      <c r="AE10" s="3"/>
      <c r="AG10" s="3"/>
      <c r="AO10" s="2">
        <f t="shared" si="14"/>
        <v>44751</v>
      </c>
      <c r="AP10" s="3">
        <f t="shared" si="6"/>
        <v>100</v>
      </c>
      <c r="AQ10" s="3">
        <f t="shared" si="15"/>
        <v>0.5625</v>
      </c>
      <c r="AR10" s="3"/>
      <c r="AS10" s="3">
        <f t="shared" si="7"/>
        <v>0.5625</v>
      </c>
      <c r="AT10" s="17"/>
      <c r="AU10" s="56">
        <v>7.4999999999999997E-2</v>
      </c>
      <c r="AV10" s="8">
        <f t="shared" si="0"/>
        <v>71.629221514574866</v>
      </c>
    </row>
    <row r="11" spans="2:49" x14ac:dyDescent="0.2">
      <c r="B11" s="84" t="s">
        <v>35</v>
      </c>
      <c r="C11" s="86">
        <v>100</v>
      </c>
      <c r="E11" s="2">
        <v>44935</v>
      </c>
      <c r="F11" s="3">
        <v>100</v>
      </c>
      <c r="G11" s="3">
        <f>0.015*(180/360)*F11</f>
        <v>0.75</v>
      </c>
      <c r="H11" s="3"/>
      <c r="I11" s="3">
        <f t="shared" si="1"/>
        <v>0.75</v>
      </c>
      <c r="K11" s="4">
        <f t="shared" si="2"/>
        <v>556</v>
      </c>
      <c r="L11" s="7">
        <f t="shared" si="3"/>
        <v>0.58997221250390819</v>
      </c>
      <c r="M11" s="7">
        <f t="shared" si="4"/>
        <v>0.91117930597825825</v>
      </c>
      <c r="Q11" s="2">
        <f t="shared" si="8"/>
        <v>44935</v>
      </c>
      <c r="R11" s="3">
        <f t="shared" si="9"/>
        <v>100</v>
      </c>
      <c r="S11" s="3">
        <f t="shared" si="10"/>
        <v>0.75</v>
      </c>
      <c r="T11" s="3"/>
      <c r="U11" s="3">
        <f t="shared" si="5"/>
        <v>0.75</v>
      </c>
      <c r="W11" s="4">
        <f t="shared" si="11"/>
        <v>556</v>
      </c>
      <c r="X11" s="7" t="e">
        <f t="shared" si="12"/>
        <v>#REF!</v>
      </c>
      <c r="Y11" s="7" t="e">
        <f t="shared" si="13"/>
        <v>#REF!</v>
      </c>
      <c r="AO11" s="2">
        <f t="shared" si="14"/>
        <v>44935</v>
      </c>
      <c r="AP11" s="3">
        <f t="shared" si="6"/>
        <v>100</v>
      </c>
      <c r="AQ11" s="3">
        <f t="shared" si="15"/>
        <v>0.75</v>
      </c>
      <c r="AR11" s="3"/>
      <c r="AS11" s="3">
        <f t="shared" si="7"/>
        <v>0.75</v>
      </c>
      <c r="AU11" s="56">
        <v>0.08</v>
      </c>
      <c r="AV11" s="8">
        <f t="shared" si="0"/>
        <v>68.527874762661099</v>
      </c>
    </row>
    <row r="12" spans="2:49" x14ac:dyDescent="0.2">
      <c r="B12" s="88" t="s">
        <v>23</v>
      </c>
      <c r="C12" s="89">
        <f>+C11+C10</f>
        <v>100.10034722222223</v>
      </c>
      <c r="E12" s="2">
        <v>45116</v>
      </c>
      <c r="F12" s="3">
        <v>100</v>
      </c>
      <c r="G12" s="3">
        <f>0.015*(180/360)*F12</f>
        <v>0.75</v>
      </c>
      <c r="H12" s="3"/>
      <c r="I12" s="3">
        <f t="shared" si="1"/>
        <v>0.75</v>
      </c>
      <c r="K12" s="4">
        <f t="shared" si="2"/>
        <v>736</v>
      </c>
      <c r="L12" s="7">
        <f t="shared" si="3"/>
        <v>0.5458686173040731</v>
      </c>
      <c r="M12" s="7">
        <f t="shared" si="4"/>
        <v>1.1159980620438827</v>
      </c>
      <c r="Q12" s="2">
        <f t="shared" si="8"/>
        <v>45116</v>
      </c>
      <c r="R12" s="3">
        <f t="shared" si="9"/>
        <v>100</v>
      </c>
      <c r="S12" s="3">
        <f t="shared" si="10"/>
        <v>0.75</v>
      </c>
      <c r="T12" s="3"/>
      <c r="U12" s="3">
        <f t="shared" si="5"/>
        <v>0.75</v>
      </c>
      <c r="W12" s="4">
        <f t="shared" si="11"/>
        <v>736</v>
      </c>
      <c r="X12" s="7" t="e">
        <f t="shared" si="12"/>
        <v>#REF!</v>
      </c>
      <c r="Y12" s="7" t="e">
        <f t="shared" si="13"/>
        <v>#REF!</v>
      </c>
      <c r="AC12" s="31">
        <f>Informe!B36</f>
        <v>44370</v>
      </c>
      <c r="AD12" s="3"/>
      <c r="AE12" s="3"/>
      <c r="AF12" s="3"/>
      <c r="AG12" s="3">
        <v>0</v>
      </c>
      <c r="AO12" s="2">
        <f t="shared" si="14"/>
        <v>45116</v>
      </c>
      <c r="AP12" s="3">
        <f t="shared" si="6"/>
        <v>100</v>
      </c>
      <c r="AQ12" s="3">
        <f t="shared" si="15"/>
        <v>0.75</v>
      </c>
      <c r="AR12" s="3"/>
      <c r="AS12" s="3">
        <f t="shared" si="7"/>
        <v>0.75</v>
      </c>
      <c r="AU12" s="56">
        <v>8.5000000000000006E-2</v>
      </c>
      <c r="AV12" s="8">
        <f t="shared" si="0"/>
        <v>65.590995232718299</v>
      </c>
    </row>
    <row r="13" spans="2:49" x14ac:dyDescent="0.2">
      <c r="E13" s="2">
        <v>45300</v>
      </c>
      <c r="F13" s="3">
        <v>100</v>
      </c>
      <c r="G13" s="3">
        <f>0.03625*(180/360)*F13</f>
        <v>1.8124999999999998</v>
      </c>
      <c r="H13" s="3"/>
      <c r="I13" s="3">
        <f t="shared" si="1"/>
        <v>1.8124999999999998</v>
      </c>
      <c r="K13" s="4">
        <f t="shared" si="2"/>
        <v>916</v>
      </c>
      <c r="L13" s="7">
        <f t="shared" si="3"/>
        <v>1.2205665072331855</v>
      </c>
      <c r="M13" s="7">
        <f t="shared" si="4"/>
        <v>3.1056636684044383</v>
      </c>
      <c r="Q13" s="2">
        <f t="shared" si="8"/>
        <v>45300</v>
      </c>
      <c r="R13" s="3">
        <f t="shared" si="9"/>
        <v>100</v>
      </c>
      <c r="S13" s="3">
        <f t="shared" si="10"/>
        <v>1.8124999999999998</v>
      </c>
      <c r="T13" s="3"/>
      <c r="U13" s="3">
        <f t="shared" si="5"/>
        <v>1.8124999999999998</v>
      </c>
      <c r="W13" s="4">
        <f t="shared" si="11"/>
        <v>916</v>
      </c>
      <c r="X13" s="7" t="e">
        <f t="shared" si="12"/>
        <v>#REF!</v>
      </c>
      <c r="Y13" s="7" t="e">
        <f t="shared" si="13"/>
        <v>#REF!</v>
      </c>
      <c r="AC13" s="2">
        <v>45116</v>
      </c>
      <c r="AD13" s="3">
        <v>100</v>
      </c>
      <c r="AE13" s="3">
        <v>0.75</v>
      </c>
      <c r="AF13" s="3"/>
      <c r="AG13" s="3">
        <v>0.75</v>
      </c>
      <c r="AI13" s="4">
        <f t="shared" ref="AI13:AI37" si="16">DAYS360($AC$12,AC13)</f>
        <v>736</v>
      </c>
      <c r="AJ13" s="3">
        <f t="shared" ref="AJ13" si="17">AG13/(1+$AF$40)^(AI13/360)</f>
        <v>0.59489148184517671</v>
      </c>
      <c r="AK13" s="3">
        <f t="shared" ref="AK13" si="18">(AJ13*(AI13/360))</f>
        <v>1.2162225851056945</v>
      </c>
      <c r="AO13" s="2">
        <f t="shared" si="14"/>
        <v>45300</v>
      </c>
      <c r="AP13" s="3">
        <f t="shared" si="6"/>
        <v>100</v>
      </c>
      <c r="AQ13" s="3">
        <f t="shared" si="15"/>
        <v>1.8124999999999998</v>
      </c>
      <c r="AR13" s="3"/>
      <c r="AS13" s="3">
        <f t="shared" si="7"/>
        <v>1.8124999999999998</v>
      </c>
      <c r="AU13" s="56">
        <v>0.09</v>
      </c>
      <c r="AV13" s="8">
        <f t="shared" si="0"/>
        <v>62.808760685458594</v>
      </c>
    </row>
    <row r="14" spans="2:49" x14ac:dyDescent="0.2">
      <c r="E14" s="2">
        <v>45482</v>
      </c>
      <c r="F14" s="3">
        <v>100</v>
      </c>
      <c r="G14" s="3">
        <f>0.03625*(180/360)*F14</f>
        <v>1.8124999999999998</v>
      </c>
      <c r="H14" s="3"/>
      <c r="I14" s="3">
        <f t="shared" si="1"/>
        <v>1.8124999999999998</v>
      </c>
      <c r="K14" s="4">
        <f t="shared" si="2"/>
        <v>1096</v>
      </c>
      <c r="L14" s="7">
        <f t="shared" si="3"/>
        <v>1.1293225977598518</v>
      </c>
      <c r="M14" s="7">
        <f t="shared" si="4"/>
        <v>3.4381599087355488</v>
      </c>
      <c r="Q14" s="2">
        <f t="shared" si="8"/>
        <v>45482</v>
      </c>
      <c r="R14" s="3">
        <f t="shared" si="9"/>
        <v>100</v>
      </c>
      <c r="S14" s="3">
        <f t="shared" si="10"/>
        <v>1.8124999999999998</v>
      </c>
      <c r="T14" s="3"/>
      <c r="U14" s="3">
        <f t="shared" si="5"/>
        <v>1.8124999999999998</v>
      </c>
      <c r="W14" s="4">
        <f t="shared" si="11"/>
        <v>1096</v>
      </c>
      <c r="X14" s="7" t="e">
        <f t="shared" si="12"/>
        <v>#REF!</v>
      </c>
      <c r="Y14" s="7" t="e">
        <f t="shared" si="13"/>
        <v>#REF!</v>
      </c>
      <c r="AC14" s="2">
        <v>45300</v>
      </c>
      <c r="AD14" s="3">
        <v>100</v>
      </c>
      <c r="AE14" s="3">
        <v>1.8124999999999998</v>
      </c>
      <c r="AF14" s="3"/>
      <c r="AG14" s="3">
        <v>1.8124999999999998</v>
      </c>
      <c r="AI14" s="4">
        <f t="shared" si="16"/>
        <v>916</v>
      </c>
      <c r="AJ14" s="3">
        <f t="shared" ref="AJ14:AJ37" si="19">AG14/(1+$AF$40)^(AI14/360)</f>
        <v>1.3584557328261297</v>
      </c>
      <c r="AK14" s="3">
        <f t="shared" ref="AK14:AK37" si="20">(AJ14*(AI14/360))</f>
        <v>3.4565151424131519</v>
      </c>
      <c r="AO14" s="2">
        <f t="shared" si="14"/>
        <v>45482</v>
      </c>
      <c r="AP14" s="3">
        <f t="shared" si="6"/>
        <v>100</v>
      </c>
      <c r="AQ14" s="3">
        <f t="shared" si="15"/>
        <v>1.8124999999999998</v>
      </c>
      <c r="AR14" s="3"/>
      <c r="AS14" s="3">
        <f t="shared" si="7"/>
        <v>1.8124999999999998</v>
      </c>
      <c r="AU14" s="56">
        <v>9.5000000000000001E-2</v>
      </c>
      <c r="AV14" s="8">
        <f t="shared" si="0"/>
        <v>60.171991138096239</v>
      </c>
    </row>
    <row r="15" spans="2:49" x14ac:dyDescent="0.2">
      <c r="E15" s="2">
        <v>45666</v>
      </c>
      <c r="F15" s="3">
        <v>100</v>
      </c>
      <c r="G15" s="3">
        <f t="shared" ref="G15:G20" si="21">0.04125*(180/360)*F15</f>
        <v>2.0625</v>
      </c>
      <c r="H15" s="3"/>
      <c r="I15" s="3">
        <f t="shared" si="1"/>
        <v>2.0625</v>
      </c>
      <c r="K15" s="4">
        <f t="shared" si="2"/>
        <v>1276</v>
      </c>
      <c r="L15" s="7">
        <f t="shared" si="3"/>
        <v>1.1890237523357066</v>
      </c>
      <c r="M15" s="7">
        <f t="shared" si="4"/>
        <v>4.2144286332787821</v>
      </c>
      <c r="Q15" s="2">
        <f t="shared" si="8"/>
        <v>45666</v>
      </c>
      <c r="R15" s="3">
        <f t="shared" si="9"/>
        <v>100</v>
      </c>
      <c r="S15" s="3">
        <f t="shared" si="10"/>
        <v>2.0625</v>
      </c>
      <c r="T15" s="3"/>
      <c r="U15" s="3">
        <f t="shared" si="5"/>
        <v>2.0625</v>
      </c>
      <c r="W15" s="4">
        <f t="shared" si="11"/>
        <v>1276</v>
      </c>
      <c r="X15" s="7" t="e">
        <f t="shared" si="12"/>
        <v>#REF!</v>
      </c>
      <c r="Y15" s="7" t="e">
        <f t="shared" si="13"/>
        <v>#REF!</v>
      </c>
      <c r="AC15" s="2">
        <v>45482</v>
      </c>
      <c r="AD15" s="3">
        <v>100</v>
      </c>
      <c r="AE15" s="3">
        <v>1.8124999999999998</v>
      </c>
      <c r="AF15" s="3"/>
      <c r="AG15" s="3">
        <v>1.8124999999999998</v>
      </c>
      <c r="AI15" s="4">
        <f t="shared" si="16"/>
        <v>1096</v>
      </c>
      <c r="AJ15" s="3">
        <f t="shared" si="19"/>
        <v>1.2836200129099791</v>
      </c>
      <c r="AK15" s="3">
        <f t="shared" si="20"/>
        <v>3.9079098170814914</v>
      </c>
      <c r="AO15" s="2">
        <f t="shared" si="14"/>
        <v>45666</v>
      </c>
      <c r="AP15" s="3">
        <f t="shared" si="6"/>
        <v>100</v>
      </c>
      <c r="AQ15" s="3">
        <f t="shared" si="15"/>
        <v>2.0625</v>
      </c>
      <c r="AR15" s="3"/>
      <c r="AS15" s="3">
        <f t="shared" si="7"/>
        <v>2.0625</v>
      </c>
      <c r="AU15" s="56">
        <v>0.1</v>
      </c>
      <c r="AV15" s="8">
        <f t="shared" si="0"/>
        <v>57.672103544328387</v>
      </c>
    </row>
    <row r="16" spans="2:49" x14ac:dyDescent="0.2">
      <c r="E16" s="2">
        <v>45847</v>
      </c>
      <c r="F16" s="3">
        <v>100</v>
      </c>
      <c r="G16" s="3">
        <f t="shared" si="21"/>
        <v>2.0625</v>
      </c>
      <c r="H16" s="3"/>
      <c r="I16" s="3">
        <f t="shared" si="1"/>
        <v>2.0625</v>
      </c>
      <c r="K16" s="4">
        <f t="shared" si="2"/>
        <v>1456</v>
      </c>
      <c r="L16" s="7">
        <f t="shared" si="3"/>
        <v>1.1001378333982013</v>
      </c>
      <c r="M16" s="7">
        <f t="shared" si="4"/>
        <v>4.4494463484105031</v>
      </c>
      <c r="Q16" s="2">
        <f t="shared" si="8"/>
        <v>45847</v>
      </c>
      <c r="R16" s="3">
        <f t="shared" si="9"/>
        <v>100</v>
      </c>
      <c r="S16" s="3">
        <f t="shared" si="10"/>
        <v>2.0625</v>
      </c>
      <c r="T16" s="3"/>
      <c r="U16" s="3">
        <f t="shared" si="5"/>
        <v>2.0625</v>
      </c>
      <c r="W16" s="4">
        <f t="shared" si="11"/>
        <v>1456</v>
      </c>
      <c r="X16" s="7" t="e">
        <f t="shared" si="12"/>
        <v>#REF!</v>
      </c>
      <c r="Y16" s="7" t="e">
        <f t="shared" si="13"/>
        <v>#REF!</v>
      </c>
      <c r="AC16" s="2">
        <v>45666</v>
      </c>
      <c r="AD16" s="3">
        <v>100</v>
      </c>
      <c r="AE16" s="3">
        <v>2.0625</v>
      </c>
      <c r="AF16" s="3"/>
      <c r="AG16" s="3">
        <v>2.0625</v>
      </c>
      <c r="AI16" s="4">
        <f t="shared" si="16"/>
        <v>1276</v>
      </c>
      <c r="AJ16" s="3">
        <f t="shared" si="19"/>
        <v>1.3802044083516711</v>
      </c>
      <c r="AK16" s="3">
        <f t="shared" si="20"/>
        <v>4.892057847379812</v>
      </c>
      <c r="AO16" s="2">
        <f t="shared" si="14"/>
        <v>45847</v>
      </c>
      <c r="AP16" s="3">
        <f t="shared" si="6"/>
        <v>100</v>
      </c>
      <c r="AQ16" s="3">
        <f t="shared" si="15"/>
        <v>2.0625</v>
      </c>
      <c r="AR16" s="3"/>
      <c r="AS16" s="3">
        <f t="shared" si="7"/>
        <v>2.0625</v>
      </c>
      <c r="AU16" s="56">
        <v>0.105</v>
      </c>
      <c r="AV16" s="8">
        <f t="shared" si="0"/>
        <v>55.301069893787854</v>
      </c>
    </row>
    <row r="17" spans="5:48" x14ac:dyDescent="0.2">
      <c r="E17" s="2">
        <v>46031</v>
      </c>
      <c r="F17" s="3">
        <v>100</v>
      </c>
      <c r="G17" s="3">
        <f t="shared" si="21"/>
        <v>2.0625</v>
      </c>
      <c r="H17" s="3"/>
      <c r="I17" s="3">
        <f t="shared" si="1"/>
        <v>2.0625</v>
      </c>
      <c r="K17" s="4">
        <f t="shared" si="2"/>
        <v>1636</v>
      </c>
      <c r="L17" s="7">
        <f t="shared" si="3"/>
        <v>1.0178966148460709</v>
      </c>
      <c r="M17" s="7">
        <f t="shared" si="4"/>
        <v>4.6257746163560327</v>
      </c>
      <c r="Q17" s="2">
        <f t="shared" si="8"/>
        <v>46031</v>
      </c>
      <c r="R17" s="3">
        <f t="shared" si="9"/>
        <v>100</v>
      </c>
      <c r="S17" s="3">
        <f t="shared" si="10"/>
        <v>2.0625</v>
      </c>
      <c r="T17" s="3"/>
      <c r="U17" s="3">
        <f t="shared" si="5"/>
        <v>2.0625</v>
      </c>
      <c r="W17" s="4">
        <f t="shared" si="11"/>
        <v>1636</v>
      </c>
      <c r="X17" s="7" t="e">
        <f t="shared" si="12"/>
        <v>#REF!</v>
      </c>
      <c r="Y17" s="7" t="e">
        <f t="shared" si="13"/>
        <v>#REF!</v>
      </c>
      <c r="AC17" s="2">
        <v>45847</v>
      </c>
      <c r="AD17" s="3">
        <v>100</v>
      </c>
      <c r="AE17" s="3">
        <v>2.0625</v>
      </c>
      <c r="AF17" s="3"/>
      <c r="AG17" s="3">
        <v>2.0625</v>
      </c>
      <c r="AI17" s="4">
        <f t="shared" si="16"/>
        <v>1456</v>
      </c>
      <c r="AJ17" s="3">
        <f t="shared" si="19"/>
        <v>1.304170579619129</v>
      </c>
      <c r="AK17" s="3">
        <f t="shared" si="20"/>
        <v>5.2746454553484767</v>
      </c>
      <c r="AO17" s="2">
        <f t="shared" si="14"/>
        <v>46031</v>
      </c>
      <c r="AP17" s="3">
        <f t="shared" si="6"/>
        <v>100</v>
      </c>
      <c r="AQ17" s="3">
        <f t="shared" si="15"/>
        <v>2.0625</v>
      </c>
      <c r="AR17" s="3"/>
      <c r="AS17" s="3">
        <f t="shared" si="7"/>
        <v>2.0625</v>
      </c>
      <c r="AU17" s="56">
        <v>0.11</v>
      </c>
      <c r="AV17" s="8">
        <f t="shared" si="0"/>
        <v>53.05137845691246</v>
      </c>
    </row>
    <row r="18" spans="5:48" x14ac:dyDescent="0.2">
      <c r="E18" s="2">
        <v>46212</v>
      </c>
      <c r="F18" s="3">
        <v>100</v>
      </c>
      <c r="G18" s="3">
        <f t="shared" si="21"/>
        <v>2.0625</v>
      </c>
      <c r="H18" s="3"/>
      <c r="I18" s="3">
        <f t="shared" si="1"/>
        <v>2.0625</v>
      </c>
      <c r="K18" s="4">
        <f t="shared" si="2"/>
        <v>1816</v>
      </c>
      <c r="L18" s="7">
        <f t="shared" si="3"/>
        <v>0.94180336959656508</v>
      </c>
      <c r="M18" s="7">
        <f t="shared" si="4"/>
        <v>4.7508747755204501</v>
      </c>
      <c r="Q18" s="2">
        <f t="shared" si="8"/>
        <v>46212</v>
      </c>
      <c r="R18" s="3">
        <f t="shared" si="9"/>
        <v>100</v>
      </c>
      <c r="S18" s="3">
        <f t="shared" si="10"/>
        <v>2.0625</v>
      </c>
      <c r="T18" s="3"/>
      <c r="U18" s="3">
        <f t="shared" si="5"/>
        <v>2.0625</v>
      </c>
      <c r="W18" s="4">
        <f t="shared" si="11"/>
        <v>1816</v>
      </c>
      <c r="X18" s="7" t="e">
        <f t="shared" si="12"/>
        <v>#REF!</v>
      </c>
      <c r="Y18" s="7" t="e">
        <f t="shared" si="13"/>
        <v>#REF!</v>
      </c>
      <c r="AC18" s="2">
        <v>46031</v>
      </c>
      <c r="AD18" s="3">
        <v>100</v>
      </c>
      <c r="AE18" s="3">
        <v>2.0625</v>
      </c>
      <c r="AF18" s="3"/>
      <c r="AG18" s="3">
        <v>2.0625</v>
      </c>
      <c r="AI18" s="4">
        <f t="shared" si="16"/>
        <v>1636</v>
      </c>
      <c r="AJ18" s="3">
        <f t="shared" si="19"/>
        <v>1.2323253645997063</v>
      </c>
      <c r="AK18" s="3">
        <f t="shared" si="20"/>
        <v>5.6002341569031096</v>
      </c>
      <c r="AO18" s="2">
        <f t="shared" si="14"/>
        <v>46212</v>
      </c>
      <c r="AP18" s="3">
        <f t="shared" si="6"/>
        <v>100</v>
      </c>
      <c r="AQ18" s="3">
        <f t="shared" si="15"/>
        <v>2.0625</v>
      </c>
      <c r="AR18" s="3"/>
      <c r="AS18" s="3">
        <f t="shared" si="7"/>
        <v>2.0625</v>
      </c>
      <c r="AU18" s="56">
        <v>0.115</v>
      </c>
      <c r="AV18" s="8">
        <f t="shared" si="0"/>
        <v>50.915997924392812</v>
      </c>
    </row>
    <row r="19" spans="5:48" x14ac:dyDescent="0.2">
      <c r="E19" s="2">
        <v>46396</v>
      </c>
      <c r="F19" s="3">
        <v>100</v>
      </c>
      <c r="G19" s="3">
        <f t="shared" si="21"/>
        <v>2.0625</v>
      </c>
      <c r="H19" s="3"/>
      <c r="I19" s="3">
        <f t="shared" si="1"/>
        <v>2.0625</v>
      </c>
      <c r="K19" s="4">
        <f t="shared" si="2"/>
        <v>1996</v>
      </c>
      <c r="L19" s="7">
        <f t="shared" si="3"/>
        <v>0.87139850358729953</v>
      </c>
      <c r="M19" s="7">
        <f t="shared" si="4"/>
        <v>4.8314205921118054</v>
      </c>
      <c r="Q19" s="2">
        <f t="shared" si="8"/>
        <v>46396</v>
      </c>
      <c r="R19" s="3">
        <f t="shared" si="9"/>
        <v>100</v>
      </c>
      <c r="S19" s="3">
        <f t="shared" si="10"/>
        <v>2.0625</v>
      </c>
      <c r="T19" s="3"/>
      <c r="U19" s="3">
        <f t="shared" si="5"/>
        <v>2.0625</v>
      </c>
      <c r="W19" s="4">
        <f t="shared" si="11"/>
        <v>1996</v>
      </c>
      <c r="X19" s="7" t="e">
        <f t="shared" si="12"/>
        <v>#REF!</v>
      </c>
      <c r="Y19" s="7" t="e">
        <f t="shared" si="13"/>
        <v>#REF!</v>
      </c>
      <c r="AC19" s="2">
        <v>46212</v>
      </c>
      <c r="AD19" s="3">
        <v>100</v>
      </c>
      <c r="AE19" s="3">
        <v>2.0625</v>
      </c>
      <c r="AF19" s="3"/>
      <c r="AG19" s="3">
        <v>2.0625</v>
      </c>
      <c r="AI19" s="4">
        <f t="shared" si="16"/>
        <v>1816</v>
      </c>
      <c r="AJ19" s="3">
        <f t="shared" si="19"/>
        <v>1.1644380175170794</v>
      </c>
      <c r="AK19" s="3">
        <f t="shared" si="20"/>
        <v>5.873942888363934</v>
      </c>
      <c r="AO19" s="2">
        <f t="shared" si="14"/>
        <v>46396</v>
      </c>
      <c r="AP19" s="3">
        <f t="shared" si="6"/>
        <v>100</v>
      </c>
      <c r="AQ19" s="3">
        <f t="shared" si="15"/>
        <v>2.0625</v>
      </c>
      <c r="AR19" s="3"/>
      <c r="AS19" s="3">
        <f t="shared" si="7"/>
        <v>2.0625</v>
      </c>
      <c r="AU19" s="56">
        <v>0.12</v>
      </c>
      <c r="AV19" s="8">
        <f t="shared" si="0"/>
        <v>48.888344211494449</v>
      </c>
    </row>
    <row r="20" spans="5:48" x14ac:dyDescent="0.2">
      <c r="E20" s="2">
        <v>46577</v>
      </c>
      <c r="F20" s="3">
        <v>100</v>
      </c>
      <c r="G20" s="3">
        <f t="shared" si="21"/>
        <v>2.0625</v>
      </c>
      <c r="H20" s="3"/>
      <c r="I20" s="3">
        <f t="shared" si="1"/>
        <v>2.0625</v>
      </c>
      <c r="K20" s="4">
        <f t="shared" si="2"/>
        <v>2176</v>
      </c>
      <c r="L20" s="7">
        <f t="shared" si="3"/>
        <v>0.80625677988331801</v>
      </c>
      <c r="M20" s="7">
        <f t="shared" si="4"/>
        <v>4.8733743139613885</v>
      </c>
      <c r="Q20" s="2">
        <f t="shared" si="8"/>
        <v>46577</v>
      </c>
      <c r="R20" s="3">
        <f t="shared" si="9"/>
        <v>100</v>
      </c>
      <c r="S20" s="3">
        <f t="shared" si="10"/>
        <v>2.0625</v>
      </c>
      <c r="T20" s="3"/>
      <c r="U20" s="3">
        <f t="shared" si="5"/>
        <v>2.0625</v>
      </c>
      <c r="W20" s="4">
        <f t="shared" si="11"/>
        <v>2176</v>
      </c>
      <c r="X20" s="7" t="e">
        <f t="shared" si="12"/>
        <v>#REF!</v>
      </c>
      <c r="Y20" s="7" t="e">
        <f t="shared" si="13"/>
        <v>#REF!</v>
      </c>
      <c r="AC20" s="2">
        <v>46396</v>
      </c>
      <c r="AD20" s="3">
        <v>100</v>
      </c>
      <c r="AE20" s="3">
        <v>2.0625</v>
      </c>
      <c r="AF20" s="3"/>
      <c r="AG20" s="3">
        <v>2.0625</v>
      </c>
      <c r="AI20" s="4">
        <f t="shared" si="16"/>
        <v>1996</v>
      </c>
      <c r="AJ20" s="3">
        <f t="shared" si="19"/>
        <v>1.1002905041068805</v>
      </c>
      <c r="AK20" s="3">
        <f t="shared" si="20"/>
        <v>6.1004995727703699</v>
      </c>
      <c r="AO20" s="2">
        <f t="shared" si="14"/>
        <v>46577</v>
      </c>
      <c r="AP20" s="3">
        <f t="shared" si="6"/>
        <v>100</v>
      </c>
      <c r="AQ20" s="3">
        <f t="shared" si="15"/>
        <v>2.0625</v>
      </c>
      <c r="AR20" s="3"/>
      <c r="AS20" s="3">
        <f t="shared" si="7"/>
        <v>2.0625</v>
      </c>
      <c r="AU20" s="56">
        <v>0.125</v>
      </c>
      <c r="AV20" s="8">
        <f t="shared" si="0"/>
        <v>46.962249716822981</v>
      </c>
    </row>
    <row r="21" spans="5:48" x14ac:dyDescent="0.2">
      <c r="E21" s="2">
        <v>46761</v>
      </c>
      <c r="F21" s="3">
        <v>100</v>
      </c>
      <c r="G21" s="3">
        <f>0.0475*(180/360)*F21</f>
        <v>2.375</v>
      </c>
      <c r="H21" s="3"/>
      <c r="I21" s="3">
        <f t="shared" si="1"/>
        <v>2.375</v>
      </c>
      <c r="K21" s="4">
        <f t="shared" si="2"/>
        <v>2356</v>
      </c>
      <c r="L21" s="7">
        <f t="shared" si="3"/>
        <v>0.85901274276632966</v>
      </c>
      <c r="M21" s="7">
        <f t="shared" si="4"/>
        <v>5.6217611721040903</v>
      </c>
      <c r="Q21" s="2">
        <f t="shared" si="8"/>
        <v>46761</v>
      </c>
      <c r="R21" s="3">
        <f t="shared" si="9"/>
        <v>100</v>
      </c>
      <c r="S21" s="3">
        <f t="shared" si="10"/>
        <v>2.375</v>
      </c>
      <c r="T21" s="3"/>
      <c r="U21" s="3">
        <f t="shared" si="5"/>
        <v>2.375</v>
      </c>
      <c r="W21" s="4">
        <f t="shared" si="11"/>
        <v>2356</v>
      </c>
      <c r="X21" s="7" t="e">
        <f t="shared" si="12"/>
        <v>#REF!</v>
      </c>
      <c r="Y21" s="7" t="e">
        <f t="shared" si="13"/>
        <v>#REF!</v>
      </c>
      <c r="AC21" s="2">
        <v>46577</v>
      </c>
      <c r="AD21" s="3">
        <v>100</v>
      </c>
      <c r="AE21" s="3">
        <v>2.0625</v>
      </c>
      <c r="AF21" s="3"/>
      <c r="AG21" s="3">
        <v>2.0625</v>
      </c>
      <c r="AI21" s="4">
        <f t="shared" si="16"/>
        <v>2176</v>
      </c>
      <c r="AJ21" s="3">
        <f t="shared" si="19"/>
        <v>1.039676801354535</v>
      </c>
      <c r="AK21" s="3">
        <f t="shared" si="20"/>
        <v>6.2842686659651887</v>
      </c>
      <c r="AO21" s="2">
        <f t="shared" si="14"/>
        <v>46761</v>
      </c>
      <c r="AP21" s="3">
        <f t="shared" si="6"/>
        <v>100</v>
      </c>
      <c r="AQ21" s="3">
        <f t="shared" si="15"/>
        <v>2.375</v>
      </c>
      <c r="AR21" s="3"/>
      <c r="AS21" s="3">
        <f t="shared" si="7"/>
        <v>2.375</v>
      </c>
      <c r="AU21" s="56">
        <v>0.13</v>
      </c>
      <c r="AV21" s="8">
        <f t="shared" si="0"/>
        <v>45.13193484266035</v>
      </c>
    </row>
    <row r="22" spans="5:48" x14ac:dyDescent="0.2">
      <c r="E22" s="2">
        <v>46943</v>
      </c>
      <c r="F22" s="3">
        <v>100</v>
      </c>
      <c r="G22" s="3">
        <f>0.0475*(180/360)*F22</f>
        <v>2.375</v>
      </c>
      <c r="H22" s="3"/>
      <c r="I22" s="3">
        <f t="shared" si="1"/>
        <v>2.375</v>
      </c>
      <c r="K22" s="4">
        <f t="shared" si="2"/>
        <v>2536</v>
      </c>
      <c r="L22" s="7">
        <f t="shared" si="3"/>
        <v>0.79479692128267776</v>
      </c>
      <c r="M22" s="7">
        <f t="shared" si="4"/>
        <v>5.5989027565913077</v>
      </c>
      <c r="Q22" s="2">
        <f t="shared" si="8"/>
        <v>46943</v>
      </c>
      <c r="R22" s="3">
        <f t="shared" si="9"/>
        <v>100</v>
      </c>
      <c r="S22" s="3">
        <f t="shared" si="10"/>
        <v>2.375</v>
      </c>
      <c r="T22" s="3"/>
      <c r="U22" s="3">
        <f t="shared" si="5"/>
        <v>2.375</v>
      </c>
      <c r="W22" s="4">
        <f t="shared" si="11"/>
        <v>2536</v>
      </c>
      <c r="X22" s="7" t="e">
        <f t="shared" si="12"/>
        <v>#REF!</v>
      </c>
      <c r="Y22" s="7" t="e">
        <f t="shared" si="13"/>
        <v>#REF!</v>
      </c>
      <c r="AC22" s="2">
        <v>46761</v>
      </c>
      <c r="AD22" s="3">
        <v>100</v>
      </c>
      <c r="AE22" s="3">
        <v>2.375</v>
      </c>
      <c r="AF22" s="3"/>
      <c r="AG22" s="3">
        <v>2.375</v>
      </c>
      <c r="AI22" s="4">
        <f t="shared" si="16"/>
        <v>2356</v>
      </c>
      <c r="AJ22" s="3">
        <f t="shared" si="19"/>
        <v>1.1312510594172471</v>
      </c>
      <c r="AK22" s="3">
        <f t="shared" si="20"/>
        <v>7.4034097110750947</v>
      </c>
      <c r="AO22" s="2">
        <f t="shared" si="14"/>
        <v>46943</v>
      </c>
      <c r="AP22" s="3">
        <f t="shared" si="6"/>
        <v>100</v>
      </c>
      <c r="AQ22" s="3">
        <f t="shared" si="15"/>
        <v>2.375</v>
      </c>
      <c r="AR22" s="3"/>
      <c r="AS22" s="3">
        <f t="shared" si="7"/>
        <v>2.375</v>
      </c>
      <c r="AU22" s="56">
        <v>0.13500000000000001</v>
      </c>
      <c r="AV22" s="8">
        <f t="shared" si="0"/>
        <v>43.391981600027144</v>
      </c>
    </row>
    <row r="23" spans="5:48" x14ac:dyDescent="0.2">
      <c r="E23" s="2">
        <v>47127</v>
      </c>
      <c r="F23" s="3">
        <v>100</v>
      </c>
      <c r="G23" s="3">
        <f>0.05*(180/360)*F23</f>
        <v>2.5</v>
      </c>
      <c r="H23" s="3"/>
      <c r="I23" s="3">
        <f t="shared" si="1"/>
        <v>2.5</v>
      </c>
      <c r="K23" s="4">
        <f t="shared" si="2"/>
        <v>2716</v>
      </c>
      <c r="L23" s="7">
        <f t="shared" si="3"/>
        <v>0.77408587131280504</v>
      </c>
      <c r="M23" s="7">
        <f t="shared" si="4"/>
        <v>5.840047851348829</v>
      </c>
      <c r="Q23" s="2">
        <f t="shared" si="8"/>
        <v>47127</v>
      </c>
      <c r="R23" s="3">
        <f t="shared" si="9"/>
        <v>100</v>
      </c>
      <c r="S23" s="3">
        <f t="shared" si="10"/>
        <v>2.5</v>
      </c>
      <c r="T23" s="3"/>
      <c r="U23" s="3">
        <f t="shared" si="5"/>
        <v>2.5</v>
      </c>
      <c r="W23" s="4">
        <f t="shared" si="11"/>
        <v>2716</v>
      </c>
      <c r="X23" s="7" t="e">
        <f t="shared" si="12"/>
        <v>#REF!</v>
      </c>
      <c r="Y23" s="7" t="e">
        <f t="shared" si="13"/>
        <v>#REF!</v>
      </c>
      <c r="AC23" s="2">
        <v>46943</v>
      </c>
      <c r="AD23" s="3">
        <v>100</v>
      </c>
      <c r="AE23" s="3">
        <v>2.375</v>
      </c>
      <c r="AF23" s="3"/>
      <c r="AG23" s="3">
        <v>2.375</v>
      </c>
      <c r="AI23" s="4">
        <f t="shared" si="16"/>
        <v>2536</v>
      </c>
      <c r="AJ23" s="3">
        <f t="shared" si="19"/>
        <v>1.0689317762844244</v>
      </c>
      <c r="AK23" s="3">
        <f t="shared" si="20"/>
        <v>7.5300305129369445</v>
      </c>
      <c r="AO23" s="2">
        <f t="shared" si="14"/>
        <v>47127</v>
      </c>
      <c r="AP23" s="3">
        <f t="shared" si="6"/>
        <v>100</v>
      </c>
      <c r="AQ23" s="3">
        <f t="shared" si="15"/>
        <v>2.5</v>
      </c>
      <c r="AR23" s="3"/>
      <c r="AS23" s="3">
        <f t="shared" si="7"/>
        <v>2.5</v>
      </c>
      <c r="AU23" s="56">
        <v>0.14000000000000001</v>
      </c>
      <c r="AV23" s="8">
        <f t="shared" si="0"/>
        <v>41.737309136244022</v>
      </c>
    </row>
    <row r="24" spans="5:48" x14ac:dyDescent="0.2">
      <c r="E24" s="2">
        <v>47308</v>
      </c>
      <c r="F24" s="3">
        <v>100</v>
      </c>
      <c r="G24" s="3">
        <f t="shared" ref="G24:G36" si="22">0.05*(180/360)*F24</f>
        <v>2.5</v>
      </c>
      <c r="H24" s="3"/>
      <c r="I24" s="3">
        <f t="shared" si="1"/>
        <v>2.5</v>
      </c>
      <c r="K24" s="4">
        <f t="shared" si="2"/>
        <v>2896</v>
      </c>
      <c r="L24" s="7">
        <f t="shared" si="3"/>
        <v>0.71621879012706968</v>
      </c>
      <c r="M24" s="7">
        <f t="shared" si="4"/>
        <v>5.7615822672444272</v>
      </c>
      <c r="Q24" s="2">
        <f t="shared" si="8"/>
        <v>47308</v>
      </c>
      <c r="R24" s="3">
        <f t="shared" si="9"/>
        <v>100</v>
      </c>
      <c r="S24" s="3">
        <f t="shared" si="10"/>
        <v>2.5</v>
      </c>
      <c r="T24" s="3"/>
      <c r="U24" s="3">
        <f t="shared" si="5"/>
        <v>2.5</v>
      </c>
      <c r="W24" s="4">
        <f t="shared" si="11"/>
        <v>2896</v>
      </c>
      <c r="X24" s="7" t="e">
        <f t="shared" si="12"/>
        <v>#REF!</v>
      </c>
      <c r="Y24" s="7" t="e">
        <f t="shared" si="13"/>
        <v>#REF!</v>
      </c>
      <c r="AC24" s="2">
        <v>47127</v>
      </c>
      <c r="AD24" s="3">
        <v>100</v>
      </c>
      <c r="AE24" s="3">
        <v>2.5</v>
      </c>
      <c r="AF24" s="3"/>
      <c r="AG24" s="3">
        <v>2.5</v>
      </c>
      <c r="AI24" s="4">
        <f t="shared" si="16"/>
        <v>2716</v>
      </c>
      <c r="AJ24" s="3">
        <f t="shared" si="19"/>
        <v>1.0632058829109465</v>
      </c>
      <c r="AK24" s="3">
        <f t="shared" si="20"/>
        <v>8.0212977166281405</v>
      </c>
      <c r="AO24" s="2">
        <f t="shared" si="14"/>
        <v>47308</v>
      </c>
      <c r="AP24" s="3">
        <f t="shared" si="6"/>
        <v>100</v>
      </c>
      <c r="AQ24" s="3">
        <f t="shared" si="15"/>
        <v>2.5</v>
      </c>
      <c r="AR24" s="3"/>
      <c r="AS24" s="3">
        <f t="shared" si="7"/>
        <v>2.5</v>
      </c>
      <c r="AU24" s="56">
        <v>0.14499999999999999</v>
      </c>
      <c r="AV24" s="8">
        <f t="shared" si="0"/>
        <v>40.163151036114343</v>
      </c>
    </row>
    <row r="25" spans="5:48" x14ac:dyDescent="0.2">
      <c r="E25" s="2">
        <v>47492</v>
      </c>
      <c r="F25" s="3">
        <v>100</v>
      </c>
      <c r="G25" s="3">
        <f t="shared" si="22"/>
        <v>2.5</v>
      </c>
      <c r="H25" s="3"/>
      <c r="I25" s="3">
        <f t="shared" si="1"/>
        <v>2.5</v>
      </c>
      <c r="K25" s="4">
        <f t="shared" si="2"/>
        <v>3076</v>
      </c>
      <c r="L25" s="7">
        <f t="shared" si="3"/>
        <v>0.66267758441465541</v>
      </c>
      <c r="M25" s="7">
        <f t="shared" si="4"/>
        <v>5.662211804609667</v>
      </c>
      <c r="Q25" s="2">
        <f t="shared" si="8"/>
        <v>47492</v>
      </c>
      <c r="R25" s="3">
        <f t="shared" si="9"/>
        <v>100</v>
      </c>
      <c r="S25" s="3">
        <f t="shared" si="10"/>
        <v>2.5</v>
      </c>
      <c r="T25" s="3"/>
      <c r="U25" s="3">
        <f t="shared" si="5"/>
        <v>2.5</v>
      </c>
      <c r="W25" s="4">
        <f t="shared" si="11"/>
        <v>3076</v>
      </c>
      <c r="X25" s="7" t="e">
        <f t="shared" si="12"/>
        <v>#REF!</v>
      </c>
      <c r="Y25" s="7" t="e">
        <f t="shared" si="13"/>
        <v>#REF!</v>
      </c>
      <c r="AC25" s="2">
        <v>47308</v>
      </c>
      <c r="AD25" s="3">
        <v>100</v>
      </c>
      <c r="AE25" s="3">
        <v>2.5</v>
      </c>
      <c r="AF25" s="3"/>
      <c r="AG25" s="3">
        <v>2.5</v>
      </c>
      <c r="AI25" s="4">
        <f t="shared" si="16"/>
        <v>2896</v>
      </c>
      <c r="AJ25" s="3">
        <f t="shared" si="19"/>
        <v>1.0046351280868651</v>
      </c>
      <c r="AK25" s="3">
        <f t="shared" si="20"/>
        <v>8.0817314748321145</v>
      </c>
      <c r="AO25" s="2">
        <f t="shared" si="14"/>
        <v>47492</v>
      </c>
      <c r="AP25" s="3">
        <f t="shared" si="6"/>
        <v>100</v>
      </c>
      <c r="AQ25" s="3">
        <f t="shared" si="15"/>
        <v>2.5</v>
      </c>
      <c r="AR25" s="3"/>
      <c r="AS25" s="3">
        <f t="shared" si="7"/>
        <v>2.5</v>
      </c>
      <c r="AU25" s="56">
        <v>0.15</v>
      </c>
      <c r="AV25" s="8">
        <f t="shared" si="0"/>
        <v>38.665034260042738</v>
      </c>
    </row>
    <row r="26" spans="5:48" x14ac:dyDescent="0.2">
      <c r="E26" s="2">
        <v>47673</v>
      </c>
      <c r="F26" s="3">
        <v>100</v>
      </c>
      <c r="G26" s="3">
        <f t="shared" si="22"/>
        <v>2.5</v>
      </c>
      <c r="H26" s="3"/>
      <c r="I26" s="3">
        <f t="shared" si="1"/>
        <v>2.5</v>
      </c>
      <c r="K26" s="4">
        <f t="shared" si="2"/>
        <v>3256</v>
      </c>
      <c r="L26" s="7">
        <f t="shared" si="3"/>
        <v>0.61313887172344561</v>
      </c>
      <c r="M26" s="7">
        <f t="shared" si="4"/>
        <v>5.5455004620320523</v>
      </c>
      <c r="Q26" s="2">
        <f t="shared" si="8"/>
        <v>47673</v>
      </c>
      <c r="R26" s="3">
        <f t="shared" si="9"/>
        <v>100</v>
      </c>
      <c r="S26" s="3">
        <f t="shared" si="10"/>
        <v>2.5</v>
      </c>
      <c r="T26" s="3"/>
      <c r="U26" s="3">
        <f t="shared" si="5"/>
        <v>2.5</v>
      </c>
      <c r="W26" s="4">
        <f t="shared" si="11"/>
        <v>3256</v>
      </c>
      <c r="X26" s="7" t="e">
        <f t="shared" si="12"/>
        <v>#REF!</v>
      </c>
      <c r="Y26" s="7" t="e">
        <f t="shared" si="13"/>
        <v>#REF!</v>
      </c>
      <c r="AC26" s="2">
        <v>47492</v>
      </c>
      <c r="AD26" s="3">
        <v>100</v>
      </c>
      <c r="AE26" s="3">
        <v>2.5</v>
      </c>
      <c r="AF26" s="3"/>
      <c r="AG26" s="3">
        <v>2.5</v>
      </c>
      <c r="AI26" s="4">
        <f t="shared" si="16"/>
        <v>3076</v>
      </c>
      <c r="AJ26" s="3">
        <f t="shared" si="19"/>
        <v>0.94929096688477355</v>
      </c>
      <c r="AK26" s="3">
        <f t="shared" si="20"/>
        <v>8.1111639281598986</v>
      </c>
      <c r="AO26" s="2">
        <f t="shared" si="14"/>
        <v>47673</v>
      </c>
      <c r="AP26" s="3">
        <f t="shared" si="6"/>
        <v>100</v>
      </c>
      <c r="AQ26" s="3">
        <f t="shared" si="15"/>
        <v>2.5</v>
      </c>
      <c r="AR26" s="3"/>
      <c r="AS26" s="3">
        <f t="shared" si="7"/>
        <v>2.5</v>
      </c>
      <c r="AU26" s="56">
        <v>0.155</v>
      </c>
      <c r="AV26" s="8">
        <f t="shared" si="0"/>
        <v>37.238759593544877</v>
      </c>
    </row>
    <row r="27" spans="5:48" x14ac:dyDescent="0.2">
      <c r="E27" s="2">
        <v>47857</v>
      </c>
      <c r="F27" s="3">
        <v>100</v>
      </c>
      <c r="G27" s="3">
        <f t="shared" si="22"/>
        <v>2.5</v>
      </c>
      <c r="H27" s="3">
        <f>100/10</f>
        <v>10</v>
      </c>
      <c r="I27" s="3">
        <f t="shared" si="1"/>
        <v>12.5</v>
      </c>
      <c r="K27" s="4">
        <f t="shared" si="2"/>
        <v>3436</v>
      </c>
      <c r="L27" s="7">
        <f t="shared" si="3"/>
        <v>2.8365172208923286</v>
      </c>
      <c r="M27" s="7">
        <f t="shared" si="4"/>
        <v>27.072981030516779</v>
      </c>
      <c r="Q27" s="2">
        <f t="shared" si="8"/>
        <v>47857</v>
      </c>
      <c r="R27" s="3">
        <f t="shared" si="9"/>
        <v>100</v>
      </c>
      <c r="S27" s="3">
        <f t="shared" si="10"/>
        <v>2.5</v>
      </c>
      <c r="T27" s="3"/>
      <c r="U27" s="3">
        <f t="shared" si="5"/>
        <v>2.5</v>
      </c>
      <c r="W27" s="4">
        <f t="shared" si="11"/>
        <v>3436</v>
      </c>
      <c r="X27" s="7" t="e">
        <f t="shared" si="12"/>
        <v>#REF!</v>
      </c>
      <c r="Y27" s="7" t="e">
        <f t="shared" si="13"/>
        <v>#REF!</v>
      </c>
      <c r="AC27" s="2">
        <v>47673</v>
      </c>
      <c r="AD27" s="3">
        <v>100</v>
      </c>
      <c r="AE27" s="3">
        <v>2.5</v>
      </c>
      <c r="AF27" s="3"/>
      <c r="AG27" s="3">
        <v>2.5</v>
      </c>
      <c r="AI27" s="4">
        <f t="shared" si="16"/>
        <v>3256</v>
      </c>
      <c r="AJ27" s="3">
        <f t="shared" si="19"/>
        <v>0.8969956500775581</v>
      </c>
      <c r="AK27" s="3">
        <f t="shared" si="20"/>
        <v>8.1128273240348037</v>
      </c>
      <c r="AO27" s="2">
        <f t="shared" si="14"/>
        <v>47857</v>
      </c>
      <c r="AP27" s="3">
        <f t="shared" si="6"/>
        <v>100</v>
      </c>
      <c r="AQ27" s="3">
        <f t="shared" si="15"/>
        <v>2.5</v>
      </c>
      <c r="AR27" s="3">
        <f>+H27</f>
        <v>10</v>
      </c>
      <c r="AS27" s="3">
        <f t="shared" si="7"/>
        <v>12.5</v>
      </c>
      <c r="AU27" s="56">
        <v>0.16</v>
      </c>
      <c r="AV27" s="8">
        <f t="shared" si="0"/>
        <v>35.880383492788134</v>
      </c>
    </row>
    <row r="28" spans="5:48" x14ac:dyDescent="0.2">
      <c r="E28" s="2">
        <v>48038</v>
      </c>
      <c r="F28" s="3">
        <f>+F27-H27</f>
        <v>90</v>
      </c>
      <c r="G28" s="3">
        <f t="shared" si="22"/>
        <v>2.25</v>
      </c>
      <c r="H28" s="3">
        <f t="shared" ref="H28:H36" si="23">100/10</f>
        <v>10</v>
      </c>
      <c r="I28" s="3">
        <f t="shared" si="1"/>
        <v>12.25</v>
      </c>
      <c r="K28" s="4">
        <f t="shared" si="2"/>
        <v>3616</v>
      </c>
      <c r="L28" s="7">
        <f t="shared" si="3"/>
        <v>2.5719828603810422</v>
      </c>
      <c r="M28" s="7">
        <f t="shared" si="4"/>
        <v>25.834138953160689</v>
      </c>
      <c r="Q28" s="2">
        <f t="shared" si="8"/>
        <v>48038</v>
      </c>
      <c r="R28" s="3">
        <f t="shared" si="9"/>
        <v>90</v>
      </c>
      <c r="S28" s="3">
        <f t="shared" si="10"/>
        <v>2.25</v>
      </c>
      <c r="T28" s="3">
        <f>100/10</f>
        <v>10</v>
      </c>
      <c r="U28" s="3">
        <f t="shared" si="5"/>
        <v>12.25</v>
      </c>
      <c r="W28" s="4">
        <f t="shared" si="11"/>
        <v>3616</v>
      </c>
      <c r="X28" s="7" t="e">
        <f t="shared" si="12"/>
        <v>#REF!</v>
      </c>
      <c r="Y28" s="7" t="e">
        <f t="shared" si="13"/>
        <v>#REF!</v>
      </c>
      <c r="AC28" s="2">
        <v>47857</v>
      </c>
      <c r="AD28" s="3">
        <v>100</v>
      </c>
      <c r="AE28" s="3">
        <v>2.5</v>
      </c>
      <c r="AF28" s="3">
        <v>10</v>
      </c>
      <c r="AG28" s="3">
        <v>12.5</v>
      </c>
      <c r="AI28" s="4">
        <f t="shared" si="16"/>
        <v>3436</v>
      </c>
      <c r="AJ28" s="3">
        <f t="shared" si="19"/>
        <v>4.2379061021641675</v>
      </c>
      <c r="AK28" s="3">
        <f t="shared" si="20"/>
        <v>40.448459352877997</v>
      </c>
      <c r="AO28" s="2">
        <f t="shared" si="14"/>
        <v>48038</v>
      </c>
      <c r="AP28" s="3">
        <f t="shared" si="6"/>
        <v>90</v>
      </c>
      <c r="AQ28" s="3">
        <f t="shared" si="15"/>
        <v>2.25</v>
      </c>
      <c r="AR28" s="3">
        <f t="shared" ref="AR28:AR36" si="24">+H28</f>
        <v>10</v>
      </c>
      <c r="AS28" s="3">
        <f t="shared" si="7"/>
        <v>12.25</v>
      </c>
    </row>
    <row r="29" spans="5:48" x14ac:dyDescent="0.2">
      <c r="E29" s="2">
        <v>48222</v>
      </c>
      <c r="F29" s="3">
        <f t="shared" ref="F29:F36" si="25">+F28-H28</f>
        <v>80</v>
      </c>
      <c r="G29" s="3">
        <f t="shared" si="22"/>
        <v>2</v>
      </c>
      <c r="H29" s="3">
        <f t="shared" si="23"/>
        <v>10</v>
      </c>
      <c r="I29" s="3">
        <f t="shared" si="1"/>
        <v>12</v>
      </c>
      <c r="K29" s="4">
        <f t="shared" si="2"/>
        <v>3796</v>
      </c>
      <c r="L29" s="7">
        <f t="shared" si="3"/>
        <v>2.3311477340717994</v>
      </c>
      <c r="M29" s="7">
        <f t="shared" si="4"/>
        <v>24.580657773712641</v>
      </c>
      <c r="Q29" s="2">
        <f t="shared" si="8"/>
        <v>48222</v>
      </c>
      <c r="R29" s="3">
        <f t="shared" si="9"/>
        <v>80</v>
      </c>
      <c r="S29" s="3">
        <f t="shared" si="10"/>
        <v>2</v>
      </c>
      <c r="T29" s="3">
        <f t="shared" ref="T29:T36" si="26">100/10</f>
        <v>10</v>
      </c>
      <c r="U29" s="3">
        <f t="shared" si="5"/>
        <v>12</v>
      </c>
      <c r="W29" s="4">
        <f t="shared" si="11"/>
        <v>3796</v>
      </c>
      <c r="X29" s="7" t="e">
        <f t="shared" si="12"/>
        <v>#REF!</v>
      </c>
      <c r="Y29" s="7" t="e">
        <f t="shared" si="13"/>
        <v>#REF!</v>
      </c>
      <c r="AC29" s="2">
        <v>48038</v>
      </c>
      <c r="AD29" s="3">
        <v>90</v>
      </c>
      <c r="AE29" s="3">
        <v>2.25</v>
      </c>
      <c r="AF29" s="3">
        <v>10</v>
      </c>
      <c r="AG29" s="3">
        <v>12.25</v>
      </c>
      <c r="AI29" s="4">
        <f t="shared" si="16"/>
        <v>3616</v>
      </c>
      <c r="AJ29" s="3">
        <f t="shared" si="19"/>
        <v>3.9243559690893162</v>
      </c>
      <c r="AK29" s="3">
        <f t="shared" si="20"/>
        <v>39.417975511741574</v>
      </c>
      <c r="AO29" s="2">
        <f t="shared" si="14"/>
        <v>48222</v>
      </c>
      <c r="AP29" s="3">
        <f t="shared" si="6"/>
        <v>80</v>
      </c>
      <c r="AQ29" s="3">
        <f t="shared" si="15"/>
        <v>2</v>
      </c>
      <c r="AR29" s="3">
        <f t="shared" si="24"/>
        <v>10</v>
      </c>
      <c r="AS29" s="3">
        <f t="shared" si="7"/>
        <v>12</v>
      </c>
    </row>
    <row r="30" spans="5:48" x14ac:dyDescent="0.2">
      <c r="E30" s="2">
        <v>48404</v>
      </c>
      <c r="F30" s="3">
        <f t="shared" si="25"/>
        <v>70</v>
      </c>
      <c r="G30" s="3">
        <f t="shared" si="22"/>
        <v>1.75</v>
      </c>
      <c r="H30" s="3">
        <f t="shared" si="23"/>
        <v>10</v>
      </c>
      <c r="I30" s="3">
        <f t="shared" si="1"/>
        <v>11.75</v>
      </c>
      <c r="K30" s="4">
        <f t="shared" si="2"/>
        <v>3976</v>
      </c>
      <c r="L30" s="7">
        <f t="shared" si="3"/>
        <v>2.1119468665187608</v>
      </c>
      <c r="M30" s="7">
        <f t="shared" si="4"/>
        <v>23.325279836884981</v>
      </c>
      <c r="Q30" s="2">
        <f t="shared" si="8"/>
        <v>48404</v>
      </c>
      <c r="R30" s="3">
        <f t="shared" si="9"/>
        <v>70</v>
      </c>
      <c r="S30" s="3">
        <f t="shared" si="10"/>
        <v>1.75</v>
      </c>
      <c r="T30" s="3">
        <f t="shared" si="26"/>
        <v>10</v>
      </c>
      <c r="U30" s="3">
        <f t="shared" si="5"/>
        <v>11.75</v>
      </c>
      <c r="W30" s="4">
        <f t="shared" si="11"/>
        <v>3976</v>
      </c>
      <c r="X30" s="7" t="e">
        <f t="shared" si="12"/>
        <v>#REF!</v>
      </c>
      <c r="Y30" s="7" t="e">
        <f t="shared" si="13"/>
        <v>#REF!</v>
      </c>
      <c r="AC30" s="2">
        <v>48222</v>
      </c>
      <c r="AD30" s="3">
        <v>80</v>
      </c>
      <c r="AE30" s="3">
        <v>2</v>
      </c>
      <c r="AF30" s="3">
        <v>10</v>
      </c>
      <c r="AG30" s="3">
        <v>12</v>
      </c>
      <c r="AI30" s="4">
        <f t="shared" si="16"/>
        <v>3796</v>
      </c>
      <c r="AJ30" s="3">
        <f t="shared" si="19"/>
        <v>3.6324909447121434</v>
      </c>
      <c r="AK30" s="3">
        <f t="shared" si="20"/>
        <v>38.30259896146471</v>
      </c>
      <c r="AO30" s="2">
        <f t="shared" si="14"/>
        <v>48404</v>
      </c>
      <c r="AP30" s="3">
        <f t="shared" si="6"/>
        <v>70</v>
      </c>
      <c r="AQ30" s="3">
        <f t="shared" si="15"/>
        <v>1.75</v>
      </c>
      <c r="AR30" s="3">
        <f t="shared" si="24"/>
        <v>10</v>
      </c>
      <c r="AS30" s="3">
        <f t="shared" si="7"/>
        <v>11.75</v>
      </c>
    </row>
    <row r="31" spans="5:48" x14ac:dyDescent="0.2">
      <c r="E31" s="2">
        <v>48588</v>
      </c>
      <c r="F31" s="3">
        <f t="shared" si="25"/>
        <v>60</v>
      </c>
      <c r="G31" s="3">
        <f t="shared" si="22"/>
        <v>1.5</v>
      </c>
      <c r="H31" s="3">
        <f t="shared" si="23"/>
        <v>10</v>
      </c>
      <c r="I31" s="3">
        <f t="shared" si="1"/>
        <v>11.5</v>
      </c>
      <c r="K31" s="4">
        <f t="shared" si="2"/>
        <v>4156</v>
      </c>
      <c r="L31" s="7">
        <f t="shared" si="3"/>
        <v>1.9124915783081264</v>
      </c>
      <c r="M31" s="7">
        <f t="shared" si="4"/>
        <v>22.078652776246038</v>
      </c>
      <c r="Q31" s="2">
        <f t="shared" si="8"/>
        <v>48588</v>
      </c>
      <c r="R31" s="3">
        <f t="shared" si="9"/>
        <v>60</v>
      </c>
      <c r="S31" s="3">
        <f t="shared" si="10"/>
        <v>1.5</v>
      </c>
      <c r="T31" s="3">
        <f t="shared" si="26"/>
        <v>10</v>
      </c>
      <c r="U31" s="3">
        <f t="shared" si="5"/>
        <v>11.5</v>
      </c>
      <c r="W31" s="4">
        <f t="shared" si="11"/>
        <v>4156</v>
      </c>
      <c r="X31" s="7" t="e">
        <f t="shared" si="12"/>
        <v>#REF!</v>
      </c>
      <c r="Y31" s="7" t="e">
        <f t="shared" si="13"/>
        <v>#REF!</v>
      </c>
      <c r="AC31" s="2">
        <v>48404</v>
      </c>
      <c r="AD31" s="3">
        <v>70</v>
      </c>
      <c r="AE31" s="3">
        <v>1.75</v>
      </c>
      <c r="AF31" s="3">
        <v>10</v>
      </c>
      <c r="AG31" s="3">
        <v>11.75</v>
      </c>
      <c r="AI31" s="4">
        <f t="shared" si="16"/>
        <v>3976</v>
      </c>
      <c r="AJ31" s="3">
        <f t="shared" si="19"/>
        <v>3.3608733700291151</v>
      </c>
      <c r="AK31" s="3">
        <f t="shared" si="20"/>
        <v>37.118979220099341</v>
      </c>
      <c r="AO31" s="2">
        <f t="shared" si="14"/>
        <v>48588</v>
      </c>
      <c r="AP31" s="3">
        <f t="shared" si="6"/>
        <v>60</v>
      </c>
      <c r="AQ31" s="3">
        <f t="shared" si="15"/>
        <v>1.5</v>
      </c>
      <c r="AR31" s="3">
        <f t="shared" si="24"/>
        <v>10</v>
      </c>
      <c r="AS31" s="3">
        <f t="shared" si="7"/>
        <v>11.5</v>
      </c>
    </row>
    <row r="32" spans="5:48" x14ac:dyDescent="0.2">
      <c r="E32" s="2">
        <v>48769</v>
      </c>
      <c r="F32" s="3">
        <f t="shared" si="25"/>
        <v>50</v>
      </c>
      <c r="G32" s="3">
        <f t="shared" si="22"/>
        <v>1.25</v>
      </c>
      <c r="H32" s="3">
        <f t="shared" si="23"/>
        <v>10</v>
      </c>
      <c r="I32" s="3">
        <f t="shared" si="1"/>
        <v>11.25</v>
      </c>
      <c r="K32" s="4">
        <f t="shared" si="2"/>
        <v>4336</v>
      </c>
      <c r="L32" s="7">
        <f t="shared" si="3"/>
        <v>1.731054667744836</v>
      </c>
      <c r="M32" s="7">
        <f t="shared" si="4"/>
        <v>20.849591775948912</v>
      </c>
      <c r="Q32" s="2">
        <f t="shared" si="8"/>
        <v>48769</v>
      </c>
      <c r="R32" s="3">
        <f t="shared" si="9"/>
        <v>50</v>
      </c>
      <c r="S32" s="3">
        <f t="shared" si="10"/>
        <v>1.25</v>
      </c>
      <c r="T32" s="3">
        <f t="shared" si="26"/>
        <v>10</v>
      </c>
      <c r="U32" s="3">
        <f t="shared" si="5"/>
        <v>11.25</v>
      </c>
      <c r="W32" s="4">
        <f t="shared" si="11"/>
        <v>4336</v>
      </c>
      <c r="X32" s="7" t="e">
        <f t="shared" si="12"/>
        <v>#REF!</v>
      </c>
      <c r="Y32" s="7" t="e">
        <f t="shared" si="13"/>
        <v>#REF!</v>
      </c>
      <c r="AC32" s="2">
        <v>48588</v>
      </c>
      <c r="AD32" s="3">
        <v>60</v>
      </c>
      <c r="AE32" s="3">
        <v>1.5</v>
      </c>
      <c r="AF32" s="3">
        <v>10</v>
      </c>
      <c r="AG32" s="3">
        <v>11.5</v>
      </c>
      <c r="AI32" s="4">
        <f t="shared" si="16"/>
        <v>4156</v>
      </c>
      <c r="AJ32" s="3">
        <f t="shared" si="19"/>
        <v>3.1081581744188727</v>
      </c>
      <c r="AK32" s="3">
        <f t="shared" si="20"/>
        <v>35.881959369124537</v>
      </c>
      <c r="AO32" s="2">
        <f t="shared" si="14"/>
        <v>48769</v>
      </c>
      <c r="AP32" s="3">
        <f t="shared" si="6"/>
        <v>50</v>
      </c>
      <c r="AQ32" s="3">
        <f t="shared" si="15"/>
        <v>1.25</v>
      </c>
      <c r="AR32" s="3">
        <f t="shared" si="24"/>
        <v>10</v>
      </c>
      <c r="AS32" s="3">
        <f t="shared" si="7"/>
        <v>11.25</v>
      </c>
    </row>
    <row r="33" spans="5:45" x14ac:dyDescent="0.2">
      <c r="E33" s="2">
        <v>48953</v>
      </c>
      <c r="F33" s="3">
        <f t="shared" si="25"/>
        <v>40</v>
      </c>
      <c r="G33" s="3">
        <f t="shared" si="22"/>
        <v>1</v>
      </c>
      <c r="H33" s="3">
        <f t="shared" si="23"/>
        <v>10</v>
      </c>
      <c r="I33" s="3">
        <f t="shared" si="1"/>
        <v>11</v>
      </c>
      <c r="K33" s="4">
        <f t="shared" si="2"/>
        <v>4516</v>
      </c>
      <c r="L33" s="7">
        <f t="shared" si="3"/>
        <v>1.5660568228296399</v>
      </c>
      <c r="M33" s="7">
        <f t="shared" si="4"/>
        <v>19.645312810829594</v>
      </c>
      <c r="Q33" s="2">
        <f t="shared" si="8"/>
        <v>48953</v>
      </c>
      <c r="R33" s="3">
        <f t="shared" si="9"/>
        <v>40</v>
      </c>
      <c r="S33" s="3">
        <f t="shared" si="10"/>
        <v>1</v>
      </c>
      <c r="T33" s="3">
        <f t="shared" si="26"/>
        <v>10</v>
      </c>
      <c r="U33" s="3">
        <f t="shared" si="5"/>
        <v>11</v>
      </c>
      <c r="W33" s="4">
        <f t="shared" si="11"/>
        <v>4516</v>
      </c>
      <c r="X33" s="7" t="e">
        <f t="shared" si="12"/>
        <v>#REF!</v>
      </c>
      <c r="Y33" s="7" t="e">
        <f t="shared" si="13"/>
        <v>#REF!</v>
      </c>
      <c r="AC33" s="2">
        <v>48769</v>
      </c>
      <c r="AD33" s="3">
        <v>50</v>
      </c>
      <c r="AE33" s="3">
        <v>1.25</v>
      </c>
      <c r="AF33" s="3">
        <v>10</v>
      </c>
      <c r="AG33" s="3">
        <v>11.25</v>
      </c>
      <c r="AI33" s="4">
        <f t="shared" si="16"/>
        <v>4336</v>
      </c>
      <c r="AJ33" s="3">
        <f t="shared" si="19"/>
        <v>2.8730870374489008</v>
      </c>
      <c r="AK33" s="3">
        <f t="shared" si="20"/>
        <v>34.604737206606764</v>
      </c>
      <c r="AO33" s="2">
        <f t="shared" si="14"/>
        <v>48953</v>
      </c>
      <c r="AP33" s="3">
        <f t="shared" si="6"/>
        <v>40</v>
      </c>
      <c r="AQ33" s="3">
        <f t="shared" si="15"/>
        <v>1</v>
      </c>
      <c r="AR33" s="3">
        <f t="shared" si="24"/>
        <v>10</v>
      </c>
      <c r="AS33" s="3">
        <f t="shared" si="7"/>
        <v>11</v>
      </c>
    </row>
    <row r="34" spans="5:45" x14ac:dyDescent="0.2">
      <c r="E34" s="2">
        <v>49134</v>
      </c>
      <c r="F34" s="3">
        <f t="shared" si="25"/>
        <v>30</v>
      </c>
      <c r="G34" s="3">
        <f t="shared" si="22"/>
        <v>0.75</v>
      </c>
      <c r="H34" s="3">
        <f t="shared" si="23"/>
        <v>10</v>
      </c>
      <c r="I34" s="3">
        <f t="shared" si="1"/>
        <v>10.75</v>
      </c>
      <c r="K34" s="4">
        <f t="shared" si="2"/>
        <v>4696</v>
      </c>
      <c r="L34" s="7">
        <f t="shared" si="3"/>
        <v>1.4160541623950704</v>
      </c>
      <c r="M34" s="7">
        <f t="shared" si="4"/>
        <v>18.471639851686806</v>
      </c>
      <c r="Q34" s="2">
        <f t="shared" si="8"/>
        <v>49134</v>
      </c>
      <c r="R34" s="3">
        <f t="shared" si="9"/>
        <v>30</v>
      </c>
      <c r="S34" s="3">
        <f t="shared" si="10"/>
        <v>0.75</v>
      </c>
      <c r="T34" s="3">
        <f t="shared" si="26"/>
        <v>10</v>
      </c>
      <c r="U34" s="3">
        <f t="shared" si="5"/>
        <v>10.75</v>
      </c>
      <c r="W34" s="4">
        <f t="shared" si="11"/>
        <v>4696</v>
      </c>
      <c r="X34" s="7" t="e">
        <f t="shared" si="12"/>
        <v>#REF!</v>
      </c>
      <c r="Y34" s="7" t="e">
        <f t="shared" si="13"/>
        <v>#REF!</v>
      </c>
      <c r="AC34" s="2">
        <v>48953</v>
      </c>
      <c r="AD34" s="3">
        <v>40</v>
      </c>
      <c r="AE34" s="3">
        <v>1</v>
      </c>
      <c r="AF34" s="3">
        <v>10</v>
      </c>
      <c r="AG34" s="3">
        <v>11</v>
      </c>
      <c r="AI34" s="4">
        <f t="shared" si="16"/>
        <v>4516</v>
      </c>
      <c r="AJ34" s="3">
        <f t="shared" si="19"/>
        <v>2.654482912935372</v>
      </c>
      <c r="AK34" s="3">
        <f t="shared" si="20"/>
        <v>33.29901343004483</v>
      </c>
      <c r="AO34" s="2">
        <f t="shared" si="14"/>
        <v>49134</v>
      </c>
      <c r="AP34" s="3">
        <f t="shared" si="6"/>
        <v>30</v>
      </c>
      <c r="AQ34" s="3">
        <f t="shared" si="15"/>
        <v>0.75</v>
      </c>
      <c r="AR34" s="3">
        <f t="shared" si="24"/>
        <v>10</v>
      </c>
      <c r="AS34" s="3">
        <f t="shared" si="7"/>
        <v>10.75</v>
      </c>
    </row>
    <row r="35" spans="5:45" x14ac:dyDescent="0.2">
      <c r="E35" s="2">
        <v>49318</v>
      </c>
      <c r="F35" s="3">
        <f t="shared" si="25"/>
        <v>20</v>
      </c>
      <c r="G35" s="3">
        <f t="shared" si="22"/>
        <v>0.5</v>
      </c>
      <c r="H35" s="3">
        <f t="shared" si="23"/>
        <v>10</v>
      </c>
      <c r="I35" s="3">
        <f t="shared" si="1"/>
        <v>10.5</v>
      </c>
      <c r="K35" s="4">
        <f t="shared" si="2"/>
        <v>4876</v>
      </c>
      <c r="L35" s="7">
        <f t="shared" si="3"/>
        <v>1.2797268135137643</v>
      </c>
      <c r="M35" s="7">
        <f t="shared" si="4"/>
        <v>17.333188729703096</v>
      </c>
      <c r="Q35" s="2">
        <f t="shared" si="8"/>
        <v>49318</v>
      </c>
      <c r="R35" s="3">
        <f t="shared" si="9"/>
        <v>20</v>
      </c>
      <c r="S35" s="3">
        <f t="shared" si="10"/>
        <v>0.5</v>
      </c>
      <c r="T35" s="3">
        <f t="shared" si="26"/>
        <v>10</v>
      </c>
      <c r="U35" s="3">
        <f t="shared" si="5"/>
        <v>10.5</v>
      </c>
      <c r="W35" s="4">
        <f t="shared" si="11"/>
        <v>4876</v>
      </c>
      <c r="X35" s="7" t="e">
        <f t="shared" si="12"/>
        <v>#REF!</v>
      </c>
      <c r="Y35" s="7" t="e">
        <f t="shared" si="13"/>
        <v>#REF!</v>
      </c>
      <c r="AC35" s="2">
        <v>49134</v>
      </c>
      <c r="AD35" s="3">
        <v>30</v>
      </c>
      <c r="AE35" s="3">
        <v>0.75</v>
      </c>
      <c r="AF35" s="3">
        <v>10</v>
      </c>
      <c r="AG35" s="3">
        <v>10.75</v>
      </c>
      <c r="AI35" s="4">
        <f t="shared" si="16"/>
        <v>4696</v>
      </c>
      <c r="AJ35" s="3">
        <f t="shared" si="19"/>
        <v>2.4512448930615625</v>
      </c>
      <c r="AK35" s="3">
        <f t="shared" si="20"/>
        <v>31.975127827269713</v>
      </c>
      <c r="AO35" s="2">
        <f t="shared" si="14"/>
        <v>49318</v>
      </c>
      <c r="AP35" s="3">
        <f t="shared" si="6"/>
        <v>20</v>
      </c>
      <c r="AQ35" s="3">
        <f t="shared" si="15"/>
        <v>0.5</v>
      </c>
      <c r="AR35" s="3">
        <f t="shared" si="24"/>
        <v>10</v>
      </c>
      <c r="AS35" s="3">
        <f t="shared" si="7"/>
        <v>10.5</v>
      </c>
    </row>
    <row r="36" spans="5:45" x14ac:dyDescent="0.2">
      <c r="E36" s="2">
        <v>49499</v>
      </c>
      <c r="F36" s="3">
        <f t="shared" si="25"/>
        <v>10</v>
      </c>
      <c r="G36" s="3">
        <f t="shared" si="22"/>
        <v>0.25</v>
      </c>
      <c r="H36" s="3">
        <f t="shared" si="23"/>
        <v>10</v>
      </c>
      <c r="I36" s="3">
        <f t="shared" si="1"/>
        <v>10.25</v>
      </c>
      <c r="K36" s="4">
        <f t="shared" si="2"/>
        <v>5056</v>
      </c>
      <c r="L36" s="7">
        <f t="shared" si="3"/>
        <v>1.1558684398699626</v>
      </c>
      <c r="M36" s="7">
        <f t="shared" si="4"/>
        <v>16.233530088840364</v>
      </c>
      <c r="Q36" s="2">
        <f t="shared" si="8"/>
        <v>49499</v>
      </c>
      <c r="R36" s="3">
        <f t="shared" si="9"/>
        <v>10</v>
      </c>
      <c r="S36" s="3">
        <f t="shared" si="10"/>
        <v>0.25</v>
      </c>
      <c r="T36" s="3">
        <f t="shared" si="26"/>
        <v>10</v>
      </c>
      <c r="U36" s="3">
        <f t="shared" si="5"/>
        <v>10.25</v>
      </c>
      <c r="W36" s="4">
        <f t="shared" si="11"/>
        <v>5056</v>
      </c>
      <c r="X36" s="7" t="e">
        <f t="shared" si="12"/>
        <v>#REF!</v>
      </c>
      <c r="Y36" s="7" t="e">
        <f t="shared" si="13"/>
        <v>#REF!</v>
      </c>
      <c r="AC36" s="2">
        <v>49318</v>
      </c>
      <c r="AD36" s="3">
        <v>20</v>
      </c>
      <c r="AE36" s="3">
        <v>0.5</v>
      </c>
      <c r="AF36" s="3">
        <v>10</v>
      </c>
      <c r="AG36" s="3">
        <v>10.5</v>
      </c>
      <c r="AI36" s="4">
        <f t="shared" si="16"/>
        <v>4876</v>
      </c>
      <c r="AJ36" s="3">
        <f t="shared" si="19"/>
        <v>2.2623433917062825</v>
      </c>
      <c r="AK36" s="3">
        <f t="shared" si="20"/>
        <v>30.64218438322176</v>
      </c>
      <c r="AO36" s="2">
        <f t="shared" si="14"/>
        <v>49499</v>
      </c>
      <c r="AP36" s="3">
        <f t="shared" si="6"/>
        <v>10</v>
      </c>
      <c r="AQ36" s="3">
        <f t="shared" si="15"/>
        <v>0.25</v>
      </c>
      <c r="AR36" s="3">
        <f t="shared" si="24"/>
        <v>10</v>
      </c>
      <c r="AS36" s="3">
        <f t="shared" si="7"/>
        <v>10.25</v>
      </c>
    </row>
    <row r="37" spans="5:45" x14ac:dyDescent="0.2">
      <c r="L37" s="7">
        <f>SUM(L8:L36)</f>
        <v>33.845296045104966</v>
      </c>
      <c r="M37" s="7">
        <f>SUM(M8:M36)</f>
        <v>286.5568645111328</v>
      </c>
      <c r="Q37" s="2"/>
      <c r="R37" s="3"/>
      <c r="S37" s="3"/>
      <c r="T37" s="3"/>
      <c r="U37" s="3"/>
      <c r="X37" s="7"/>
      <c r="Y37" s="7"/>
      <c r="AC37" s="2">
        <v>49499</v>
      </c>
      <c r="AD37" s="3">
        <v>10</v>
      </c>
      <c r="AE37" s="3">
        <v>0.25</v>
      </c>
      <c r="AF37" s="3">
        <v>10</v>
      </c>
      <c r="AG37" s="3">
        <v>10.25</v>
      </c>
      <c r="AI37" s="4">
        <f t="shared" si="16"/>
        <v>5056</v>
      </c>
      <c r="AJ37" s="3">
        <f t="shared" si="19"/>
        <v>2.0868156273987548</v>
      </c>
      <c r="AK37" s="3">
        <f t="shared" si="20"/>
        <v>29.308166144800289</v>
      </c>
    </row>
    <row r="38" spans="5:45" ht="15" x14ac:dyDescent="0.25">
      <c r="H38" s="6" t="s">
        <v>5</v>
      </c>
      <c r="I38" s="5">
        <f>XIRR(I7:I36,E7:E36)</f>
        <v>0.16811838746070862</v>
      </c>
      <c r="X38" s="7" t="e">
        <f>SUM(X8:X37)</f>
        <v>#REF!</v>
      </c>
      <c r="Y38" s="7" t="e">
        <f>SUM(Y8:Y37)</f>
        <v>#REF!</v>
      </c>
      <c r="AJ38" s="3">
        <f>SUM(AJ12:AJ37)</f>
        <v>47.164141789756592</v>
      </c>
      <c r="AK38" s="3">
        <f>SUM(AK13:AK37)</f>
        <v>440.86595820624979</v>
      </c>
    </row>
    <row r="39" spans="5:45" ht="15" x14ac:dyDescent="0.25">
      <c r="H39" s="6" t="s">
        <v>8</v>
      </c>
      <c r="I39" s="3">
        <f>M39/(1+(I38/2))</f>
        <v>7.8101522908703531</v>
      </c>
      <c r="L39" s="4" t="s">
        <v>7</v>
      </c>
      <c r="M39" s="3">
        <f>M37/L37</f>
        <v>8.4666673953521947</v>
      </c>
      <c r="T39" s="6" t="s">
        <v>5</v>
      </c>
      <c r="U39" s="5" t="e">
        <f>XIRR(U7:U37,Q7:Q37)</f>
        <v>#REF!</v>
      </c>
      <c r="AJ39" s="3"/>
      <c r="AK39" s="3"/>
      <c r="AR39" s="6"/>
      <c r="AS39" s="5"/>
    </row>
    <row r="40" spans="5:45" ht="15" x14ac:dyDescent="0.25">
      <c r="T40" s="6" t="s">
        <v>8</v>
      </c>
      <c r="U40" s="3" t="e">
        <f>Y40/(1+(U39/2))</f>
        <v>#REF!</v>
      </c>
      <c r="X40" s="4" t="s">
        <v>7</v>
      </c>
      <c r="Y40" s="3" t="e">
        <f>Y38/X38</f>
        <v>#REF!</v>
      </c>
      <c r="AE40" s="4" t="s">
        <v>5</v>
      </c>
      <c r="AF40" s="5">
        <f>Informe!D31</f>
        <v>0.12</v>
      </c>
      <c r="AJ40" s="3"/>
      <c r="AK40" s="3">
        <f>AK38/AJ38</f>
        <v>9.3474818257373631</v>
      </c>
      <c r="AR40" s="6"/>
      <c r="AS40" s="3"/>
    </row>
    <row r="41" spans="5:45" x14ac:dyDescent="0.2">
      <c r="AE41" s="4" t="s">
        <v>8</v>
      </c>
      <c r="AF41" s="3">
        <f>AK40/(1+AF40)</f>
        <v>8.3459659158369313</v>
      </c>
    </row>
    <row r="42" spans="5:45" ht="15" x14ac:dyDescent="0.25">
      <c r="AE42" s="91" t="s">
        <v>61</v>
      </c>
      <c r="AF42" s="92">
        <f>XNPV(Informe!D31,AG12:AG37,AC12:AC37)</f>
        <v>47.125266306963383</v>
      </c>
    </row>
    <row r="44" spans="5:45" x14ac:dyDescent="0.2">
      <c r="G44" s="3"/>
    </row>
    <row r="45" spans="5:45" x14ac:dyDescent="0.2">
      <c r="G45" s="3">
        <f>G9+G10</f>
        <v>1.125</v>
      </c>
    </row>
    <row r="46" spans="5:45" x14ac:dyDescent="0.2">
      <c r="G46" s="5">
        <f>G45/-I7</f>
        <v>3.3274179236912151E-2</v>
      </c>
    </row>
  </sheetData>
  <mergeCells count="4">
    <mergeCell ref="AO4:AS4"/>
    <mergeCell ref="E4:M4"/>
    <mergeCell ref="Q4:Y4"/>
    <mergeCell ref="AC4:AK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AW57"/>
  <sheetViews>
    <sheetView showGridLines="0" zoomScale="90" zoomScaleNormal="90" workbookViewId="0">
      <selection activeCell="K23" sqref="K23"/>
    </sheetView>
  </sheetViews>
  <sheetFormatPr baseColWidth="10" defaultRowHeight="14.25" x14ac:dyDescent="0.2"/>
  <cols>
    <col min="1" max="1" width="7" style="4" customWidth="1"/>
    <col min="2" max="2" width="14.7109375" style="4" bestFit="1" customWidth="1"/>
    <col min="3" max="3" width="11.42578125" style="4"/>
    <col min="4" max="4" width="7.42578125" style="4" customWidth="1"/>
    <col min="5" max="9" width="11.42578125" style="4"/>
    <col min="10" max="10" width="3.7109375" style="4" customWidth="1"/>
    <col min="11" max="13" width="11.42578125" style="4"/>
    <col min="14" max="14" width="7.28515625" style="4" customWidth="1"/>
    <col min="15" max="15" width="7.28515625" style="78" customWidth="1"/>
    <col min="16" max="16" width="7.28515625" style="4" customWidth="1"/>
    <col min="17" max="21" width="11.42578125" style="4"/>
    <col min="22" max="22" width="3.7109375" style="4" customWidth="1"/>
    <col min="23" max="25" width="11.42578125" style="4"/>
    <col min="26" max="26" width="7.28515625" style="4" customWidth="1"/>
    <col min="27" max="27" width="7.28515625" style="78" customWidth="1"/>
    <col min="28" max="28" width="7.28515625" style="4" customWidth="1"/>
    <col min="29" max="33" width="11.42578125" style="4"/>
    <col min="34" max="34" width="6.7109375" style="4" customWidth="1"/>
    <col min="35" max="35" width="8" style="4" customWidth="1"/>
    <col min="36" max="38" width="11.42578125" style="4"/>
    <col min="39" max="39" width="7.28515625" style="78" customWidth="1"/>
    <col min="40" max="16384" width="11.42578125" style="4"/>
  </cols>
  <sheetData>
    <row r="3" spans="2:49" ht="15" x14ac:dyDescent="0.25">
      <c r="E3" s="321" t="s">
        <v>66</v>
      </c>
      <c r="F3" s="321"/>
      <c r="G3" s="321"/>
      <c r="H3" s="321"/>
      <c r="I3" s="321"/>
      <c r="J3" s="321"/>
      <c r="K3" s="321"/>
      <c r="L3" s="321"/>
      <c r="M3" s="321"/>
      <c r="Q3" s="321" t="s">
        <v>67</v>
      </c>
      <c r="R3" s="321"/>
      <c r="S3" s="321"/>
      <c r="T3" s="321"/>
      <c r="U3" s="321"/>
      <c r="V3" s="321"/>
      <c r="W3" s="321"/>
      <c r="X3" s="321"/>
      <c r="Y3" s="321"/>
      <c r="AC3" s="321" t="s">
        <v>68</v>
      </c>
      <c r="AD3" s="321"/>
      <c r="AE3" s="321"/>
      <c r="AF3" s="321"/>
      <c r="AG3" s="321"/>
      <c r="AH3" s="321"/>
      <c r="AI3" s="321"/>
      <c r="AJ3" s="321"/>
      <c r="AK3" s="321"/>
      <c r="AO3" s="321" t="s">
        <v>103</v>
      </c>
      <c r="AP3" s="321"/>
      <c r="AQ3" s="321"/>
      <c r="AR3" s="321"/>
      <c r="AS3" s="321"/>
      <c r="AT3" s="74"/>
      <c r="AU3" s="74"/>
      <c r="AV3" s="74"/>
      <c r="AW3" s="74"/>
    </row>
    <row r="5" spans="2:49" ht="15" x14ac:dyDescent="0.25"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K5" s="1" t="s">
        <v>9</v>
      </c>
      <c r="L5" s="1" t="s">
        <v>10</v>
      </c>
      <c r="M5" s="1" t="s">
        <v>11</v>
      </c>
      <c r="Q5" s="47" t="s">
        <v>0</v>
      </c>
      <c r="R5" s="47" t="s">
        <v>1</v>
      </c>
      <c r="S5" s="47" t="s">
        <v>2</v>
      </c>
      <c r="T5" s="47" t="s">
        <v>3</v>
      </c>
      <c r="U5" s="47" t="s">
        <v>4</v>
      </c>
      <c r="W5" s="47" t="s">
        <v>9</v>
      </c>
      <c r="X5" s="47" t="s">
        <v>10</v>
      </c>
      <c r="Y5" s="47" t="s">
        <v>11</v>
      </c>
      <c r="AC5" s="53" t="s">
        <v>0</v>
      </c>
      <c r="AD5" s="53" t="s">
        <v>1</v>
      </c>
      <c r="AE5" s="53" t="s">
        <v>2</v>
      </c>
      <c r="AF5" s="53" t="s">
        <v>3</v>
      </c>
      <c r="AG5" s="53" t="s">
        <v>4</v>
      </c>
      <c r="AI5" s="53" t="s">
        <v>9</v>
      </c>
      <c r="AJ5" s="53" t="s">
        <v>10</v>
      </c>
      <c r="AK5" s="53" t="s">
        <v>11</v>
      </c>
      <c r="AO5" s="53" t="s">
        <v>0</v>
      </c>
      <c r="AP5" s="53" t="s">
        <v>1</v>
      </c>
      <c r="AQ5" s="53" t="s">
        <v>2</v>
      </c>
      <c r="AR5" s="53" t="s">
        <v>3</v>
      </c>
      <c r="AS5" s="53" t="s">
        <v>4</v>
      </c>
      <c r="AU5" s="53" t="s">
        <v>5</v>
      </c>
      <c r="AV5" s="53" t="s">
        <v>61</v>
      </c>
    </row>
    <row r="6" spans="2:49" x14ac:dyDescent="0.2">
      <c r="B6" s="82" t="s">
        <v>36</v>
      </c>
      <c r="C6" s="83">
        <v>44078</v>
      </c>
      <c r="E6" s="2">
        <f>+Monitor!C2</f>
        <v>44370</v>
      </c>
      <c r="F6" s="3">
        <v>100</v>
      </c>
      <c r="G6" s="3"/>
      <c r="H6" s="3"/>
      <c r="I6" s="3">
        <f>-Monitor!D12</f>
        <v>-36.9</v>
      </c>
      <c r="K6" s="4">
        <f>DAYS360(C6,E7)</f>
        <v>305</v>
      </c>
      <c r="Q6" s="2">
        <f>+E6</f>
        <v>44370</v>
      </c>
      <c r="R6" s="3">
        <v>100</v>
      </c>
      <c r="S6" s="3"/>
      <c r="T6" s="3"/>
      <c r="U6" s="3" t="e">
        <f>-CCL!K10</f>
        <v>#REF!</v>
      </c>
      <c r="AO6" s="2">
        <f>+Q6</f>
        <v>44370</v>
      </c>
      <c r="AP6" s="3">
        <v>100</v>
      </c>
      <c r="AQ6" s="3">
        <f>+S6</f>
        <v>0</v>
      </c>
      <c r="AR6" s="3"/>
      <c r="AS6" s="3">
        <f>-CCL!AB10</f>
        <v>0</v>
      </c>
      <c r="AU6" s="56">
        <v>0.06</v>
      </c>
      <c r="AV6" s="8">
        <f t="shared" ref="AV6:AV26" si="0">XNPV(AU6,$AS$6:$AS$47,$AO$6:$AO$47)</f>
        <v>81.116438720472956</v>
      </c>
    </row>
    <row r="7" spans="2:49" x14ac:dyDescent="0.2">
      <c r="B7" s="84" t="s">
        <v>37</v>
      </c>
      <c r="C7" s="85">
        <v>1.25E-3</v>
      </c>
      <c r="E7" s="2">
        <v>44386</v>
      </c>
      <c r="F7" s="3">
        <f>+F6</f>
        <v>100</v>
      </c>
      <c r="G7" s="3">
        <f>(C7*F6)/360*K6</f>
        <v>0.10590277777777778</v>
      </c>
      <c r="H7" s="3"/>
      <c r="I7" s="3">
        <f>SUM(G7:H7)</f>
        <v>0.10590277777777778</v>
      </c>
      <c r="K7" s="4">
        <f t="shared" ref="K7:K47" si="1">DAYS360($E$6,E7)</f>
        <v>16</v>
      </c>
      <c r="L7" s="7">
        <f t="shared" ref="L7:L47" si="2">I7/(1+$I$49)^(K7/360)</f>
        <v>0.10522396328561431</v>
      </c>
      <c r="M7" s="7">
        <f t="shared" ref="M7:M47" si="3">L7*(K7/360)</f>
        <v>4.6766205904717473E-3</v>
      </c>
      <c r="Q7" s="2">
        <f>+E7</f>
        <v>44386</v>
      </c>
      <c r="R7" s="3">
        <f>+F7</f>
        <v>100</v>
      </c>
      <c r="S7" s="3">
        <f>+G7</f>
        <v>0.10590277777777778</v>
      </c>
      <c r="T7" s="3"/>
      <c r="U7" s="3">
        <f>SUM(S7:T7)</f>
        <v>0.10590277777777778</v>
      </c>
      <c r="W7" s="4">
        <f t="shared" ref="W7:W47" si="4">DAYS360($E$6,Q7)</f>
        <v>16</v>
      </c>
      <c r="X7" s="7" t="e">
        <f t="shared" ref="X7:X47" si="5">U7/(1+$U$49)^(W7/360)</f>
        <v>#REF!</v>
      </c>
      <c r="Y7" s="7" t="e">
        <f t="shared" ref="Y7:Y47" si="6">X7*(W7/360)</f>
        <v>#REF!</v>
      </c>
      <c r="AO7" s="2">
        <f>+E7</f>
        <v>44386</v>
      </c>
      <c r="AP7" s="3">
        <f>+F7</f>
        <v>100</v>
      </c>
      <c r="AQ7" s="3">
        <f>+G7</f>
        <v>0.10590277777777778</v>
      </c>
      <c r="AR7" s="3"/>
      <c r="AS7" s="3">
        <f>SUM(AQ7:AR7)</f>
        <v>0.10590277777777778</v>
      </c>
      <c r="AU7" s="56">
        <v>6.5000000000000002E-2</v>
      </c>
      <c r="AV7" s="8">
        <f t="shared" si="0"/>
        <v>77.351342761349756</v>
      </c>
    </row>
    <row r="8" spans="2:49" x14ac:dyDescent="0.2">
      <c r="B8" s="84" t="s">
        <v>38</v>
      </c>
      <c r="C8" s="86">
        <f>DAYS360(C6,E6)</f>
        <v>289</v>
      </c>
      <c r="E8" s="2">
        <v>44570</v>
      </c>
      <c r="F8" s="3">
        <f>+F7</f>
        <v>100</v>
      </c>
      <c r="G8" s="3">
        <f>0.025*(180/360)*F8</f>
        <v>1.25</v>
      </c>
      <c r="H8" s="3"/>
      <c r="I8" s="3">
        <f>SUM(G8:H8)</f>
        <v>1.25</v>
      </c>
      <c r="K8" s="4">
        <f t="shared" si="1"/>
        <v>196</v>
      </c>
      <c r="L8" s="7">
        <f t="shared" si="2"/>
        <v>1.1553125388159349</v>
      </c>
      <c r="M8" s="7">
        <f t="shared" si="3"/>
        <v>0.62900349335534222</v>
      </c>
      <c r="Q8" s="2">
        <f t="shared" ref="Q8:Q47" si="7">+E8</f>
        <v>44570</v>
      </c>
      <c r="R8" s="3">
        <f t="shared" ref="R8:R47" si="8">+F8</f>
        <v>100</v>
      </c>
      <c r="S8" s="3">
        <f t="shared" ref="S8:S47" si="9">+G8</f>
        <v>1.25</v>
      </c>
      <c r="T8" s="3"/>
      <c r="U8" s="3">
        <f>SUM(S8:T8)</f>
        <v>1.25</v>
      </c>
      <c r="W8" s="4">
        <f t="shared" si="4"/>
        <v>196</v>
      </c>
      <c r="X8" s="7" t="e">
        <f t="shared" si="5"/>
        <v>#REF!</v>
      </c>
      <c r="Y8" s="7" t="e">
        <f t="shared" si="6"/>
        <v>#REF!</v>
      </c>
      <c r="AO8" s="2">
        <f t="shared" ref="AO8:AO47" si="10">+E8</f>
        <v>44570</v>
      </c>
      <c r="AP8" s="3">
        <f t="shared" ref="AP8:AP47" si="11">+F8</f>
        <v>100</v>
      </c>
      <c r="AQ8" s="3">
        <f t="shared" ref="AQ8:AQ47" si="12">+G8</f>
        <v>1.25</v>
      </c>
      <c r="AR8" s="3"/>
      <c r="AS8" s="3">
        <f>SUM(AQ8:AR8)</f>
        <v>1.25</v>
      </c>
      <c r="AU8" s="56">
        <v>7.0000000000000007E-2</v>
      </c>
      <c r="AV8" s="8">
        <f t="shared" si="0"/>
        <v>73.817243451336566</v>
      </c>
    </row>
    <row r="9" spans="2:49" x14ac:dyDescent="0.2">
      <c r="B9" s="84" t="s">
        <v>39</v>
      </c>
      <c r="C9" s="87">
        <f>(C7*100)/360*C8</f>
        <v>0.10034722222222223</v>
      </c>
      <c r="E9" s="2">
        <v>44751</v>
      </c>
      <c r="F9" s="3">
        <v>100</v>
      </c>
      <c r="G9" s="3">
        <f>0.025*(180/360)*F9</f>
        <v>1.25</v>
      </c>
      <c r="H9" s="3"/>
      <c r="I9" s="3">
        <f>SUM(G9:H9)</f>
        <v>1.25</v>
      </c>
      <c r="K9" s="4">
        <f t="shared" si="1"/>
        <v>376</v>
      </c>
      <c r="L9" s="7">
        <f t="shared" si="2"/>
        <v>1.074686161739915</v>
      </c>
      <c r="M9" s="7">
        <f t="shared" si="3"/>
        <v>1.1224499911505781</v>
      </c>
      <c r="Q9" s="2">
        <f t="shared" si="7"/>
        <v>44751</v>
      </c>
      <c r="R9" s="3">
        <f t="shared" si="8"/>
        <v>100</v>
      </c>
      <c r="S9" s="3">
        <f t="shared" si="9"/>
        <v>1.25</v>
      </c>
      <c r="T9" s="3"/>
      <c r="U9" s="3">
        <f>SUM(S9:T9)</f>
        <v>1.25</v>
      </c>
      <c r="W9" s="4">
        <f t="shared" si="4"/>
        <v>376</v>
      </c>
      <c r="X9" s="7" t="e">
        <f t="shared" si="5"/>
        <v>#REF!</v>
      </c>
      <c r="Y9" s="7" t="e">
        <f t="shared" si="6"/>
        <v>#REF!</v>
      </c>
      <c r="AO9" s="2">
        <f t="shared" si="10"/>
        <v>44751</v>
      </c>
      <c r="AP9" s="3">
        <f t="shared" si="11"/>
        <v>100</v>
      </c>
      <c r="AQ9" s="3">
        <f t="shared" si="12"/>
        <v>1.25</v>
      </c>
      <c r="AR9" s="3"/>
      <c r="AS9" s="3">
        <f>SUM(AQ9:AR9)</f>
        <v>1.25</v>
      </c>
      <c r="AU9" s="56">
        <v>7.4999999999999997E-2</v>
      </c>
      <c r="AV9" s="8">
        <f t="shared" si="0"/>
        <v>70.497576317648623</v>
      </c>
    </row>
    <row r="10" spans="2:49" x14ac:dyDescent="0.2">
      <c r="B10" s="84" t="s">
        <v>35</v>
      </c>
      <c r="C10" s="86">
        <v>100</v>
      </c>
      <c r="E10" s="2">
        <v>44935</v>
      </c>
      <c r="F10" s="3">
        <v>100</v>
      </c>
      <c r="G10" s="3">
        <f>0.035*(180/360)*F10</f>
        <v>1.7500000000000002</v>
      </c>
      <c r="H10" s="3"/>
      <c r="I10" s="3">
        <f t="shared" ref="I10:I47" si="13">SUM(G10:H10)</f>
        <v>1.7500000000000002</v>
      </c>
      <c r="K10" s="4">
        <f t="shared" si="1"/>
        <v>556</v>
      </c>
      <c r="L10" s="7">
        <f t="shared" si="2"/>
        <v>1.399561097455543</v>
      </c>
      <c r="M10" s="7">
        <f t="shared" si="3"/>
        <v>2.1615443616257832</v>
      </c>
      <c r="Q10" s="2">
        <f t="shared" si="7"/>
        <v>44935</v>
      </c>
      <c r="R10" s="3">
        <f t="shared" si="8"/>
        <v>100</v>
      </c>
      <c r="S10" s="3">
        <f t="shared" si="9"/>
        <v>1.7500000000000002</v>
      </c>
      <c r="T10" s="3"/>
      <c r="U10" s="3">
        <f t="shared" ref="U10:U47" si="14">SUM(S10:T10)</f>
        <v>1.7500000000000002</v>
      </c>
      <c r="W10" s="4">
        <f t="shared" si="4"/>
        <v>556</v>
      </c>
      <c r="X10" s="7" t="e">
        <f t="shared" si="5"/>
        <v>#REF!</v>
      </c>
      <c r="Y10" s="7" t="e">
        <f t="shared" si="6"/>
        <v>#REF!</v>
      </c>
      <c r="AO10" s="2">
        <f t="shared" si="10"/>
        <v>44935</v>
      </c>
      <c r="AP10" s="3">
        <f t="shared" si="11"/>
        <v>100</v>
      </c>
      <c r="AQ10" s="3">
        <f t="shared" si="12"/>
        <v>1.7500000000000002</v>
      </c>
      <c r="AR10" s="3"/>
      <c r="AS10" s="3">
        <f t="shared" ref="AS10:AS47" si="15">SUM(AQ10:AR10)</f>
        <v>1.7500000000000002</v>
      </c>
      <c r="AU10" s="56">
        <v>0.08</v>
      </c>
      <c r="AV10" s="8">
        <f t="shared" si="0"/>
        <v>67.37710519921815</v>
      </c>
    </row>
    <row r="11" spans="2:49" x14ac:dyDescent="0.2">
      <c r="B11" s="88" t="s">
        <v>23</v>
      </c>
      <c r="C11" s="89">
        <f>+C10+C9</f>
        <v>100.10034722222223</v>
      </c>
      <c r="E11" s="2">
        <v>45116</v>
      </c>
      <c r="F11" s="3">
        <v>100</v>
      </c>
      <c r="G11" s="3">
        <f>0.035*(180/360)*F11</f>
        <v>1.7500000000000002</v>
      </c>
      <c r="H11" s="3"/>
      <c r="I11" s="3">
        <f t="shared" si="13"/>
        <v>1.7500000000000002</v>
      </c>
      <c r="K11" s="4">
        <f t="shared" si="1"/>
        <v>736</v>
      </c>
      <c r="L11" s="7">
        <f t="shared" si="2"/>
        <v>1.3018892234014205</v>
      </c>
      <c r="M11" s="7">
        <f t="shared" si="3"/>
        <v>2.6616401900651261</v>
      </c>
      <c r="Q11" s="2">
        <f t="shared" si="7"/>
        <v>45116</v>
      </c>
      <c r="R11" s="3">
        <f t="shared" si="8"/>
        <v>100</v>
      </c>
      <c r="S11" s="3">
        <f t="shared" si="9"/>
        <v>1.7500000000000002</v>
      </c>
      <c r="T11" s="3"/>
      <c r="U11" s="3">
        <f t="shared" si="14"/>
        <v>1.7500000000000002</v>
      </c>
      <c r="W11" s="4">
        <f t="shared" si="4"/>
        <v>736</v>
      </c>
      <c r="X11" s="7" t="e">
        <f t="shared" si="5"/>
        <v>#REF!</v>
      </c>
      <c r="Y11" s="7" t="e">
        <f t="shared" si="6"/>
        <v>#REF!</v>
      </c>
      <c r="AC11" s="31">
        <f>Informe!B36</f>
        <v>44370</v>
      </c>
      <c r="AG11" s="4">
        <v>0</v>
      </c>
      <c r="AJ11" s="7"/>
      <c r="AK11" s="7"/>
      <c r="AO11" s="2">
        <f t="shared" si="10"/>
        <v>45116</v>
      </c>
      <c r="AP11" s="3">
        <f t="shared" si="11"/>
        <v>100</v>
      </c>
      <c r="AQ11" s="3">
        <f t="shared" si="12"/>
        <v>1.7500000000000002</v>
      </c>
      <c r="AR11" s="3"/>
      <c r="AS11" s="3">
        <f t="shared" si="15"/>
        <v>1.7500000000000002</v>
      </c>
      <c r="AU11" s="56">
        <v>8.5000000000000006E-2</v>
      </c>
      <c r="AV11" s="8">
        <f t="shared" si="0"/>
        <v>64.441806024233259</v>
      </c>
    </row>
    <row r="12" spans="2:49" x14ac:dyDescent="0.2">
      <c r="E12" s="2">
        <v>45300</v>
      </c>
      <c r="F12" s="3">
        <v>100</v>
      </c>
      <c r="G12" s="3">
        <f t="shared" ref="G12:G23" si="16">0.035*(180/360)*F12</f>
        <v>1.7500000000000002</v>
      </c>
      <c r="H12" s="3"/>
      <c r="I12" s="3">
        <f t="shared" si="13"/>
        <v>1.7500000000000002</v>
      </c>
      <c r="K12" s="4">
        <f t="shared" si="1"/>
        <v>916</v>
      </c>
      <c r="L12" s="7">
        <f t="shared" si="2"/>
        <v>1.2110336255345882</v>
      </c>
      <c r="M12" s="7">
        <f t="shared" si="3"/>
        <v>3.0814077805268965</v>
      </c>
      <c r="Q12" s="2">
        <f t="shared" si="7"/>
        <v>45300</v>
      </c>
      <c r="R12" s="3">
        <f t="shared" si="8"/>
        <v>100</v>
      </c>
      <c r="S12" s="3">
        <f t="shared" si="9"/>
        <v>1.7500000000000002</v>
      </c>
      <c r="T12" s="3"/>
      <c r="U12" s="3">
        <f t="shared" si="14"/>
        <v>1.7500000000000002</v>
      </c>
      <c r="W12" s="4">
        <f t="shared" si="4"/>
        <v>916</v>
      </c>
      <c r="X12" s="7" t="e">
        <f t="shared" si="5"/>
        <v>#REF!</v>
      </c>
      <c r="Y12" s="7" t="e">
        <f t="shared" si="6"/>
        <v>#REF!</v>
      </c>
      <c r="AC12" s="2">
        <v>45116</v>
      </c>
      <c r="AD12" s="3">
        <v>100</v>
      </c>
      <c r="AE12" s="3">
        <v>1.7500000000000002</v>
      </c>
      <c r="AF12" s="3"/>
      <c r="AG12" s="3">
        <v>1.7500000000000002</v>
      </c>
      <c r="AI12" s="4">
        <f t="shared" ref="AI12:AI48" si="17">DAYS360($AC$11,AC12)</f>
        <v>736</v>
      </c>
      <c r="AJ12" s="7">
        <f>AG12/(1+$AF$51)^(AI12/360)</f>
        <v>1.3880801243054124</v>
      </c>
      <c r="AK12" s="7">
        <f t="shared" ref="AK12" si="18">AJ12*(AI12/360)</f>
        <v>2.8378526985799541</v>
      </c>
      <c r="AO12" s="2">
        <f t="shared" si="10"/>
        <v>45300</v>
      </c>
      <c r="AP12" s="3">
        <f t="shared" si="11"/>
        <v>100</v>
      </c>
      <c r="AQ12" s="3">
        <f t="shared" si="12"/>
        <v>1.7500000000000002</v>
      </c>
      <c r="AR12" s="3"/>
      <c r="AS12" s="3">
        <f t="shared" si="15"/>
        <v>1.7500000000000002</v>
      </c>
      <c r="AU12" s="56">
        <v>0.09</v>
      </c>
      <c r="AV12" s="8">
        <f t="shared" si="0"/>
        <v>61.678761510010474</v>
      </c>
    </row>
    <row r="13" spans="2:49" x14ac:dyDescent="0.2">
      <c r="E13" s="2">
        <v>45482</v>
      </c>
      <c r="F13" s="3">
        <v>100</v>
      </c>
      <c r="G13" s="3">
        <f t="shared" si="16"/>
        <v>1.7500000000000002</v>
      </c>
      <c r="H13" s="3"/>
      <c r="I13" s="3">
        <f t="shared" si="13"/>
        <v>1.7500000000000002</v>
      </c>
      <c r="K13" s="4">
        <f t="shared" si="1"/>
        <v>1096</v>
      </c>
      <c r="L13" s="7">
        <f t="shared" si="2"/>
        <v>1.1265186129613132</v>
      </c>
      <c r="M13" s="7">
        <f t="shared" si="3"/>
        <v>3.429623332793331</v>
      </c>
      <c r="Q13" s="2">
        <f t="shared" si="7"/>
        <v>45482</v>
      </c>
      <c r="R13" s="3">
        <f t="shared" si="8"/>
        <v>100</v>
      </c>
      <c r="S13" s="3">
        <f t="shared" si="9"/>
        <v>1.7500000000000002</v>
      </c>
      <c r="T13" s="3"/>
      <c r="U13" s="3">
        <f t="shared" si="14"/>
        <v>1.7500000000000002</v>
      </c>
      <c r="W13" s="4">
        <f t="shared" si="4"/>
        <v>1096</v>
      </c>
      <c r="X13" s="7" t="e">
        <f t="shared" si="5"/>
        <v>#REF!</v>
      </c>
      <c r="Y13" s="7" t="e">
        <f t="shared" si="6"/>
        <v>#REF!</v>
      </c>
      <c r="AC13" s="2">
        <v>45300</v>
      </c>
      <c r="AD13" s="3">
        <v>100</v>
      </c>
      <c r="AE13" s="3">
        <f t="shared" ref="AE13:AE24" si="19">0.035*(180/360)*AD13</f>
        <v>1.7500000000000002</v>
      </c>
      <c r="AF13" s="3"/>
      <c r="AG13" s="3">
        <f t="shared" ref="AG13:AG48" si="20">SUM(AE13:AF13)</f>
        <v>1.7500000000000002</v>
      </c>
      <c r="AI13" s="4">
        <f t="shared" si="17"/>
        <v>916</v>
      </c>
      <c r="AJ13" s="7">
        <f>AG13/(1+$AF$51)^(AI13/360)</f>
        <v>1.3116124316941946</v>
      </c>
      <c r="AK13" s="7">
        <f t="shared" ref="AK13:AK48" si="21">AJ13*(AI13/360)</f>
        <v>3.3373249650885617</v>
      </c>
      <c r="AO13" s="2">
        <f t="shared" si="10"/>
        <v>45482</v>
      </c>
      <c r="AP13" s="3">
        <f t="shared" si="11"/>
        <v>100</v>
      </c>
      <c r="AQ13" s="3">
        <f t="shared" si="12"/>
        <v>1.7500000000000002</v>
      </c>
      <c r="AR13" s="3"/>
      <c r="AS13" s="3">
        <f t="shared" si="15"/>
        <v>1.7500000000000002</v>
      </c>
      <c r="AU13" s="56">
        <v>9.5000000000000001E-2</v>
      </c>
      <c r="AV13" s="8">
        <f t="shared" si="0"/>
        <v>59.076065694509587</v>
      </c>
    </row>
    <row r="14" spans="2:49" x14ac:dyDescent="0.2">
      <c r="E14" s="2">
        <v>45666</v>
      </c>
      <c r="F14" s="3">
        <v>100</v>
      </c>
      <c r="G14" s="3">
        <f t="shared" si="16"/>
        <v>1.7500000000000002</v>
      </c>
      <c r="H14" s="3"/>
      <c r="I14" s="3">
        <f t="shared" si="13"/>
        <v>1.7500000000000002</v>
      </c>
      <c r="K14" s="4">
        <f t="shared" si="1"/>
        <v>1276</v>
      </c>
      <c r="L14" s="7">
        <f t="shared" si="2"/>
        <v>1.047901692067456</v>
      </c>
      <c r="M14" s="7">
        <f t="shared" si="3"/>
        <v>3.7142293307724272</v>
      </c>
      <c r="Q14" s="2">
        <f t="shared" si="7"/>
        <v>45666</v>
      </c>
      <c r="R14" s="3">
        <f t="shared" si="8"/>
        <v>100</v>
      </c>
      <c r="S14" s="3">
        <f t="shared" si="9"/>
        <v>1.7500000000000002</v>
      </c>
      <c r="T14" s="3"/>
      <c r="U14" s="3">
        <f t="shared" si="14"/>
        <v>1.7500000000000002</v>
      </c>
      <c r="W14" s="4">
        <f t="shared" si="4"/>
        <v>1276</v>
      </c>
      <c r="X14" s="7" t="e">
        <f t="shared" si="5"/>
        <v>#REF!</v>
      </c>
      <c r="Y14" s="7" t="e">
        <f t="shared" si="6"/>
        <v>#REF!</v>
      </c>
      <c r="AC14" s="2">
        <v>45482</v>
      </c>
      <c r="AD14" s="3">
        <v>100</v>
      </c>
      <c r="AE14" s="3">
        <f t="shared" si="19"/>
        <v>1.7500000000000002</v>
      </c>
      <c r="AF14" s="3"/>
      <c r="AG14" s="3">
        <f t="shared" si="20"/>
        <v>1.7500000000000002</v>
      </c>
      <c r="AI14" s="4">
        <f t="shared" si="17"/>
        <v>1096</v>
      </c>
      <c r="AJ14" s="7">
        <f t="shared" ref="AJ14:AJ48" si="22">AG14/(1+$AF$51)^(AI14/360)</f>
        <v>1.239357253844118</v>
      </c>
      <c r="AK14" s="7">
        <f t="shared" si="21"/>
        <v>3.773154306147648</v>
      </c>
      <c r="AO14" s="2">
        <f t="shared" si="10"/>
        <v>45666</v>
      </c>
      <c r="AP14" s="3">
        <f t="shared" si="11"/>
        <v>100</v>
      </c>
      <c r="AQ14" s="3">
        <f t="shared" si="12"/>
        <v>1.7500000000000002</v>
      </c>
      <c r="AR14" s="3"/>
      <c r="AS14" s="3">
        <f t="shared" si="15"/>
        <v>1.7500000000000002</v>
      </c>
      <c r="AU14" s="56">
        <v>0.1</v>
      </c>
      <c r="AV14" s="8">
        <f t="shared" si="0"/>
        <v>56.622737323633075</v>
      </c>
    </row>
    <row r="15" spans="2:49" x14ac:dyDescent="0.2">
      <c r="E15" s="2">
        <v>45847</v>
      </c>
      <c r="F15" s="3">
        <v>100</v>
      </c>
      <c r="G15" s="3">
        <f t="shared" si="16"/>
        <v>1.7500000000000002</v>
      </c>
      <c r="H15" s="3"/>
      <c r="I15" s="3">
        <f t="shared" si="13"/>
        <v>1.7500000000000002</v>
      </c>
      <c r="K15" s="4">
        <f t="shared" si="1"/>
        <v>1456</v>
      </c>
      <c r="L15" s="7">
        <f t="shared" si="2"/>
        <v>0.97477124976322793</v>
      </c>
      <c r="M15" s="7">
        <f t="shared" si="3"/>
        <v>3.9424081657090548</v>
      </c>
      <c r="Q15" s="2">
        <f t="shared" si="7"/>
        <v>45847</v>
      </c>
      <c r="R15" s="3">
        <f t="shared" si="8"/>
        <v>100</v>
      </c>
      <c r="S15" s="3">
        <f t="shared" si="9"/>
        <v>1.7500000000000002</v>
      </c>
      <c r="T15" s="3"/>
      <c r="U15" s="3">
        <f t="shared" si="14"/>
        <v>1.7500000000000002</v>
      </c>
      <c r="W15" s="4">
        <f t="shared" si="4"/>
        <v>1456</v>
      </c>
      <c r="X15" s="7" t="e">
        <f t="shared" si="5"/>
        <v>#REF!</v>
      </c>
      <c r="Y15" s="7" t="e">
        <f t="shared" si="6"/>
        <v>#REF!</v>
      </c>
      <c r="AC15" s="2">
        <v>45666</v>
      </c>
      <c r="AD15" s="3">
        <v>100</v>
      </c>
      <c r="AE15" s="3">
        <f t="shared" si="19"/>
        <v>1.7500000000000002</v>
      </c>
      <c r="AF15" s="3"/>
      <c r="AG15" s="3">
        <f t="shared" si="20"/>
        <v>1.7500000000000002</v>
      </c>
      <c r="AI15" s="4">
        <f t="shared" si="17"/>
        <v>1276</v>
      </c>
      <c r="AJ15" s="7">
        <f t="shared" si="22"/>
        <v>1.1710825282983879</v>
      </c>
      <c r="AK15" s="7">
        <f t="shared" si="21"/>
        <v>4.1508369614131748</v>
      </c>
      <c r="AO15" s="2">
        <f t="shared" si="10"/>
        <v>45847</v>
      </c>
      <c r="AP15" s="3">
        <f t="shared" si="11"/>
        <v>100</v>
      </c>
      <c r="AQ15" s="3">
        <f t="shared" si="12"/>
        <v>1.7500000000000002</v>
      </c>
      <c r="AR15" s="3"/>
      <c r="AS15" s="3">
        <f t="shared" si="15"/>
        <v>1.7500000000000002</v>
      </c>
      <c r="AU15" s="56">
        <v>0.105</v>
      </c>
      <c r="AV15" s="8">
        <f t="shared" si="0"/>
        <v>54.308641220629539</v>
      </c>
    </row>
    <row r="16" spans="2:49" x14ac:dyDescent="0.2">
      <c r="E16" s="2">
        <v>46031</v>
      </c>
      <c r="F16" s="3">
        <v>100</v>
      </c>
      <c r="G16" s="3">
        <f t="shared" si="16"/>
        <v>1.7500000000000002</v>
      </c>
      <c r="H16" s="3"/>
      <c r="I16" s="3">
        <f t="shared" si="13"/>
        <v>1.7500000000000002</v>
      </c>
      <c r="K16" s="4">
        <f t="shared" si="1"/>
        <v>1636</v>
      </c>
      <c r="L16" s="7">
        <f t="shared" si="2"/>
        <v>0.90674439840851029</v>
      </c>
      <c r="M16" s="7">
        <f t="shared" si="3"/>
        <v>4.1206495438786748</v>
      </c>
      <c r="Q16" s="2">
        <f t="shared" si="7"/>
        <v>46031</v>
      </c>
      <c r="R16" s="3">
        <f t="shared" si="8"/>
        <v>100</v>
      </c>
      <c r="S16" s="3">
        <f t="shared" si="9"/>
        <v>1.7500000000000002</v>
      </c>
      <c r="T16" s="3"/>
      <c r="U16" s="3">
        <f t="shared" si="14"/>
        <v>1.7500000000000002</v>
      </c>
      <c r="W16" s="4">
        <f t="shared" si="4"/>
        <v>1636</v>
      </c>
      <c r="X16" s="7" t="e">
        <f t="shared" si="5"/>
        <v>#REF!</v>
      </c>
      <c r="Y16" s="7" t="e">
        <f t="shared" si="6"/>
        <v>#REF!</v>
      </c>
      <c r="AC16" s="2">
        <v>45847</v>
      </c>
      <c r="AD16" s="3">
        <v>100</v>
      </c>
      <c r="AE16" s="3">
        <f t="shared" si="19"/>
        <v>1.7500000000000002</v>
      </c>
      <c r="AF16" s="3"/>
      <c r="AG16" s="3">
        <f t="shared" si="20"/>
        <v>1.7500000000000002</v>
      </c>
      <c r="AI16" s="4">
        <f t="shared" si="17"/>
        <v>1456</v>
      </c>
      <c r="AJ16" s="7">
        <f t="shared" si="22"/>
        <v>1.1065689766465339</v>
      </c>
      <c r="AK16" s="7">
        <f t="shared" si="21"/>
        <v>4.4754567499926479</v>
      </c>
      <c r="AO16" s="2">
        <f t="shared" si="10"/>
        <v>46031</v>
      </c>
      <c r="AP16" s="3">
        <f t="shared" si="11"/>
        <v>100</v>
      </c>
      <c r="AQ16" s="3">
        <f t="shared" si="12"/>
        <v>1.7500000000000002</v>
      </c>
      <c r="AR16" s="3"/>
      <c r="AS16" s="3">
        <f t="shared" si="15"/>
        <v>1.7500000000000002</v>
      </c>
      <c r="AU16" s="56">
        <v>0.11</v>
      </c>
      <c r="AV16" s="8">
        <f t="shared" si="0"/>
        <v>52.124416854859732</v>
      </c>
    </row>
    <row r="17" spans="5:48" x14ac:dyDescent="0.2">
      <c r="E17" s="2">
        <v>46212</v>
      </c>
      <c r="F17" s="3">
        <v>100</v>
      </c>
      <c r="G17" s="3">
        <f t="shared" si="16"/>
        <v>1.7500000000000002</v>
      </c>
      <c r="H17" s="3"/>
      <c r="I17" s="3">
        <f t="shared" si="13"/>
        <v>1.7500000000000002</v>
      </c>
      <c r="K17" s="4">
        <f t="shared" si="1"/>
        <v>1816</v>
      </c>
      <c r="L17" s="7">
        <f t="shared" si="2"/>
        <v>0.84346497113545382</v>
      </c>
      <c r="M17" s="7">
        <f t="shared" si="3"/>
        <v>4.2548121877277332</v>
      </c>
      <c r="Q17" s="2">
        <f t="shared" si="7"/>
        <v>46212</v>
      </c>
      <c r="R17" s="3">
        <f t="shared" si="8"/>
        <v>100</v>
      </c>
      <c r="S17" s="3">
        <f t="shared" si="9"/>
        <v>1.7500000000000002</v>
      </c>
      <c r="T17" s="3"/>
      <c r="U17" s="3">
        <f t="shared" si="14"/>
        <v>1.7500000000000002</v>
      </c>
      <c r="W17" s="4">
        <f t="shared" si="4"/>
        <v>1816</v>
      </c>
      <c r="X17" s="7" t="e">
        <f t="shared" si="5"/>
        <v>#REF!</v>
      </c>
      <c r="Y17" s="7" t="e">
        <f t="shared" si="6"/>
        <v>#REF!</v>
      </c>
      <c r="AC17" s="2">
        <v>46031</v>
      </c>
      <c r="AD17" s="3">
        <v>100</v>
      </c>
      <c r="AE17" s="3">
        <f t="shared" si="19"/>
        <v>1.7500000000000002</v>
      </c>
      <c r="AF17" s="3"/>
      <c r="AG17" s="3">
        <f t="shared" si="20"/>
        <v>1.7500000000000002</v>
      </c>
      <c r="AI17" s="4">
        <f t="shared" si="17"/>
        <v>1636</v>
      </c>
      <c r="AJ17" s="7">
        <f t="shared" si="22"/>
        <v>1.0456094002664176</v>
      </c>
      <c r="AK17" s="7">
        <f t="shared" si="21"/>
        <v>4.7517138300996082</v>
      </c>
      <c r="AO17" s="2">
        <f t="shared" si="10"/>
        <v>46212</v>
      </c>
      <c r="AP17" s="3">
        <f t="shared" si="11"/>
        <v>100</v>
      </c>
      <c r="AQ17" s="3">
        <f t="shared" si="12"/>
        <v>1.7500000000000002</v>
      </c>
      <c r="AR17" s="3"/>
      <c r="AS17" s="3">
        <f t="shared" si="15"/>
        <v>1.7500000000000002</v>
      </c>
      <c r="AU17" s="56">
        <v>0.115</v>
      </c>
      <c r="AV17" s="8">
        <f t="shared" si="0"/>
        <v>50.061413408212331</v>
      </c>
    </row>
    <row r="18" spans="5:48" x14ac:dyDescent="0.2">
      <c r="E18" s="2">
        <v>46396</v>
      </c>
      <c r="F18" s="3">
        <v>100</v>
      </c>
      <c r="G18" s="3">
        <f t="shared" si="16"/>
        <v>1.7500000000000002</v>
      </c>
      <c r="H18" s="3"/>
      <c r="I18" s="3">
        <f t="shared" si="13"/>
        <v>1.7500000000000002</v>
      </c>
      <c r="K18" s="4">
        <f t="shared" si="1"/>
        <v>1996</v>
      </c>
      <c r="L18" s="7">
        <f t="shared" si="2"/>
        <v>0.78460165707250817</v>
      </c>
      <c r="M18" s="7">
        <f t="shared" si="3"/>
        <v>4.3501802986575733</v>
      </c>
      <c r="Q18" s="2">
        <f t="shared" si="7"/>
        <v>46396</v>
      </c>
      <c r="R18" s="3">
        <f t="shared" si="8"/>
        <v>100</v>
      </c>
      <c r="S18" s="3">
        <f t="shared" si="9"/>
        <v>1.7500000000000002</v>
      </c>
      <c r="T18" s="3"/>
      <c r="U18" s="3">
        <f t="shared" si="14"/>
        <v>1.7500000000000002</v>
      </c>
      <c r="W18" s="4">
        <f t="shared" si="4"/>
        <v>1996</v>
      </c>
      <c r="X18" s="7" t="e">
        <f t="shared" si="5"/>
        <v>#REF!</v>
      </c>
      <c r="Y18" s="7" t="e">
        <f t="shared" si="6"/>
        <v>#REF!</v>
      </c>
      <c r="AC18" s="2">
        <v>46212</v>
      </c>
      <c r="AD18" s="3">
        <v>100</v>
      </c>
      <c r="AE18" s="3">
        <f t="shared" si="19"/>
        <v>1.7500000000000002</v>
      </c>
      <c r="AF18" s="3"/>
      <c r="AG18" s="3">
        <f t="shared" si="20"/>
        <v>1.7500000000000002</v>
      </c>
      <c r="AI18" s="4">
        <f t="shared" si="17"/>
        <v>1816</v>
      </c>
      <c r="AJ18" s="7">
        <f t="shared" si="22"/>
        <v>0.98800801486297662</v>
      </c>
      <c r="AK18" s="7">
        <f t="shared" si="21"/>
        <v>4.9839515416421261</v>
      </c>
      <c r="AO18" s="2">
        <f t="shared" si="10"/>
        <v>46396</v>
      </c>
      <c r="AP18" s="3">
        <f t="shared" si="11"/>
        <v>100</v>
      </c>
      <c r="AQ18" s="3">
        <f t="shared" si="12"/>
        <v>1.7500000000000002</v>
      </c>
      <c r="AR18" s="3"/>
      <c r="AS18" s="3">
        <f t="shared" si="15"/>
        <v>1.7500000000000002</v>
      </c>
      <c r="AU18" s="56">
        <v>0.12</v>
      </c>
      <c r="AV18" s="8">
        <f t="shared" si="0"/>
        <v>48.111630709666137</v>
      </c>
    </row>
    <row r="19" spans="5:48" x14ac:dyDescent="0.2">
      <c r="E19" s="2">
        <v>46577</v>
      </c>
      <c r="F19" s="3">
        <f t="shared" ref="F19:F27" si="23">+F18-H18</f>
        <v>100</v>
      </c>
      <c r="G19" s="3">
        <f t="shared" si="16"/>
        <v>1.7500000000000002</v>
      </c>
      <c r="H19" s="3"/>
      <c r="I19" s="3">
        <f t="shared" si="13"/>
        <v>1.7500000000000002</v>
      </c>
      <c r="K19" s="4">
        <f t="shared" si="1"/>
        <v>2176</v>
      </c>
      <c r="L19" s="7">
        <f t="shared" si="2"/>
        <v>0.72984626670651087</v>
      </c>
      <c r="M19" s="7">
        <f t="shared" si="3"/>
        <v>4.4115152120926879</v>
      </c>
      <c r="Q19" s="2">
        <f t="shared" si="7"/>
        <v>46577</v>
      </c>
      <c r="R19" s="3">
        <f t="shared" si="8"/>
        <v>100</v>
      </c>
      <c r="S19" s="3">
        <f t="shared" si="9"/>
        <v>1.7500000000000002</v>
      </c>
      <c r="T19" s="3"/>
      <c r="U19" s="3">
        <f t="shared" si="14"/>
        <v>1.7500000000000002</v>
      </c>
      <c r="W19" s="4">
        <f t="shared" si="4"/>
        <v>2176</v>
      </c>
      <c r="X19" s="7" t="e">
        <f t="shared" si="5"/>
        <v>#REF!</v>
      </c>
      <c r="Y19" s="7" t="e">
        <f t="shared" si="6"/>
        <v>#REF!</v>
      </c>
      <c r="AC19" s="2">
        <v>46396</v>
      </c>
      <c r="AD19" s="3">
        <v>100</v>
      </c>
      <c r="AE19" s="3">
        <f t="shared" si="19"/>
        <v>1.7500000000000002</v>
      </c>
      <c r="AF19" s="3"/>
      <c r="AG19" s="3">
        <f t="shared" si="20"/>
        <v>1.7500000000000002</v>
      </c>
      <c r="AI19" s="4">
        <f t="shared" si="17"/>
        <v>1996</v>
      </c>
      <c r="AJ19" s="7">
        <f t="shared" si="22"/>
        <v>0.93357982166644415</v>
      </c>
      <c r="AK19" s="7">
        <f t="shared" si="21"/>
        <v>5.1761814556839516</v>
      </c>
      <c r="AO19" s="2">
        <f t="shared" si="10"/>
        <v>46577</v>
      </c>
      <c r="AP19" s="3">
        <f t="shared" si="11"/>
        <v>100</v>
      </c>
      <c r="AQ19" s="3">
        <f t="shared" si="12"/>
        <v>1.7500000000000002</v>
      </c>
      <c r="AR19" s="3"/>
      <c r="AS19" s="3">
        <f t="shared" si="15"/>
        <v>1.7500000000000002</v>
      </c>
      <c r="AU19" s="56">
        <v>0.125</v>
      </c>
      <c r="AV19" s="8">
        <f t="shared" si="0"/>
        <v>46.267665472923532</v>
      </c>
    </row>
    <row r="20" spans="5:48" x14ac:dyDescent="0.2">
      <c r="E20" s="2">
        <v>46761</v>
      </c>
      <c r="F20" s="3">
        <f t="shared" si="23"/>
        <v>100</v>
      </c>
      <c r="G20" s="3">
        <f t="shared" si="16"/>
        <v>1.7500000000000002</v>
      </c>
      <c r="H20" s="3">
        <f>100/28</f>
        <v>3.5714285714285716</v>
      </c>
      <c r="I20" s="3">
        <f t="shared" si="13"/>
        <v>5.3214285714285721</v>
      </c>
      <c r="K20" s="4">
        <f t="shared" si="1"/>
        <v>2356</v>
      </c>
      <c r="L20" s="7">
        <f t="shared" si="2"/>
        <v>2.0644470536086206</v>
      </c>
      <c r="M20" s="7">
        <f t="shared" si="3"/>
        <v>13.510659050838639</v>
      </c>
      <c r="Q20" s="2">
        <f t="shared" si="7"/>
        <v>46761</v>
      </c>
      <c r="R20" s="3">
        <f t="shared" si="8"/>
        <v>100</v>
      </c>
      <c r="S20" s="3">
        <f t="shared" si="9"/>
        <v>1.7500000000000002</v>
      </c>
      <c r="T20" s="3">
        <f>100/28</f>
        <v>3.5714285714285716</v>
      </c>
      <c r="U20" s="3">
        <f t="shared" si="14"/>
        <v>5.3214285714285721</v>
      </c>
      <c r="W20" s="4">
        <f t="shared" si="4"/>
        <v>2356</v>
      </c>
      <c r="X20" s="7" t="e">
        <f t="shared" si="5"/>
        <v>#REF!</v>
      </c>
      <c r="Y20" s="7" t="e">
        <f t="shared" si="6"/>
        <v>#REF!</v>
      </c>
      <c r="AC20" s="2">
        <v>46577</v>
      </c>
      <c r="AD20" s="3">
        <f t="shared" ref="AD20:AD28" si="24">+AD19-AF19</f>
        <v>100</v>
      </c>
      <c r="AE20" s="3">
        <f t="shared" si="19"/>
        <v>1.7500000000000002</v>
      </c>
      <c r="AF20" s="3"/>
      <c r="AG20" s="3">
        <f t="shared" si="20"/>
        <v>1.7500000000000002</v>
      </c>
      <c r="AI20" s="4">
        <f t="shared" si="17"/>
        <v>2176</v>
      </c>
      <c r="AJ20" s="7">
        <f t="shared" si="22"/>
        <v>0.88215001327051468</v>
      </c>
      <c r="AK20" s="7">
        <f t="shared" si="21"/>
        <v>5.3321067468795551</v>
      </c>
      <c r="AO20" s="2">
        <f t="shared" si="10"/>
        <v>46761</v>
      </c>
      <c r="AP20" s="3">
        <f t="shared" si="11"/>
        <v>100</v>
      </c>
      <c r="AQ20" s="3">
        <f t="shared" si="12"/>
        <v>1.7500000000000002</v>
      </c>
      <c r="AR20" s="3">
        <f>+H20</f>
        <v>3.5714285714285716</v>
      </c>
      <c r="AS20" s="3">
        <f t="shared" si="15"/>
        <v>5.3214285714285721</v>
      </c>
      <c r="AU20" s="56">
        <v>0.13</v>
      </c>
      <c r="AV20" s="8">
        <f t="shared" si="0"/>
        <v>44.522662329529673</v>
      </c>
    </row>
    <row r="21" spans="5:48" x14ac:dyDescent="0.2">
      <c r="E21" s="2">
        <v>46943</v>
      </c>
      <c r="F21" s="3">
        <f t="shared" si="23"/>
        <v>96.428571428571431</v>
      </c>
      <c r="G21" s="3">
        <f t="shared" si="16"/>
        <v>1.6875000000000002</v>
      </c>
      <c r="H21" s="3">
        <f t="shared" ref="H21:H47" si="25">100/28</f>
        <v>3.5714285714285716</v>
      </c>
      <c r="I21" s="3">
        <f t="shared" si="13"/>
        <v>5.2589285714285721</v>
      </c>
      <c r="K21" s="4">
        <f t="shared" si="1"/>
        <v>2536</v>
      </c>
      <c r="L21" s="7">
        <f t="shared" si="2"/>
        <v>1.8978197155441368</v>
      </c>
      <c r="M21" s="7">
        <f t="shared" si="3"/>
        <v>13.36908555172203</v>
      </c>
      <c r="Q21" s="2">
        <f t="shared" si="7"/>
        <v>46943</v>
      </c>
      <c r="R21" s="3">
        <f t="shared" si="8"/>
        <v>96.428571428571431</v>
      </c>
      <c r="S21" s="3">
        <f t="shared" si="9"/>
        <v>1.6875000000000002</v>
      </c>
      <c r="T21" s="3">
        <f t="shared" ref="T21:T47" si="26">100/28</f>
        <v>3.5714285714285716</v>
      </c>
      <c r="U21" s="3">
        <f t="shared" si="14"/>
        <v>5.2589285714285721</v>
      </c>
      <c r="W21" s="4">
        <f t="shared" si="4"/>
        <v>2536</v>
      </c>
      <c r="X21" s="7" t="e">
        <f t="shared" si="5"/>
        <v>#REF!</v>
      </c>
      <c r="Y21" s="7" t="e">
        <f t="shared" si="6"/>
        <v>#REF!</v>
      </c>
      <c r="AC21" s="2">
        <v>46761</v>
      </c>
      <c r="AD21" s="3">
        <f t="shared" si="24"/>
        <v>100</v>
      </c>
      <c r="AE21" s="3">
        <f t="shared" si="19"/>
        <v>1.7500000000000002</v>
      </c>
      <c r="AF21" s="3">
        <f>100/28</f>
        <v>3.5714285714285716</v>
      </c>
      <c r="AG21" s="3">
        <f t="shared" si="20"/>
        <v>5.3214285714285721</v>
      </c>
      <c r="AI21" s="4">
        <f t="shared" si="17"/>
        <v>2356</v>
      </c>
      <c r="AJ21" s="7">
        <f t="shared" si="22"/>
        <v>2.5346828248596971</v>
      </c>
      <c r="AK21" s="7">
        <f t="shared" si="21"/>
        <v>16.588090931581796</v>
      </c>
      <c r="AO21" s="2">
        <f t="shared" si="10"/>
        <v>46943</v>
      </c>
      <c r="AP21" s="3">
        <f t="shared" si="11"/>
        <v>96.428571428571431</v>
      </c>
      <c r="AQ21" s="3">
        <f t="shared" si="12"/>
        <v>1.6875000000000002</v>
      </c>
      <c r="AR21" s="3">
        <f t="shared" ref="AR21:AR47" si="27">+H21</f>
        <v>3.5714285714285716</v>
      </c>
      <c r="AS21" s="3">
        <f t="shared" si="15"/>
        <v>5.2589285714285721</v>
      </c>
      <c r="AU21" s="56">
        <v>0.13500000000000001</v>
      </c>
      <c r="AV21" s="8">
        <f t="shared" si="0"/>
        <v>42.870269201252626</v>
      </c>
    </row>
    <row r="22" spans="5:48" x14ac:dyDescent="0.2">
      <c r="E22" s="2">
        <v>47127</v>
      </c>
      <c r="F22" s="3">
        <f t="shared" si="23"/>
        <v>92.857142857142861</v>
      </c>
      <c r="G22" s="3">
        <f t="shared" si="16"/>
        <v>1.6250000000000002</v>
      </c>
      <c r="H22" s="3">
        <f t="shared" si="25"/>
        <v>3.5714285714285716</v>
      </c>
      <c r="I22" s="3">
        <f t="shared" si="13"/>
        <v>5.1964285714285721</v>
      </c>
      <c r="K22" s="4">
        <f t="shared" si="1"/>
        <v>2716</v>
      </c>
      <c r="L22" s="7">
        <f t="shared" si="2"/>
        <v>1.7443949218322887</v>
      </c>
      <c r="M22" s="7">
        <f t="shared" si="3"/>
        <v>13.160490576934711</v>
      </c>
      <c r="Q22" s="2">
        <f t="shared" si="7"/>
        <v>47127</v>
      </c>
      <c r="R22" s="3">
        <f t="shared" si="8"/>
        <v>92.857142857142861</v>
      </c>
      <c r="S22" s="3">
        <f t="shared" si="9"/>
        <v>1.6250000000000002</v>
      </c>
      <c r="T22" s="3">
        <f t="shared" si="26"/>
        <v>3.5714285714285716</v>
      </c>
      <c r="U22" s="3">
        <f t="shared" si="14"/>
        <v>5.1964285714285721</v>
      </c>
      <c r="W22" s="4">
        <f t="shared" si="4"/>
        <v>2716</v>
      </c>
      <c r="X22" s="7" t="e">
        <f t="shared" si="5"/>
        <v>#REF!</v>
      </c>
      <c r="Y22" s="7" t="e">
        <f t="shared" si="6"/>
        <v>#REF!</v>
      </c>
      <c r="AC22" s="2">
        <v>46943</v>
      </c>
      <c r="AD22" s="3">
        <f t="shared" si="24"/>
        <v>96.428571428571431</v>
      </c>
      <c r="AE22" s="3">
        <f t="shared" si="19"/>
        <v>1.6875000000000002</v>
      </c>
      <c r="AF22" s="3">
        <f t="shared" ref="AF22:AF48" si="28">100/28</f>
        <v>3.5714285714285716</v>
      </c>
      <c r="AG22" s="3">
        <f t="shared" si="20"/>
        <v>5.2589285714285721</v>
      </c>
      <c r="AI22" s="4">
        <f t="shared" si="17"/>
        <v>2536</v>
      </c>
      <c r="AJ22" s="7">
        <f t="shared" si="22"/>
        <v>2.3669203617726544</v>
      </c>
      <c r="AK22" s="7">
        <f t="shared" si="21"/>
        <v>16.67363899293181</v>
      </c>
      <c r="AO22" s="2">
        <f t="shared" si="10"/>
        <v>47127</v>
      </c>
      <c r="AP22" s="3">
        <f t="shared" si="11"/>
        <v>92.857142857142861</v>
      </c>
      <c r="AQ22" s="3">
        <f t="shared" si="12"/>
        <v>1.6250000000000002</v>
      </c>
      <c r="AR22" s="3">
        <f t="shared" si="27"/>
        <v>3.5714285714285716</v>
      </c>
      <c r="AS22" s="3">
        <f t="shared" si="15"/>
        <v>5.1964285714285721</v>
      </c>
      <c r="AU22" s="56">
        <v>0.14000000000000001</v>
      </c>
      <c r="AV22" s="8">
        <f t="shared" si="0"/>
        <v>41.304596601393101</v>
      </c>
    </row>
    <row r="23" spans="5:48" x14ac:dyDescent="0.2">
      <c r="E23" s="2">
        <v>47308</v>
      </c>
      <c r="F23" s="3">
        <f t="shared" si="23"/>
        <v>89.285714285714292</v>
      </c>
      <c r="G23" s="3">
        <f t="shared" si="16"/>
        <v>1.5625000000000002</v>
      </c>
      <c r="H23" s="3">
        <f t="shared" si="25"/>
        <v>3.5714285714285716</v>
      </c>
      <c r="I23" s="3">
        <f t="shared" si="13"/>
        <v>5.1339285714285721</v>
      </c>
      <c r="K23" s="4">
        <f t="shared" si="1"/>
        <v>2896</v>
      </c>
      <c r="L23" s="7">
        <f t="shared" si="2"/>
        <v>1.6031414516536131</v>
      </c>
      <c r="M23" s="7">
        <f t="shared" si="3"/>
        <v>12.89638234441351</v>
      </c>
      <c r="Q23" s="2">
        <f t="shared" si="7"/>
        <v>47308</v>
      </c>
      <c r="R23" s="3">
        <f t="shared" si="8"/>
        <v>89.285714285714292</v>
      </c>
      <c r="S23" s="3">
        <f t="shared" si="9"/>
        <v>1.5625000000000002</v>
      </c>
      <c r="T23" s="3">
        <f t="shared" si="26"/>
        <v>3.5714285714285716</v>
      </c>
      <c r="U23" s="3">
        <f t="shared" si="14"/>
        <v>5.1339285714285721</v>
      </c>
      <c r="W23" s="4">
        <f t="shared" si="4"/>
        <v>2896</v>
      </c>
      <c r="X23" s="7" t="e">
        <f t="shared" si="5"/>
        <v>#REF!</v>
      </c>
      <c r="Y23" s="7" t="e">
        <f t="shared" si="6"/>
        <v>#REF!</v>
      </c>
      <c r="AC23" s="2">
        <v>47127</v>
      </c>
      <c r="AD23" s="3">
        <f t="shared" si="24"/>
        <v>92.857142857142861</v>
      </c>
      <c r="AE23" s="3">
        <f t="shared" si="19"/>
        <v>1.6250000000000002</v>
      </c>
      <c r="AF23" s="3">
        <f t="shared" si="28"/>
        <v>3.5714285714285716</v>
      </c>
      <c r="AG23" s="3">
        <f t="shared" si="20"/>
        <v>5.1964285714285721</v>
      </c>
      <c r="AI23" s="4">
        <f t="shared" si="17"/>
        <v>2716</v>
      </c>
      <c r="AJ23" s="7">
        <f t="shared" si="22"/>
        <v>2.2099493709077533</v>
      </c>
      <c r="AK23" s="7">
        <f t="shared" si="21"/>
        <v>16.672840253848495</v>
      </c>
      <c r="AO23" s="2">
        <f t="shared" si="10"/>
        <v>47308</v>
      </c>
      <c r="AP23" s="3">
        <f t="shared" si="11"/>
        <v>89.285714285714292</v>
      </c>
      <c r="AQ23" s="3">
        <f t="shared" si="12"/>
        <v>1.5625000000000002</v>
      </c>
      <c r="AR23" s="3">
        <f t="shared" si="27"/>
        <v>3.5714285714285716</v>
      </c>
      <c r="AS23" s="3">
        <f t="shared" si="15"/>
        <v>5.1339285714285721</v>
      </c>
      <c r="AU23" s="56">
        <v>0.14499999999999999</v>
      </c>
      <c r="AV23" s="8">
        <f t="shared" si="0"/>
        <v>39.820180495738093</v>
      </c>
    </row>
    <row r="24" spans="5:48" x14ac:dyDescent="0.2">
      <c r="E24" s="2">
        <v>47492</v>
      </c>
      <c r="F24" s="3">
        <f t="shared" si="23"/>
        <v>85.714285714285722</v>
      </c>
      <c r="G24" s="3">
        <f t="shared" ref="G24:G47" si="29">0.04875*(180/360)*F24</f>
        <v>2.0892857142857144</v>
      </c>
      <c r="H24" s="3">
        <f t="shared" si="25"/>
        <v>3.5714285714285716</v>
      </c>
      <c r="I24" s="3">
        <f t="shared" si="13"/>
        <v>5.6607142857142865</v>
      </c>
      <c r="K24" s="4">
        <f t="shared" si="1"/>
        <v>3076</v>
      </c>
      <c r="L24" s="7">
        <f t="shared" si="2"/>
        <v>1.6442786836109318</v>
      </c>
      <c r="M24" s="7">
        <f t="shared" si="3"/>
        <v>14.04944786329785</v>
      </c>
      <c r="Q24" s="2">
        <f t="shared" si="7"/>
        <v>47492</v>
      </c>
      <c r="R24" s="3">
        <f t="shared" si="8"/>
        <v>85.714285714285722</v>
      </c>
      <c r="S24" s="3">
        <f t="shared" si="9"/>
        <v>2.0892857142857144</v>
      </c>
      <c r="T24" s="3">
        <f t="shared" si="26"/>
        <v>3.5714285714285716</v>
      </c>
      <c r="U24" s="3">
        <f t="shared" si="14"/>
        <v>5.6607142857142865</v>
      </c>
      <c r="W24" s="4">
        <f t="shared" si="4"/>
        <v>3076</v>
      </c>
      <c r="X24" s="7" t="e">
        <f t="shared" si="5"/>
        <v>#REF!</v>
      </c>
      <c r="Y24" s="7" t="e">
        <f t="shared" si="6"/>
        <v>#REF!</v>
      </c>
      <c r="AC24" s="2">
        <v>47308</v>
      </c>
      <c r="AD24" s="3">
        <f t="shared" si="24"/>
        <v>89.285714285714292</v>
      </c>
      <c r="AE24" s="3">
        <f t="shared" si="19"/>
        <v>1.5625000000000002</v>
      </c>
      <c r="AF24" s="3">
        <f t="shared" si="28"/>
        <v>3.5714285714285716</v>
      </c>
      <c r="AG24" s="3">
        <f t="shared" si="20"/>
        <v>5.1339285714285721</v>
      </c>
      <c r="AI24" s="4">
        <f t="shared" si="17"/>
        <v>2896</v>
      </c>
      <c r="AJ24" s="7">
        <f t="shared" si="22"/>
        <v>2.0630899951783839</v>
      </c>
      <c r="AK24" s="7">
        <f t="shared" si="21"/>
        <v>16.596412850101665</v>
      </c>
      <c r="AO24" s="2">
        <f t="shared" si="10"/>
        <v>47492</v>
      </c>
      <c r="AP24" s="3">
        <f t="shared" si="11"/>
        <v>85.714285714285722</v>
      </c>
      <c r="AQ24" s="3">
        <f t="shared" si="12"/>
        <v>2.0892857142857144</v>
      </c>
      <c r="AR24" s="3">
        <f t="shared" si="27"/>
        <v>3.5714285714285716</v>
      </c>
      <c r="AS24" s="3">
        <f t="shared" si="15"/>
        <v>5.6607142857142865</v>
      </c>
      <c r="AU24" s="56">
        <v>0.15</v>
      </c>
      <c r="AV24" s="8">
        <f t="shared" si="0"/>
        <v>38.411948390604302</v>
      </c>
    </row>
    <row r="25" spans="5:48" x14ac:dyDescent="0.2">
      <c r="E25" s="2">
        <v>47673</v>
      </c>
      <c r="F25" s="3">
        <f t="shared" si="23"/>
        <v>82.142857142857153</v>
      </c>
      <c r="G25" s="3">
        <f t="shared" si="29"/>
        <v>2.0022321428571432</v>
      </c>
      <c r="H25" s="3">
        <f t="shared" si="25"/>
        <v>3.5714285714285716</v>
      </c>
      <c r="I25" s="3">
        <f t="shared" si="13"/>
        <v>5.5736607142857153</v>
      </c>
      <c r="K25" s="4">
        <f t="shared" si="1"/>
        <v>3256</v>
      </c>
      <c r="L25" s="7">
        <f t="shared" si="2"/>
        <v>1.5060066502594995</v>
      </c>
      <c r="M25" s="7">
        <f t="shared" si="3"/>
        <v>13.620993481235917</v>
      </c>
      <c r="Q25" s="2">
        <f t="shared" si="7"/>
        <v>47673</v>
      </c>
      <c r="R25" s="3">
        <f t="shared" si="8"/>
        <v>82.142857142857153</v>
      </c>
      <c r="S25" s="3">
        <f t="shared" si="9"/>
        <v>2.0022321428571432</v>
      </c>
      <c r="T25" s="3">
        <f t="shared" si="26"/>
        <v>3.5714285714285716</v>
      </c>
      <c r="U25" s="3">
        <f t="shared" si="14"/>
        <v>5.5736607142857153</v>
      </c>
      <c r="W25" s="4">
        <f t="shared" si="4"/>
        <v>3256</v>
      </c>
      <c r="X25" s="7" t="e">
        <f t="shared" si="5"/>
        <v>#REF!</v>
      </c>
      <c r="Y25" s="7" t="e">
        <f t="shared" si="6"/>
        <v>#REF!</v>
      </c>
      <c r="AC25" s="2">
        <v>47492</v>
      </c>
      <c r="AD25" s="3">
        <f t="shared" si="24"/>
        <v>85.714285714285722</v>
      </c>
      <c r="AE25" s="3">
        <f t="shared" ref="AE25:AE48" si="30">0.04875*(180/360)*AD25</f>
        <v>2.0892857142857144</v>
      </c>
      <c r="AF25" s="3">
        <f t="shared" si="28"/>
        <v>3.5714285714285716</v>
      </c>
      <c r="AG25" s="3">
        <f t="shared" si="20"/>
        <v>5.6607142857142865</v>
      </c>
      <c r="AI25" s="4">
        <f t="shared" si="17"/>
        <v>3076</v>
      </c>
      <c r="AJ25" s="7">
        <f t="shared" si="22"/>
        <v>2.1494659750176663</v>
      </c>
      <c r="AK25" s="7">
        <f t="shared" si="21"/>
        <v>18.36599260876206</v>
      </c>
      <c r="AO25" s="2">
        <f t="shared" si="10"/>
        <v>47673</v>
      </c>
      <c r="AP25" s="3">
        <f t="shared" si="11"/>
        <v>82.142857142857153</v>
      </c>
      <c r="AQ25" s="3">
        <f t="shared" si="12"/>
        <v>2.0022321428571432</v>
      </c>
      <c r="AR25" s="3">
        <f t="shared" si="27"/>
        <v>3.5714285714285716</v>
      </c>
      <c r="AS25" s="3">
        <f t="shared" si="15"/>
        <v>5.5736607142857153</v>
      </c>
      <c r="AU25" s="56">
        <v>0.155</v>
      </c>
      <c r="AV25" s="8">
        <f t="shared" si="0"/>
        <v>37.075188348305765</v>
      </c>
    </row>
    <row r="26" spans="5:48" x14ac:dyDescent="0.2">
      <c r="E26" s="2">
        <v>47857</v>
      </c>
      <c r="F26" s="3">
        <f t="shared" si="23"/>
        <v>78.571428571428584</v>
      </c>
      <c r="G26" s="3">
        <f t="shared" si="29"/>
        <v>1.9151785714285718</v>
      </c>
      <c r="H26" s="3">
        <f t="shared" si="25"/>
        <v>3.5714285714285716</v>
      </c>
      <c r="I26" s="3">
        <f t="shared" si="13"/>
        <v>5.4866071428571432</v>
      </c>
      <c r="K26" s="4">
        <f t="shared" si="1"/>
        <v>3436</v>
      </c>
      <c r="L26" s="7">
        <f t="shared" si="2"/>
        <v>1.3790258135880695</v>
      </c>
      <c r="M26" s="7">
        <f t="shared" si="3"/>
        <v>13.16203526524613</v>
      </c>
      <c r="Q26" s="2">
        <f t="shared" si="7"/>
        <v>47857</v>
      </c>
      <c r="R26" s="3">
        <f t="shared" si="8"/>
        <v>78.571428571428584</v>
      </c>
      <c r="S26" s="3">
        <f t="shared" si="9"/>
        <v>1.9151785714285718</v>
      </c>
      <c r="T26" s="3">
        <f t="shared" si="26"/>
        <v>3.5714285714285716</v>
      </c>
      <c r="U26" s="3">
        <f t="shared" si="14"/>
        <v>5.4866071428571432</v>
      </c>
      <c r="W26" s="4">
        <f t="shared" si="4"/>
        <v>3436</v>
      </c>
      <c r="X26" s="7" t="e">
        <f t="shared" si="5"/>
        <v>#REF!</v>
      </c>
      <c r="Y26" s="7" t="e">
        <f t="shared" si="6"/>
        <v>#REF!</v>
      </c>
      <c r="AC26" s="2">
        <v>47673</v>
      </c>
      <c r="AD26" s="3">
        <f t="shared" si="24"/>
        <v>82.142857142857153</v>
      </c>
      <c r="AE26" s="3">
        <f t="shared" si="30"/>
        <v>2.0022321428571432</v>
      </c>
      <c r="AF26" s="3">
        <f t="shared" si="28"/>
        <v>3.5714285714285716</v>
      </c>
      <c r="AG26" s="3">
        <f t="shared" si="20"/>
        <v>5.5736607142857153</v>
      </c>
      <c r="AI26" s="4">
        <f t="shared" si="17"/>
        <v>3256</v>
      </c>
      <c r="AJ26" s="7">
        <f t="shared" si="22"/>
        <v>1.9998197662889847</v>
      </c>
      <c r="AK26" s="7">
        <f t="shared" si="21"/>
        <v>18.087258775102594</v>
      </c>
      <c r="AO26" s="2">
        <f t="shared" si="10"/>
        <v>47857</v>
      </c>
      <c r="AP26" s="3">
        <f t="shared" si="11"/>
        <v>78.571428571428584</v>
      </c>
      <c r="AQ26" s="3">
        <f t="shared" si="12"/>
        <v>1.9151785714285718</v>
      </c>
      <c r="AR26" s="3">
        <f t="shared" si="27"/>
        <v>3.5714285714285716</v>
      </c>
      <c r="AS26" s="3">
        <f t="shared" si="15"/>
        <v>5.4866071428571432</v>
      </c>
      <c r="AU26" s="56">
        <v>0.16</v>
      </c>
      <c r="AV26" s="8">
        <f t="shared" si="0"/>
        <v>35.805520659849471</v>
      </c>
    </row>
    <row r="27" spans="5:48" x14ac:dyDescent="0.2">
      <c r="E27" s="2">
        <v>48038</v>
      </c>
      <c r="F27" s="3">
        <f t="shared" si="23"/>
        <v>75.000000000000014</v>
      </c>
      <c r="G27" s="3">
        <f t="shared" si="29"/>
        <v>1.8281250000000004</v>
      </c>
      <c r="H27" s="3">
        <f t="shared" si="25"/>
        <v>3.5714285714285716</v>
      </c>
      <c r="I27" s="3">
        <f t="shared" si="13"/>
        <v>5.3995535714285721</v>
      </c>
      <c r="K27" s="4">
        <f t="shared" si="1"/>
        <v>3616</v>
      </c>
      <c r="L27" s="7">
        <f t="shared" si="2"/>
        <v>1.2624336304250048</v>
      </c>
      <c r="M27" s="7">
        <f t="shared" si="3"/>
        <v>12.680444465602269</v>
      </c>
      <c r="Q27" s="2">
        <f t="shared" si="7"/>
        <v>48038</v>
      </c>
      <c r="R27" s="3">
        <f t="shared" si="8"/>
        <v>75.000000000000014</v>
      </c>
      <c r="S27" s="3">
        <f t="shared" si="9"/>
        <v>1.8281250000000004</v>
      </c>
      <c r="T27" s="3">
        <f t="shared" si="26"/>
        <v>3.5714285714285716</v>
      </c>
      <c r="U27" s="3">
        <f t="shared" si="14"/>
        <v>5.3995535714285721</v>
      </c>
      <c r="W27" s="4">
        <f t="shared" si="4"/>
        <v>3616</v>
      </c>
      <c r="X27" s="7" t="e">
        <f t="shared" si="5"/>
        <v>#REF!</v>
      </c>
      <c r="Y27" s="7" t="e">
        <f t="shared" si="6"/>
        <v>#REF!</v>
      </c>
      <c r="AC27" s="2">
        <v>47857</v>
      </c>
      <c r="AD27" s="3">
        <f t="shared" si="24"/>
        <v>78.571428571428584</v>
      </c>
      <c r="AE27" s="3">
        <f t="shared" si="30"/>
        <v>1.9151785714285718</v>
      </c>
      <c r="AF27" s="3">
        <f t="shared" si="28"/>
        <v>3.5714285714285716</v>
      </c>
      <c r="AG27" s="3">
        <f t="shared" si="20"/>
        <v>5.4866071428571432</v>
      </c>
      <c r="AI27" s="4">
        <f t="shared" si="17"/>
        <v>3436</v>
      </c>
      <c r="AJ27" s="7">
        <f t="shared" si="22"/>
        <v>1.8601380712713436</v>
      </c>
      <c r="AK27" s="7">
        <f t="shared" si="21"/>
        <v>17.753984480245379</v>
      </c>
      <c r="AO27" s="2">
        <f t="shared" si="10"/>
        <v>48038</v>
      </c>
      <c r="AP27" s="3">
        <f t="shared" si="11"/>
        <v>75.000000000000014</v>
      </c>
      <c r="AQ27" s="3">
        <f t="shared" si="12"/>
        <v>1.8281250000000004</v>
      </c>
      <c r="AR27" s="3">
        <f t="shared" si="27"/>
        <v>3.5714285714285716</v>
      </c>
      <c r="AS27" s="3">
        <f t="shared" si="15"/>
        <v>5.3995535714285721</v>
      </c>
    </row>
    <row r="28" spans="5:48" x14ac:dyDescent="0.2">
      <c r="E28" s="2">
        <v>48222</v>
      </c>
      <c r="F28" s="3">
        <f>+F27-H27</f>
        <v>71.428571428571445</v>
      </c>
      <c r="G28" s="3">
        <f t="shared" si="29"/>
        <v>1.741071428571429</v>
      </c>
      <c r="H28" s="3">
        <f t="shared" si="25"/>
        <v>3.5714285714285716</v>
      </c>
      <c r="I28" s="3">
        <f t="shared" si="13"/>
        <v>5.3125000000000009</v>
      </c>
      <c r="K28" s="4">
        <f t="shared" si="1"/>
        <v>3796</v>
      </c>
      <c r="L28" s="7">
        <f t="shared" si="2"/>
        <v>1.1553985386019998</v>
      </c>
      <c r="M28" s="7">
        <f t="shared" si="3"/>
        <v>12.183035701481087</v>
      </c>
      <c r="Q28" s="2">
        <f t="shared" si="7"/>
        <v>48222</v>
      </c>
      <c r="R28" s="3">
        <f t="shared" si="8"/>
        <v>71.428571428571445</v>
      </c>
      <c r="S28" s="3">
        <f t="shared" si="9"/>
        <v>1.741071428571429</v>
      </c>
      <c r="T28" s="3">
        <f t="shared" si="26"/>
        <v>3.5714285714285716</v>
      </c>
      <c r="U28" s="3">
        <f t="shared" si="14"/>
        <v>5.3125000000000009</v>
      </c>
      <c r="W28" s="4">
        <f t="shared" si="4"/>
        <v>3796</v>
      </c>
      <c r="X28" s="7" t="e">
        <f t="shared" si="5"/>
        <v>#REF!</v>
      </c>
      <c r="Y28" s="7" t="e">
        <f t="shared" si="6"/>
        <v>#REF!</v>
      </c>
      <c r="AC28" s="2">
        <v>48038</v>
      </c>
      <c r="AD28" s="3">
        <f t="shared" si="24"/>
        <v>75.000000000000014</v>
      </c>
      <c r="AE28" s="3">
        <f t="shared" si="30"/>
        <v>1.8281250000000004</v>
      </c>
      <c r="AF28" s="3">
        <f t="shared" si="28"/>
        <v>3.5714285714285716</v>
      </c>
      <c r="AG28" s="3">
        <f t="shared" si="20"/>
        <v>5.3995535714285721</v>
      </c>
      <c r="AI28" s="4">
        <f t="shared" si="17"/>
        <v>3616</v>
      </c>
      <c r="AJ28" s="7">
        <f t="shared" si="22"/>
        <v>1.7297771664043471</v>
      </c>
      <c r="AK28" s="7">
        <f t="shared" si="21"/>
        <v>17.374650649216996</v>
      </c>
      <c r="AO28" s="2">
        <f t="shared" si="10"/>
        <v>48222</v>
      </c>
      <c r="AP28" s="3">
        <f t="shared" si="11"/>
        <v>71.428571428571445</v>
      </c>
      <c r="AQ28" s="3">
        <f t="shared" si="12"/>
        <v>1.741071428571429</v>
      </c>
      <c r="AR28" s="3">
        <f t="shared" si="27"/>
        <v>3.5714285714285716</v>
      </c>
      <c r="AS28" s="3">
        <f t="shared" si="15"/>
        <v>5.3125000000000009</v>
      </c>
    </row>
    <row r="29" spans="5:48" x14ac:dyDescent="0.2">
      <c r="E29" s="2">
        <v>48404</v>
      </c>
      <c r="F29" s="3">
        <f t="shared" ref="F29:F47" si="31">+F28-H28</f>
        <v>67.857142857142875</v>
      </c>
      <c r="G29" s="3">
        <f t="shared" si="29"/>
        <v>1.6540178571428577</v>
      </c>
      <c r="H29" s="3">
        <f t="shared" si="25"/>
        <v>3.5714285714285716</v>
      </c>
      <c r="I29" s="3">
        <f t="shared" si="13"/>
        <v>5.2254464285714288</v>
      </c>
      <c r="K29" s="4">
        <f t="shared" si="1"/>
        <v>3976</v>
      </c>
      <c r="L29" s="7">
        <f t="shared" si="2"/>
        <v>1.057154445432132</v>
      </c>
      <c r="M29" s="7">
        <f t="shared" si="3"/>
        <v>11.675683541772658</v>
      </c>
      <c r="Q29" s="2">
        <f t="shared" si="7"/>
        <v>48404</v>
      </c>
      <c r="R29" s="3">
        <f t="shared" si="8"/>
        <v>67.857142857142875</v>
      </c>
      <c r="S29" s="3">
        <f t="shared" si="9"/>
        <v>1.6540178571428577</v>
      </c>
      <c r="T29" s="3">
        <f t="shared" si="26"/>
        <v>3.5714285714285716</v>
      </c>
      <c r="U29" s="3">
        <f t="shared" si="14"/>
        <v>5.2254464285714288</v>
      </c>
      <c r="W29" s="4">
        <f t="shared" si="4"/>
        <v>3976</v>
      </c>
      <c r="X29" s="7" t="e">
        <f t="shared" si="5"/>
        <v>#REF!</v>
      </c>
      <c r="Y29" s="7" t="e">
        <f t="shared" si="6"/>
        <v>#REF!</v>
      </c>
      <c r="AC29" s="2">
        <v>48222</v>
      </c>
      <c r="AD29" s="3">
        <f>+AD28-AF28</f>
        <v>71.428571428571445</v>
      </c>
      <c r="AE29" s="3">
        <f t="shared" si="30"/>
        <v>1.741071428571429</v>
      </c>
      <c r="AF29" s="3">
        <f t="shared" si="28"/>
        <v>3.5714285714285716</v>
      </c>
      <c r="AG29" s="3">
        <f t="shared" si="20"/>
        <v>5.3125000000000009</v>
      </c>
      <c r="AI29" s="4">
        <f t="shared" si="17"/>
        <v>3796</v>
      </c>
      <c r="AJ29" s="7">
        <f t="shared" si="22"/>
        <v>1.6081340119819387</v>
      </c>
      <c r="AK29" s="7">
        <f t="shared" si="21"/>
        <v>16.956879748565107</v>
      </c>
      <c r="AO29" s="2">
        <f t="shared" si="10"/>
        <v>48404</v>
      </c>
      <c r="AP29" s="3">
        <f t="shared" si="11"/>
        <v>67.857142857142875</v>
      </c>
      <c r="AQ29" s="3">
        <f t="shared" si="12"/>
        <v>1.6540178571428577</v>
      </c>
      <c r="AR29" s="3">
        <f t="shared" si="27"/>
        <v>3.5714285714285716</v>
      </c>
      <c r="AS29" s="3">
        <f t="shared" si="15"/>
        <v>5.2254464285714288</v>
      </c>
    </row>
    <row r="30" spans="5:48" x14ac:dyDescent="0.2">
      <c r="E30" s="2">
        <v>48588</v>
      </c>
      <c r="F30" s="3">
        <f t="shared" si="31"/>
        <v>64.285714285714306</v>
      </c>
      <c r="G30" s="3">
        <f t="shared" si="29"/>
        <v>1.5669642857142863</v>
      </c>
      <c r="H30" s="3">
        <f t="shared" si="25"/>
        <v>3.5714285714285716</v>
      </c>
      <c r="I30" s="3">
        <f t="shared" si="13"/>
        <v>5.1383928571428577</v>
      </c>
      <c r="K30" s="4">
        <f t="shared" si="1"/>
        <v>4156</v>
      </c>
      <c r="L30" s="7">
        <f t="shared" si="2"/>
        <v>0.96699563976015757</v>
      </c>
      <c r="M30" s="7">
        <f t="shared" si="3"/>
        <v>11.163427441231152</v>
      </c>
      <c r="Q30" s="2">
        <f t="shared" si="7"/>
        <v>48588</v>
      </c>
      <c r="R30" s="3">
        <f t="shared" si="8"/>
        <v>64.285714285714306</v>
      </c>
      <c r="S30" s="3">
        <f t="shared" si="9"/>
        <v>1.5669642857142863</v>
      </c>
      <c r="T30" s="3">
        <f t="shared" si="26"/>
        <v>3.5714285714285716</v>
      </c>
      <c r="U30" s="3">
        <f t="shared" si="14"/>
        <v>5.1383928571428577</v>
      </c>
      <c r="W30" s="4">
        <f t="shared" si="4"/>
        <v>4156</v>
      </c>
      <c r="X30" s="7" t="e">
        <f t="shared" si="5"/>
        <v>#REF!</v>
      </c>
      <c r="Y30" s="7" t="e">
        <f t="shared" si="6"/>
        <v>#REF!</v>
      </c>
      <c r="AC30" s="2">
        <v>48404</v>
      </c>
      <c r="AD30" s="3">
        <f t="shared" ref="AD30:AD48" si="32">+AD29-AF29</f>
        <v>67.857142857142875</v>
      </c>
      <c r="AE30" s="3">
        <f t="shared" si="30"/>
        <v>1.6540178571428577</v>
      </c>
      <c r="AF30" s="3">
        <f t="shared" si="28"/>
        <v>3.5714285714285716</v>
      </c>
      <c r="AG30" s="3">
        <f t="shared" si="20"/>
        <v>5.2254464285714288</v>
      </c>
      <c r="AI30" s="4">
        <f t="shared" si="17"/>
        <v>3976</v>
      </c>
      <c r="AJ30" s="7">
        <f t="shared" si="22"/>
        <v>1.4946437232595287</v>
      </c>
      <c r="AK30" s="7">
        <f t="shared" si="21"/>
        <v>16.507509565777461</v>
      </c>
      <c r="AO30" s="2">
        <f t="shared" si="10"/>
        <v>48588</v>
      </c>
      <c r="AP30" s="3">
        <f t="shared" si="11"/>
        <v>64.285714285714306</v>
      </c>
      <c r="AQ30" s="3">
        <f t="shared" si="12"/>
        <v>1.5669642857142863</v>
      </c>
      <c r="AR30" s="3">
        <f t="shared" si="27"/>
        <v>3.5714285714285716</v>
      </c>
      <c r="AS30" s="3">
        <f t="shared" si="15"/>
        <v>5.1383928571428577</v>
      </c>
    </row>
    <row r="31" spans="5:48" x14ac:dyDescent="0.2">
      <c r="E31" s="2">
        <v>48769</v>
      </c>
      <c r="F31" s="3">
        <f t="shared" si="31"/>
        <v>60.714285714285737</v>
      </c>
      <c r="G31" s="3">
        <f t="shared" si="29"/>
        <v>1.4799107142857149</v>
      </c>
      <c r="H31" s="3">
        <f t="shared" si="25"/>
        <v>3.5714285714285716</v>
      </c>
      <c r="I31" s="3">
        <f t="shared" si="13"/>
        <v>5.0513392857142865</v>
      </c>
      <c r="K31" s="4">
        <f t="shared" si="1"/>
        <v>4336</v>
      </c>
      <c r="L31" s="7">
        <f t="shared" si="2"/>
        <v>0.88427209530768791</v>
      </c>
      <c r="M31" s="7">
        <f t="shared" si="3"/>
        <v>10.650566125705931</v>
      </c>
      <c r="Q31" s="2">
        <f t="shared" si="7"/>
        <v>48769</v>
      </c>
      <c r="R31" s="3">
        <f t="shared" si="8"/>
        <v>60.714285714285737</v>
      </c>
      <c r="S31" s="3">
        <f t="shared" si="9"/>
        <v>1.4799107142857149</v>
      </c>
      <c r="T31" s="3">
        <f t="shared" si="26"/>
        <v>3.5714285714285716</v>
      </c>
      <c r="U31" s="3">
        <f t="shared" si="14"/>
        <v>5.0513392857142865</v>
      </c>
      <c r="W31" s="4">
        <f t="shared" si="4"/>
        <v>4336</v>
      </c>
      <c r="X31" s="7" t="e">
        <f t="shared" si="5"/>
        <v>#REF!</v>
      </c>
      <c r="Y31" s="7" t="e">
        <f t="shared" si="6"/>
        <v>#REF!</v>
      </c>
      <c r="AC31" s="2">
        <v>48588</v>
      </c>
      <c r="AD31" s="3">
        <f t="shared" si="32"/>
        <v>64.285714285714306</v>
      </c>
      <c r="AE31" s="3">
        <f t="shared" si="30"/>
        <v>1.5669642857142863</v>
      </c>
      <c r="AF31" s="3">
        <f t="shared" si="28"/>
        <v>3.5714285714285716</v>
      </c>
      <c r="AG31" s="3">
        <f t="shared" si="20"/>
        <v>5.1383928571428577</v>
      </c>
      <c r="AI31" s="4">
        <f t="shared" si="17"/>
        <v>4156</v>
      </c>
      <c r="AJ31" s="7">
        <f t="shared" si="22"/>
        <v>1.3887771967220974</v>
      </c>
      <c r="AK31" s="7">
        <f t="shared" si="21"/>
        <v>16.032661193269547</v>
      </c>
      <c r="AO31" s="2">
        <f t="shared" si="10"/>
        <v>48769</v>
      </c>
      <c r="AP31" s="3">
        <f t="shared" si="11"/>
        <v>60.714285714285737</v>
      </c>
      <c r="AQ31" s="3">
        <f t="shared" si="12"/>
        <v>1.4799107142857149</v>
      </c>
      <c r="AR31" s="3">
        <f t="shared" si="27"/>
        <v>3.5714285714285716</v>
      </c>
      <c r="AS31" s="3">
        <f t="shared" si="15"/>
        <v>5.0513392857142865</v>
      </c>
    </row>
    <row r="32" spans="5:48" x14ac:dyDescent="0.2">
      <c r="E32" s="2">
        <v>48953</v>
      </c>
      <c r="F32" s="3">
        <f t="shared" si="31"/>
        <v>57.142857142857167</v>
      </c>
      <c r="G32" s="3">
        <f t="shared" si="29"/>
        <v>1.3928571428571435</v>
      </c>
      <c r="H32" s="3">
        <f t="shared" si="25"/>
        <v>3.5714285714285716</v>
      </c>
      <c r="I32" s="3">
        <f t="shared" si="13"/>
        <v>4.9642857142857153</v>
      </c>
      <c r="K32" s="4">
        <f t="shared" si="1"/>
        <v>4516</v>
      </c>
      <c r="L32" s="7">
        <f t="shared" si="2"/>
        <v>0.80838513547808977</v>
      </c>
      <c r="M32" s="7">
        <f t="shared" si="3"/>
        <v>10.140742421719592</v>
      </c>
      <c r="Q32" s="2">
        <f t="shared" si="7"/>
        <v>48953</v>
      </c>
      <c r="R32" s="3">
        <f t="shared" si="8"/>
        <v>57.142857142857167</v>
      </c>
      <c r="S32" s="3">
        <f t="shared" si="9"/>
        <v>1.3928571428571435</v>
      </c>
      <c r="T32" s="3">
        <f t="shared" si="26"/>
        <v>3.5714285714285716</v>
      </c>
      <c r="U32" s="3">
        <f t="shared" si="14"/>
        <v>4.9642857142857153</v>
      </c>
      <c r="W32" s="4">
        <f t="shared" si="4"/>
        <v>4516</v>
      </c>
      <c r="X32" s="7" t="e">
        <f t="shared" si="5"/>
        <v>#REF!</v>
      </c>
      <c r="Y32" s="7" t="e">
        <f t="shared" si="6"/>
        <v>#REF!</v>
      </c>
      <c r="AC32" s="2">
        <v>48769</v>
      </c>
      <c r="AD32" s="3">
        <f t="shared" si="32"/>
        <v>60.714285714285737</v>
      </c>
      <c r="AE32" s="3">
        <f t="shared" si="30"/>
        <v>1.4799107142857149</v>
      </c>
      <c r="AF32" s="3">
        <f t="shared" si="28"/>
        <v>3.5714285714285716</v>
      </c>
      <c r="AG32" s="3">
        <f t="shared" si="20"/>
        <v>5.0513392857142865</v>
      </c>
      <c r="AI32" s="4">
        <f t="shared" si="17"/>
        <v>4336</v>
      </c>
      <c r="AJ32" s="7">
        <f t="shared" si="22"/>
        <v>1.2900388820926316</v>
      </c>
      <c r="AK32" s="7">
        <f t="shared" si="21"/>
        <v>15.537801646537918</v>
      </c>
      <c r="AO32" s="2">
        <f t="shared" si="10"/>
        <v>48953</v>
      </c>
      <c r="AP32" s="3">
        <f t="shared" si="11"/>
        <v>57.142857142857167</v>
      </c>
      <c r="AQ32" s="3">
        <f t="shared" si="12"/>
        <v>1.3928571428571435</v>
      </c>
      <c r="AR32" s="3">
        <f t="shared" si="27"/>
        <v>3.5714285714285716</v>
      </c>
      <c r="AS32" s="3">
        <f t="shared" si="15"/>
        <v>4.9642857142857153</v>
      </c>
    </row>
    <row r="33" spans="5:45" x14ac:dyDescent="0.2">
      <c r="E33" s="2">
        <v>49134</v>
      </c>
      <c r="F33" s="3">
        <f t="shared" si="31"/>
        <v>53.571428571428598</v>
      </c>
      <c r="G33" s="3">
        <f t="shared" si="29"/>
        <v>1.3058035714285721</v>
      </c>
      <c r="H33" s="3">
        <f t="shared" si="25"/>
        <v>3.5714285714285716</v>
      </c>
      <c r="I33" s="3">
        <f t="shared" si="13"/>
        <v>4.8772321428571441</v>
      </c>
      <c r="K33" s="4">
        <f t="shared" si="1"/>
        <v>4696</v>
      </c>
      <c r="L33" s="7">
        <f t="shared" si="2"/>
        <v>0.73878343204445374</v>
      </c>
      <c r="M33" s="7">
        <f t="shared" si="3"/>
        <v>9.6370194357798749</v>
      </c>
      <c r="Q33" s="2">
        <f t="shared" si="7"/>
        <v>49134</v>
      </c>
      <c r="R33" s="3">
        <f t="shared" si="8"/>
        <v>53.571428571428598</v>
      </c>
      <c r="S33" s="3">
        <f t="shared" si="9"/>
        <v>1.3058035714285721</v>
      </c>
      <c r="T33" s="3">
        <f t="shared" si="26"/>
        <v>3.5714285714285716</v>
      </c>
      <c r="U33" s="3">
        <f t="shared" si="14"/>
        <v>4.8772321428571441</v>
      </c>
      <c r="W33" s="4">
        <f t="shared" si="4"/>
        <v>4696</v>
      </c>
      <c r="X33" s="7" t="e">
        <f t="shared" si="5"/>
        <v>#REF!</v>
      </c>
      <c r="Y33" s="7" t="e">
        <f t="shared" si="6"/>
        <v>#REF!</v>
      </c>
      <c r="AC33" s="2">
        <v>48953</v>
      </c>
      <c r="AD33" s="3">
        <f t="shared" si="32"/>
        <v>57.142857142857167</v>
      </c>
      <c r="AE33" s="3">
        <f t="shared" si="30"/>
        <v>1.3928571428571435</v>
      </c>
      <c r="AF33" s="3">
        <f t="shared" si="28"/>
        <v>3.5714285714285716</v>
      </c>
      <c r="AG33" s="3">
        <f t="shared" si="20"/>
        <v>4.9642857142857153</v>
      </c>
      <c r="AI33" s="4">
        <f t="shared" si="17"/>
        <v>4516</v>
      </c>
      <c r="AJ33" s="7">
        <f t="shared" si="22"/>
        <v>1.1979646912273272</v>
      </c>
      <c r="AK33" s="7">
        <f t="shared" si="21"/>
        <v>15.027801515507248</v>
      </c>
      <c r="AO33" s="2">
        <f t="shared" si="10"/>
        <v>49134</v>
      </c>
      <c r="AP33" s="3">
        <f t="shared" si="11"/>
        <v>53.571428571428598</v>
      </c>
      <c r="AQ33" s="3">
        <f t="shared" si="12"/>
        <v>1.3058035714285721</v>
      </c>
      <c r="AR33" s="3">
        <f t="shared" si="27"/>
        <v>3.5714285714285716</v>
      </c>
      <c r="AS33" s="3">
        <f t="shared" si="15"/>
        <v>4.8772321428571441</v>
      </c>
    </row>
    <row r="34" spans="5:45" x14ac:dyDescent="0.2">
      <c r="E34" s="2">
        <v>49318</v>
      </c>
      <c r="F34" s="3">
        <f t="shared" si="31"/>
        <v>50.000000000000028</v>
      </c>
      <c r="G34" s="3">
        <f t="shared" si="29"/>
        <v>1.2187500000000007</v>
      </c>
      <c r="H34" s="3">
        <f t="shared" si="25"/>
        <v>3.5714285714285716</v>
      </c>
      <c r="I34" s="3">
        <f t="shared" si="13"/>
        <v>4.7901785714285721</v>
      </c>
      <c r="K34" s="4">
        <f t="shared" si="1"/>
        <v>4876</v>
      </c>
      <c r="L34" s="7">
        <f t="shared" si="2"/>
        <v>0.67495931223258798</v>
      </c>
      <c r="M34" s="7">
        <f t="shared" si="3"/>
        <v>9.1419489067947186</v>
      </c>
      <c r="Q34" s="2">
        <f t="shared" si="7"/>
        <v>49318</v>
      </c>
      <c r="R34" s="3">
        <f t="shared" si="8"/>
        <v>50.000000000000028</v>
      </c>
      <c r="S34" s="3">
        <f t="shared" si="9"/>
        <v>1.2187500000000007</v>
      </c>
      <c r="T34" s="3">
        <f t="shared" si="26"/>
        <v>3.5714285714285716</v>
      </c>
      <c r="U34" s="3">
        <f t="shared" si="14"/>
        <v>4.7901785714285721</v>
      </c>
      <c r="W34" s="4">
        <f t="shared" si="4"/>
        <v>4876</v>
      </c>
      <c r="X34" s="7" t="e">
        <f t="shared" si="5"/>
        <v>#REF!</v>
      </c>
      <c r="Y34" s="7" t="e">
        <f t="shared" si="6"/>
        <v>#REF!</v>
      </c>
      <c r="AC34" s="2">
        <v>49134</v>
      </c>
      <c r="AD34" s="3">
        <f t="shared" si="32"/>
        <v>53.571428571428598</v>
      </c>
      <c r="AE34" s="3">
        <f t="shared" si="30"/>
        <v>1.3058035714285721</v>
      </c>
      <c r="AF34" s="3">
        <f t="shared" si="28"/>
        <v>3.5714285714285716</v>
      </c>
      <c r="AG34" s="3">
        <f t="shared" si="20"/>
        <v>4.8772321428571441</v>
      </c>
      <c r="AI34" s="4">
        <f t="shared" si="17"/>
        <v>4696</v>
      </c>
      <c r="AJ34" s="7">
        <f t="shared" si="22"/>
        <v>1.1121200355771419</v>
      </c>
      <c r="AK34" s="7">
        <f t="shared" si="21"/>
        <v>14.506988019639607</v>
      </c>
      <c r="AO34" s="2">
        <f t="shared" si="10"/>
        <v>49318</v>
      </c>
      <c r="AP34" s="3">
        <f t="shared" si="11"/>
        <v>50.000000000000028</v>
      </c>
      <c r="AQ34" s="3">
        <f t="shared" si="12"/>
        <v>1.2187500000000007</v>
      </c>
      <c r="AR34" s="3">
        <f t="shared" si="27"/>
        <v>3.5714285714285716</v>
      </c>
      <c r="AS34" s="3">
        <f t="shared" si="15"/>
        <v>4.7901785714285721</v>
      </c>
    </row>
    <row r="35" spans="5:45" x14ac:dyDescent="0.2">
      <c r="E35" s="2">
        <v>49499</v>
      </c>
      <c r="F35" s="3">
        <f t="shared" si="31"/>
        <v>46.428571428571459</v>
      </c>
      <c r="G35" s="3">
        <f t="shared" si="29"/>
        <v>1.1316964285714293</v>
      </c>
      <c r="H35" s="3">
        <f t="shared" si="25"/>
        <v>3.5714285714285716</v>
      </c>
      <c r="I35" s="3">
        <f t="shared" si="13"/>
        <v>4.7031250000000009</v>
      </c>
      <c r="K35" s="4">
        <f t="shared" si="1"/>
        <v>5056</v>
      </c>
      <c r="L35" s="7">
        <f t="shared" si="2"/>
        <v>0.61644535064236872</v>
      </c>
      <c r="M35" s="7">
        <f t="shared" si="3"/>
        <v>8.6576324801328219</v>
      </c>
      <c r="Q35" s="2">
        <f t="shared" si="7"/>
        <v>49499</v>
      </c>
      <c r="R35" s="3">
        <f t="shared" si="8"/>
        <v>46.428571428571459</v>
      </c>
      <c r="S35" s="3">
        <f t="shared" si="9"/>
        <v>1.1316964285714293</v>
      </c>
      <c r="T35" s="3">
        <f t="shared" si="26"/>
        <v>3.5714285714285716</v>
      </c>
      <c r="U35" s="3">
        <f t="shared" si="14"/>
        <v>4.7031250000000009</v>
      </c>
      <c r="W35" s="4">
        <f t="shared" si="4"/>
        <v>5056</v>
      </c>
      <c r="X35" s="7" t="e">
        <f t="shared" si="5"/>
        <v>#REF!</v>
      </c>
      <c r="Y35" s="7" t="e">
        <f t="shared" si="6"/>
        <v>#REF!</v>
      </c>
      <c r="AC35" s="2">
        <v>49318</v>
      </c>
      <c r="AD35" s="3">
        <f t="shared" si="32"/>
        <v>50.000000000000028</v>
      </c>
      <c r="AE35" s="3">
        <f t="shared" si="30"/>
        <v>1.2187500000000007</v>
      </c>
      <c r="AF35" s="3">
        <f t="shared" si="28"/>
        <v>3.5714285714285716</v>
      </c>
      <c r="AG35" s="3">
        <f t="shared" si="20"/>
        <v>4.7901785714285721</v>
      </c>
      <c r="AI35" s="4">
        <f t="shared" si="17"/>
        <v>4876</v>
      </c>
      <c r="AJ35" s="7">
        <f t="shared" si="22"/>
        <v>1.0320979843966163</v>
      </c>
      <c r="AK35" s="7">
        <f t="shared" si="21"/>
        <v>13.979193810883057</v>
      </c>
      <c r="AO35" s="2">
        <f t="shared" si="10"/>
        <v>49499</v>
      </c>
      <c r="AP35" s="3">
        <f t="shared" si="11"/>
        <v>46.428571428571459</v>
      </c>
      <c r="AQ35" s="3">
        <f t="shared" si="12"/>
        <v>1.1316964285714293</v>
      </c>
      <c r="AR35" s="3">
        <f t="shared" si="27"/>
        <v>3.5714285714285716</v>
      </c>
      <c r="AS35" s="3">
        <f t="shared" si="15"/>
        <v>4.7031250000000009</v>
      </c>
    </row>
    <row r="36" spans="5:45" x14ac:dyDescent="0.2">
      <c r="E36" s="2">
        <v>49683</v>
      </c>
      <c r="F36" s="3">
        <f t="shared" si="31"/>
        <v>42.85714285714289</v>
      </c>
      <c r="G36" s="3">
        <f t="shared" si="29"/>
        <v>1.0446428571428579</v>
      </c>
      <c r="H36" s="3">
        <f t="shared" si="25"/>
        <v>3.5714285714285716</v>
      </c>
      <c r="I36" s="3">
        <f t="shared" si="13"/>
        <v>4.6160714285714297</v>
      </c>
      <c r="K36" s="4">
        <f t="shared" si="1"/>
        <v>5236</v>
      </c>
      <c r="L36" s="7">
        <f t="shared" si="2"/>
        <v>0.56281122423673047</v>
      </c>
      <c r="M36" s="7">
        <f t="shared" si="3"/>
        <v>8.1857765836208909</v>
      </c>
      <c r="Q36" s="2">
        <f t="shared" si="7"/>
        <v>49683</v>
      </c>
      <c r="R36" s="3">
        <f t="shared" si="8"/>
        <v>42.85714285714289</v>
      </c>
      <c r="S36" s="3">
        <f t="shared" si="9"/>
        <v>1.0446428571428579</v>
      </c>
      <c r="T36" s="3">
        <f t="shared" si="26"/>
        <v>3.5714285714285716</v>
      </c>
      <c r="U36" s="3">
        <f t="shared" si="14"/>
        <v>4.6160714285714297</v>
      </c>
      <c r="W36" s="4">
        <f t="shared" si="4"/>
        <v>5236</v>
      </c>
      <c r="X36" s="7" t="e">
        <f t="shared" si="5"/>
        <v>#REF!</v>
      </c>
      <c r="Y36" s="7" t="e">
        <f t="shared" si="6"/>
        <v>#REF!</v>
      </c>
      <c r="AC36" s="2">
        <v>49499</v>
      </c>
      <c r="AD36" s="3">
        <f t="shared" si="32"/>
        <v>46.428571428571459</v>
      </c>
      <c r="AE36" s="3">
        <f t="shared" si="30"/>
        <v>1.1316964285714293</v>
      </c>
      <c r="AF36" s="3">
        <f t="shared" si="28"/>
        <v>3.5714285714285716</v>
      </c>
      <c r="AG36" s="3">
        <f t="shared" si="20"/>
        <v>4.7031250000000009</v>
      </c>
      <c r="AI36" s="4">
        <f t="shared" si="17"/>
        <v>5056</v>
      </c>
      <c r="AJ36" s="7">
        <f t="shared" si="22"/>
        <v>0.95751753635217285</v>
      </c>
      <c r="AK36" s="7">
        <f t="shared" si="21"/>
        <v>13.447801843879406</v>
      </c>
      <c r="AO36" s="2">
        <f t="shared" si="10"/>
        <v>49683</v>
      </c>
      <c r="AP36" s="3">
        <f t="shared" si="11"/>
        <v>42.85714285714289</v>
      </c>
      <c r="AQ36" s="3">
        <f t="shared" si="12"/>
        <v>1.0446428571428579</v>
      </c>
      <c r="AR36" s="3">
        <f t="shared" si="27"/>
        <v>3.5714285714285716</v>
      </c>
      <c r="AS36" s="3">
        <f t="shared" si="15"/>
        <v>4.6160714285714297</v>
      </c>
    </row>
    <row r="37" spans="5:45" x14ac:dyDescent="0.2">
      <c r="E37" s="2">
        <v>49865</v>
      </c>
      <c r="F37" s="3">
        <f t="shared" si="31"/>
        <v>39.28571428571432</v>
      </c>
      <c r="G37" s="3">
        <f t="shared" si="29"/>
        <v>0.95758928571428659</v>
      </c>
      <c r="H37" s="3">
        <f t="shared" si="25"/>
        <v>3.5714285714285716</v>
      </c>
      <c r="I37" s="3">
        <f t="shared" si="13"/>
        <v>4.5290178571428585</v>
      </c>
      <c r="K37" s="4">
        <f t="shared" si="1"/>
        <v>5416</v>
      </c>
      <c r="L37" s="7">
        <f t="shared" si="2"/>
        <v>0.51366081027897903</v>
      </c>
      <c r="M37" s="7">
        <f t="shared" si="3"/>
        <v>7.7277415235304181</v>
      </c>
      <c r="Q37" s="2">
        <f t="shared" si="7"/>
        <v>49865</v>
      </c>
      <c r="R37" s="3">
        <f t="shared" si="8"/>
        <v>39.28571428571432</v>
      </c>
      <c r="S37" s="3">
        <f t="shared" si="9"/>
        <v>0.95758928571428659</v>
      </c>
      <c r="T37" s="3">
        <f t="shared" si="26"/>
        <v>3.5714285714285716</v>
      </c>
      <c r="U37" s="3">
        <f t="shared" si="14"/>
        <v>4.5290178571428585</v>
      </c>
      <c r="W37" s="4">
        <f t="shared" si="4"/>
        <v>5416</v>
      </c>
      <c r="X37" s="7" t="e">
        <f t="shared" si="5"/>
        <v>#REF!</v>
      </c>
      <c r="Y37" s="7" t="e">
        <f t="shared" si="6"/>
        <v>#REF!</v>
      </c>
      <c r="AC37" s="2">
        <v>49683</v>
      </c>
      <c r="AD37" s="3">
        <f t="shared" si="32"/>
        <v>42.85714285714289</v>
      </c>
      <c r="AE37" s="3">
        <f t="shared" si="30"/>
        <v>1.0446428571428579</v>
      </c>
      <c r="AF37" s="3">
        <f t="shared" si="28"/>
        <v>3.5714285714285716</v>
      </c>
      <c r="AG37" s="3">
        <f t="shared" si="20"/>
        <v>4.6160714285714297</v>
      </c>
      <c r="AI37" s="4">
        <f t="shared" si="17"/>
        <v>5236</v>
      </c>
      <c r="AJ37" s="7">
        <f t="shared" si="22"/>
        <v>0.88802199762523404</v>
      </c>
      <c r="AK37" s="7">
        <f t="shared" si="21"/>
        <v>12.915786609904792</v>
      </c>
      <c r="AO37" s="2">
        <f t="shared" si="10"/>
        <v>49865</v>
      </c>
      <c r="AP37" s="3">
        <f t="shared" si="11"/>
        <v>39.28571428571432</v>
      </c>
      <c r="AQ37" s="3">
        <f t="shared" si="12"/>
        <v>0.95758928571428659</v>
      </c>
      <c r="AR37" s="3">
        <f t="shared" si="27"/>
        <v>3.5714285714285716</v>
      </c>
      <c r="AS37" s="3">
        <f t="shared" si="15"/>
        <v>4.5290178571428585</v>
      </c>
    </row>
    <row r="38" spans="5:45" x14ac:dyDescent="0.2">
      <c r="E38" s="2">
        <v>50049</v>
      </c>
      <c r="F38" s="3">
        <f t="shared" si="31"/>
        <v>35.714285714285751</v>
      </c>
      <c r="G38" s="3">
        <f t="shared" si="29"/>
        <v>0.87053571428571519</v>
      </c>
      <c r="H38" s="3">
        <f t="shared" si="25"/>
        <v>3.5714285714285716</v>
      </c>
      <c r="I38" s="3">
        <f t="shared" si="13"/>
        <v>4.4419642857142865</v>
      </c>
      <c r="K38" s="4">
        <f t="shared" si="1"/>
        <v>5596</v>
      </c>
      <c r="L38" s="7">
        <f t="shared" si="2"/>
        <v>0.46862950862604574</v>
      </c>
      <c r="M38" s="7">
        <f t="shared" si="3"/>
        <v>7.2845853618648668</v>
      </c>
      <c r="Q38" s="2">
        <f t="shared" si="7"/>
        <v>50049</v>
      </c>
      <c r="R38" s="3">
        <f t="shared" si="8"/>
        <v>35.714285714285751</v>
      </c>
      <c r="S38" s="3">
        <f t="shared" si="9"/>
        <v>0.87053571428571519</v>
      </c>
      <c r="T38" s="3">
        <f t="shared" si="26"/>
        <v>3.5714285714285716</v>
      </c>
      <c r="U38" s="3">
        <f t="shared" si="14"/>
        <v>4.4419642857142865</v>
      </c>
      <c r="W38" s="4">
        <f t="shared" si="4"/>
        <v>5596</v>
      </c>
      <c r="X38" s="7" t="e">
        <f t="shared" si="5"/>
        <v>#REF!</v>
      </c>
      <c r="Y38" s="7" t="e">
        <f t="shared" si="6"/>
        <v>#REF!</v>
      </c>
      <c r="AC38" s="2">
        <v>49865</v>
      </c>
      <c r="AD38" s="3">
        <f t="shared" si="32"/>
        <v>39.28571428571432</v>
      </c>
      <c r="AE38" s="3">
        <f t="shared" si="30"/>
        <v>0.95758928571428659</v>
      </c>
      <c r="AF38" s="3">
        <f t="shared" si="28"/>
        <v>3.5714285714285716</v>
      </c>
      <c r="AG38" s="3">
        <f t="shared" si="20"/>
        <v>4.5290178571428585</v>
      </c>
      <c r="AI38" s="4">
        <f t="shared" si="17"/>
        <v>5416</v>
      </c>
      <c r="AJ38" s="7">
        <f t="shared" si="22"/>
        <v>0.82327746002210267</v>
      </c>
      <c r="AK38" s="7">
        <f t="shared" si="21"/>
        <v>12.385752009665856</v>
      </c>
      <c r="AO38" s="2">
        <f t="shared" si="10"/>
        <v>50049</v>
      </c>
      <c r="AP38" s="3">
        <f t="shared" si="11"/>
        <v>35.714285714285751</v>
      </c>
      <c r="AQ38" s="3">
        <f t="shared" si="12"/>
        <v>0.87053571428571519</v>
      </c>
      <c r="AR38" s="3">
        <f t="shared" si="27"/>
        <v>3.5714285714285716</v>
      </c>
      <c r="AS38" s="3">
        <f t="shared" si="15"/>
        <v>4.4419642857142865</v>
      </c>
    </row>
    <row r="39" spans="5:45" x14ac:dyDescent="0.2">
      <c r="E39" s="2">
        <v>50230</v>
      </c>
      <c r="F39" s="3">
        <f t="shared" si="31"/>
        <v>32.142857142857181</v>
      </c>
      <c r="G39" s="3">
        <f t="shared" si="29"/>
        <v>0.78348214285714379</v>
      </c>
      <c r="H39" s="3">
        <f t="shared" si="25"/>
        <v>3.5714285714285716</v>
      </c>
      <c r="I39" s="3">
        <f t="shared" si="13"/>
        <v>4.3549107142857153</v>
      </c>
      <c r="K39" s="4">
        <f t="shared" si="1"/>
        <v>5776</v>
      </c>
      <c r="L39" s="7">
        <f t="shared" si="2"/>
        <v>0.42738177119710774</v>
      </c>
      <c r="M39" s="7">
        <f t="shared" si="3"/>
        <v>6.8571030845402623</v>
      </c>
      <c r="Q39" s="2">
        <f t="shared" si="7"/>
        <v>50230</v>
      </c>
      <c r="R39" s="3">
        <f t="shared" si="8"/>
        <v>32.142857142857181</v>
      </c>
      <c r="S39" s="3">
        <f t="shared" si="9"/>
        <v>0.78348214285714379</v>
      </c>
      <c r="T39" s="3">
        <f t="shared" si="26"/>
        <v>3.5714285714285716</v>
      </c>
      <c r="U39" s="3">
        <f t="shared" si="14"/>
        <v>4.3549107142857153</v>
      </c>
      <c r="W39" s="4">
        <f t="shared" si="4"/>
        <v>5776</v>
      </c>
      <c r="X39" s="7" t="e">
        <f t="shared" si="5"/>
        <v>#REF!</v>
      </c>
      <c r="Y39" s="7" t="e">
        <f t="shared" si="6"/>
        <v>#REF!</v>
      </c>
      <c r="AC39" s="2">
        <v>50049</v>
      </c>
      <c r="AD39" s="3">
        <f t="shared" si="32"/>
        <v>35.714285714285751</v>
      </c>
      <c r="AE39" s="3">
        <f t="shared" si="30"/>
        <v>0.87053571428571519</v>
      </c>
      <c r="AF39" s="3">
        <f t="shared" si="28"/>
        <v>3.5714285714285716</v>
      </c>
      <c r="AG39" s="3">
        <f t="shared" si="20"/>
        <v>4.4419642857142865</v>
      </c>
      <c r="AI39" s="4">
        <f t="shared" si="17"/>
        <v>5596</v>
      </c>
      <c r="AJ39" s="7">
        <f t="shared" si="22"/>
        <v>0.76297137299418671</v>
      </c>
      <c r="AK39" s="7">
        <f t="shared" si="21"/>
        <v>11.859966120209636</v>
      </c>
      <c r="AO39" s="2">
        <f t="shared" si="10"/>
        <v>50230</v>
      </c>
      <c r="AP39" s="3">
        <f t="shared" si="11"/>
        <v>32.142857142857181</v>
      </c>
      <c r="AQ39" s="3">
        <f t="shared" si="12"/>
        <v>0.78348214285714379</v>
      </c>
      <c r="AR39" s="3">
        <f t="shared" si="27"/>
        <v>3.5714285714285716</v>
      </c>
      <c r="AS39" s="3">
        <f t="shared" si="15"/>
        <v>4.3549107142857153</v>
      </c>
    </row>
    <row r="40" spans="5:45" x14ac:dyDescent="0.2">
      <c r="E40" s="2">
        <v>50414</v>
      </c>
      <c r="F40" s="3">
        <f t="shared" si="31"/>
        <v>28.571428571428608</v>
      </c>
      <c r="G40" s="3">
        <f t="shared" si="29"/>
        <v>0.6964285714285724</v>
      </c>
      <c r="H40" s="3">
        <f t="shared" si="25"/>
        <v>3.5714285714285716</v>
      </c>
      <c r="I40" s="3">
        <f t="shared" si="13"/>
        <v>4.2678571428571441</v>
      </c>
      <c r="K40" s="4">
        <f t="shared" si="1"/>
        <v>5956</v>
      </c>
      <c r="L40" s="7">
        <f t="shared" si="2"/>
        <v>0.38960882274228842</v>
      </c>
      <c r="M40" s="7">
        <f t="shared" si="3"/>
        <v>6.4458615229251937</v>
      </c>
      <c r="Q40" s="2">
        <f t="shared" si="7"/>
        <v>50414</v>
      </c>
      <c r="R40" s="3">
        <f t="shared" si="8"/>
        <v>28.571428571428608</v>
      </c>
      <c r="S40" s="3">
        <f t="shared" si="9"/>
        <v>0.6964285714285724</v>
      </c>
      <c r="T40" s="3">
        <f t="shared" si="26"/>
        <v>3.5714285714285716</v>
      </c>
      <c r="U40" s="3">
        <f t="shared" si="14"/>
        <v>4.2678571428571441</v>
      </c>
      <c r="W40" s="4">
        <f t="shared" si="4"/>
        <v>5956</v>
      </c>
      <c r="X40" s="7" t="e">
        <f t="shared" si="5"/>
        <v>#REF!</v>
      </c>
      <c r="Y40" s="7" t="e">
        <f t="shared" si="6"/>
        <v>#REF!</v>
      </c>
      <c r="AC40" s="2">
        <v>50230</v>
      </c>
      <c r="AD40" s="3">
        <f t="shared" si="32"/>
        <v>32.142857142857181</v>
      </c>
      <c r="AE40" s="3">
        <f t="shared" si="30"/>
        <v>0.78348214285714379</v>
      </c>
      <c r="AF40" s="3">
        <f t="shared" si="28"/>
        <v>3.5714285714285716</v>
      </c>
      <c r="AG40" s="3">
        <f t="shared" si="20"/>
        <v>4.3549107142857153</v>
      </c>
      <c r="AI40" s="4">
        <f t="shared" si="17"/>
        <v>5776</v>
      </c>
      <c r="AJ40" s="7">
        <f t="shared" si="22"/>
        <v>0.70681120384035157</v>
      </c>
      <c r="AK40" s="7">
        <f t="shared" si="21"/>
        <v>11.340393092727417</v>
      </c>
      <c r="AO40" s="2">
        <f t="shared" si="10"/>
        <v>50414</v>
      </c>
      <c r="AP40" s="3">
        <f t="shared" si="11"/>
        <v>28.571428571428608</v>
      </c>
      <c r="AQ40" s="3">
        <f t="shared" si="12"/>
        <v>0.6964285714285724</v>
      </c>
      <c r="AR40" s="3">
        <f t="shared" si="27"/>
        <v>3.5714285714285716</v>
      </c>
      <c r="AS40" s="3">
        <f t="shared" si="15"/>
        <v>4.2678571428571441</v>
      </c>
    </row>
    <row r="41" spans="5:45" x14ac:dyDescent="0.2">
      <c r="E41" s="2">
        <v>50595</v>
      </c>
      <c r="F41" s="3">
        <f t="shared" si="31"/>
        <v>25.000000000000036</v>
      </c>
      <c r="G41" s="3">
        <f t="shared" si="29"/>
        <v>0.60937500000000089</v>
      </c>
      <c r="H41" s="3">
        <f t="shared" si="25"/>
        <v>3.5714285714285716</v>
      </c>
      <c r="I41" s="3">
        <f t="shared" si="13"/>
        <v>4.180803571428573</v>
      </c>
      <c r="K41" s="4">
        <f t="shared" si="1"/>
        <v>6136</v>
      </c>
      <c r="L41" s="7">
        <f t="shared" si="2"/>
        <v>0.35502655824295326</v>
      </c>
      <c r="M41" s="7">
        <f t="shared" si="3"/>
        <v>6.0512304482743362</v>
      </c>
      <c r="Q41" s="2">
        <f t="shared" si="7"/>
        <v>50595</v>
      </c>
      <c r="R41" s="3">
        <f t="shared" si="8"/>
        <v>25.000000000000036</v>
      </c>
      <c r="S41" s="3">
        <f t="shared" si="9"/>
        <v>0.60937500000000089</v>
      </c>
      <c r="T41" s="3">
        <f t="shared" si="26"/>
        <v>3.5714285714285716</v>
      </c>
      <c r="U41" s="3">
        <f t="shared" si="14"/>
        <v>4.180803571428573</v>
      </c>
      <c r="W41" s="4">
        <f t="shared" si="4"/>
        <v>6136</v>
      </c>
      <c r="X41" s="7" t="e">
        <f t="shared" si="5"/>
        <v>#REF!</v>
      </c>
      <c r="Y41" s="7" t="e">
        <f t="shared" si="6"/>
        <v>#REF!</v>
      </c>
      <c r="AC41" s="2">
        <v>50414</v>
      </c>
      <c r="AD41" s="3">
        <f t="shared" si="32"/>
        <v>28.571428571428608</v>
      </c>
      <c r="AE41" s="3">
        <f t="shared" si="30"/>
        <v>0.6964285714285724</v>
      </c>
      <c r="AF41" s="3">
        <f t="shared" si="28"/>
        <v>3.5714285714285716</v>
      </c>
      <c r="AG41" s="3">
        <f t="shared" si="20"/>
        <v>4.2678571428571441</v>
      </c>
      <c r="AI41" s="4">
        <f t="shared" si="17"/>
        <v>5956</v>
      </c>
      <c r="AJ41" s="7">
        <f t="shared" si="22"/>
        <v>0.65452318070929871</v>
      </c>
      <c r="AK41" s="7">
        <f t="shared" si="21"/>
        <v>10.828722400846065</v>
      </c>
      <c r="AO41" s="2">
        <f t="shared" si="10"/>
        <v>50595</v>
      </c>
      <c r="AP41" s="3">
        <f t="shared" si="11"/>
        <v>25.000000000000036</v>
      </c>
      <c r="AQ41" s="3">
        <f t="shared" si="12"/>
        <v>0.60937500000000089</v>
      </c>
      <c r="AR41" s="3">
        <f t="shared" si="27"/>
        <v>3.5714285714285716</v>
      </c>
      <c r="AS41" s="3">
        <f t="shared" si="15"/>
        <v>4.180803571428573</v>
      </c>
    </row>
    <row r="42" spans="5:45" x14ac:dyDescent="0.2">
      <c r="E42" s="2">
        <v>50779</v>
      </c>
      <c r="F42" s="3">
        <f t="shared" si="31"/>
        <v>21.428571428571463</v>
      </c>
      <c r="G42" s="3">
        <f t="shared" si="29"/>
        <v>0.52232142857142938</v>
      </c>
      <c r="H42" s="3">
        <f t="shared" si="25"/>
        <v>3.5714285714285716</v>
      </c>
      <c r="I42" s="3">
        <f t="shared" si="13"/>
        <v>4.0937500000000009</v>
      </c>
      <c r="K42" s="4">
        <f t="shared" si="1"/>
        <v>6316</v>
      </c>
      <c r="L42" s="7">
        <f t="shared" si="2"/>
        <v>0.32337360339076932</v>
      </c>
      <c r="M42" s="7">
        <f t="shared" si="3"/>
        <v>5.6734102194891642</v>
      </c>
      <c r="Q42" s="2">
        <f t="shared" si="7"/>
        <v>50779</v>
      </c>
      <c r="R42" s="3">
        <f t="shared" si="8"/>
        <v>21.428571428571463</v>
      </c>
      <c r="S42" s="3">
        <f t="shared" si="9"/>
        <v>0.52232142857142938</v>
      </c>
      <c r="T42" s="3">
        <f t="shared" si="26"/>
        <v>3.5714285714285716</v>
      </c>
      <c r="U42" s="3">
        <f t="shared" si="14"/>
        <v>4.0937500000000009</v>
      </c>
      <c r="W42" s="4">
        <f t="shared" si="4"/>
        <v>6316</v>
      </c>
      <c r="X42" s="7" t="e">
        <f t="shared" si="5"/>
        <v>#REF!</v>
      </c>
      <c r="Y42" s="7" t="e">
        <f t="shared" si="6"/>
        <v>#REF!</v>
      </c>
      <c r="AC42" s="2">
        <v>50595</v>
      </c>
      <c r="AD42" s="3">
        <f t="shared" si="32"/>
        <v>25.000000000000036</v>
      </c>
      <c r="AE42" s="3">
        <f t="shared" si="30"/>
        <v>0.60937500000000089</v>
      </c>
      <c r="AF42" s="3">
        <f t="shared" si="28"/>
        <v>3.5714285714285716</v>
      </c>
      <c r="AG42" s="3">
        <f t="shared" si="20"/>
        <v>4.180803571428573</v>
      </c>
      <c r="AI42" s="4">
        <f t="shared" si="17"/>
        <v>6136</v>
      </c>
      <c r="AJ42" s="7">
        <f t="shared" si="22"/>
        <v>0.60585111334525266</v>
      </c>
      <c r="AK42" s="7">
        <f t="shared" si="21"/>
        <v>10.326395643017973</v>
      </c>
      <c r="AO42" s="2">
        <f t="shared" si="10"/>
        <v>50779</v>
      </c>
      <c r="AP42" s="3">
        <f t="shared" si="11"/>
        <v>21.428571428571463</v>
      </c>
      <c r="AQ42" s="3">
        <f t="shared" si="12"/>
        <v>0.52232142857142938</v>
      </c>
      <c r="AR42" s="3">
        <f t="shared" si="27"/>
        <v>3.5714285714285716</v>
      </c>
      <c r="AS42" s="3">
        <f t="shared" si="15"/>
        <v>4.0937500000000009</v>
      </c>
    </row>
    <row r="43" spans="5:45" x14ac:dyDescent="0.2">
      <c r="E43" s="2">
        <v>50960</v>
      </c>
      <c r="F43" s="3">
        <f t="shared" si="31"/>
        <v>17.85714285714289</v>
      </c>
      <c r="G43" s="3">
        <f t="shared" si="29"/>
        <v>0.43526785714285793</v>
      </c>
      <c r="H43" s="3">
        <f t="shared" si="25"/>
        <v>3.5714285714285716</v>
      </c>
      <c r="I43" s="3">
        <f t="shared" si="13"/>
        <v>4.0066964285714297</v>
      </c>
      <c r="K43" s="4">
        <f t="shared" si="1"/>
        <v>6496</v>
      </c>
      <c r="L43" s="7">
        <f t="shared" si="2"/>
        <v>0.29440952562409561</v>
      </c>
      <c r="M43" s="7">
        <f t="shared" si="3"/>
        <v>5.3124563290392359</v>
      </c>
      <c r="Q43" s="2">
        <f t="shared" si="7"/>
        <v>50960</v>
      </c>
      <c r="R43" s="3">
        <f t="shared" si="8"/>
        <v>17.85714285714289</v>
      </c>
      <c r="S43" s="3">
        <f t="shared" si="9"/>
        <v>0.43526785714285793</v>
      </c>
      <c r="T43" s="3">
        <f t="shared" si="26"/>
        <v>3.5714285714285716</v>
      </c>
      <c r="U43" s="3">
        <f t="shared" si="14"/>
        <v>4.0066964285714297</v>
      </c>
      <c r="W43" s="4">
        <f t="shared" si="4"/>
        <v>6496</v>
      </c>
      <c r="X43" s="7" t="e">
        <f t="shared" si="5"/>
        <v>#REF!</v>
      </c>
      <c r="Y43" s="7" t="e">
        <f t="shared" si="6"/>
        <v>#REF!</v>
      </c>
      <c r="AC43" s="2">
        <v>50779</v>
      </c>
      <c r="AD43" s="3">
        <f t="shared" si="32"/>
        <v>21.428571428571463</v>
      </c>
      <c r="AE43" s="3">
        <f t="shared" si="30"/>
        <v>0.52232142857142938</v>
      </c>
      <c r="AF43" s="3">
        <f t="shared" si="28"/>
        <v>3.5714285714285716</v>
      </c>
      <c r="AG43" s="3">
        <f t="shared" si="20"/>
        <v>4.0937500000000009</v>
      </c>
      <c r="AI43" s="4">
        <f t="shared" si="17"/>
        <v>6316</v>
      </c>
      <c r="AJ43" s="7">
        <f t="shared" si="22"/>
        <v>0.56055528682608602</v>
      </c>
      <c r="AK43" s="7">
        <f t="shared" si="21"/>
        <v>9.8346310877598864</v>
      </c>
      <c r="AO43" s="2">
        <f t="shared" si="10"/>
        <v>50960</v>
      </c>
      <c r="AP43" s="3">
        <f t="shared" si="11"/>
        <v>17.85714285714289</v>
      </c>
      <c r="AQ43" s="3">
        <f t="shared" si="12"/>
        <v>0.43526785714285793</v>
      </c>
      <c r="AR43" s="3">
        <f t="shared" si="27"/>
        <v>3.5714285714285716</v>
      </c>
      <c r="AS43" s="3">
        <f t="shared" si="15"/>
        <v>4.0066964285714297</v>
      </c>
    </row>
    <row r="44" spans="5:45" x14ac:dyDescent="0.2">
      <c r="E44" s="2">
        <v>51144</v>
      </c>
      <c r="F44" s="3">
        <f t="shared" si="31"/>
        <v>14.285714285714318</v>
      </c>
      <c r="G44" s="3">
        <f t="shared" si="29"/>
        <v>0.34821428571428653</v>
      </c>
      <c r="H44" s="3">
        <f t="shared" si="25"/>
        <v>3.5714285714285716</v>
      </c>
      <c r="I44" s="3">
        <f t="shared" si="13"/>
        <v>3.9196428571428581</v>
      </c>
      <c r="K44" s="4">
        <f t="shared" si="1"/>
        <v>6676</v>
      </c>
      <c r="L44" s="7">
        <f t="shared" si="2"/>
        <v>0.26791318415369991</v>
      </c>
      <c r="M44" s="7">
        <f t="shared" si="3"/>
        <v>4.9683011594725013</v>
      </c>
      <c r="Q44" s="2">
        <f t="shared" si="7"/>
        <v>51144</v>
      </c>
      <c r="R44" s="3">
        <f t="shared" si="8"/>
        <v>14.285714285714318</v>
      </c>
      <c r="S44" s="3">
        <f t="shared" si="9"/>
        <v>0.34821428571428653</v>
      </c>
      <c r="T44" s="3">
        <f t="shared" si="26"/>
        <v>3.5714285714285716</v>
      </c>
      <c r="U44" s="3">
        <f t="shared" si="14"/>
        <v>3.9196428571428581</v>
      </c>
      <c r="W44" s="4">
        <f t="shared" si="4"/>
        <v>6676</v>
      </c>
      <c r="X44" s="7" t="e">
        <f t="shared" si="5"/>
        <v>#REF!</v>
      </c>
      <c r="Y44" s="7" t="e">
        <f t="shared" si="6"/>
        <v>#REF!</v>
      </c>
      <c r="AC44" s="2">
        <v>50960</v>
      </c>
      <c r="AD44" s="3">
        <f t="shared" si="32"/>
        <v>17.85714285714289</v>
      </c>
      <c r="AE44" s="3">
        <f t="shared" si="30"/>
        <v>0.43526785714285793</v>
      </c>
      <c r="AF44" s="3">
        <f t="shared" si="28"/>
        <v>3.5714285714285716</v>
      </c>
      <c r="AG44" s="3">
        <f t="shared" si="20"/>
        <v>4.0066964285714297</v>
      </c>
      <c r="AI44" s="4">
        <f t="shared" si="17"/>
        <v>6496</v>
      </c>
      <c r="AJ44" s="7">
        <f t="shared" si="22"/>
        <v>0.51841142383052796</v>
      </c>
      <c r="AK44" s="7">
        <f t="shared" si="21"/>
        <v>9.3544461366753051</v>
      </c>
      <c r="AO44" s="2">
        <f t="shared" si="10"/>
        <v>51144</v>
      </c>
      <c r="AP44" s="3">
        <f t="shared" si="11"/>
        <v>14.285714285714318</v>
      </c>
      <c r="AQ44" s="3">
        <f t="shared" si="12"/>
        <v>0.34821428571428653</v>
      </c>
      <c r="AR44" s="3">
        <f t="shared" si="27"/>
        <v>3.5714285714285716</v>
      </c>
      <c r="AS44" s="3">
        <f t="shared" si="15"/>
        <v>3.9196428571428581</v>
      </c>
    </row>
    <row r="45" spans="5:45" x14ac:dyDescent="0.2">
      <c r="E45" s="2">
        <v>51326</v>
      </c>
      <c r="F45" s="3">
        <f t="shared" si="31"/>
        <v>10.714285714285747</v>
      </c>
      <c r="G45" s="3">
        <f t="shared" si="29"/>
        <v>0.26116071428571508</v>
      </c>
      <c r="H45" s="3">
        <f t="shared" si="25"/>
        <v>3.5714285714285716</v>
      </c>
      <c r="I45" s="3">
        <f t="shared" si="13"/>
        <v>3.8325892857142865</v>
      </c>
      <c r="K45" s="4">
        <f t="shared" si="1"/>
        <v>6856</v>
      </c>
      <c r="L45" s="7">
        <f t="shared" si="2"/>
        <v>0.24368120829115211</v>
      </c>
      <c r="M45" s="7">
        <f t="shared" si="3"/>
        <v>4.6407732334559411</v>
      </c>
      <c r="Q45" s="2">
        <f t="shared" si="7"/>
        <v>51326</v>
      </c>
      <c r="R45" s="3">
        <f t="shared" si="8"/>
        <v>10.714285714285747</v>
      </c>
      <c r="S45" s="3">
        <f t="shared" si="9"/>
        <v>0.26116071428571508</v>
      </c>
      <c r="T45" s="3">
        <f t="shared" si="26"/>
        <v>3.5714285714285716</v>
      </c>
      <c r="U45" s="3">
        <f t="shared" si="14"/>
        <v>3.8325892857142865</v>
      </c>
      <c r="W45" s="4">
        <f t="shared" si="4"/>
        <v>6856</v>
      </c>
      <c r="X45" s="7" t="e">
        <f t="shared" si="5"/>
        <v>#REF!</v>
      </c>
      <c r="Y45" s="7" t="e">
        <f t="shared" si="6"/>
        <v>#REF!</v>
      </c>
      <c r="AC45" s="2">
        <v>51144</v>
      </c>
      <c r="AD45" s="3">
        <f t="shared" si="32"/>
        <v>14.285714285714318</v>
      </c>
      <c r="AE45" s="3">
        <f t="shared" si="30"/>
        <v>0.34821428571428653</v>
      </c>
      <c r="AF45" s="3">
        <f t="shared" si="28"/>
        <v>3.5714285714285716</v>
      </c>
      <c r="AG45" s="3">
        <f t="shared" si="20"/>
        <v>3.9196428571428581</v>
      </c>
      <c r="AI45" s="4">
        <f t="shared" si="17"/>
        <v>6676</v>
      </c>
      <c r="AJ45" s="7">
        <f t="shared" si="22"/>
        <v>0.47920971124133782</v>
      </c>
      <c r="AK45" s="7">
        <f t="shared" si="21"/>
        <v>8.8866778673532529</v>
      </c>
      <c r="AO45" s="2">
        <f t="shared" si="10"/>
        <v>51326</v>
      </c>
      <c r="AP45" s="3">
        <f t="shared" si="11"/>
        <v>10.714285714285747</v>
      </c>
      <c r="AQ45" s="3">
        <f t="shared" si="12"/>
        <v>0.26116071428571508</v>
      </c>
      <c r="AR45" s="3">
        <f t="shared" si="27"/>
        <v>3.5714285714285716</v>
      </c>
      <c r="AS45" s="3">
        <f t="shared" si="15"/>
        <v>3.8325892857142865</v>
      </c>
    </row>
    <row r="46" spans="5:45" x14ac:dyDescent="0.2">
      <c r="E46" s="2">
        <v>51510</v>
      </c>
      <c r="F46" s="3">
        <f t="shared" si="31"/>
        <v>7.1428571428571761</v>
      </c>
      <c r="G46" s="3">
        <f t="shared" si="29"/>
        <v>0.17410714285714368</v>
      </c>
      <c r="H46" s="3">
        <f t="shared" si="25"/>
        <v>3.5714285714285716</v>
      </c>
      <c r="I46" s="3">
        <f t="shared" si="13"/>
        <v>3.7455357142857153</v>
      </c>
      <c r="K46" s="4">
        <f t="shared" si="1"/>
        <v>7036</v>
      </c>
      <c r="L46" s="7">
        <f t="shared" si="2"/>
        <v>0.22152659420790513</v>
      </c>
      <c r="M46" s="7">
        <f t="shared" si="3"/>
        <v>4.3296142134633904</v>
      </c>
      <c r="Q46" s="2">
        <f t="shared" si="7"/>
        <v>51510</v>
      </c>
      <c r="R46" s="3">
        <f t="shared" si="8"/>
        <v>7.1428571428571761</v>
      </c>
      <c r="S46" s="3">
        <f t="shared" si="9"/>
        <v>0.17410714285714368</v>
      </c>
      <c r="T46" s="3">
        <f t="shared" si="26"/>
        <v>3.5714285714285716</v>
      </c>
      <c r="U46" s="3">
        <f t="shared" si="14"/>
        <v>3.7455357142857153</v>
      </c>
      <c r="W46" s="4">
        <f t="shared" si="4"/>
        <v>7036</v>
      </c>
      <c r="X46" s="7" t="e">
        <f t="shared" si="5"/>
        <v>#REF!</v>
      </c>
      <c r="Y46" s="7" t="e">
        <f t="shared" si="6"/>
        <v>#REF!</v>
      </c>
      <c r="AC46" s="2">
        <v>51326</v>
      </c>
      <c r="AD46" s="3">
        <f t="shared" si="32"/>
        <v>10.714285714285747</v>
      </c>
      <c r="AE46" s="3">
        <f t="shared" si="30"/>
        <v>0.26116071428571508</v>
      </c>
      <c r="AF46" s="3">
        <f t="shared" si="28"/>
        <v>3.5714285714285716</v>
      </c>
      <c r="AG46" s="3">
        <f t="shared" si="20"/>
        <v>3.8325892857142865</v>
      </c>
      <c r="AI46" s="4">
        <f t="shared" si="17"/>
        <v>6856</v>
      </c>
      <c r="AJ46" s="7">
        <f t="shared" si="22"/>
        <v>0.44275388714535235</v>
      </c>
      <c r="AK46" s="7">
        <f t="shared" si="21"/>
        <v>8.4320018063014874</v>
      </c>
      <c r="AO46" s="2">
        <f t="shared" si="10"/>
        <v>51510</v>
      </c>
      <c r="AP46" s="3">
        <f t="shared" si="11"/>
        <v>7.1428571428571761</v>
      </c>
      <c r="AQ46" s="3">
        <f t="shared" si="12"/>
        <v>0.17410714285714368</v>
      </c>
      <c r="AR46" s="3">
        <f t="shared" si="27"/>
        <v>3.5714285714285716</v>
      </c>
      <c r="AS46" s="3">
        <f t="shared" si="15"/>
        <v>3.7455357142857153</v>
      </c>
    </row>
    <row r="47" spans="5:45" x14ac:dyDescent="0.2">
      <c r="E47" s="2">
        <v>51691</v>
      </c>
      <c r="F47" s="3">
        <f t="shared" si="31"/>
        <v>3.5714285714286045</v>
      </c>
      <c r="G47" s="3">
        <f t="shared" si="29"/>
        <v>8.7053571428572243E-2</v>
      </c>
      <c r="H47" s="3">
        <f t="shared" si="25"/>
        <v>3.5714285714285716</v>
      </c>
      <c r="I47" s="3">
        <f t="shared" si="13"/>
        <v>3.6584821428571437</v>
      </c>
      <c r="K47" s="4">
        <f t="shared" si="1"/>
        <v>7216</v>
      </c>
      <c r="L47" s="7">
        <f t="shared" si="2"/>
        <v>0.20127741100609403</v>
      </c>
      <c r="M47" s="7">
        <f t="shared" si="3"/>
        <v>4.0344938828332628</v>
      </c>
      <c r="Q47" s="2">
        <f t="shared" si="7"/>
        <v>51691</v>
      </c>
      <c r="R47" s="3">
        <f t="shared" si="8"/>
        <v>3.5714285714286045</v>
      </c>
      <c r="S47" s="3">
        <f t="shared" si="9"/>
        <v>8.7053571428572243E-2</v>
      </c>
      <c r="T47" s="3">
        <f t="shared" si="26"/>
        <v>3.5714285714285716</v>
      </c>
      <c r="U47" s="3">
        <f t="shared" si="14"/>
        <v>3.6584821428571437</v>
      </c>
      <c r="W47" s="4">
        <f t="shared" si="4"/>
        <v>7216</v>
      </c>
      <c r="X47" s="7" t="e">
        <f t="shared" si="5"/>
        <v>#REF!</v>
      </c>
      <c r="Y47" s="7" t="e">
        <f t="shared" si="6"/>
        <v>#REF!</v>
      </c>
      <c r="AC47" s="2">
        <v>51510</v>
      </c>
      <c r="AD47" s="3">
        <f t="shared" si="32"/>
        <v>7.1428571428571761</v>
      </c>
      <c r="AE47" s="3">
        <f t="shared" si="30"/>
        <v>0.17410714285714368</v>
      </c>
      <c r="AF47" s="3">
        <f t="shared" si="28"/>
        <v>3.5714285714285716</v>
      </c>
      <c r="AG47" s="3">
        <f t="shared" si="20"/>
        <v>3.7455357142857153</v>
      </c>
      <c r="AI47" s="4">
        <f t="shared" si="17"/>
        <v>7036</v>
      </c>
      <c r="AJ47" s="7">
        <f t="shared" si="22"/>
        <v>0.40886038453006263</v>
      </c>
      <c r="AK47" s="7">
        <f t="shared" si="21"/>
        <v>7.9909490709820021</v>
      </c>
      <c r="AO47" s="2">
        <f t="shared" si="10"/>
        <v>51691</v>
      </c>
      <c r="AP47" s="3">
        <f t="shared" si="11"/>
        <v>3.5714285714286045</v>
      </c>
      <c r="AQ47" s="3">
        <f t="shared" si="12"/>
        <v>8.7053571428572243E-2</v>
      </c>
      <c r="AR47" s="3">
        <f t="shared" si="27"/>
        <v>3.5714285714285716</v>
      </c>
      <c r="AS47" s="3">
        <f t="shared" si="15"/>
        <v>3.6584821428571437</v>
      </c>
    </row>
    <row r="48" spans="5:45" x14ac:dyDescent="0.2">
      <c r="L48" s="7">
        <f>SUM(L7:L47)</f>
        <v>36.934797550367456</v>
      </c>
      <c r="M48" s="7">
        <f>SUM(M7:M47)</f>
        <v>299.09508272536402</v>
      </c>
      <c r="X48" s="7" t="e">
        <f>SUM(X7:X47)</f>
        <v>#REF!</v>
      </c>
      <c r="Y48" s="7" t="e">
        <f>SUM(Y7:Y47)</f>
        <v>#REF!</v>
      </c>
      <c r="AC48" s="2">
        <v>51691</v>
      </c>
      <c r="AD48" s="3">
        <f t="shared" si="32"/>
        <v>3.5714285714286045</v>
      </c>
      <c r="AE48" s="3">
        <f t="shared" si="30"/>
        <v>8.7053571428572243E-2</v>
      </c>
      <c r="AF48" s="3">
        <f t="shared" si="28"/>
        <v>3.5714285714285716</v>
      </c>
      <c r="AG48" s="3">
        <f t="shared" si="20"/>
        <v>3.6584821428571437</v>
      </c>
      <c r="AI48" s="4">
        <f t="shared" si="17"/>
        <v>7216</v>
      </c>
      <c r="AJ48" s="7">
        <f t="shared" si="22"/>
        <v>0.37735752820078239</v>
      </c>
      <c r="AK48" s="7">
        <f t="shared" si="21"/>
        <v>7.5639220097134601</v>
      </c>
    </row>
    <row r="49" spans="7:45" ht="15" x14ac:dyDescent="0.25">
      <c r="H49" s="6" t="s">
        <v>5</v>
      </c>
      <c r="I49" s="5">
        <f>XIRR(I6:I47,E6:E47)</f>
        <v>0.1556748449802399</v>
      </c>
      <c r="T49" s="6" t="s">
        <v>5</v>
      </c>
      <c r="U49" s="5" t="e">
        <f>XIRR(U6:U47,Q6:Q47)</f>
        <v>#REF!</v>
      </c>
      <c r="AJ49" s="7">
        <f>SUM(AJ11:AJ48)</f>
        <v>44.289790708475856</v>
      </c>
      <c r="AK49" s="7">
        <f>SUM(AK11:AK48)</f>
        <v>420.64772999653451</v>
      </c>
    </row>
    <row r="50" spans="7:45" ht="15" x14ac:dyDescent="0.25">
      <c r="H50" s="6" t="s">
        <v>8</v>
      </c>
      <c r="I50" s="3">
        <f>M50/(1+(I49/2))</f>
        <v>7.5131194205059622</v>
      </c>
      <c r="L50" s="4" t="s">
        <v>7</v>
      </c>
      <c r="M50" s="3">
        <f>+M48/L48</f>
        <v>8.0979212710586097</v>
      </c>
      <c r="T50" s="6" t="s">
        <v>8</v>
      </c>
      <c r="U50" s="3" t="e">
        <f>Y50/(1+(U49/2))</f>
        <v>#REF!</v>
      </c>
      <c r="X50" s="4" t="s">
        <v>7</v>
      </c>
      <c r="Y50" s="3" t="e">
        <f>+Y48/X48</f>
        <v>#REF!</v>
      </c>
      <c r="AR50" s="6"/>
      <c r="AS50" s="5"/>
    </row>
    <row r="51" spans="7:45" ht="15" x14ac:dyDescent="0.25">
      <c r="AE51" s="4" t="s">
        <v>5</v>
      </c>
      <c r="AF51" s="5">
        <f>Informe!D32</f>
        <v>0.12</v>
      </c>
      <c r="AJ51" s="4" t="s">
        <v>7</v>
      </c>
      <c r="AK51" s="4">
        <f>AK49/AJ49</f>
        <v>9.4976228893317849</v>
      </c>
      <c r="AR51" s="6"/>
      <c r="AS51" s="3"/>
    </row>
    <row r="52" spans="7:45" x14ac:dyDescent="0.2">
      <c r="AE52" s="4" t="s">
        <v>8</v>
      </c>
      <c r="AF52" s="3">
        <f>AK51/(1+AF51)</f>
        <v>8.4800204369033789</v>
      </c>
    </row>
    <row r="53" spans="7:45" ht="15" x14ac:dyDescent="0.25">
      <c r="AE53" s="91" t="s">
        <v>61</v>
      </c>
      <c r="AF53" s="92">
        <f>XNPV(AF51,AG11:AG48,AC11:AC48)</f>
        <v>44.252550197903936</v>
      </c>
    </row>
    <row r="56" spans="7:45" x14ac:dyDescent="0.2">
      <c r="G56" s="3"/>
    </row>
    <row r="57" spans="7:45" x14ac:dyDescent="0.2">
      <c r="G57" s="5"/>
    </row>
  </sheetData>
  <mergeCells count="4">
    <mergeCell ref="AO3:AS3"/>
    <mergeCell ref="E3:M3"/>
    <mergeCell ref="Q3:Y3"/>
    <mergeCell ref="AC3:AK3"/>
  </mergeCells>
  <pageMargins left="0.7" right="0.7" top="0.75" bottom="0.75" header="0.3" footer="0.3"/>
  <ignoredErrors>
    <ignoredError sqref="AQ7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K26"/>
  <sheetViews>
    <sheetView showGridLines="0" zoomScale="90" zoomScaleNormal="90" workbookViewId="0">
      <selection activeCell="S6" sqref="S6:S22"/>
    </sheetView>
  </sheetViews>
  <sheetFormatPr baseColWidth="10" defaultRowHeight="14.25" x14ac:dyDescent="0.2"/>
  <cols>
    <col min="1" max="1" width="11.42578125" style="4"/>
    <col min="2" max="2" width="14.7109375" style="4" bestFit="1" customWidth="1"/>
    <col min="3" max="9" width="11.42578125" style="4"/>
    <col min="10" max="10" width="3.7109375" style="4" customWidth="1"/>
    <col min="11" max="13" width="11.42578125" style="4"/>
    <col min="14" max="14" width="4.7109375" style="4" customWidth="1"/>
    <col min="15" max="15" width="11.42578125" style="78"/>
    <col min="16" max="16" width="5.42578125" style="4" customWidth="1"/>
    <col min="17" max="21" width="11.42578125" style="4"/>
    <col min="22" max="22" width="3.7109375" style="4" customWidth="1"/>
    <col min="23" max="26" width="11.42578125" style="4"/>
    <col min="27" max="27" width="11.42578125" style="78"/>
    <col min="28" max="33" width="11.42578125" style="4"/>
    <col min="34" max="34" width="3.7109375" style="4" customWidth="1"/>
    <col min="35" max="16384" width="11.42578125" style="4"/>
  </cols>
  <sheetData>
    <row r="2" spans="2:37" ht="15" x14ac:dyDescent="0.25">
      <c r="E2" s="321" t="s">
        <v>69</v>
      </c>
      <c r="F2" s="321"/>
      <c r="G2" s="321"/>
      <c r="H2" s="321"/>
      <c r="I2" s="321"/>
      <c r="J2" s="321"/>
      <c r="K2" s="321"/>
      <c r="L2" s="321"/>
      <c r="M2" s="321"/>
      <c r="Q2" s="321" t="s">
        <v>71</v>
      </c>
      <c r="R2" s="321"/>
      <c r="S2" s="321"/>
      <c r="T2" s="321"/>
      <c r="U2" s="321"/>
      <c r="V2" s="321"/>
      <c r="W2" s="321"/>
      <c r="X2" s="321"/>
      <c r="Y2" s="321"/>
      <c r="AC2" s="321" t="s">
        <v>70</v>
      </c>
      <c r="AD2" s="321"/>
      <c r="AE2" s="321"/>
      <c r="AF2" s="321"/>
      <c r="AG2" s="321"/>
      <c r="AH2" s="321"/>
      <c r="AI2" s="321"/>
      <c r="AJ2" s="321"/>
      <c r="AK2" s="321"/>
    </row>
    <row r="4" spans="2:37" ht="15" x14ac:dyDescent="0.25"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  <c r="K4" s="1" t="s">
        <v>9</v>
      </c>
      <c r="L4" s="1" t="s">
        <v>10</v>
      </c>
      <c r="M4" s="1" t="s">
        <v>11</v>
      </c>
      <c r="Q4" s="53" t="s">
        <v>0</v>
      </c>
      <c r="R4" s="53" t="s">
        <v>1</v>
      </c>
      <c r="S4" s="53" t="s">
        <v>2</v>
      </c>
      <c r="T4" s="53" t="s">
        <v>3</v>
      </c>
      <c r="U4" s="53" t="s">
        <v>4</v>
      </c>
      <c r="W4" s="53" t="s">
        <v>9</v>
      </c>
      <c r="X4" s="53" t="s">
        <v>10</v>
      </c>
      <c r="Y4" s="53" t="s">
        <v>11</v>
      </c>
      <c r="AC4" s="53" t="s">
        <v>0</v>
      </c>
      <c r="AD4" s="53" t="s">
        <v>1</v>
      </c>
      <c r="AE4" s="53" t="s">
        <v>2</v>
      </c>
      <c r="AF4" s="53" t="s">
        <v>3</v>
      </c>
      <c r="AG4" s="53" t="s">
        <v>4</v>
      </c>
      <c r="AI4" s="53" t="s">
        <v>9</v>
      </c>
      <c r="AJ4" s="53" t="s">
        <v>10</v>
      </c>
      <c r="AK4" s="53" t="s">
        <v>11</v>
      </c>
    </row>
    <row r="5" spans="2:37" x14ac:dyDescent="0.2">
      <c r="B5" s="82" t="s">
        <v>36</v>
      </c>
      <c r="C5" s="83">
        <v>44078</v>
      </c>
      <c r="E5" s="2">
        <f>+Monitor!C2</f>
        <v>44370</v>
      </c>
      <c r="F5" s="3">
        <v>100</v>
      </c>
      <c r="I5" s="3">
        <f>-CCL!L30</f>
        <v>-42.402777777777771</v>
      </c>
      <c r="K5" s="4">
        <f>DAYS360(C5,E6)</f>
        <v>305</v>
      </c>
      <c r="Q5" s="2">
        <f>E5</f>
        <v>44370</v>
      </c>
      <c r="R5" s="3">
        <v>100</v>
      </c>
      <c r="U5" s="3">
        <f>-Monitor!D14</f>
        <v>-43.2</v>
      </c>
      <c r="AC5" s="2">
        <f>Q5</f>
        <v>44370</v>
      </c>
      <c r="AD5" s="3">
        <v>100</v>
      </c>
      <c r="AG5" s="3" t="e">
        <f>-CCL!K12</f>
        <v>#REF!</v>
      </c>
    </row>
    <row r="6" spans="2:37" x14ac:dyDescent="0.2">
      <c r="B6" s="84" t="s">
        <v>37</v>
      </c>
      <c r="C6" s="85">
        <v>0.01</v>
      </c>
      <c r="E6" s="2">
        <v>44386</v>
      </c>
      <c r="F6" s="3">
        <f>+F5</f>
        <v>100</v>
      </c>
      <c r="G6" s="3">
        <f>(C6*F5)/360*K5</f>
        <v>0.84722222222222221</v>
      </c>
      <c r="H6" s="3"/>
      <c r="I6" s="3">
        <f t="shared" ref="I6:I22" si="0">SUM(G6:H6)</f>
        <v>0.84722222222222221</v>
      </c>
      <c r="K6" s="4">
        <f t="shared" ref="K6:K22" si="1">DAYS360($E$5,E6)</f>
        <v>16</v>
      </c>
      <c r="L6" s="7">
        <f t="shared" ref="L6:L22" si="2">I6/(1+$I$24)^(K6/360)</f>
        <v>0.84079460006615403</v>
      </c>
      <c r="M6" s="7">
        <f t="shared" ref="M6:M22" si="3">L6*(K6/360)</f>
        <v>3.7368648891829066E-2</v>
      </c>
      <c r="Q6" s="2">
        <f>+E6</f>
        <v>44386</v>
      </c>
      <c r="R6" s="3">
        <f>+F6</f>
        <v>100</v>
      </c>
      <c r="S6" s="3">
        <f>+G6</f>
        <v>0.84722222222222221</v>
      </c>
      <c r="T6" s="3"/>
      <c r="U6" s="3">
        <f t="shared" ref="U6:U22" si="4">SUM(S6:T6)</f>
        <v>0.84722222222222221</v>
      </c>
      <c r="W6" s="4">
        <f t="shared" ref="W6:W22" si="5">DAYS360($E$5,Q6)</f>
        <v>16</v>
      </c>
      <c r="X6" s="7">
        <f t="shared" ref="X6:X22" si="6">U6/(1+$U$24)^(W6/360)</f>
        <v>0.84093024112846482</v>
      </c>
      <c r="Y6" s="7">
        <f t="shared" ref="Y6:Y22" si="7">X6*(W6/360)</f>
        <v>3.7374677383487327E-2</v>
      </c>
      <c r="AC6" s="2">
        <v>44205</v>
      </c>
      <c r="AD6" s="3">
        <f>+AD5</f>
        <v>100</v>
      </c>
      <c r="AE6" s="3">
        <v>0</v>
      </c>
      <c r="AF6" s="3"/>
      <c r="AG6" s="3">
        <f t="shared" ref="AG6:AG23" si="8">SUM(AE6:AF6)</f>
        <v>0</v>
      </c>
      <c r="AI6" s="4">
        <f>DAYS360($E$5,AC6)</f>
        <v>-164</v>
      </c>
      <c r="AJ6" s="7" t="e">
        <f>AG6/(1+$AG$25)^(AI6/360)</f>
        <v>#REF!</v>
      </c>
      <c r="AK6" s="7" t="e">
        <f>AJ6*(AI6/360)</f>
        <v>#REF!</v>
      </c>
    </row>
    <row r="7" spans="2:37" x14ac:dyDescent="0.2">
      <c r="B7" s="84" t="s">
        <v>38</v>
      </c>
      <c r="C7" s="86">
        <f>DAYS360(C5,E5)</f>
        <v>289</v>
      </c>
      <c r="E7" s="2">
        <v>44570</v>
      </c>
      <c r="F7" s="3">
        <f t="shared" ref="F7:F22" si="9">F6-H6</f>
        <v>100</v>
      </c>
      <c r="G7" s="3">
        <f>0.01*(180/360)*F7</f>
        <v>0.5</v>
      </c>
      <c r="H7" s="3"/>
      <c r="I7" s="3">
        <f t="shared" si="0"/>
        <v>0.5</v>
      </c>
      <c r="K7" s="4">
        <f t="shared" si="1"/>
        <v>196</v>
      </c>
      <c r="L7" s="7">
        <f t="shared" si="2"/>
        <v>0.45546399473935439</v>
      </c>
      <c r="M7" s="7">
        <f t="shared" si="3"/>
        <v>0.24797484158031516</v>
      </c>
      <c r="Q7" s="2">
        <f t="shared" ref="Q7:Q22" si="10">+E7</f>
        <v>44570</v>
      </c>
      <c r="R7" s="3">
        <f t="shared" ref="R7:R22" si="11">+F7</f>
        <v>100</v>
      </c>
      <c r="S7" s="3">
        <f t="shared" ref="S7:S22" si="12">+G7</f>
        <v>0.5</v>
      </c>
      <c r="T7" s="3"/>
      <c r="U7" s="3">
        <f t="shared" si="4"/>
        <v>0.5</v>
      </c>
      <c r="W7" s="4">
        <f t="shared" si="5"/>
        <v>196</v>
      </c>
      <c r="X7" s="7">
        <f t="shared" si="6"/>
        <v>0.45636491332866153</v>
      </c>
      <c r="Y7" s="7">
        <f t="shared" si="7"/>
        <v>0.24846534170116014</v>
      </c>
      <c r="AC7" s="2">
        <v>44386</v>
      </c>
      <c r="AD7" s="3">
        <f t="shared" ref="AD7:AD23" si="13">AD6-AF6</f>
        <v>100</v>
      </c>
      <c r="AE7" s="3">
        <f>0.01*(AI7/360)*AD8</f>
        <v>4.4444444444444446E-2</v>
      </c>
      <c r="AF7" s="3"/>
      <c r="AG7" s="3">
        <f t="shared" si="8"/>
        <v>4.4444444444444446E-2</v>
      </c>
      <c r="AI7" s="4">
        <f t="shared" ref="AI7:AI23" si="14">DAYS360($E$5,AC7)</f>
        <v>16</v>
      </c>
      <c r="AJ7" s="7" t="e">
        <f t="shared" ref="AJ7:AJ23" si="15">AG7/(1+$AG$25)^(AI7/360)</f>
        <v>#REF!</v>
      </c>
      <c r="AK7" s="7" t="e">
        <f t="shared" ref="AK7:AK23" si="16">AJ7*(AI7/360)</f>
        <v>#REF!</v>
      </c>
    </row>
    <row r="8" spans="2:37" x14ac:dyDescent="0.2">
      <c r="B8" s="84" t="s">
        <v>39</v>
      </c>
      <c r="C8" s="87">
        <f>(C6*100)/360*C7</f>
        <v>0.80277777777777781</v>
      </c>
      <c r="E8" s="2">
        <v>44751</v>
      </c>
      <c r="F8" s="3">
        <f t="shared" si="9"/>
        <v>100</v>
      </c>
      <c r="G8" s="3">
        <f t="shared" ref="G8:G22" si="17">0.01*(180/360)*F8</f>
        <v>0.5</v>
      </c>
      <c r="H8" s="3"/>
      <c r="I8" s="3">
        <f t="shared" si="0"/>
        <v>0.5</v>
      </c>
      <c r="K8" s="4">
        <f t="shared" si="1"/>
        <v>376</v>
      </c>
      <c r="L8" s="7">
        <f t="shared" si="2"/>
        <v>0.41806664789818143</v>
      </c>
      <c r="M8" s="7">
        <f t="shared" si="3"/>
        <v>0.43664738780476731</v>
      </c>
      <c r="Q8" s="2">
        <f t="shared" si="10"/>
        <v>44751</v>
      </c>
      <c r="R8" s="3">
        <f t="shared" si="11"/>
        <v>100</v>
      </c>
      <c r="S8" s="3">
        <f t="shared" si="12"/>
        <v>0.5</v>
      </c>
      <c r="T8" s="3"/>
      <c r="U8" s="3">
        <f t="shared" si="4"/>
        <v>0.5</v>
      </c>
      <c r="W8" s="4">
        <f t="shared" si="5"/>
        <v>376</v>
      </c>
      <c r="X8" s="7">
        <f t="shared" si="6"/>
        <v>0.41965447442127807</v>
      </c>
      <c r="Y8" s="7">
        <f t="shared" si="7"/>
        <v>0.43830578439555712</v>
      </c>
      <c r="AC8" s="2">
        <v>44570</v>
      </c>
      <c r="AD8" s="3">
        <f t="shared" si="13"/>
        <v>100</v>
      </c>
      <c r="AE8" s="3">
        <f>0.01*(180/360)*AD8</f>
        <v>0.5</v>
      </c>
      <c r="AF8" s="3"/>
      <c r="AG8" s="3">
        <f t="shared" si="8"/>
        <v>0.5</v>
      </c>
      <c r="AI8" s="4">
        <f t="shared" si="14"/>
        <v>196</v>
      </c>
      <c r="AJ8" s="7" t="e">
        <f t="shared" si="15"/>
        <v>#REF!</v>
      </c>
      <c r="AK8" s="7" t="e">
        <f t="shared" si="16"/>
        <v>#REF!</v>
      </c>
    </row>
    <row r="9" spans="2:37" x14ac:dyDescent="0.2">
      <c r="B9" s="84" t="s">
        <v>35</v>
      </c>
      <c r="C9" s="86">
        <v>100</v>
      </c>
      <c r="E9" s="2">
        <v>44935</v>
      </c>
      <c r="F9" s="3">
        <f t="shared" si="9"/>
        <v>100</v>
      </c>
      <c r="G9" s="3">
        <f t="shared" si="17"/>
        <v>0.5</v>
      </c>
      <c r="H9" s="3"/>
      <c r="I9" s="3">
        <f t="shared" si="0"/>
        <v>0.5</v>
      </c>
      <c r="K9" s="4">
        <f t="shared" si="1"/>
        <v>556</v>
      </c>
      <c r="L9" s="7">
        <f t="shared" si="2"/>
        <v>0.38373993137447043</v>
      </c>
      <c r="M9" s="7">
        <f t="shared" si="3"/>
        <v>0.5926650051227933</v>
      </c>
      <c r="Q9" s="2">
        <f t="shared" si="10"/>
        <v>44935</v>
      </c>
      <c r="R9" s="3">
        <f t="shared" si="11"/>
        <v>100</v>
      </c>
      <c r="S9" s="3">
        <f t="shared" si="12"/>
        <v>0.5</v>
      </c>
      <c r="T9" s="3"/>
      <c r="U9" s="3">
        <f t="shared" si="4"/>
        <v>0.5</v>
      </c>
      <c r="W9" s="4">
        <f t="shared" si="5"/>
        <v>556</v>
      </c>
      <c r="X9" s="7">
        <f t="shared" si="6"/>
        <v>0.38589705903829996</v>
      </c>
      <c r="Y9" s="7">
        <f t="shared" si="7"/>
        <v>0.59599656895915221</v>
      </c>
      <c r="AC9" s="2">
        <v>44751</v>
      </c>
      <c r="AD9" s="3">
        <f t="shared" si="13"/>
        <v>100</v>
      </c>
      <c r="AE9" s="3">
        <f t="shared" ref="AE9:AE23" si="18">0.01*(180/360)*AD9</f>
        <v>0.5</v>
      </c>
      <c r="AF9" s="3"/>
      <c r="AG9" s="3">
        <f t="shared" si="8"/>
        <v>0.5</v>
      </c>
      <c r="AI9" s="4">
        <f t="shared" si="14"/>
        <v>376</v>
      </c>
      <c r="AJ9" s="7" t="e">
        <f t="shared" si="15"/>
        <v>#REF!</v>
      </c>
      <c r="AK9" s="7" t="e">
        <f t="shared" si="16"/>
        <v>#REF!</v>
      </c>
    </row>
    <row r="10" spans="2:37" x14ac:dyDescent="0.2">
      <c r="B10" s="88" t="s">
        <v>23</v>
      </c>
      <c r="C10" s="89">
        <f>+C9+C8</f>
        <v>100.80277777777778</v>
      </c>
      <c r="E10" s="2">
        <v>45116</v>
      </c>
      <c r="F10" s="3">
        <f t="shared" si="9"/>
        <v>100</v>
      </c>
      <c r="G10" s="3">
        <f t="shared" si="17"/>
        <v>0.5</v>
      </c>
      <c r="H10" s="3"/>
      <c r="I10" s="3">
        <f t="shared" si="0"/>
        <v>0.5</v>
      </c>
      <c r="K10" s="4">
        <f t="shared" si="1"/>
        <v>736</v>
      </c>
      <c r="L10" s="7">
        <f t="shared" si="2"/>
        <v>0.3522317211181768</v>
      </c>
      <c r="M10" s="7">
        <f t="shared" si="3"/>
        <v>0.72011818539716144</v>
      </c>
      <c r="Q10" s="2">
        <f t="shared" si="10"/>
        <v>45116</v>
      </c>
      <c r="R10" s="3">
        <f t="shared" si="11"/>
        <v>100</v>
      </c>
      <c r="S10" s="3">
        <f t="shared" si="12"/>
        <v>0.5</v>
      </c>
      <c r="T10" s="3"/>
      <c r="U10" s="3">
        <f t="shared" si="4"/>
        <v>0.5</v>
      </c>
      <c r="W10" s="4">
        <f t="shared" si="5"/>
        <v>736</v>
      </c>
      <c r="X10" s="7">
        <f t="shared" si="6"/>
        <v>0.35485512308613315</v>
      </c>
      <c r="Y10" s="7">
        <f t="shared" si="7"/>
        <v>0.72548158497609438</v>
      </c>
      <c r="AC10" s="2">
        <v>44935</v>
      </c>
      <c r="AD10" s="3">
        <f t="shared" si="13"/>
        <v>100</v>
      </c>
      <c r="AE10" s="3">
        <f t="shared" si="18"/>
        <v>0.5</v>
      </c>
      <c r="AF10" s="3"/>
      <c r="AG10" s="3">
        <f t="shared" si="8"/>
        <v>0.5</v>
      </c>
      <c r="AI10" s="4">
        <f t="shared" si="14"/>
        <v>556</v>
      </c>
      <c r="AJ10" s="7" t="e">
        <f t="shared" si="15"/>
        <v>#REF!</v>
      </c>
      <c r="AK10" s="7" t="e">
        <f t="shared" si="16"/>
        <v>#REF!</v>
      </c>
    </row>
    <row r="11" spans="2:37" x14ac:dyDescent="0.2">
      <c r="E11" s="2">
        <v>45300</v>
      </c>
      <c r="F11" s="3">
        <f t="shared" si="9"/>
        <v>100</v>
      </c>
      <c r="G11" s="3">
        <f t="shared" si="17"/>
        <v>0.5</v>
      </c>
      <c r="H11" s="3"/>
      <c r="I11" s="3">
        <f t="shared" si="0"/>
        <v>0.5</v>
      </c>
      <c r="K11" s="4">
        <f t="shared" si="1"/>
        <v>916</v>
      </c>
      <c r="L11" s="7">
        <f t="shared" si="2"/>
        <v>0.32331059454118377</v>
      </c>
      <c r="M11" s="7">
        <f t="shared" si="3"/>
        <v>0.8226458461103453</v>
      </c>
      <c r="Q11" s="2">
        <f t="shared" si="10"/>
        <v>45300</v>
      </c>
      <c r="R11" s="3">
        <f t="shared" si="11"/>
        <v>100</v>
      </c>
      <c r="S11" s="3">
        <f t="shared" si="12"/>
        <v>0.5</v>
      </c>
      <c r="T11" s="3"/>
      <c r="U11" s="3">
        <f t="shared" si="4"/>
        <v>0.5</v>
      </c>
      <c r="W11" s="4">
        <f t="shared" si="5"/>
        <v>916</v>
      </c>
      <c r="X11" s="7">
        <f t="shared" si="6"/>
        <v>0.32631023074984628</v>
      </c>
      <c r="Y11" s="7">
        <f t="shared" si="7"/>
        <v>0.83027825379683107</v>
      </c>
      <c r="AC11" s="2">
        <v>45116</v>
      </c>
      <c r="AD11" s="3">
        <f t="shared" si="13"/>
        <v>100</v>
      </c>
      <c r="AE11" s="3">
        <f t="shared" si="18"/>
        <v>0.5</v>
      </c>
      <c r="AF11" s="3"/>
      <c r="AG11" s="3">
        <f t="shared" si="8"/>
        <v>0.5</v>
      </c>
      <c r="AI11" s="4">
        <f t="shared" si="14"/>
        <v>736</v>
      </c>
      <c r="AJ11" s="7" t="e">
        <f t="shared" si="15"/>
        <v>#REF!</v>
      </c>
      <c r="AK11" s="7" t="e">
        <f t="shared" si="16"/>
        <v>#REF!</v>
      </c>
    </row>
    <row r="12" spans="2:37" x14ac:dyDescent="0.2">
      <c r="E12" s="2">
        <v>45482</v>
      </c>
      <c r="F12" s="3">
        <f t="shared" si="9"/>
        <v>100</v>
      </c>
      <c r="G12" s="3">
        <f t="shared" si="17"/>
        <v>0.5</v>
      </c>
      <c r="H12" s="3"/>
      <c r="I12" s="3">
        <f t="shared" si="0"/>
        <v>0.5</v>
      </c>
      <c r="K12" s="4">
        <f t="shared" si="1"/>
        <v>1096</v>
      </c>
      <c r="L12" s="7">
        <f t="shared" si="2"/>
        <v>0.29676413075670455</v>
      </c>
      <c r="M12" s="7">
        <f t="shared" si="3"/>
        <v>0.90348190919263383</v>
      </c>
      <c r="Q12" s="2">
        <f t="shared" si="10"/>
        <v>45482</v>
      </c>
      <c r="R12" s="3">
        <f t="shared" si="11"/>
        <v>100</v>
      </c>
      <c r="S12" s="3">
        <f t="shared" si="12"/>
        <v>0.5</v>
      </c>
      <c r="T12" s="3"/>
      <c r="U12" s="3">
        <f t="shared" si="4"/>
        <v>0.5</v>
      </c>
      <c r="W12" s="4">
        <f t="shared" si="5"/>
        <v>1096</v>
      </c>
      <c r="X12" s="7">
        <f t="shared" si="6"/>
        <v>0.30006151740459069</v>
      </c>
      <c r="Y12" s="7">
        <f t="shared" si="7"/>
        <v>0.91352061965397602</v>
      </c>
      <c r="AC12" s="2">
        <v>45300</v>
      </c>
      <c r="AD12" s="3">
        <f t="shared" si="13"/>
        <v>100</v>
      </c>
      <c r="AE12" s="3">
        <f t="shared" si="18"/>
        <v>0.5</v>
      </c>
      <c r="AF12" s="3"/>
      <c r="AG12" s="3">
        <f t="shared" si="8"/>
        <v>0.5</v>
      </c>
      <c r="AI12" s="4">
        <f t="shared" si="14"/>
        <v>916</v>
      </c>
      <c r="AJ12" s="7" t="e">
        <f t="shared" si="15"/>
        <v>#REF!</v>
      </c>
      <c r="AK12" s="7" t="e">
        <f t="shared" si="16"/>
        <v>#REF!</v>
      </c>
    </row>
    <row r="13" spans="2:37" x14ac:dyDescent="0.2">
      <c r="E13" s="2">
        <v>45666</v>
      </c>
      <c r="F13" s="3">
        <f t="shared" si="9"/>
        <v>100</v>
      </c>
      <c r="G13" s="3">
        <f t="shared" si="17"/>
        <v>0.5</v>
      </c>
      <c r="H13" s="3">
        <f>100/10</f>
        <v>10</v>
      </c>
      <c r="I13" s="3">
        <f t="shared" si="0"/>
        <v>10.5</v>
      </c>
      <c r="K13" s="4">
        <f t="shared" si="1"/>
        <v>1276</v>
      </c>
      <c r="L13" s="7">
        <f t="shared" si="2"/>
        <v>5.7203443580437519</v>
      </c>
      <c r="M13" s="7">
        <f t="shared" si="3"/>
        <v>20.275442780177297</v>
      </c>
      <c r="Q13" s="2">
        <f t="shared" si="10"/>
        <v>45666</v>
      </c>
      <c r="R13" s="3">
        <f t="shared" si="11"/>
        <v>100</v>
      </c>
      <c r="S13" s="3">
        <f t="shared" si="12"/>
        <v>0.5</v>
      </c>
      <c r="T13" s="3">
        <f>100/10</f>
        <v>10</v>
      </c>
      <c r="U13" s="3">
        <f t="shared" si="4"/>
        <v>10.5</v>
      </c>
      <c r="W13" s="4">
        <f t="shared" si="5"/>
        <v>1276</v>
      </c>
      <c r="X13" s="7">
        <f t="shared" si="6"/>
        <v>5.7944097996104471</v>
      </c>
      <c r="Y13" s="7">
        <f t="shared" si="7"/>
        <v>20.537963623063696</v>
      </c>
      <c r="AC13" s="2">
        <v>45482</v>
      </c>
      <c r="AD13" s="3">
        <f t="shared" si="13"/>
        <v>100</v>
      </c>
      <c r="AE13" s="3">
        <f t="shared" si="18"/>
        <v>0.5</v>
      </c>
      <c r="AF13" s="3"/>
      <c r="AG13" s="3">
        <f t="shared" si="8"/>
        <v>0.5</v>
      </c>
      <c r="AI13" s="4">
        <f t="shared" si="14"/>
        <v>1096</v>
      </c>
      <c r="AJ13" s="7" t="e">
        <f t="shared" si="15"/>
        <v>#REF!</v>
      </c>
      <c r="AK13" s="7" t="e">
        <f t="shared" si="16"/>
        <v>#REF!</v>
      </c>
    </row>
    <row r="14" spans="2:37" x14ac:dyDescent="0.2">
      <c r="E14" s="2">
        <v>45847</v>
      </c>
      <c r="F14" s="3">
        <f t="shared" si="9"/>
        <v>90</v>
      </c>
      <c r="G14" s="3">
        <f t="shared" si="17"/>
        <v>0.45</v>
      </c>
      <c r="H14" s="3">
        <f t="shared" ref="H14:H22" si="19">100/10</f>
        <v>10</v>
      </c>
      <c r="I14" s="3">
        <f t="shared" si="0"/>
        <v>10.45</v>
      </c>
      <c r="K14" s="4">
        <f t="shared" si="1"/>
        <v>1456</v>
      </c>
      <c r="L14" s="7">
        <f t="shared" si="2"/>
        <v>5.2256538241526007</v>
      </c>
      <c r="M14" s="7">
        <f t="shared" si="3"/>
        <v>21.134866577683852</v>
      </c>
      <c r="Q14" s="2">
        <f t="shared" si="10"/>
        <v>45847</v>
      </c>
      <c r="R14" s="3">
        <f t="shared" si="11"/>
        <v>90</v>
      </c>
      <c r="S14" s="3">
        <f t="shared" si="12"/>
        <v>0.45</v>
      </c>
      <c r="T14" s="3">
        <f t="shared" ref="T14:T22" si="20">100/10</f>
        <v>10</v>
      </c>
      <c r="U14" s="3">
        <f t="shared" si="4"/>
        <v>10.45</v>
      </c>
      <c r="W14" s="4">
        <f t="shared" si="5"/>
        <v>1456</v>
      </c>
      <c r="X14" s="7">
        <f t="shared" si="6"/>
        <v>5.3029289558561139</v>
      </c>
      <c r="Y14" s="7">
        <f t="shared" si="7"/>
        <v>21.447401554795839</v>
      </c>
      <c r="AC14" s="2">
        <v>45666</v>
      </c>
      <c r="AD14" s="3">
        <f t="shared" si="13"/>
        <v>100</v>
      </c>
      <c r="AE14" s="3">
        <f t="shared" si="18"/>
        <v>0.5</v>
      </c>
      <c r="AF14" s="3">
        <f>100/10</f>
        <v>10</v>
      </c>
      <c r="AG14" s="3">
        <f t="shared" si="8"/>
        <v>10.5</v>
      </c>
      <c r="AI14" s="4">
        <f t="shared" si="14"/>
        <v>1276</v>
      </c>
      <c r="AJ14" s="7" t="e">
        <f t="shared" si="15"/>
        <v>#REF!</v>
      </c>
      <c r="AK14" s="7" t="e">
        <f t="shared" si="16"/>
        <v>#REF!</v>
      </c>
    </row>
    <row r="15" spans="2:37" x14ac:dyDescent="0.2">
      <c r="E15" s="2">
        <v>46031</v>
      </c>
      <c r="F15" s="3">
        <f t="shared" si="9"/>
        <v>80</v>
      </c>
      <c r="G15" s="3">
        <f t="shared" si="17"/>
        <v>0.4</v>
      </c>
      <c r="H15" s="3">
        <f t="shared" si="19"/>
        <v>10</v>
      </c>
      <c r="I15" s="3">
        <f t="shared" si="0"/>
        <v>10.4</v>
      </c>
      <c r="K15" s="4">
        <f t="shared" si="1"/>
        <v>1636</v>
      </c>
      <c r="L15" s="7">
        <f t="shared" si="2"/>
        <v>4.7736344220354026</v>
      </c>
      <c r="M15" s="7">
        <f t="shared" si="3"/>
        <v>21.69351642902755</v>
      </c>
      <c r="Q15" s="2">
        <f t="shared" si="10"/>
        <v>46031</v>
      </c>
      <c r="R15" s="3">
        <f t="shared" si="11"/>
        <v>80</v>
      </c>
      <c r="S15" s="3">
        <f t="shared" si="12"/>
        <v>0.4</v>
      </c>
      <c r="T15" s="3">
        <f t="shared" si="20"/>
        <v>10</v>
      </c>
      <c r="U15" s="3">
        <f t="shared" si="4"/>
        <v>10.4</v>
      </c>
      <c r="W15" s="4">
        <f t="shared" si="5"/>
        <v>1636</v>
      </c>
      <c r="X15" s="7">
        <f t="shared" si="6"/>
        <v>4.8530243287984112</v>
      </c>
      <c r="Y15" s="7">
        <f t="shared" si="7"/>
        <v>22.054299449761668</v>
      </c>
      <c r="AC15" s="2">
        <v>45847</v>
      </c>
      <c r="AD15" s="3">
        <f t="shared" si="13"/>
        <v>90</v>
      </c>
      <c r="AE15" s="3">
        <f t="shared" si="18"/>
        <v>0.45</v>
      </c>
      <c r="AF15" s="3">
        <f t="shared" ref="AF15:AF23" si="21">100/10</f>
        <v>10</v>
      </c>
      <c r="AG15" s="3">
        <f t="shared" si="8"/>
        <v>10.45</v>
      </c>
      <c r="AI15" s="4">
        <f t="shared" si="14"/>
        <v>1456</v>
      </c>
      <c r="AJ15" s="7" t="e">
        <f t="shared" si="15"/>
        <v>#REF!</v>
      </c>
      <c r="AK15" s="7" t="e">
        <f t="shared" si="16"/>
        <v>#REF!</v>
      </c>
    </row>
    <row r="16" spans="2:37" x14ac:dyDescent="0.2">
      <c r="E16" s="2">
        <v>46212</v>
      </c>
      <c r="F16" s="3">
        <f t="shared" si="9"/>
        <v>70</v>
      </c>
      <c r="G16" s="3">
        <f t="shared" si="17"/>
        <v>0.35000000000000003</v>
      </c>
      <c r="H16" s="3">
        <f t="shared" si="19"/>
        <v>10</v>
      </c>
      <c r="I16" s="3">
        <f t="shared" si="0"/>
        <v>10.35</v>
      </c>
      <c r="K16" s="4">
        <f t="shared" si="1"/>
        <v>1816</v>
      </c>
      <c r="L16" s="7">
        <f t="shared" si="2"/>
        <v>4.360613935011358</v>
      </c>
      <c r="M16" s="7">
        <f t="shared" si="3"/>
        <v>21.996874738835071</v>
      </c>
      <c r="Q16" s="2">
        <f t="shared" si="10"/>
        <v>46212</v>
      </c>
      <c r="R16" s="3">
        <f t="shared" si="11"/>
        <v>70</v>
      </c>
      <c r="S16" s="3">
        <f t="shared" si="12"/>
        <v>0.35000000000000003</v>
      </c>
      <c r="T16" s="3">
        <f t="shared" si="20"/>
        <v>10</v>
      </c>
      <c r="U16" s="3">
        <f t="shared" si="4"/>
        <v>10.35</v>
      </c>
      <c r="W16" s="4">
        <f t="shared" si="5"/>
        <v>1816</v>
      </c>
      <c r="X16" s="7">
        <f t="shared" si="6"/>
        <v>4.4411873055139566</v>
      </c>
      <c r="Y16" s="7">
        <f t="shared" si="7"/>
        <v>22.403322630037071</v>
      </c>
      <c r="AC16" s="2">
        <v>46031</v>
      </c>
      <c r="AD16" s="3">
        <f t="shared" si="13"/>
        <v>80</v>
      </c>
      <c r="AE16" s="3">
        <f t="shared" si="18"/>
        <v>0.4</v>
      </c>
      <c r="AF16" s="3">
        <f t="shared" si="21"/>
        <v>10</v>
      </c>
      <c r="AG16" s="3">
        <f t="shared" si="8"/>
        <v>10.4</v>
      </c>
      <c r="AI16" s="4">
        <f t="shared" si="14"/>
        <v>1636</v>
      </c>
      <c r="AJ16" s="7" t="e">
        <f t="shared" si="15"/>
        <v>#REF!</v>
      </c>
      <c r="AK16" s="7" t="e">
        <f t="shared" si="16"/>
        <v>#REF!</v>
      </c>
    </row>
    <row r="17" spans="5:37" x14ac:dyDescent="0.2">
      <c r="E17" s="2">
        <v>46396</v>
      </c>
      <c r="F17" s="3">
        <f t="shared" si="9"/>
        <v>60</v>
      </c>
      <c r="G17" s="3">
        <f t="shared" si="17"/>
        <v>0.3</v>
      </c>
      <c r="H17" s="3">
        <f t="shared" si="19"/>
        <v>10</v>
      </c>
      <c r="I17" s="3">
        <f t="shared" si="0"/>
        <v>10.3</v>
      </c>
      <c r="K17" s="4">
        <f t="shared" si="1"/>
        <v>1996</v>
      </c>
      <c r="L17" s="7">
        <f t="shared" si="2"/>
        <v>3.983235506236078</v>
      </c>
      <c r="M17" s="7">
        <f t="shared" si="3"/>
        <v>22.084827973464478</v>
      </c>
      <c r="Q17" s="2">
        <f t="shared" si="10"/>
        <v>46396</v>
      </c>
      <c r="R17" s="3">
        <f t="shared" si="11"/>
        <v>60</v>
      </c>
      <c r="S17" s="3">
        <f t="shared" si="12"/>
        <v>0.3</v>
      </c>
      <c r="T17" s="3">
        <f t="shared" si="20"/>
        <v>10</v>
      </c>
      <c r="U17" s="3">
        <f t="shared" si="4"/>
        <v>10.3</v>
      </c>
      <c r="W17" s="4">
        <f t="shared" si="5"/>
        <v>1996</v>
      </c>
      <c r="X17" s="7">
        <f t="shared" si="6"/>
        <v>4.0642047162452419</v>
      </c>
      <c r="Y17" s="7">
        <f t="shared" si="7"/>
        <v>22.533757260070839</v>
      </c>
      <c r="AC17" s="2">
        <v>46212</v>
      </c>
      <c r="AD17" s="3">
        <f t="shared" si="13"/>
        <v>70</v>
      </c>
      <c r="AE17" s="3">
        <f t="shared" si="18"/>
        <v>0.35000000000000003</v>
      </c>
      <c r="AF17" s="3">
        <f t="shared" si="21"/>
        <v>10</v>
      </c>
      <c r="AG17" s="3">
        <f t="shared" si="8"/>
        <v>10.35</v>
      </c>
      <c r="AI17" s="4">
        <f t="shared" si="14"/>
        <v>1816</v>
      </c>
      <c r="AJ17" s="7" t="e">
        <f t="shared" si="15"/>
        <v>#REF!</v>
      </c>
      <c r="AK17" s="7" t="e">
        <f t="shared" si="16"/>
        <v>#REF!</v>
      </c>
    </row>
    <row r="18" spans="5:37" x14ac:dyDescent="0.2">
      <c r="E18" s="2">
        <v>46577</v>
      </c>
      <c r="F18" s="3">
        <f t="shared" si="9"/>
        <v>50</v>
      </c>
      <c r="G18" s="3">
        <f t="shared" si="17"/>
        <v>0.25</v>
      </c>
      <c r="H18" s="3">
        <f t="shared" si="19"/>
        <v>10</v>
      </c>
      <c r="I18" s="3">
        <f t="shared" si="0"/>
        <v>10.25</v>
      </c>
      <c r="K18" s="4">
        <f t="shared" si="1"/>
        <v>2176</v>
      </c>
      <c r="L18" s="7">
        <f t="shared" si="2"/>
        <v>3.638430608634144</v>
      </c>
      <c r="M18" s="7">
        <f t="shared" si="3"/>
        <v>21.99229167885527</v>
      </c>
      <c r="Q18" s="2">
        <f t="shared" si="10"/>
        <v>46577</v>
      </c>
      <c r="R18" s="3">
        <f t="shared" si="11"/>
        <v>50</v>
      </c>
      <c r="S18" s="3">
        <f t="shared" si="12"/>
        <v>0.25</v>
      </c>
      <c r="T18" s="3">
        <f t="shared" si="20"/>
        <v>10</v>
      </c>
      <c r="U18" s="3">
        <f t="shared" si="4"/>
        <v>10.25</v>
      </c>
      <c r="W18" s="4">
        <f t="shared" si="5"/>
        <v>2176</v>
      </c>
      <c r="X18" s="7">
        <f t="shared" si="6"/>
        <v>3.7191340062866511</v>
      </c>
      <c r="Y18" s="7">
        <f t="shared" si="7"/>
        <v>22.480098882443759</v>
      </c>
      <c r="AC18" s="2">
        <v>46396</v>
      </c>
      <c r="AD18" s="3">
        <f t="shared" si="13"/>
        <v>60</v>
      </c>
      <c r="AE18" s="3">
        <f t="shared" si="18"/>
        <v>0.3</v>
      </c>
      <c r="AF18" s="3">
        <f t="shared" si="21"/>
        <v>10</v>
      </c>
      <c r="AG18" s="3">
        <f t="shared" si="8"/>
        <v>10.3</v>
      </c>
      <c r="AI18" s="4">
        <f t="shared" si="14"/>
        <v>1996</v>
      </c>
      <c r="AJ18" s="7" t="e">
        <f t="shared" si="15"/>
        <v>#REF!</v>
      </c>
      <c r="AK18" s="7" t="e">
        <f t="shared" si="16"/>
        <v>#REF!</v>
      </c>
    </row>
    <row r="19" spans="5:37" x14ac:dyDescent="0.2">
      <c r="E19" s="2">
        <v>46761</v>
      </c>
      <c r="F19" s="3">
        <f t="shared" si="9"/>
        <v>40</v>
      </c>
      <c r="G19" s="3">
        <f t="shared" si="17"/>
        <v>0.2</v>
      </c>
      <c r="H19" s="3">
        <f t="shared" si="19"/>
        <v>10</v>
      </c>
      <c r="I19" s="3">
        <f t="shared" si="0"/>
        <v>10.199999999999999</v>
      </c>
      <c r="K19" s="4">
        <f t="shared" si="1"/>
        <v>2356</v>
      </c>
      <c r="L19" s="7">
        <f t="shared" si="2"/>
        <v>3.3233943275329039</v>
      </c>
      <c r="M19" s="7">
        <f t="shared" si="3"/>
        <v>21.749769543520891</v>
      </c>
      <c r="Q19" s="2">
        <f t="shared" si="10"/>
        <v>46761</v>
      </c>
      <c r="R19" s="3">
        <f t="shared" si="11"/>
        <v>40</v>
      </c>
      <c r="S19" s="3">
        <f t="shared" si="12"/>
        <v>0.2</v>
      </c>
      <c r="T19" s="3">
        <f t="shared" si="20"/>
        <v>10</v>
      </c>
      <c r="U19" s="3">
        <f t="shared" si="4"/>
        <v>10.199999999999999</v>
      </c>
      <c r="W19" s="4">
        <f t="shared" si="5"/>
        <v>2356</v>
      </c>
      <c r="X19" s="7">
        <f t="shared" si="6"/>
        <v>3.4032804905268845</v>
      </c>
      <c r="Y19" s="7">
        <f t="shared" si="7"/>
        <v>22.272580099114833</v>
      </c>
      <c r="AC19" s="2">
        <v>46577</v>
      </c>
      <c r="AD19" s="3">
        <f t="shared" si="13"/>
        <v>50</v>
      </c>
      <c r="AE19" s="3">
        <f t="shared" si="18"/>
        <v>0.25</v>
      </c>
      <c r="AF19" s="3">
        <f t="shared" si="21"/>
        <v>10</v>
      </c>
      <c r="AG19" s="3">
        <f t="shared" si="8"/>
        <v>10.25</v>
      </c>
      <c r="AI19" s="4">
        <f t="shared" si="14"/>
        <v>2176</v>
      </c>
      <c r="AJ19" s="7" t="e">
        <f t="shared" si="15"/>
        <v>#REF!</v>
      </c>
      <c r="AK19" s="7" t="e">
        <f t="shared" si="16"/>
        <v>#REF!</v>
      </c>
    </row>
    <row r="20" spans="5:37" x14ac:dyDescent="0.2">
      <c r="E20" s="2">
        <v>46943</v>
      </c>
      <c r="F20" s="3">
        <f t="shared" si="9"/>
        <v>30</v>
      </c>
      <c r="G20" s="3">
        <f t="shared" si="17"/>
        <v>0.15</v>
      </c>
      <c r="H20" s="3">
        <f t="shared" si="19"/>
        <v>10</v>
      </c>
      <c r="I20" s="3">
        <f t="shared" si="0"/>
        <v>10.15</v>
      </c>
      <c r="K20" s="4">
        <f t="shared" si="1"/>
        <v>2536</v>
      </c>
      <c r="L20" s="7">
        <f t="shared" si="2"/>
        <v>3.0355627584441462</v>
      </c>
      <c r="M20" s="7">
        <f t="shared" si="3"/>
        <v>21.383853209484318</v>
      </c>
      <c r="Q20" s="2">
        <f t="shared" si="10"/>
        <v>46943</v>
      </c>
      <c r="R20" s="3">
        <f t="shared" si="11"/>
        <v>30</v>
      </c>
      <c r="S20" s="3">
        <f t="shared" si="12"/>
        <v>0.15</v>
      </c>
      <c r="T20" s="3">
        <f t="shared" si="20"/>
        <v>10</v>
      </c>
      <c r="U20" s="3">
        <f t="shared" si="4"/>
        <v>10.15</v>
      </c>
      <c r="W20" s="4">
        <f t="shared" si="5"/>
        <v>2536</v>
      </c>
      <c r="X20" s="7">
        <f t="shared" si="6"/>
        <v>3.114176516242475</v>
      </c>
      <c r="Y20" s="7">
        <f t="shared" si="7"/>
        <v>21.937643458863658</v>
      </c>
      <c r="AC20" s="2">
        <v>46761</v>
      </c>
      <c r="AD20" s="3">
        <f t="shared" si="13"/>
        <v>40</v>
      </c>
      <c r="AE20" s="3">
        <f t="shared" si="18"/>
        <v>0.2</v>
      </c>
      <c r="AF20" s="3">
        <f t="shared" si="21"/>
        <v>10</v>
      </c>
      <c r="AG20" s="3">
        <f t="shared" si="8"/>
        <v>10.199999999999999</v>
      </c>
      <c r="AI20" s="4">
        <f t="shared" si="14"/>
        <v>2356</v>
      </c>
      <c r="AJ20" s="7" t="e">
        <f t="shared" si="15"/>
        <v>#REF!</v>
      </c>
      <c r="AK20" s="7" t="e">
        <f t="shared" si="16"/>
        <v>#REF!</v>
      </c>
    </row>
    <row r="21" spans="5:37" x14ac:dyDescent="0.2">
      <c r="E21" s="2">
        <v>47127</v>
      </c>
      <c r="F21" s="3">
        <f t="shared" si="9"/>
        <v>20</v>
      </c>
      <c r="G21" s="3">
        <f t="shared" si="17"/>
        <v>0.1</v>
      </c>
      <c r="H21" s="3">
        <f t="shared" si="19"/>
        <v>10</v>
      </c>
      <c r="I21" s="3">
        <f t="shared" si="0"/>
        <v>10.1</v>
      </c>
      <c r="K21" s="4">
        <f t="shared" si="1"/>
        <v>2716</v>
      </c>
      <c r="L21" s="7">
        <f t="shared" si="2"/>
        <v>2.7725923392901475</v>
      </c>
      <c r="M21" s="7">
        <f t="shared" si="3"/>
        <v>20.91766887086678</v>
      </c>
      <c r="Q21" s="2">
        <f t="shared" si="10"/>
        <v>47127</v>
      </c>
      <c r="R21" s="3">
        <f t="shared" si="11"/>
        <v>20</v>
      </c>
      <c r="S21" s="3">
        <f t="shared" si="12"/>
        <v>0.1</v>
      </c>
      <c r="T21" s="3">
        <f t="shared" si="20"/>
        <v>10</v>
      </c>
      <c r="U21" s="3">
        <f t="shared" si="4"/>
        <v>10.1</v>
      </c>
      <c r="W21" s="4">
        <f t="shared" si="5"/>
        <v>2716</v>
      </c>
      <c r="X21" s="7">
        <f t="shared" si="6"/>
        <v>2.8495623743194201</v>
      </c>
      <c r="Y21" s="7">
        <f t="shared" si="7"/>
        <v>21.498365024032069</v>
      </c>
      <c r="AC21" s="2">
        <v>46943</v>
      </c>
      <c r="AD21" s="3">
        <f t="shared" si="13"/>
        <v>30</v>
      </c>
      <c r="AE21" s="3">
        <f t="shared" si="18"/>
        <v>0.15</v>
      </c>
      <c r="AF21" s="3">
        <f t="shared" si="21"/>
        <v>10</v>
      </c>
      <c r="AG21" s="3">
        <f t="shared" si="8"/>
        <v>10.15</v>
      </c>
      <c r="AI21" s="4">
        <f t="shared" si="14"/>
        <v>2536</v>
      </c>
      <c r="AJ21" s="7" t="e">
        <f t="shared" si="15"/>
        <v>#REF!</v>
      </c>
      <c r="AK21" s="7" t="e">
        <f t="shared" si="16"/>
        <v>#REF!</v>
      </c>
    </row>
    <row r="22" spans="5:37" x14ac:dyDescent="0.2">
      <c r="E22" s="2">
        <v>47308</v>
      </c>
      <c r="F22" s="3">
        <f t="shared" si="9"/>
        <v>10</v>
      </c>
      <c r="G22" s="3">
        <f t="shared" si="17"/>
        <v>0.05</v>
      </c>
      <c r="H22" s="3">
        <f t="shared" si="19"/>
        <v>10</v>
      </c>
      <c r="I22" s="3">
        <f t="shared" si="0"/>
        <v>10.050000000000001</v>
      </c>
      <c r="K22" s="4">
        <f t="shared" si="1"/>
        <v>2896</v>
      </c>
      <c r="L22" s="7">
        <f t="shared" si="2"/>
        <v>2.5323409517852391</v>
      </c>
      <c r="M22" s="7">
        <f t="shared" si="3"/>
        <v>20.371276101027924</v>
      </c>
      <c r="Q22" s="2">
        <f t="shared" si="10"/>
        <v>47308</v>
      </c>
      <c r="R22" s="3">
        <f t="shared" si="11"/>
        <v>10</v>
      </c>
      <c r="S22" s="3">
        <f t="shared" si="12"/>
        <v>0.05</v>
      </c>
      <c r="T22" s="3">
        <f t="shared" si="20"/>
        <v>10</v>
      </c>
      <c r="U22" s="3">
        <f t="shared" si="4"/>
        <v>10.050000000000001</v>
      </c>
      <c r="W22" s="4">
        <f t="shared" si="5"/>
        <v>2896</v>
      </c>
      <c r="X22" s="7">
        <f t="shared" si="6"/>
        <v>2.6073688124447898</v>
      </c>
      <c r="Y22" s="7">
        <f t="shared" si="7"/>
        <v>20.974833557889198</v>
      </c>
      <c r="AC22" s="2">
        <v>47127</v>
      </c>
      <c r="AD22" s="3">
        <f t="shared" si="13"/>
        <v>20</v>
      </c>
      <c r="AE22" s="3">
        <f t="shared" si="18"/>
        <v>0.1</v>
      </c>
      <c r="AF22" s="3">
        <f t="shared" si="21"/>
        <v>10</v>
      </c>
      <c r="AG22" s="3">
        <f t="shared" si="8"/>
        <v>10.1</v>
      </c>
      <c r="AI22" s="4">
        <f t="shared" si="14"/>
        <v>2716</v>
      </c>
      <c r="AJ22" s="7" t="e">
        <f t="shared" si="15"/>
        <v>#REF!</v>
      </c>
      <c r="AK22" s="7" t="e">
        <f t="shared" si="16"/>
        <v>#REF!</v>
      </c>
    </row>
    <row r="23" spans="5:37" x14ac:dyDescent="0.2">
      <c r="L23" s="7">
        <f>SUM(L6:L22)</f>
        <v>42.436174651659996</v>
      </c>
      <c r="M23" s="7">
        <f>SUM(M6:M22)</f>
        <v>217.3612897270433</v>
      </c>
      <c r="X23" s="7">
        <f>SUM(X6:X22)</f>
        <v>43.233350865001661</v>
      </c>
      <c r="Y23" s="7">
        <f>SUM(Y6:Y22)</f>
        <v>221.92968837093889</v>
      </c>
      <c r="AC23" s="2">
        <v>47308</v>
      </c>
      <c r="AD23" s="3">
        <f t="shared" si="13"/>
        <v>10</v>
      </c>
      <c r="AE23" s="3">
        <f t="shared" si="18"/>
        <v>0.05</v>
      </c>
      <c r="AF23" s="3">
        <f t="shared" si="21"/>
        <v>10</v>
      </c>
      <c r="AG23" s="3">
        <f t="shared" si="8"/>
        <v>10.050000000000001</v>
      </c>
      <c r="AI23" s="4">
        <f t="shared" si="14"/>
        <v>2896</v>
      </c>
      <c r="AJ23" s="7" t="e">
        <f t="shared" si="15"/>
        <v>#REF!</v>
      </c>
      <c r="AK23" s="7" t="e">
        <f t="shared" si="16"/>
        <v>#REF!</v>
      </c>
    </row>
    <row r="24" spans="5:37" ht="15" x14ac:dyDescent="0.25">
      <c r="H24" s="6" t="s">
        <v>5</v>
      </c>
      <c r="I24" s="5">
        <f>XIRR(I5:I22,E5:E22)</f>
        <v>0.18690800070762634</v>
      </c>
      <c r="T24" s="6" t="s">
        <v>5</v>
      </c>
      <c r="U24" s="5">
        <f>XIRR(U5:U22,Q5:Q22)</f>
        <v>0.18260790705680849</v>
      </c>
      <c r="AJ24" s="7" t="e">
        <f>SUM(AJ6:AJ23)</f>
        <v>#REF!</v>
      </c>
      <c r="AK24" s="7" t="e">
        <f>SUM(AK6:AK23)</f>
        <v>#REF!</v>
      </c>
    </row>
    <row r="25" spans="5:37" ht="15" x14ac:dyDescent="0.25">
      <c r="H25" s="6" t="s">
        <v>8</v>
      </c>
      <c r="I25" s="3">
        <f>M25/(1+(I24/2))</f>
        <v>4.6843081466609666</v>
      </c>
      <c r="L25" s="4" t="s">
        <v>7</v>
      </c>
      <c r="M25" s="3">
        <f>M23/L23</f>
        <v>5.1220754818563901</v>
      </c>
      <c r="T25" s="6" t="s">
        <v>8</v>
      </c>
      <c r="U25" s="3">
        <f>Y25/(1+(U24/2))</f>
        <v>4.7038208985776873</v>
      </c>
      <c r="X25" s="4" t="s">
        <v>7</v>
      </c>
      <c r="Y25" s="3">
        <f>Y23/X23</f>
        <v>5.1332983433073611</v>
      </c>
      <c r="AF25" s="6" t="s">
        <v>5</v>
      </c>
      <c r="AG25" s="5" t="e">
        <f>XIRR(AG5:AG23,AC5:AC23)</f>
        <v>#REF!</v>
      </c>
    </row>
    <row r="26" spans="5:37" ht="15" x14ac:dyDescent="0.25">
      <c r="AF26" s="6" t="s">
        <v>8</v>
      </c>
      <c r="AG26" s="3" t="e">
        <f>AK26/(1+(AG25/2))</f>
        <v>#REF!</v>
      </c>
      <c r="AJ26" s="4" t="s">
        <v>7</v>
      </c>
      <c r="AK26" s="3" t="e">
        <f>AK24/AJ24</f>
        <v>#REF!</v>
      </c>
    </row>
  </sheetData>
  <mergeCells count="3">
    <mergeCell ref="E2:M2"/>
    <mergeCell ref="Q2:Y2"/>
    <mergeCell ref="AC2:AK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AK29"/>
  <sheetViews>
    <sheetView showGridLines="0" zoomScale="90" zoomScaleNormal="90" workbookViewId="0">
      <selection activeCell="AE6" sqref="AE6:AE24"/>
    </sheetView>
  </sheetViews>
  <sheetFormatPr baseColWidth="10" defaultRowHeight="14.25" x14ac:dyDescent="0.2"/>
  <cols>
    <col min="1" max="1" width="11.42578125" style="4"/>
    <col min="2" max="2" width="14.7109375" style="4" bestFit="1" customWidth="1"/>
    <col min="3" max="9" width="11.42578125" style="4"/>
    <col min="10" max="10" width="3.140625" style="4" customWidth="1"/>
    <col min="11" max="13" width="11.42578125" style="4"/>
    <col min="14" max="14" width="5.42578125" style="4" customWidth="1"/>
    <col min="15" max="15" width="11.42578125" style="78"/>
    <col min="16" max="16" width="5.7109375" style="4" customWidth="1"/>
    <col min="17" max="21" width="11.42578125" style="4"/>
    <col min="22" max="22" width="3.140625" style="4" customWidth="1"/>
    <col min="23" max="25" width="11.42578125" style="4"/>
    <col min="26" max="26" width="6.5703125" style="4" customWidth="1"/>
    <col min="27" max="27" width="11.42578125" style="78"/>
    <col min="28" max="28" width="7.42578125" style="4" customWidth="1"/>
    <col min="29" max="33" width="11.42578125" style="4"/>
    <col min="34" max="34" width="3.140625" style="4" customWidth="1"/>
    <col min="35" max="16384" width="11.42578125" style="4"/>
  </cols>
  <sheetData>
    <row r="2" spans="2:37" ht="15" x14ac:dyDescent="0.25">
      <c r="E2" s="321" t="s">
        <v>72</v>
      </c>
      <c r="F2" s="321"/>
      <c r="G2" s="321"/>
      <c r="H2" s="321"/>
      <c r="I2" s="321"/>
      <c r="J2" s="321"/>
      <c r="K2" s="321"/>
      <c r="L2" s="321"/>
      <c r="M2" s="321"/>
      <c r="Q2" s="321" t="s">
        <v>73</v>
      </c>
      <c r="R2" s="321"/>
      <c r="S2" s="321"/>
      <c r="T2" s="321"/>
      <c r="U2" s="321"/>
      <c r="V2" s="321"/>
      <c r="W2" s="321"/>
      <c r="X2" s="321"/>
      <c r="Y2" s="321"/>
      <c r="AC2" s="321" t="s">
        <v>73</v>
      </c>
      <c r="AD2" s="321"/>
      <c r="AE2" s="321"/>
      <c r="AF2" s="321"/>
      <c r="AG2" s="321"/>
      <c r="AH2" s="321"/>
      <c r="AI2" s="321"/>
      <c r="AJ2" s="321"/>
      <c r="AK2" s="321"/>
    </row>
    <row r="4" spans="2:37" ht="15" x14ac:dyDescent="0.25"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  <c r="K4" s="1" t="s">
        <v>6</v>
      </c>
      <c r="L4" s="1" t="s">
        <v>10</v>
      </c>
      <c r="M4" s="1" t="s">
        <v>11</v>
      </c>
      <c r="Q4" s="53" t="s">
        <v>0</v>
      </c>
      <c r="R4" s="53" t="s">
        <v>1</v>
      </c>
      <c r="S4" s="53" t="s">
        <v>2</v>
      </c>
      <c r="T4" s="53" t="s">
        <v>3</v>
      </c>
      <c r="U4" s="53" t="s">
        <v>4</v>
      </c>
      <c r="W4" s="53" t="s">
        <v>6</v>
      </c>
      <c r="X4" s="53" t="s">
        <v>10</v>
      </c>
      <c r="Y4" s="53" t="s">
        <v>11</v>
      </c>
      <c r="AC4" s="53" t="s">
        <v>0</v>
      </c>
      <c r="AD4" s="53" t="s">
        <v>1</v>
      </c>
      <c r="AE4" s="53" t="s">
        <v>2</v>
      </c>
      <c r="AF4" s="53" t="s">
        <v>3</v>
      </c>
      <c r="AG4" s="53" t="s">
        <v>4</v>
      </c>
      <c r="AI4" s="53" t="s">
        <v>6</v>
      </c>
      <c r="AJ4" s="53" t="s">
        <v>10</v>
      </c>
      <c r="AK4" s="53" t="s">
        <v>11</v>
      </c>
    </row>
    <row r="5" spans="2:37" x14ac:dyDescent="0.2">
      <c r="B5" s="82" t="s">
        <v>36</v>
      </c>
      <c r="C5" s="83">
        <v>44078</v>
      </c>
      <c r="E5" s="2">
        <f>+Monitor!C2</f>
        <v>44370</v>
      </c>
      <c r="F5" s="3">
        <v>100</v>
      </c>
      <c r="I5" s="3">
        <f>-CCL!L31</f>
        <v>-39.090347222222221</v>
      </c>
      <c r="K5" s="4">
        <f>DAYS360(C5,E6)</f>
        <v>305</v>
      </c>
      <c r="Q5" s="2">
        <f>+E5</f>
        <v>44370</v>
      </c>
      <c r="R5" s="3">
        <v>100</v>
      </c>
      <c r="U5" s="3">
        <f>-Monitor!D15</f>
        <v>-39.71</v>
      </c>
      <c r="AC5" s="2">
        <f>+Q5</f>
        <v>44370</v>
      </c>
      <c r="AD5" s="3">
        <v>100</v>
      </c>
      <c r="AG5" s="3" t="e">
        <f>-CCL!K13</f>
        <v>#REF!</v>
      </c>
    </row>
    <row r="6" spans="2:37" x14ac:dyDescent="0.2">
      <c r="B6" s="84" t="s">
        <v>37</v>
      </c>
      <c r="C6" s="85">
        <v>1.25E-3</v>
      </c>
      <c r="E6" s="2">
        <v>44386</v>
      </c>
      <c r="F6" s="3">
        <v>100</v>
      </c>
      <c r="G6" s="3">
        <f>(C6*F5)/360*K5</f>
        <v>0.10590277777777778</v>
      </c>
      <c r="I6" s="3">
        <f t="shared" ref="I6:I24" si="0">SUM(G6:H6)</f>
        <v>0.10590277777777778</v>
      </c>
      <c r="K6" s="4">
        <f t="shared" ref="K6:K24" si="1">DAYS360($E$5,E6)</f>
        <v>16</v>
      </c>
      <c r="L6" s="7">
        <f t="shared" ref="L6:L24" si="2">I6/(1+$I$26)^(K6/360)</f>
        <v>0.10510107813802376</v>
      </c>
      <c r="M6" s="7">
        <f t="shared" ref="M6:M24" si="3">L6*(K6/360)</f>
        <v>4.6711590283566116E-3</v>
      </c>
      <c r="Q6" s="2">
        <f>+E6</f>
        <v>44386</v>
      </c>
      <c r="R6" s="3">
        <f>+F6</f>
        <v>100</v>
      </c>
      <c r="S6" s="3">
        <f>+G6</f>
        <v>0.10590277777777778</v>
      </c>
      <c r="U6" s="3">
        <f t="shared" ref="U6:U24" si="4">SUM(S6:T6)</f>
        <v>0.10590277777777778</v>
      </c>
      <c r="W6" s="4">
        <f t="shared" ref="W6:W24" si="5">DAYS360($E$5,Q6)</f>
        <v>16</v>
      </c>
      <c r="X6" s="7">
        <f t="shared" ref="X6:X24" si="6">U6/(1+$U$26)^(W6/360)</f>
        <v>0.10511448023025941</v>
      </c>
      <c r="Y6" s="7">
        <f t="shared" ref="Y6:Y24" si="7">X6*(W6/360)</f>
        <v>4.6717546769004178E-3</v>
      </c>
      <c r="AC6" s="2">
        <f>+E6</f>
        <v>44386</v>
      </c>
      <c r="AD6" s="3">
        <f>+F6</f>
        <v>100</v>
      </c>
      <c r="AE6" s="3">
        <f>+G6</f>
        <v>0.10590277777777778</v>
      </c>
      <c r="AG6" s="3">
        <f t="shared" ref="AG6:AG24" si="8">SUM(AE6:AF6)</f>
        <v>0.10590277777777778</v>
      </c>
      <c r="AI6" s="4">
        <f t="shared" ref="AI6:AI24" si="9">DAYS360($E$5,AC6)</f>
        <v>16</v>
      </c>
      <c r="AJ6" s="7" t="e">
        <f t="shared" ref="AJ6:AJ24" si="10">AG6/(1+$AG$26)^(AI6/360)</f>
        <v>#REF!</v>
      </c>
      <c r="AK6" s="7" t="e">
        <f t="shared" ref="AK6:AK24" si="11">AJ6*(AI6/360)</f>
        <v>#REF!</v>
      </c>
    </row>
    <row r="7" spans="2:37" x14ac:dyDescent="0.2">
      <c r="B7" s="84" t="s">
        <v>38</v>
      </c>
      <c r="C7" s="86">
        <f>DAYS360(C5,E5)</f>
        <v>289</v>
      </c>
      <c r="E7" s="2">
        <v>44570</v>
      </c>
      <c r="F7" s="3">
        <v>100</v>
      </c>
      <c r="G7" s="3">
        <f>0.005*F7/360*180</f>
        <v>0.25</v>
      </c>
      <c r="I7" s="3">
        <f t="shared" si="0"/>
        <v>0.25</v>
      </c>
      <c r="K7" s="4">
        <f t="shared" si="1"/>
        <v>196</v>
      </c>
      <c r="L7" s="7">
        <f t="shared" si="2"/>
        <v>0.2277785361532611</v>
      </c>
      <c r="M7" s="7">
        <f t="shared" si="3"/>
        <v>0.12401275857233103</v>
      </c>
      <c r="Q7" s="2">
        <f t="shared" ref="Q7:Q24" si="12">+E7</f>
        <v>44570</v>
      </c>
      <c r="R7" s="3">
        <f t="shared" ref="R7:R24" si="13">+F7</f>
        <v>100</v>
      </c>
      <c r="S7" s="3">
        <f t="shared" ref="S7:S24" si="14">+G7</f>
        <v>0.25</v>
      </c>
      <c r="U7" s="3">
        <f t="shared" si="4"/>
        <v>0.25</v>
      </c>
      <c r="W7" s="4">
        <f t="shared" si="5"/>
        <v>196</v>
      </c>
      <c r="X7" s="7">
        <f t="shared" si="6"/>
        <v>0.22813459833768343</v>
      </c>
      <c r="Y7" s="7">
        <f t="shared" si="7"/>
        <v>0.12420661465051652</v>
      </c>
      <c r="AC7" s="2">
        <f t="shared" ref="AC7:AC24" si="15">+E7</f>
        <v>44570</v>
      </c>
      <c r="AD7" s="3">
        <f t="shared" ref="AD7:AD24" si="16">+F7</f>
        <v>100</v>
      </c>
      <c r="AE7" s="3">
        <f t="shared" ref="AE7:AE24" si="17">+G7</f>
        <v>0.25</v>
      </c>
      <c r="AG7" s="3">
        <f t="shared" si="8"/>
        <v>0.25</v>
      </c>
      <c r="AI7" s="4">
        <f t="shared" si="9"/>
        <v>196</v>
      </c>
      <c r="AJ7" s="7" t="e">
        <f t="shared" si="10"/>
        <v>#REF!</v>
      </c>
      <c r="AK7" s="7" t="e">
        <f t="shared" si="11"/>
        <v>#REF!</v>
      </c>
    </row>
    <row r="8" spans="2:37" x14ac:dyDescent="0.2">
      <c r="B8" s="84" t="s">
        <v>39</v>
      </c>
      <c r="C8" s="87">
        <f>(C6*100)/360*C7</f>
        <v>0.10034722222222223</v>
      </c>
      <c r="E8" s="2">
        <v>44751</v>
      </c>
      <c r="F8" s="3">
        <v>100</v>
      </c>
      <c r="G8" s="3">
        <f>0.005*F8/360*180</f>
        <v>0.25</v>
      </c>
      <c r="H8" s="3"/>
      <c r="I8" s="3">
        <f t="shared" si="0"/>
        <v>0.25</v>
      </c>
      <c r="K8" s="4">
        <f t="shared" si="1"/>
        <v>376</v>
      </c>
      <c r="L8" s="7">
        <f t="shared" si="2"/>
        <v>0.20911527962259024</v>
      </c>
      <c r="M8" s="7">
        <f t="shared" si="3"/>
        <v>0.21840929205026094</v>
      </c>
      <c r="Q8" s="2">
        <f t="shared" si="12"/>
        <v>44751</v>
      </c>
      <c r="R8" s="3">
        <f t="shared" si="13"/>
        <v>100</v>
      </c>
      <c r="S8" s="3">
        <f t="shared" si="14"/>
        <v>0.25</v>
      </c>
      <c r="T8" s="3"/>
      <c r="U8" s="3">
        <f t="shared" si="4"/>
        <v>0.25</v>
      </c>
      <c r="W8" s="4">
        <f t="shared" si="5"/>
        <v>376</v>
      </c>
      <c r="X8" s="7">
        <f t="shared" si="6"/>
        <v>0.20974282076431944</v>
      </c>
      <c r="Y8" s="7">
        <f t="shared" si="7"/>
        <v>0.21906472390940032</v>
      </c>
      <c r="AC8" s="2">
        <f t="shared" si="15"/>
        <v>44751</v>
      </c>
      <c r="AD8" s="3">
        <f t="shared" si="16"/>
        <v>100</v>
      </c>
      <c r="AE8" s="3">
        <f t="shared" si="17"/>
        <v>0.25</v>
      </c>
      <c r="AF8" s="3"/>
      <c r="AG8" s="3">
        <f t="shared" si="8"/>
        <v>0.25</v>
      </c>
      <c r="AI8" s="4">
        <f t="shared" si="9"/>
        <v>376</v>
      </c>
      <c r="AJ8" s="7" t="e">
        <f t="shared" si="10"/>
        <v>#REF!</v>
      </c>
      <c r="AK8" s="7" t="e">
        <f t="shared" si="11"/>
        <v>#REF!</v>
      </c>
    </row>
    <row r="9" spans="2:37" x14ac:dyDescent="0.2">
      <c r="B9" s="84" t="s">
        <v>35</v>
      </c>
      <c r="C9" s="86">
        <v>100</v>
      </c>
      <c r="E9" s="2">
        <v>44935</v>
      </c>
      <c r="F9" s="3">
        <v>100</v>
      </c>
      <c r="G9" s="3">
        <f>0.005*F9/360*180</f>
        <v>0.25</v>
      </c>
      <c r="H9" s="3"/>
      <c r="I9" s="3">
        <f t="shared" si="0"/>
        <v>0.25</v>
      </c>
      <c r="K9" s="4">
        <f t="shared" si="1"/>
        <v>556</v>
      </c>
      <c r="L9" s="7">
        <f t="shared" si="2"/>
        <v>0.19198121521955369</v>
      </c>
      <c r="M9" s="7">
        <f t="shared" si="3"/>
        <v>0.29650432128353293</v>
      </c>
      <c r="Q9" s="2">
        <f t="shared" si="12"/>
        <v>44935</v>
      </c>
      <c r="R9" s="3">
        <f t="shared" si="13"/>
        <v>100</v>
      </c>
      <c r="S9" s="3">
        <f t="shared" si="14"/>
        <v>0.25</v>
      </c>
      <c r="T9" s="3"/>
      <c r="U9" s="3">
        <f t="shared" si="4"/>
        <v>0.25</v>
      </c>
      <c r="W9" s="4">
        <f t="shared" si="5"/>
        <v>556</v>
      </c>
      <c r="X9" s="7">
        <f t="shared" si="6"/>
        <v>0.19283375333125347</v>
      </c>
      <c r="Y9" s="7">
        <f t="shared" si="7"/>
        <v>0.2978210190338248</v>
      </c>
      <c r="AC9" s="2">
        <f t="shared" si="15"/>
        <v>44935</v>
      </c>
      <c r="AD9" s="3">
        <f t="shared" si="16"/>
        <v>100</v>
      </c>
      <c r="AE9" s="3">
        <f t="shared" si="17"/>
        <v>0.25</v>
      </c>
      <c r="AF9" s="3"/>
      <c r="AG9" s="3">
        <f t="shared" si="8"/>
        <v>0.25</v>
      </c>
      <c r="AI9" s="4">
        <f t="shared" si="9"/>
        <v>556</v>
      </c>
      <c r="AJ9" s="7" t="e">
        <f t="shared" si="10"/>
        <v>#REF!</v>
      </c>
      <c r="AK9" s="7" t="e">
        <f t="shared" si="11"/>
        <v>#REF!</v>
      </c>
    </row>
    <row r="10" spans="2:37" x14ac:dyDescent="0.2">
      <c r="B10" s="88" t="s">
        <v>23</v>
      </c>
      <c r="C10" s="89">
        <f>+C9+C8</f>
        <v>100.10034722222223</v>
      </c>
      <c r="E10" s="2">
        <v>45116</v>
      </c>
      <c r="F10" s="3">
        <v>100</v>
      </c>
      <c r="G10" s="3">
        <f>0.005*F10/360*180</f>
        <v>0.25</v>
      </c>
      <c r="H10" s="3"/>
      <c r="I10" s="3">
        <f t="shared" si="0"/>
        <v>0.25</v>
      </c>
      <c r="K10" s="4">
        <f t="shared" si="1"/>
        <v>736</v>
      </c>
      <c r="L10" s="7">
        <f t="shared" si="2"/>
        <v>0.17625104709562811</v>
      </c>
      <c r="M10" s="7">
        <f t="shared" si="3"/>
        <v>0.36033547406217298</v>
      </c>
      <c r="Q10" s="2">
        <f t="shared" si="12"/>
        <v>45116</v>
      </c>
      <c r="R10" s="3">
        <f t="shared" si="13"/>
        <v>100</v>
      </c>
      <c r="S10" s="3">
        <f t="shared" si="14"/>
        <v>0.25</v>
      </c>
      <c r="T10" s="3"/>
      <c r="U10" s="3">
        <f t="shared" si="4"/>
        <v>0.25</v>
      </c>
      <c r="W10" s="4">
        <f t="shared" si="5"/>
        <v>736</v>
      </c>
      <c r="X10" s="7">
        <f t="shared" si="6"/>
        <v>0.17728786276600147</v>
      </c>
      <c r="Y10" s="7">
        <f t="shared" si="7"/>
        <v>0.36245518609938077</v>
      </c>
      <c r="AC10" s="2">
        <f t="shared" si="15"/>
        <v>45116</v>
      </c>
      <c r="AD10" s="3">
        <f t="shared" si="16"/>
        <v>100</v>
      </c>
      <c r="AE10" s="3">
        <f t="shared" si="17"/>
        <v>0.25</v>
      </c>
      <c r="AF10" s="3"/>
      <c r="AG10" s="3">
        <f t="shared" si="8"/>
        <v>0.25</v>
      </c>
      <c r="AI10" s="4">
        <f t="shared" si="9"/>
        <v>736</v>
      </c>
      <c r="AJ10" s="7" t="e">
        <f t="shared" si="10"/>
        <v>#REF!</v>
      </c>
      <c r="AK10" s="7" t="e">
        <f t="shared" si="11"/>
        <v>#REF!</v>
      </c>
    </row>
    <row r="11" spans="2:37" x14ac:dyDescent="0.2">
      <c r="E11" s="2">
        <v>45300</v>
      </c>
      <c r="F11" s="3">
        <v>100</v>
      </c>
      <c r="G11" s="3">
        <f>0.0075*(180/360)*F11</f>
        <v>0.375</v>
      </c>
      <c r="H11" s="3"/>
      <c r="I11" s="3">
        <f t="shared" si="0"/>
        <v>0.375</v>
      </c>
      <c r="K11" s="4">
        <f t="shared" si="1"/>
        <v>916</v>
      </c>
      <c r="L11" s="7">
        <f t="shared" si="2"/>
        <v>0.24271461845977529</v>
      </c>
      <c r="M11" s="7">
        <f t="shared" si="3"/>
        <v>0.61757386252542823</v>
      </c>
      <c r="Q11" s="2">
        <f t="shared" si="12"/>
        <v>45300</v>
      </c>
      <c r="R11" s="3">
        <f t="shared" si="13"/>
        <v>100</v>
      </c>
      <c r="S11" s="3">
        <f t="shared" si="14"/>
        <v>0.375</v>
      </c>
      <c r="T11" s="3"/>
      <c r="U11" s="3">
        <f t="shared" si="4"/>
        <v>0.375</v>
      </c>
      <c r="W11" s="4">
        <f t="shared" si="5"/>
        <v>916</v>
      </c>
      <c r="X11" s="7">
        <f t="shared" si="6"/>
        <v>0.24449287851186371</v>
      </c>
      <c r="Y11" s="7">
        <f t="shared" si="7"/>
        <v>0.62209854643574203</v>
      </c>
      <c r="AC11" s="2">
        <f t="shared" si="15"/>
        <v>45300</v>
      </c>
      <c r="AD11" s="3">
        <f t="shared" si="16"/>
        <v>100</v>
      </c>
      <c r="AE11" s="3">
        <f t="shared" si="17"/>
        <v>0.375</v>
      </c>
      <c r="AF11" s="3"/>
      <c r="AG11" s="3">
        <f t="shared" si="8"/>
        <v>0.375</v>
      </c>
      <c r="AI11" s="4">
        <f t="shared" si="9"/>
        <v>916</v>
      </c>
      <c r="AJ11" s="7" t="e">
        <f t="shared" si="10"/>
        <v>#REF!</v>
      </c>
      <c r="AK11" s="7" t="e">
        <f t="shared" si="11"/>
        <v>#REF!</v>
      </c>
    </row>
    <row r="12" spans="2:37" x14ac:dyDescent="0.2">
      <c r="E12" s="2">
        <v>45482</v>
      </c>
      <c r="F12" s="3">
        <v>100</v>
      </c>
      <c r="G12" s="3">
        <f t="shared" ref="G12:G18" si="18">0.0075*(180/360)*F12</f>
        <v>0.375</v>
      </c>
      <c r="H12" s="3">
        <v>4</v>
      </c>
      <c r="I12" s="3">
        <f t="shared" si="0"/>
        <v>4.375</v>
      </c>
      <c r="K12" s="4">
        <f t="shared" si="1"/>
        <v>1096</v>
      </c>
      <c r="L12" s="7">
        <f t="shared" si="2"/>
        <v>2.5996548603310012</v>
      </c>
      <c r="M12" s="7">
        <f t="shared" si="3"/>
        <v>7.914504797007714</v>
      </c>
      <c r="P12" s="2"/>
      <c r="Q12" s="2">
        <f t="shared" si="12"/>
        <v>45482</v>
      </c>
      <c r="R12" s="3">
        <f t="shared" si="13"/>
        <v>100</v>
      </c>
      <c r="S12" s="3">
        <f t="shared" si="14"/>
        <v>0.375</v>
      </c>
      <c r="T12" s="3">
        <f>+H12</f>
        <v>4</v>
      </c>
      <c r="U12" s="3">
        <f t="shared" si="4"/>
        <v>4.375</v>
      </c>
      <c r="W12" s="4">
        <f t="shared" si="5"/>
        <v>1096</v>
      </c>
      <c r="X12" s="7">
        <f t="shared" si="6"/>
        <v>2.6224604874102115</v>
      </c>
      <c r="Y12" s="7">
        <f t="shared" si="7"/>
        <v>7.9839352616710881</v>
      </c>
      <c r="AC12" s="2">
        <f t="shared" si="15"/>
        <v>45482</v>
      </c>
      <c r="AD12" s="3">
        <f t="shared" si="16"/>
        <v>100</v>
      </c>
      <c r="AE12" s="3">
        <f t="shared" si="17"/>
        <v>0.375</v>
      </c>
      <c r="AF12" s="3">
        <v>4</v>
      </c>
      <c r="AG12" s="3">
        <f t="shared" si="8"/>
        <v>4.375</v>
      </c>
      <c r="AI12" s="4">
        <f t="shared" si="9"/>
        <v>1096</v>
      </c>
      <c r="AJ12" s="7" t="e">
        <f t="shared" si="10"/>
        <v>#REF!</v>
      </c>
      <c r="AK12" s="7" t="e">
        <f t="shared" si="11"/>
        <v>#REF!</v>
      </c>
    </row>
    <row r="13" spans="2:37" x14ac:dyDescent="0.2">
      <c r="E13" s="2">
        <v>45666</v>
      </c>
      <c r="F13" s="3">
        <f t="shared" ref="F13:F24" si="19">F12-H12</f>
        <v>96</v>
      </c>
      <c r="G13" s="3">
        <f t="shared" si="18"/>
        <v>0.36</v>
      </c>
      <c r="H13" s="3">
        <v>8</v>
      </c>
      <c r="I13" s="3">
        <f t="shared" si="0"/>
        <v>8.36</v>
      </c>
      <c r="K13" s="4">
        <f t="shared" si="1"/>
        <v>1276</v>
      </c>
      <c r="L13" s="7">
        <f t="shared" si="2"/>
        <v>4.5605464427172171</v>
      </c>
      <c r="M13" s="7">
        <f t="shared" si="3"/>
        <v>16.164603502519913</v>
      </c>
      <c r="P13" s="2"/>
      <c r="Q13" s="2">
        <f t="shared" si="12"/>
        <v>45666</v>
      </c>
      <c r="R13" s="3">
        <f t="shared" si="13"/>
        <v>96</v>
      </c>
      <c r="S13" s="3">
        <f t="shared" si="14"/>
        <v>0.36</v>
      </c>
      <c r="T13" s="3">
        <f t="shared" ref="T13:T24" si="20">+H13</f>
        <v>8</v>
      </c>
      <c r="U13" s="3">
        <f t="shared" si="4"/>
        <v>8.36</v>
      </c>
      <c r="W13" s="4">
        <f t="shared" si="5"/>
        <v>1276</v>
      </c>
      <c r="X13" s="7">
        <f t="shared" si="6"/>
        <v>4.6071581820560406</v>
      </c>
      <c r="Y13" s="7">
        <f t="shared" si="7"/>
        <v>16.329816223065297</v>
      </c>
      <c r="AC13" s="2">
        <f t="shared" si="15"/>
        <v>45666</v>
      </c>
      <c r="AD13" s="3">
        <f t="shared" si="16"/>
        <v>96</v>
      </c>
      <c r="AE13" s="3">
        <f t="shared" si="17"/>
        <v>0.36</v>
      </c>
      <c r="AF13" s="3">
        <v>8</v>
      </c>
      <c r="AG13" s="3">
        <f t="shared" si="8"/>
        <v>8.36</v>
      </c>
      <c r="AI13" s="4">
        <f t="shared" si="9"/>
        <v>1276</v>
      </c>
      <c r="AJ13" s="7" t="e">
        <f t="shared" si="10"/>
        <v>#REF!</v>
      </c>
      <c r="AK13" s="7" t="e">
        <f t="shared" si="11"/>
        <v>#REF!</v>
      </c>
    </row>
    <row r="14" spans="2:37" x14ac:dyDescent="0.2">
      <c r="E14" s="2">
        <v>45847</v>
      </c>
      <c r="F14" s="3">
        <f t="shared" si="19"/>
        <v>88</v>
      </c>
      <c r="G14" s="3">
        <f t="shared" si="18"/>
        <v>0.32999999999999996</v>
      </c>
      <c r="H14" s="3">
        <f>+H13</f>
        <v>8</v>
      </c>
      <c r="I14" s="3">
        <f t="shared" si="0"/>
        <v>8.33</v>
      </c>
      <c r="K14" s="4">
        <f t="shared" si="1"/>
        <v>1456</v>
      </c>
      <c r="L14" s="7">
        <f t="shared" si="2"/>
        <v>4.1718489555544513</v>
      </c>
      <c r="M14" s="7">
        <f t="shared" si="3"/>
        <v>16.872811331353557</v>
      </c>
      <c r="P14" s="2"/>
      <c r="Q14" s="2">
        <f t="shared" si="12"/>
        <v>45847</v>
      </c>
      <c r="R14" s="3">
        <f t="shared" si="13"/>
        <v>88</v>
      </c>
      <c r="S14" s="3">
        <f t="shared" si="14"/>
        <v>0.32999999999999996</v>
      </c>
      <c r="T14" s="3">
        <f t="shared" si="20"/>
        <v>8</v>
      </c>
      <c r="U14" s="3">
        <f t="shared" si="4"/>
        <v>8.33</v>
      </c>
      <c r="W14" s="4">
        <f t="shared" si="5"/>
        <v>1456</v>
      </c>
      <c r="X14" s="7">
        <f t="shared" si="6"/>
        <v>4.2205378326491818</v>
      </c>
      <c r="Y14" s="7">
        <f t="shared" si="7"/>
        <v>17.069730789825581</v>
      </c>
      <c r="AC14" s="2">
        <f t="shared" si="15"/>
        <v>45847</v>
      </c>
      <c r="AD14" s="3">
        <f t="shared" si="16"/>
        <v>88</v>
      </c>
      <c r="AE14" s="3">
        <f t="shared" si="17"/>
        <v>0.32999999999999996</v>
      </c>
      <c r="AF14" s="3">
        <f>+AF13</f>
        <v>8</v>
      </c>
      <c r="AG14" s="3">
        <f t="shared" si="8"/>
        <v>8.33</v>
      </c>
      <c r="AI14" s="4">
        <f t="shared" si="9"/>
        <v>1456</v>
      </c>
      <c r="AJ14" s="7" t="e">
        <f t="shared" si="10"/>
        <v>#REF!</v>
      </c>
      <c r="AK14" s="7" t="e">
        <f t="shared" si="11"/>
        <v>#REF!</v>
      </c>
    </row>
    <row r="15" spans="2:37" x14ac:dyDescent="0.2">
      <c r="E15" s="2">
        <v>46031</v>
      </c>
      <c r="F15" s="3">
        <f t="shared" si="19"/>
        <v>80</v>
      </c>
      <c r="G15" s="3">
        <f t="shared" si="18"/>
        <v>0.3</v>
      </c>
      <c r="H15" s="3">
        <f t="shared" ref="H15:H24" si="21">+H14</f>
        <v>8</v>
      </c>
      <c r="I15" s="3">
        <f t="shared" si="0"/>
        <v>8.3000000000000007</v>
      </c>
      <c r="K15" s="4">
        <f t="shared" si="1"/>
        <v>1636</v>
      </c>
      <c r="L15" s="7">
        <f t="shared" si="2"/>
        <v>3.8162308368028874</v>
      </c>
      <c r="M15" s="7">
        <f t="shared" si="3"/>
        <v>17.342649025026454</v>
      </c>
      <c r="P15" s="2"/>
      <c r="Q15" s="2">
        <f t="shared" si="12"/>
        <v>46031</v>
      </c>
      <c r="R15" s="3">
        <f t="shared" si="13"/>
        <v>80</v>
      </c>
      <c r="S15" s="3">
        <f t="shared" si="14"/>
        <v>0.3</v>
      </c>
      <c r="T15" s="3">
        <f t="shared" si="20"/>
        <v>8</v>
      </c>
      <c r="U15" s="3">
        <f t="shared" si="4"/>
        <v>8.3000000000000007</v>
      </c>
      <c r="W15" s="4">
        <f t="shared" si="5"/>
        <v>1636</v>
      </c>
      <c r="X15" s="7">
        <f t="shared" si="6"/>
        <v>3.8663114771503575</v>
      </c>
      <c r="Y15" s="7">
        <f t="shared" si="7"/>
        <v>17.570237712827733</v>
      </c>
      <c r="AC15" s="2">
        <f t="shared" si="15"/>
        <v>46031</v>
      </c>
      <c r="AD15" s="3">
        <f t="shared" si="16"/>
        <v>80</v>
      </c>
      <c r="AE15" s="3">
        <f t="shared" si="17"/>
        <v>0.3</v>
      </c>
      <c r="AF15" s="3">
        <f t="shared" ref="AF15:AF24" si="22">+AF14</f>
        <v>8</v>
      </c>
      <c r="AG15" s="3">
        <f t="shared" si="8"/>
        <v>8.3000000000000007</v>
      </c>
      <c r="AI15" s="4">
        <f t="shared" si="9"/>
        <v>1636</v>
      </c>
      <c r="AJ15" s="7" t="e">
        <f t="shared" si="10"/>
        <v>#REF!</v>
      </c>
      <c r="AK15" s="7" t="e">
        <f t="shared" si="11"/>
        <v>#REF!</v>
      </c>
    </row>
    <row r="16" spans="2:37" x14ac:dyDescent="0.2">
      <c r="E16" s="2">
        <v>46212</v>
      </c>
      <c r="F16" s="3">
        <f t="shared" si="19"/>
        <v>72</v>
      </c>
      <c r="G16" s="3">
        <f t="shared" si="18"/>
        <v>0.27</v>
      </c>
      <c r="H16" s="3">
        <f t="shared" si="21"/>
        <v>8</v>
      </c>
      <c r="I16" s="3">
        <f t="shared" si="0"/>
        <v>8.27</v>
      </c>
      <c r="K16" s="4">
        <f t="shared" si="1"/>
        <v>1816</v>
      </c>
      <c r="L16" s="7">
        <f t="shared" si="2"/>
        <v>3.49088082798982</v>
      </c>
      <c r="M16" s="7">
        <f t="shared" si="3"/>
        <v>17.609554398970868</v>
      </c>
      <c r="P16" s="2"/>
      <c r="Q16" s="2">
        <f t="shared" si="12"/>
        <v>46212</v>
      </c>
      <c r="R16" s="3">
        <f t="shared" si="13"/>
        <v>72</v>
      </c>
      <c r="S16" s="3">
        <f t="shared" si="14"/>
        <v>0.27</v>
      </c>
      <c r="T16" s="3">
        <f t="shared" si="20"/>
        <v>8</v>
      </c>
      <c r="U16" s="3">
        <f t="shared" si="4"/>
        <v>8.27</v>
      </c>
      <c r="W16" s="4">
        <f t="shared" si="5"/>
        <v>1816</v>
      </c>
      <c r="X16" s="7">
        <f t="shared" si="6"/>
        <v>3.5417687842317762</v>
      </c>
      <c r="Y16" s="7">
        <f t="shared" si="7"/>
        <v>17.866255867124739</v>
      </c>
      <c r="AC16" s="2">
        <f t="shared" si="15"/>
        <v>46212</v>
      </c>
      <c r="AD16" s="3">
        <f t="shared" si="16"/>
        <v>72</v>
      </c>
      <c r="AE16" s="3">
        <f t="shared" si="17"/>
        <v>0.27</v>
      </c>
      <c r="AF16" s="3">
        <f t="shared" si="22"/>
        <v>8</v>
      </c>
      <c r="AG16" s="3">
        <f t="shared" si="8"/>
        <v>8.27</v>
      </c>
      <c r="AI16" s="4">
        <f t="shared" si="9"/>
        <v>1816</v>
      </c>
      <c r="AJ16" s="7" t="e">
        <f t="shared" si="10"/>
        <v>#REF!</v>
      </c>
      <c r="AK16" s="7" t="e">
        <f t="shared" si="11"/>
        <v>#REF!</v>
      </c>
    </row>
    <row r="17" spans="5:37" x14ac:dyDescent="0.2">
      <c r="E17" s="2">
        <v>46396</v>
      </c>
      <c r="F17" s="3">
        <f t="shared" si="19"/>
        <v>64</v>
      </c>
      <c r="G17" s="3">
        <f t="shared" si="18"/>
        <v>0.24</v>
      </c>
      <c r="H17" s="3">
        <f t="shared" si="21"/>
        <v>8</v>
      </c>
      <c r="I17" s="3">
        <f t="shared" si="0"/>
        <v>8.24</v>
      </c>
      <c r="K17" s="4">
        <f t="shared" si="1"/>
        <v>1996</v>
      </c>
      <c r="L17" s="7">
        <f t="shared" si="2"/>
        <v>3.1932262785783787</v>
      </c>
      <c r="M17" s="7">
        <f t="shared" si="3"/>
        <v>17.7046657001179</v>
      </c>
      <c r="P17" s="2"/>
      <c r="Q17" s="2">
        <f t="shared" si="12"/>
        <v>46396</v>
      </c>
      <c r="R17" s="3">
        <f t="shared" si="13"/>
        <v>64</v>
      </c>
      <c r="S17" s="3">
        <f t="shared" si="14"/>
        <v>0.24</v>
      </c>
      <c r="T17" s="3">
        <f t="shared" si="20"/>
        <v>8</v>
      </c>
      <c r="U17" s="3">
        <f t="shared" si="4"/>
        <v>8.24</v>
      </c>
      <c r="W17" s="4">
        <f t="shared" si="5"/>
        <v>1996</v>
      </c>
      <c r="X17" s="7">
        <f t="shared" si="6"/>
        <v>3.2444258885159503</v>
      </c>
      <c r="Y17" s="7">
        <f t="shared" si="7"/>
        <v>17.988539092993989</v>
      </c>
      <c r="AC17" s="2">
        <f t="shared" si="15"/>
        <v>46396</v>
      </c>
      <c r="AD17" s="3">
        <f t="shared" si="16"/>
        <v>64</v>
      </c>
      <c r="AE17" s="3">
        <f t="shared" si="17"/>
        <v>0.24</v>
      </c>
      <c r="AF17" s="3">
        <f t="shared" si="22"/>
        <v>8</v>
      </c>
      <c r="AG17" s="3">
        <f t="shared" si="8"/>
        <v>8.24</v>
      </c>
      <c r="AI17" s="4">
        <f t="shared" si="9"/>
        <v>1996</v>
      </c>
      <c r="AJ17" s="7" t="e">
        <f t="shared" si="10"/>
        <v>#REF!</v>
      </c>
      <c r="AK17" s="7" t="e">
        <f t="shared" si="11"/>
        <v>#REF!</v>
      </c>
    </row>
    <row r="18" spans="5:37" x14ac:dyDescent="0.2">
      <c r="E18" s="2">
        <v>46577</v>
      </c>
      <c r="F18" s="3">
        <f t="shared" si="19"/>
        <v>56</v>
      </c>
      <c r="G18" s="3">
        <f t="shared" si="18"/>
        <v>0.21</v>
      </c>
      <c r="H18" s="3">
        <f t="shared" si="21"/>
        <v>8</v>
      </c>
      <c r="I18" s="3">
        <f t="shared" si="0"/>
        <v>8.2100000000000009</v>
      </c>
      <c r="K18" s="4">
        <f t="shared" si="1"/>
        <v>2176</v>
      </c>
      <c r="L18" s="7">
        <f t="shared" si="2"/>
        <v>2.9209129182147882</v>
      </c>
      <c r="M18" s="7">
        <f t="shared" si="3"/>
        <v>17.655295861209385</v>
      </c>
      <c r="P18" s="2"/>
      <c r="Q18" s="2">
        <f t="shared" si="12"/>
        <v>46577</v>
      </c>
      <c r="R18" s="3">
        <f t="shared" si="13"/>
        <v>56</v>
      </c>
      <c r="S18" s="3">
        <f t="shared" si="14"/>
        <v>0.21</v>
      </c>
      <c r="T18" s="3">
        <f t="shared" si="20"/>
        <v>8</v>
      </c>
      <c r="U18" s="3">
        <f t="shared" si="4"/>
        <v>8.2100000000000009</v>
      </c>
      <c r="W18" s="4">
        <f t="shared" si="5"/>
        <v>2176</v>
      </c>
      <c r="X18" s="7">
        <f t="shared" si="6"/>
        <v>2.9720064912633575</v>
      </c>
      <c r="Y18" s="7">
        <f t="shared" si="7"/>
        <v>17.964128124969626</v>
      </c>
      <c r="AC18" s="2">
        <f t="shared" si="15"/>
        <v>46577</v>
      </c>
      <c r="AD18" s="3">
        <f t="shared" si="16"/>
        <v>56</v>
      </c>
      <c r="AE18" s="3">
        <f t="shared" si="17"/>
        <v>0.21</v>
      </c>
      <c r="AF18" s="3">
        <f t="shared" si="22"/>
        <v>8</v>
      </c>
      <c r="AG18" s="3">
        <f t="shared" si="8"/>
        <v>8.2100000000000009</v>
      </c>
      <c r="AI18" s="4">
        <f t="shared" si="9"/>
        <v>2176</v>
      </c>
      <c r="AJ18" s="7" t="e">
        <f t="shared" si="10"/>
        <v>#REF!</v>
      </c>
      <c r="AK18" s="7" t="e">
        <f t="shared" si="11"/>
        <v>#REF!</v>
      </c>
    </row>
    <row r="19" spans="5:37" x14ac:dyDescent="0.2">
      <c r="E19" s="2">
        <v>46761</v>
      </c>
      <c r="F19" s="3">
        <f t="shared" si="19"/>
        <v>48</v>
      </c>
      <c r="G19" s="3">
        <f t="shared" ref="G19:G24" si="23">0.0175*(180/360)*F19</f>
        <v>0.42000000000000004</v>
      </c>
      <c r="H19" s="3">
        <f t="shared" si="21"/>
        <v>8</v>
      </c>
      <c r="I19" s="3">
        <f t="shared" si="0"/>
        <v>8.42</v>
      </c>
      <c r="K19" s="4">
        <f t="shared" si="1"/>
        <v>2356</v>
      </c>
      <c r="L19" s="7">
        <f t="shared" si="2"/>
        <v>2.7501761611621212</v>
      </c>
      <c r="M19" s="7">
        <f t="shared" si="3"/>
        <v>17.998375099160992</v>
      </c>
      <c r="P19" s="2"/>
      <c r="Q19" s="2">
        <f t="shared" si="12"/>
        <v>46761</v>
      </c>
      <c r="R19" s="3">
        <f t="shared" si="13"/>
        <v>48</v>
      </c>
      <c r="S19" s="3">
        <f t="shared" si="14"/>
        <v>0.42000000000000004</v>
      </c>
      <c r="T19" s="3">
        <f t="shared" si="20"/>
        <v>8</v>
      </c>
      <c r="U19" s="3">
        <f t="shared" si="4"/>
        <v>8.42</v>
      </c>
      <c r="W19" s="4">
        <f t="shared" si="5"/>
        <v>2356</v>
      </c>
      <c r="X19" s="7">
        <f t="shared" si="6"/>
        <v>2.8023000729699383</v>
      </c>
      <c r="Y19" s="7">
        <f t="shared" si="7"/>
        <v>18.339497144214373</v>
      </c>
      <c r="AC19" s="2">
        <f t="shared" si="15"/>
        <v>46761</v>
      </c>
      <c r="AD19" s="3">
        <f t="shared" si="16"/>
        <v>48</v>
      </c>
      <c r="AE19" s="3">
        <f t="shared" si="17"/>
        <v>0.42000000000000004</v>
      </c>
      <c r="AF19" s="3">
        <f t="shared" si="22"/>
        <v>8</v>
      </c>
      <c r="AG19" s="3">
        <f t="shared" si="8"/>
        <v>8.42</v>
      </c>
      <c r="AI19" s="4">
        <f t="shared" si="9"/>
        <v>2356</v>
      </c>
      <c r="AJ19" s="7" t="e">
        <f t="shared" si="10"/>
        <v>#REF!</v>
      </c>
      <c r="AK19" s="7" t="e">
        <f t="shared" si="11"/>
        <v>#REF!</v>
      </c>
    </row>
    <row r="20" spans="5:37" x14ac:dyDescent="0.2">
      <c r="E20" s="2">
        <v>46943</v>
      </c>
      <c r="F20" s="3">
        <f t="shared" si="19"/>
        <v>40</v>
      </c>
      <c r="G20" s="3">
        <f t="shared" si="23"/>
        <v>0.35000000000000003</v>
      </c>
      <c r="H20" s="3">
        <f t="shared" si="21"/>
        <v>8</v>
      </c>
      <c r="I20" s="3">
        <f t="shared" si="0"/>
        <v>8.35</v>
      </c>
      <c r="K20" s="4">
        <f t="shared" si="1"/>
        <v>2536</v>
      </c>
      <c r="L20" s="7">
        <f t="shared" si="2"/>
        <v>2.5038474569639844</v>
      </c>
      <c r="M20" s="7">
        <f t="shared" si="3"/>
        <v>17.638214307946289</v>
      </c>
      <c r="P20" s="2"/>
      <c r="Q20" s="2">
        <f t="shared" si="12"/>
        <v>46943</v>
      </c>
      <c r="R20" s="3">
        <f t="shared" si="13"/>
        <v>40</v>
      </c>
      <c r="S20" s="3">
        <f t="shared" si="14"/>
        <v>0.35000000000000003</v>
      </c>
      <c r="T20" s="3">
        <f t="shared" si="20"/>
        <v>8</v>
      </c>
      <c r="U20" s="3">
        <f t="shared" si="4"/>
        <v>8.35</v>
      </c>
      <c r="W20" s="4">
        <f t="shared" si="5"/>
        <v>2536</v>
      </c>
      <c r="X20" s="7">
        <f t="shared" si="6"/>
        <v>2.5549650999047504</v>
      </c>
      <c r="Y20" s="7">
        <f t="shared" si="7"/>
        <v>17.998309703773465</v>
      </c>
      <c r="AC20" s="2">
        <f t="shared" si="15"/>
        <v>46943</v>
      </c>
      <c r="AD20" s="3">
        <f t="shared" si="16"/>
        <v>40</v>
      </c>
      <c r="AE20" s="3">
        <f t="shared" si="17"/>
        <v>0.35000000000000003</v>
      </c>
      <c r="AF20" s="3">
        <f t="shared" si="22"/>
        <v>8</v>
      </c>
      <c r="AG20" s="3">
        <f t="shared" si="8"/>
        <v>8.35</v>
      </c>
      <c r="AI20" s="4">
        <f t="shared" si="9"/>
        <v>2536</v>
      </c>
      <c r="AJ20" s="7" t="e">
        <f t="shared" si="10"/>
        <v>#REF!</v>
      </c>
      <c r="AK20" s="7" t="e">
        <f t="shared" si="11"/>
        <v>#REF!</v>
      </c>
    </row>
    <row r="21" spans="5:37" x14ac:dyDescent="0.2">
      <c r="E21" s="2">
        <v>47127</v>
      </c>
      <c r="F21" s="3">
        <f t="shared" si="19"/>
        <v>32</v>
      </c>
      <c r="G21" s="3">
        <f t="shared" si="23"/>
        <v>0.28000000000000003</v>
      </c>
      <c r="H21" s="3">
        <f t="shared" si="21"/>
        <v>8</v>
      </c>
      <c r="I21" s="3">
        <f t="shared" si="0"/>
        <v>8.2799999999999994</v>
      </c>
      <c r="K21" s="4">
        <f t="shared" si="1"/>
        <v>2716</v>
      </c>
      <c r="L21" s="7">
        <f t="shared" si="2"/>
        <v>2.2794217992233143</v>
      </c>
      <c r="M21" s="7">
        <f t="shared" si="3"/>
        <v>17.196971129695893</v>
      </c>
      <c r="P21" s="2"/>
      <c r="Q21" s="2">
        <f t="shared" si="12"/>
        <v>47127</v>
      </c>
      <c r="R21" s="3">
        <f t="shared" si="13"/>
        <v>32</v>
      </c>
      <c r="S21" s="3">
        <f t="shared" si="14"/>
        <v>0.28000000000000003</v>
      </c>
      <c r="T21" s="3">
        <f t="shared" si="20"/>
        <v>8</v>
      </c>
      <c r="U21" s="3">
        <f t="shared" si="4"/>
        <v>8.2799999999999994</v>
      </c>
      <c r="W21" s="4">
        <f t="shared" si="5"/>
        <v>2716</v>
      </c>
      <c r="X21" s="7">
        <f t="shared" si="6"/>
        <v>2.3292965506223813</v>
      </c>
      <c r="Y21" s="7">
        <f t="shared" si="7"/>
        <v>17.573248420806632</v>
      </c>
      <c r="AC21" s="2">
        <f t="shared" si="15"/>
        <v>47127</v>
      </c>
      <c r="AD21" s="3">
        <f t="shared" si="16"/>
        <v>32</v>
      </c>
      <c r="AE21" s="3">
        <f t="shared" si="17"/>
        <v>0.28000000000000003</v>
      </c>
      <c r="AF21" s="3">
        <f t="shared" si="22"/>
        <v>8</v>
      </c>
      <c r="AG21" s="3">
        <f t="shared" si="8"/>
        <v>8.2799999999999994</v>
      </c>
      <c r="AI21" s="4">
        <f t="shared" si="9"/>
        <v>2716</v>
      </c>
      <c r="AJ21" s="7" t="e">
        <f t="shared" si="10"/>
        <v>#REF!</v>
      </c>
      <c r="AK21" s="7" t="e">
        <f t="shared" si="11"/>
        <v>#REF!</v>
      </c>
    </row>
    <row r="22" spans="5:37" x14ac:dyDescent="0.2">
      <c r="E22" s="2">
        <v>47308</v>
      </c>
      <c r="F22" s="3">
        <f t="shared" si="19"/>
        <v>24</v>
      </c>
      <c r="G22" s="3">
        <f t="shared" si="23"/>
        <v>0.21000000000000002</v>
      </c>
      <c r="H22" s="3">
        <f t="shared" si="21"/>
        <v>8</v>
      </c>
      <c r="I22" s="3">
        <f t="shared" si="0"/>
        <v>8.2100000000000009</v>
      </c>
      <c r="K22" s="4">
        <f t="shared" si="1"/>
        <v>2896</v>
      </c>
      <c r="L22" s="7">
        <f t="shared" si="2"/>
        <v>2.0749636217456255</v>
      </c>
      <c r="M22" s="7">
        <f t="shared" si="3"/>
        <v>16.69192957937592</v>
      </c>
      <c r="P22" s="2"/>
      <c r="Q22" s="2">
        <f t="shared" si="12"/>
        <v>47308</v>
      </c>
      <c r="R22" s="3">
        <f t="shared" si="13"/>
        <v>24</v>
      </c>
      <c r="S22" s="3">
        <f t="shared" si="14"/>
        <v>0.21000000000000002</v>
      </c>
      <c r="T22" s="3">
        <f t="shared" si="20"/>
        <v>8</v>
      </c>
      <c r="U22" s="3">
        <f t="shared" si="4"/>
        <v>8.2100000000000009</v>
      </c>
      <c r="W22" s="4">
        <f t="shared" si="5"/>
        <v>2896</v>
      </c>
      <c r="X22" s="7">
        <f t="shared" si="6"/>
        <v>2.1234085120497226</v>
      </c>
      <c r="Y22" s="7">
        <f t="shared" si="7"/>
        <v>17.081641808044434</v>
      </c>
      <c r="AC22" s="2">
        <f t="shared" si="15"/>
        <v>47308</v>
      </c>
      <c r="AD22" s="3">
        <f t="shared" si="16"/>
        <v>24</v>
      </c>
      <c r="AE22" s="3">
        <f t="shared" si="17"/>
        <v>0.21000000000000002</v>
      </c>
      <c r="AF22" s="3">
        <f t="shared" si="22"/>
        <v>8</v>
      </c>
      <c r="AG22" s="3">
        <f t="shared" si="8"/>
        <v>8.2100000000000009</v>
      </c>
      <c r="AI22" s="4">
        <f t="shared" si="9"/>
        <v>2896</v>
      </c>
      <c r="AJ22" s="7" t="e">
        <f t="shared" si="10"/>
        <v>#REF!</v>
      </c>
      <c r="AK22" s="7" t="e">
        <f t="shared" si="11"/>
        <v>#REF!</v>
      </c>
    </row>
    <row r="23" spans="5:37" x14ac:dyDescent="0.2">
      <c r="E23" s="2">
        <v>47492</v>
      </c>
      <c r="F23" s="3">
        <f t="shared" si="19"/>
        <v>16</v>
      </c>
      <c r="G23" s="3">
        <f t="shared" si="23"/>
        <v>0.14000000000000001</v>
      </c>
      <c r="H23" s="3">
        <f t="shared" si="21"/>
        <v>8</v>
      </c>
      <c r="I23" s="3">
        <f t="shared" si="0"/>
        <v>8.14</v>
      </c>
      <c r="K23" s="4">
        <f t="shared" si="1"/>
        <v>3076</v>
      </c>
      <c r="L23" s="7">
        <f t="shared" si="2"/>
        <v>1.8887074971531959</v>
      </c>
      <c r="M23" s="7">
        <f t="shared" si="3"/>
        <v>16.137956281231194</v>
      </c>
      <c r="P23" s="2"/>
      <c r="Q23" s="2">
        <f t="shared" si="12"/>
        <v>47492</v>
      </c>
      <c r="R23" s="3">
        <f t="shared" si="13"/>
        <v>16</v>
      </c>
      <c r="S23" s="3">
        <f t="shared" si="14"/>
        <v>0.14000000000000001</v>
      </c>
      <c r="T23" s="3">
        <f t="shared" si="20"/>
        <v>8</v>
      </c>
      <c r="U23" s="3">
        <f t="shared" si="4"/>
        <v>8.14</v>
      </c>
      <c r="W23" s="4">
        <f t="shared" si="5"/>
        <v>3076</v>
      </c>
      <c r="X23" s="7">
        <f t="shared" si="6"/>
        <v>1.9355783324582874</v>
      </c>
      <c r="Y23" s="7">
        <f t="shared" si="7"/>
        <v>16.538441529560256</v>
      </c>
      <c r="AC23" s="2">
        <f t="shared" si="15"/>
        <v>47492</v>
      </c>
      <c r="AD23" s="3">
        <f t="shared" si="16"/>
        <v>16</v>
      </c>
      <c r="AE23" s="3">
        <f t="shared" si="17"/>
        <v>0.14000000000000001</v>
      </c>
      <c r="AF23" s="3">
        <f t="shared" si="22"/>
        <v>8</v>
      </c>
      <c r="AG23" s="3">
        <f t="shared" si="8"/>
        <v>8.14</v>
      </c>
      <c r="AI23" s="4">
        <f t="shared" si="9"/>
        <v>3076</v>
      </c>
      <c r="AJ23" s="7" t="e">
        <f t="shared" si="10"/>
        <v>#REF!</v>
      </c>
      <c r="AK23" s="7" t="e">
        <f t="shared" si="11"/>
        <v>#REF!</v>
      </c>
    </row>
    <row r="24" spans="5:37" x14ac:dyDescent="0.2">
      <c r="E24" s="2">
        <v>47673</v>
      </c>
      <c r="F24" s="3">
        <f t="shared" si="19"/>
        <v>8</v>
      </c>
      <c r="G24" s="3">
        <f t="shared" si="23"/>
        <v>7.0000000000000007E-2</v>
      </c>
      <c r="H24" s="3">
        <f t="shared" si="21"/>
        <v>8</v>
      </c>
      <c r="I24" s="3">
        <f t="shared" si="0"/>
        <v>8.07</v>
      </c>
      <c r="K24" s="4">
        <f t="shared" si="1"/>
        <v>3256</v>
      </c>
      <c r="L24" s="7">
        <f t="shared" si="2"/>
        <v>1.7190432503367763</v>
      </c>
      <c r="M24" s="7">
        <f t="shared" si="3"/>
        <v>15.547791175268177</v>
      </c>
      <c r="P24" s="2"/>
      <c r="Q24" s="2">
        <f t="shared" si="12"/>
        <v>47673</v>
      </c>
      <c r="R24" s="3">
        <f t="shared" si="13"/>
        <v>8</v>
      </c>
      <c r="S24" s="3">
        <f t="shared" si="14"/>
        <v>7.0000000000000007E-2</v>
      </c>
      <c r="T24" s="3">
        <f t="shared" si="20"/>
        <v>8</v>
      </c>
      <c r="U24" s="3">
        <f t="shared" si="4"/>
        <v>8.07</v>
      </c>
      <c r="W24" s="4">
        <f t="shared" si="5"/>
        <v>3256</v>
      </c>
      <c r="X24" s="7">
        <f t="shared" si="6"/>
        <v>1.7642325548988655</v>
      </c>
      <c r="Y24" s="7">
        <f t="shared" si="7"/>
        <v>15.956503329863073</v>
      </c>
      <c r="AC24" s="2">
        <f t="shared" si="15"/>
        <v>47673</v>
      </c>
      <c r="AD24" s="3">
        <f t="shared" si="16"/>
        <v>8</v>
      </c>
      <c r="AE24" s="3">
        <f t="shared" si="17"/>
        <v>7.0000000000000007E-2</v>
      </c>
      <c r="AF24" s="3">
        <f t="shared" si="22"/>
        <v>8</v>
      </c>
      <c r="AG24" s="3">
        <f t="shared" si="8"/>
        <v>8.07</v>
      </c>
      <c r="AI24" s="4">
        <f t="shared" si="9"/>
        <v>3256</v>
      </c>
      <c r="AJ24" s="7" t="e">
        <f t="shared" si="10"/>
        <v>#REF!</v>
      </c>
      <c r="AK24" s="7" t="e">
        <f t="shared" si="11"/>
        <v>#REF!</v>
      </c>
    </row>
    <row r="25" spans="5:37" x14ac:dyDescent="0.2">
      <c r="L25" s="7">
        <f>SUM(L6:L24)</f>
        <v>39.12240268146239</v>
      </c>
      <c r="M25" s="7">
        <f>SUM(M6:M24)</f>
        <v>214.09682905640634</v>
      </c>
      <c r="P25" s="2"/>
      <c r="X25" s="7">
        <f>SUM(X6:X24)</f>
        <v>39.742056660122202</v>
      </c>
      <c r="Y25" s="7">
        <f>SUM(Y6:Y24)</f>
        <v>217.89060285354603</v>
      </c>
      <c r="AJ25" s="7" t="e">
        <f>SUM(AJ6:AJ24)</f>
        <v>#REF!</v>
      </c>
      <c r="AK25" s="7" t="e">
        <f>SUM(AK6:AK24)</f>
        <v>#REF!</v>
      </c>
    </row>
    <row r="26" spans="5:37" ht="15" x14ac:dyDescent="0.25">
      <c r="H26" s="6" t="s">
        <v>5</v>
      </c>
      <c r="I26" s="5">
        <f>XIRR(I5:I24,E5:E24)</f>
        <v>0.18646262288093568</v>
      </c>
      <c r="T26" s="6" t="s">
        <v>5</v>
      </c>
      <c r="U26" s="5">
        <f>XIRR(U5:U24,Q5:Q24)</f>
        <v>0.18306362032890325</v>
      </c>
      <c r="AF26" s="6" t="s">
        <v>5</v>
      </c>
      <c r="AG26" s="5" t="e">
        <f>XIRR(AG5:AG24,AC5:AC24)</f>
        <v>#REF!</v>
      </c>
    </row>
    <row r="27" spans="5:37" ht="15" x14ac:dyDescent="0.25">
      <c r="H27" s="6" t="s">
        <v>8</v>
      </c>
      <c r="I27" s="3">
        <f>M27/(1+(I26/2))</f>
        <v>5.005790321664862</v>
      </c>
      <c r="L27" s="4" t="s">
        <v>7</v>
      </c>
      <c r="M27" s="3">
        <f>M25/L25</f>
        <v>5.4724867181496792</v>
      </c>
      <c r="T27" s="6" t="s">
        <v>8</v>
      </c>
      <c r="U27" s="3">
        <f>Y27/(1+(U26/2))</f>
        <v>5.0228680048178713</v>
      </c>
      <c r="X27" s="4" t="s">
        <v>7</v>
      </c>
      <c r="Y27" s="3">
        <f>Y25/X25</f>
        <v>5.4826202055159579</v>
      </c>
      <c r="AF27" s="6" t="s">
        <v>8</v>
      </c>
      <c r="AG27" s="3" t="e">
        <f>AK27/(1+(AG26/2))</f>
        <v>#REF!</v>
      </c>
      <c r="AJ27" s="4" t="s">
        <v>7</v>
      </c>
      <c r="AK27" s="3" t="e">
        <f>AK25/AJ25</f>
        <v>#REF!</v>
      </c>
    </row>
    <row r="29" spans="5:37" x14ac:dyDescent="0.2">
      <c r="AB29" s="5"/>
    </row>
  </sheetData>
  <mergeCells count="3">
    <mergeCell ref="E2:M2"/>
    <mergeCell ref="Q2:Y2"/>
    <mergeCell ref="AC2:AK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4:AK78"/>
  <sheetViews>
    <sheetView showGridLines="0" topLeftCell="J3" zoomScale="90" zoomScaleNormal="90" workbookViewId="0">
      <selection activeCell="AG38" sqref="AG38"/>
    </sheetView>
  </sheetViews>
  <sheetFormatPr baseColWidth="10" defaultRowHeight="14.25" x14ac:dyDescent="0.2"/>
  <cols>
    <col min="1" max="1" width="11.42578125" style="4"/>
    <col min="2" max="2" width="14.7109375" style="4" bestFit="1" customWidth="1"/>
    <col min="3" max="9" width="11.42578125" style="4"/>
    <col min="10" max="10" width="3.42578125" style="4" customWidth="1"/>
    <col min="11" max="13" width="11.42578125" style="4"/>
    <col min="14" max="14" width="5.85546875" style="4" customWidth="1"/>
    <col min="15" max="15" width="11.42578125" style="78"/>
    <col min="16" max="16" width="6.28515625" style="4" customWidth="1"/>
    <col min="17" max="21" width="11.42578125" style="4"/>
    <col min="22" max="22" width="3.42578125" style="4" customWidth="1"/>
    <col min="23" max="26" width="11.42578125" style="4"/>
    <col min="27" max="27" width="11.42578125" style="78"/>
    <col min="28" max="33" width="11.42578125" style="4"/>
    <col min="34" max="34" width="3.42578125" style="4" customWidth="1"/>
    <col min="35" max="16384" width="11.42578125" style="4"/>
  </cols>
  <sheetData>
    <row r="4" spans="2:37" ht="15" x14ac:dyDescent="0.25">
      <c r="E4" s="321" t="s">
        <v>74</v>
      </c>
      <c r="F4" s="321"/>
      <c r="G4" s="321"/>
      <c r="H4" s="321"/>
      <c r="I4" s="321"/>
      <c r="J4" s="321"/>
      <c r="K4" s="321"/>
      <c r="L4" s="321"/>
      <c r="M4" s="321"/>
      <c r="Q4" s="321" t="s">
        <v>75</v>
      </c>
      <c r="R4" s="321"/>
      <c r="S4" s="321"/>
      <c r="T4" s="321"/>
      <c r="U4" s="321"/>
      <c r="V4" s="321"/>
      <c r="W4" s="321"/>
      <c r="X4" s="321"/>
      <c r="Y4" s="321"/>
      <c r="AC4" s="321" t="s">
        <v>85</v>
      </c>
      <c r="AD4" s="321"/>
      <c r="AE4" s="321"/>
      <c r="AF4" s="321"/>
      <c r="AG4" s="321"/>
      <c r="AH4" s="321"/>
      <c r="AI4" s="321"/>
      <c r="AJ4" s="321"/>
      <c r="AK4" s="321"/>
    </row>
    <row r="6" spans="2:37" ht="15" x14ac:dyDescent="0.25">
      <c r="E6" s="1" t="s">
        <v>0</v>
      </c>
      <c r="F6" s="1" t="s">
        <v>1</v>
      </c>
      <c r="G6" s="1" t="s">
        <v>2</v>
      </c>
      <c r="H6" s="1" t="s">
        <v>3</v>
      </c>
      <c r="I6" s="1" t="s">
        <v>4</v>
      </c>
      <c r="K6" s="1" t="s">
        <v>9</v>
      </c>
      <c r="L6" s="1" t="s">
        <v>10</v>
      </c>
      <c r="M6" s="1" t="s">
        <v>11</v>
      </c>
      <c r="Q6" s="53" t="s">
        <v>0</v>
      </c>
      <c r="R6" s="53" t="s">
        <v>1</v>
      </c>
      <c r="S6" s="53" t="s">
        <v>2</v>
      </c>
      <c r="T6" s="53" t="s">
        <v>3</v>
      </c>
      <c r="U6" s="53" t="s">
        <v>4</v>
      </c>
      <c r="W6" s="53" t="s">
        <v>9</v>
      </c>
      <c r="X6" s="53" t="s">
        <v>10</v>
      </c>
      <c r="Y6" s="53" t="s">
        <v>11</v>
      </c>
      <c r="AC6" s="53" t="s">
        <v>0</v>
      </c>
      <c r="AD6" s="53" t="s">
        <v>1</v>
      </c>
      <c r="AE6" s="53" t="s">
        <v>2</v>
      </c>
      <c r="AF6" s="53" t="s">
        <v>3</v>
      </c>
      <c r="AG6" s="53" t="s">
        <v>4</v>
      </c>
      <c r="AI6" s="53" t="s">
        <v>9</v>
      </c>
      <c r="AJ6" s="53" t="s">
        <v>10</v>
      </c>
      <c r="AK6" s="53" t="s">
        <v>11</v>
      </c>
    </row>
    <row r="7" spans="2:37" x14ac:dyDescent="0.2">
      <c r="B7" s="82" t="s">
        <v>36</v>
      </c>
      <c r="C7" s="83">
        <v>44078</v>
      </c>
      <c r="E7" s="2">
        <f>+Monitor!C2</f>
        <v>44370</v>
      </c>
      <c r="F7" s="3">
        <v>100</v>
      </c>
      <c r="I7" s="3">
        <f>-CCL!L32</f>
        <v>-34.700347222222234</v>
      </c>
      <c r="K7" s="4">
        <f>DAYS360(C7,E8)</f>
        <v>305</v>
      </c>
      <c r="Q7" s="2">
        <f>+E7</f>
        <v>44370</v>
      </c>
      <c r="R7" s="3">
        <v>100</v>
      </c>
      <c r="U7" s="3">
        <f>-Monitor!D16</f>
        <v>-35.25</v>
      </c>
      <c r="AC7" s="2">
        <f>+Q7</f>
        <v>44370</v>
      </c>
      <c r="AD7" s="3">
        <v>100</v>
      </c>
      <c r="AG7" s="3" t="e">
        <f>-CCL!K14</f>
        <v>#REF!</v>
      </c>
    </row>
    <row r="8" spans="2:37" x14ac:dyDescent="0.2">
      <c r="B8" s="84" t="s">
        <v>37</v>
      </c>
      <c r="C8" s="85">
        <v>1.25E-3</v>
      </c>
      <c r="E8" s="2">
        <v>44386</v>
      </c>
      <c r="F8" s="3">
        <f>+F7</f>
        <v>100</v>
      </c>
      <c r="G8" s="3">
        <f>(C8*F7)/360*K7</f>
        <v>0.10590277777777778</v>
      </c>
      <c r="I8" s="3">
        <f t="shared" ref="I8:I36" si="0">SUM(G8:H8)</f>
        <v>0.10590277777777778</v>
      </c>
      <c r="K8" s="4">
        <f t="shared" ref="K8:K36" si="1">DAYS360($E$7,E8)</f>
        <v>16</v>
      </c>
      <c r="L8" s="7">
        <f t="shared" ref="L8:L36" si="2">I8/(1+$I$38)^(K8/360)</f>
        <v>0.10518819510866033</v>
      </c>
      <c r="M8" s="7">
        <f t="shared" ref="M8:M36" si="3">L8*(K8/360)</f>
        <v>4.6750308937182367E-3</v>
      </c>
      <c r="Q8" s="2">
        <f>+E8</f>
        <v>44386</v>
      </c>
      <c r="R8" s="3">
        <f>+F8</f>
        <v>100</v>
      </c>
      <c r="S8" s="3">
        <f>+G8</f>
        <v>0.10590277777777778</v>
      </c>
      <c r="U8" s="3">
        <f t="shared" ref="U8:U36" si="4">SUM(S8:T8)</f>
        <v>0.10590277777777778</v>
      </c>
      <c r="W8" s="4">
        <f t="shared" ref="W8:W36" si="5">DAYS360($E$7,Q8)</f>
        <v>16</v>
      </c>
      <c r="X8" s="7">
        <f t="shared" ref="X8:X36" si="6">U8/(1+$U$38)^(W8/360)</f>
        <v>0.10519680977514194</v>
      </c>
      <c r="Y8" s="7">
        <f t="shared" ref="Y8:Y36" si="7">X8*(W8/360)</f>
        <v>4.6754137677840861E-3</v>
      </c>
      <c r="AC8" s="2">
        <f>+E8</f>
        <v>44386</v>
      </c>
      <c r="AD8" s="3">
        <f>+F8</f>
        <v>100</v>
      </c>
      <c r="AE8" s="3">
        <f>+G8</f>
        <v>0.10590277777777778</v>
      </c>
      <c r="AG8" s="3">
        <f t="shared" ref="AG8:AG36" si="8">SUM(AE8:AF8)</f>
        <v>0.10590277777777778</v>
      </c>
      <c r="AI8" s="4">
        <f t="shared" ref="AI8:AI36" si="9">DAYS360($E$7,AC8)</f>
        <v>16</v>
      </c>
      <c r="AJ8" s="7" t="e">
        <f t="shared" ref="AJ8:AJ36" si="10">AG8/(1+$AG$38)^(AI8/360)</f>
        <v>#REF!</v>
      </c>
      <c r="AK8" s="7" t="e">
        <f t="shared" ref="AK8:AK36" si="11">AJ8*(AI8/360)</f>
        <v>#REF!</v>
      </c>
    </row>
    <row r="9" spans="2:37" x14ac:dyDescent="0.2">
      <c r="B9" s="84" t="s">
        <v>38</v>
      </c>
      <c r="C9" s="86">
        <f>DAYS360(C7,E7)</f>
        <v>289</v>
      </c>
      <c r="E9" s="2">
        <v>44570</v>
      </c>
      <c r="F9" s="3">
        <f>+F8</f>
        <v>100</v>
      </c>
      <c r="G9" s="3">
        <f>0.01125*(180/360)*F9</f>
        <v>0.5625</v>
      </c>
      <c r="I9" s="3">
        <f t="shared" si="0"/>
        <v>0.5625</v>
      </c>
      <c r="K9" s="4">
        <f t="shared" si="1"/>
        <v>196</v>
      </c>
      <c r="L9" s="7">
        <f t="shared" si="2"/>
        <v>0.51772991493075193</v>
      </c>
      <c r="M9" s="7">
        <f t="shared" si="3"/>
        <v>0.28187517590674271</v>
      </c>
      <c r="Q9" s="2">
        <f t="shared" ref="Q9:Q36" si="12">+E9</f>
        <v>44570</v>
      </c>
      <c r="R9" s="3">
        <f t="shared" ref="R9:R36" si="13">+F9</f>
        <v>100</v>
      </c>
      <c r="S9" s="3">
        <f t="shared" ref="S9:S36" si="14">+G9</f>
        <v>0.5625</v>
      </c>
      <c r="U9" s="3">
        <f t="shared" si="4"/>
        <v>0.5625</v>
      </c>
      <c r="W9" s="4">
        <f t="shared" si="5"/>
        <v>196</v>
      </c>
      <c r="X9" s="7">
        <f t="shared" si="6"/>
        <v>0.51824956488290563</v>
      </c>
      <c r="Y9" s="7">
        <f t="shared" si="7"/>
        <v>0.28215809643624862</v>
      </c>
      <c r="AC9" s="2">
        <f t="shared" ref="AC9:AC36" si="15">+E9</f>
        <v>44570</v>
      </c>
      <c r="AD9" s="3">
        <f t="shared" ref="AD9:AD36" si="16">+F9</f>
        <v>100</v>
      </c>
      <c r="AE9" s="3">
        <f t="shared" ref="AE9:AE36" si="17">+G9</f>
        <v>0.5625</v>
      </c>
      <c r="AG9" s="3">
        <f t="shared" si="8"/>
        <v>0.5625</v>
      </c>
      <c r="AI9" s="4">
        <f t="shared" si="9"/>
        <v>196</v>
      </c>
      <c r="AJ9" s="7" t="e">
        <f t="shared" si="10"/>
        <v>#REF!</v>
      </c>
      <c r="AK9" s="7" t="e">
        <f t="shared" si="11"/>
        <v>#REF!</v>
      </c>
    </row>
    <row r="10" spans="2:37" x14ac:dyDescent="0.2">
      <c r="B10" s="84" t="s">
        <v>39</v>
      </c>
      <c r="C10" s="87">
        <f>(C8*100)/360*C9</f>
        <v>0.10034722222222223</v>
      </c>
      <c r="E10" s="2">
        <v>44751</v>
      </c>
      <c r="F10" s="3">
        <v>100</v>
      </c>
      <c r="G10" s="3">
        <f>0.01125*(180/360)*F10</f>
        <v>0.5625</v>
      </c>
      <c r="H10" s="3"/>
      <c r="I10" s="3">
        <f t="shared" si="0"/>
        <v>0.5625</v>
      </c>
      <c r="K10" s="4">
        <f t="shared" si="1"/>
        <v>376</v>
      </c>
      <c r="L10" s="7">
        <f t="shared" si="2"/>
        <v>0.47976033697448928</v>
      </c>
      <c r="M10" s="7">
        <f t="shared" si="3"/>
        <v>0.50108301861779991</v>
      </c>
      <c r="Q10" s="2">
        <f t="shared" si="12"/>
        <v>44751</v>
      </c>
      <c r="R10" s="3">
        <f t="shared" si="13"/>
        <v>100</v>
      </c>
      <c r="S10" s="3">
        <f t="shared" si="14"/>
        <v>0.5625</v>
      </c>
      <c r="T10" s="3"/>
      <c r="U10" s="3">
        <f t="shared" si="4"/>
        <v>0.5625</v>
      </c>
      <c r="W10" s="4">
        <f t="shared" si="5"/>
        <v>376</v>
      </c>
      <c r="X10" s="7">
        <f t="shared" si="6"/>
        <v>0.48068453248679111</v>
      </c>
      <c r="Y10" s="7">
        <f t="shared" si="7"/>
        <v>0.50204828948620406</v>
      </c>
      <c r="AC10" s="2">
        <f t="shared" si="15"/>
        <v>44751</v>
      </c>
      <c r="AD10" s="3">
        <f t="shared" si="16"/>
        <v>100</v>
      </c>
      <c r="AE10" s="3">
        <f t="shared" si="17"/>
        <v>0.5625</v>
      </c>
      <c r="AF10" s="3"/>
      <c r="AG10" s="3">
        <f t="shared" si="8"/>
        <v>0.5625</v>
      </c>
      <c r="AI10" s="4">
        <f t="shared" si="9"/>
        <v>376</v>
      </c>
      <c r="AJ10" s="7" t="e">
        <f t="shared" si="10"/>
        <v>#REF!</v>
      </c>
      <c r="AK10" s="7" t="e">
        <f t="shared" si="11"/>
        <v>#REF!</v>
      </c>
    </row>
    <row r="11" spans="2:37" x14ac:dyDescent="0.2">
      <c r="B11" s="84" t="s">
        <v>35</v>
      </c>
      <c r="C11" s="86">
        <v>100</v>
      </c>
      <c r="E11" s="2">
        <v>44935</v>
      </c>
      <c r="F11" s="3">
        <v>100</v>
      </c>
      <c r="G11" s="3">
        <f>0.015*(180/360)*F11</f>
        <v>0.75</v>
      </c>
      <c r="H11" s="3"/>
      <c r="I11" s="3">
        <f t="shared" si="0"/>
        <v>0.75</v>
      </c>
      <c r="K11" s="4">
        <f t="shared" si="1"/>
        <v>556</v>
      </c>
      <c r="L11" s="7">
        <f t="shared" si="2"/>
        <v>0.59276719204622741</v>
      </c>
      <c r="M11" s="7">
        <f t="shared" si="3"/>
        <v>0.91549599660472902</v>
      </c>
      <c r="Q11" s="2">
        <f t="shared" si="12"/>
        <v>44935</v>
      </c>
      <c r="R11" s="3">
        <f t="shared" si="13"/>
        <v>100</v>
      </c>
      <c r="S11" s="3">
        <f t="shared" si="14"/>
        <v>0.75</v>
      </c>
      <c r="T11" s="3"/>
      <c r="U11" s="3">
        <f t="shared" si="4"/>
        <v>0.75</v>
      </c>
      <c r="W11" s="4">
        <f t="shared" si="5"/>
        <v>556</v>
      </c>
      <c r="X11" s="7">
        <f t="shared" si="6"/>
        <v>0.59445650751744306</v>
      </c>
      <c r="Y11" s="7">
        <f t="shared" si="7"/>
        <v>0.91810505049916213</v>
      </c>
      <c r="AC11" s="2">
        <f t="shared" si="15"/>
        <v>44935</v>
      </c>
      <c r="AD11" s="3">
        <f t="shared" si="16"/>
        <v>100</v>
      </c>
      <c r="AE11" s="3">
        <f t="shared" si="17"/>
        <v>0.75</v>
      </c>
      <c r="AF11" s="3"/>
      <c r="AG11" s="3">
        <f t="shared" si="8"/>
        <v>0.75</v>
      </c>
      <c r="AI11" s="4">
        <f t="shared" si="9"/>
        <v>556</v>
      </c>
      <c r="AJ11" s="7" t="e">
        <f t="shared" si="10"/>
        <v>#REF!</v>
      </c>
      <c r="AK11" s="7" t="e">
        <f t="shared" si="11"/>
        <v>#REF!</v>
      </c>
    </row>
    <row r="12" spans="2:37" x14ac:dyDescent="0.2">
      <c r="B12" s="88" t="s">
        <v>23</v>
      </c>
      <c r="C12" s="89">
        <f>+C11+C10</f>
        <v>100.10034722222223</v>
      </c>
      <c r="E12" s="2">
        <v>45116</v>
      </c>
      <c r="F12" s="3">
        <v>100</v>
      </c>
      <c r="G12" s="3">
        <f>0.015*(180/360)*F12</f>
        <v>0.75</v>
      </c>
      <c r="H12" s="3"/>
      <c r="I12" s="3">
        <f t="shared" si="0"/>
        <v>0.75</v>
      </c>
      <c r="K12" s="4">
        <f t="shared" si="1"/>
        <v>736</v>
      </c>
      <c r="L12" s="7">
        <f t="shared" si="2"/>
        <v>0.54929448656942581</v>
      </c>
      <c r="M12" s="7">
        <f t="shared" si="3"/>
        <v>1.123002061430826</v>
      </c>
      <c r="Q12" s="2">
        <f t="shared" si="12"/>
        <v>45116</v>
      </c>
      <c r="R12" s="3">
        <f t="shared" si="13"/>
        <v>100</v>
      </c>
      <c r="S12" s="3">
        <f t="shared" si="14"/>
        <v>0.75</v>
      </c>
      <c r="T12" s="3"/>
      <c r="U12" s="3">
        <f t="shared" si="4"/>
        <v>0.75</v>
      </c>
      <c r="W12" s="4">
        <f t="shared" si="5"/>
        <v>736</v>
      </c>
      <c r="X12" s="7">
        <f t="shared" si="6"/>
        <v>0.55136765713313185</v>
      </c>
      <c r="Y12" s="7">
        <f t="shared" si="7"/>
        <v>1.1272405434721806</v>
      </c>
      <c r="AC12" s="2">
        <f t="shared" si="15"/>
        <v>45116</v>
      </c>
      <c r="AD12" s="3">
        <f t="shared" si="16"/>
        <v>100</v>
      </c>
      <c r="AE12" s="3">
        <f t="shared" si="17"/>
        <v>0.75</v>
      </c>
      <c r="AF12" s="3"/>
      <c r="AG12" s="3">
        <f t="shared" si="8"/>
        <v>0.75</v>
      </c>
      <c r="AI12" s="4">
        <f t="shared" si="9"/>
        <v>736</v>
      </c>
      <c r="AJ12" s="7" t="e">
        <f t="shared" si="10"/>
        <v>#REF!</v>
      </c>
      <c r="AK12" s="7" t="e">
        <f t="shared" si="11"/>
        <v>#REF!</v>
      </c>
    </row>
    <row r="13" spans="2:37" x14ac:dyDescent="0.2">
      <c r="E13" s="2">
        <v>45300</v>
      </c>
      <c r="F13" s="3">
        <v>100</v>
      </c>
      <c r="G13" s="3">
        <f>0.03625*(180/360)*F13</f>
        <v>1.8124999999999998</v>
      </c>
      <c r="H13" s="3"/>
      <c r="I13" s="3">
        <f t="shared" si="0"/>
        <v>1.8124999999999998</v>
      </c>
      <c r="K13" s="4">
        <f t="shared" si="1"/>
        <v>916</v>
      </c>
      <c r="L13" s="7">
        <f t="shared" si="2"/>
        <v>1.2301075185586416</v>
      </c>
      <c r="M13" s="7">
        <f t="shared" si="3"/>
        <v>3.129940241665877</v>
      </c>
      <c r="Q13" s="2">
        <f t="shared" si="12"/>
        <v>45300</v>
      </c>
      <c r="R13" s="3">
        <f t="shared" si="13"/>
        <v>100</v>
      </c>
      <c r="S13" s="3">
        <f t="shared" si="14"/>
        <v>1.8124999999999998</v>
      </c>
      <c r="T13" s="3"/>
      <c r="U13" s="3">
        <f t="shared" si="4"/>
        <v>1.8124999999999998</v>
      </c>
      <c r="W13" s="4">
        <f t="shared" si="5"/>
        <v>916</v>
      </c>
      <c r="X13" s="7">
        <f t="shared" si="6"/>
        <v>1.2358883556034299</v>
      </c>
      <c r="Y13" s="7">
        <f t="shared" si="7"/>
        <v>3.1446492603687268</v>
      </c>
      <c r="AC13" s="2">
        <f t="shared" si="15"/>
        <v>45300</v>
      </c>
      <c r="AD13" s="3">
        <f t="shared" si="16"/>
        <v>100</v>
      </c>
      <c r="AE13" s="3">
        <f t="shared" si="17"/>
        <v>1.8124999999999998</v>
      </c>
      <c r="AF13" s="3"/>
      <c r="AG13" s="3">
        <f t="shared" si="8"/>
        <v>1.8124999999999998</v>
      </c>
      <c r="AI13" s="4">
        <f t="shared" si="9"/>
        <v>916</v>
      </c>
      <c r="AJ13" s="7" t="e">
        <f t="shared" si="10"/>
        <v>#REF!</v>
      </c>
      <c r="AK13" s="7" t="e">
        <f t="shared" si="11"/>
        <v>#REF!</v>
      </c>
    </row>
    <row r="14" spans="2:37" x14ac:dyDescent="0.2">
      <c r="E14" s="2">
        <v>45482</v>
      </c>
      <c r="F14" s="3">
        <v>100</v>
      </c>
      <c r="G14" s="3">
        <f>0.03625*(180/360)*F14</f>
        <v>1.8124999999999998</v>
      </c>
      <c r="H14" s="3"/>
      <c r="I14" s="3">
        <f t="shared" si="0"/>
        <v>1.8124999999999998</v>
      </c>
      <c r="K14" s="4">
        <f t="shared" si="1"/>
        <v>1096</v>
      </c>
      <c r="L14" s="7">
        <f t="shared" si="2"/>
        <v>1.1398931771162617</v>
      </c>
      <c r="M14" s="7">
        <f t="shared" si="3"/>
        <v>3.47034145033173</v>
      </c>
      <c r="Q14" s="2">
        <f t="shared" si="12"/>
        <v>45482</v>
      </c>
      <c r="R14" s="3">
        <f t="shared" si="13"/>
        <v>100</v>
      </c>
      <c r="S14" s="3">
        <f t="shared" si="14"/>
        <v>1.8124999999999998</v>
      </c>
      <c r="T14" s="3"/>
      <c r="U14" s="3">
        <f t="shared" si="4"/>
        <v>1.8124999999999998</v>
      </c>
      <c r="W14" s="4">
        <f t="shared" si="5"/>
        <v>1096</v>
      </c>
      <c r="X14" s="7">
        <f t="shared" si="6"/>
        <v>1.1463056733165413</v>
      </c>
      <c r="Y14" s="7">
        <f t="shared" si="7"/>
        <v>3.4898639387636923</v>
      </c>
      <c r="AC14" s="2">
        <f t="shared" si="15"/>
        <v>45482</v>
      </c>
      <c r="AD14" s="3">
        <f t="shared" si="16"/>
        <v>100</v>
      </c>
      <c r="AE14" s="3">
        <f t="shared" si="17"/>
        <v>1.8124999999999998</v>
      </c>
      <c r="AF14" s="3"/>
      <c r="AG14" s="3">
        <f t="shared" si="8"/>
        <v>1.8124999999999998</v>
      </c>
      <c r="AI14" s="4">
        <f t="shared" si="9"/>
        <v>1096</v>
      </c>
      <c r="AJ14" s="7" t="e">
        <f t="shared" si="10"/>
        <v>#REF!</v>
      </c>
      <c r="AK14" s="7" t="e">
        <f t="shared" si="11"/>
        <v>#REF!</v>
      </c>
    </row>
    <row r="15" spans="2:37" x14ac:dyDescent="0.2">
      <c r="E15" s="2">
        <v>45666</v>
      </c>
      <c r="F15" s="3">
        <v>100</v>
      </c>
      <c r="G15" s="3">
        <f t="shared" ref="G15:G20" si="18">0.04125*(180/360)*F15</f>
        <v>2.0625</v>
      </c>
      <c r="H15" s="3"/>
      <c r="I15" s="3">
        <f t="shared" si="0"/>
        <v>2.0625</v>
      </c>
      <c r="K15" s="4">
        <f t="shared" si="1"/>
        <v>1276</v>
      </c>
      <c r="L15" s="7">
        <f t="shared" si="2"/>
        <v>1.2019908934474974</v>
      </c>
      <c r="M15" s="7">
        <f t="shared" si="3"/>
        <v>4.260389944552796</v>
      </c>
      <c r="Q15" s="2">
        <f t="shared" si="12"/>
        <v>45666</v>
      </c>
      <c r="R15" s="3">
        <f t="shared" si="13"/>
        <v>100</v>
      </c>
      <c r="S15" s="3">
        <f t="shared" si="14"/>
        <v>2.0625</v>
      </c>
      <c r="T15" s="3"/>
      <c r="U15" s="3">
        <f t="shared" si="4"/>
        <v>2.0625</v>
      </c>
      <c r="W15" s="4">
        <f t="shared" si="5"/>
        <v>1276</v>
      </c>
      <c r="X15" s="7">
        <f t="shared" si="6"/>
        <v>1.2098668720347241</v>
      </c>
      <c r="Y15" s="7">
        <f t="shared" si="7"/>
        <v>4.2883059131008556</v>
      </c>
      <c r="AC15" s="2">
        <f t="shared" si="15"/>
        <v>45666</v>
      </c>
      <c r="AD15" s="3">
        <f t="shared" si="16"/>
        <v>100</v>
      </c>
      <c r="AE15" s="3">
        <f t="shared" si="17"/>
        <v>2.0625</v>
      </c>
      <c r="AF15" s="3"/>
      <c r="AG15" s="3">
        <f t="shared" si="8"/>
        <v>2.0625</v>
      </c>
      <c r="AI15" s="4">
        <f t="shared" si="9"/>
        <v>1276</v>
      </c>
      <c r="AJ15" s="7" t="e">
        <f t="shared" si="10"/>
        <v>#REF!</v>
      </c>
      <c r="AK15" s="7" t="e">
        <f t="shared" si="11"/>
        <v>#REF!</v>
      </c>
    </row>
    <row r="16" spans="2:37" x14ac:dyDescent="0.2">
      <c r="E16" s="2">
        <v>45847</v>
      </c>
      <c r="F16" s="3">
        <v>100</v>
      </c>
      <c r="G16" s="3">
        <f t="shared" si="18"/>
        <v>2.0625</v>
      </c>
      <c r="H16" s="3"/>
      <c r="I16" s="3">
        <f t="shared" si="0"/>
        <v>2.0625</v>
      </c>
      <c r="K16" s="4">
        <f t="shared" si="1"/>
        <v>1456</v>
      </c>
      <c r="L16" s="7">
        <f t="shared" si="2"/>
        <v>1.1138385854287944</v>
      </c>
      <c r="M16" s="7">
        <f t="shared" si="3"/>
        <v>4.5048582788453464</v>
      </c>
      <c r="Q16" s="2">
        <f t="shared" si="12"/>
        <v>45847</v>
      </c>
      <c r="R16" s="3">
        <f t="shared" si="13"/>
        <v>100</v>
      </c>
      <c r="S16" s="3">
        <f t="shared" si="14"/>
        <v>2.0625</v>
      </c>
      <c r="T16" s="3"/>
      <c r="U16" s="3">
        <f t="shared" si="4"/>
        <v>2.0625</v>
      </c>
      <c r="W16" s="4">
        <f t="shared" si="5"/>
        <v>1456</v>
      </c>
      <c r="X16" s="7">
        <f t="shared" si="6"/>
        <v>1.12217034255816</v>
      </c>
      <c r="Y16" s="7">
        <f t="shared" si="7"/>
        <v>4.5385556076796689</v>
      </c>
      <c r="AC16" s="2">
        <f t="shared" si="15"/>
        <v>45847</v>
      </c>
      <c r="AD16" s="3">
        <f t="shared" si="16"/>
        <v>100</v>
      </c>
      <c r="AE16" s="3">
        <f t="shared" si="17"/>
        <v>2.0625</v>
      </c>
      <c r="AF16" s="3"/>
      <c r="AG16" s="3">
        <f t="shared" si="8"/>
        <v>2.0625</v>
      </c>
      <c r="AI16" s="4">
        <f t="shared" si="9"/>
        <v>1456</v>
      </c>
      <c r="AJ16" s="7" t="e">
        <f t="shared" si="10"/>
        <v>#REF!</v>
      </c>
      <c r="AK16" s="7" t="e">
        <f t="shared" si="11"/>
        <v>#REF!</v>
      </c>
    </row>
    <row r="17" spans="5:37" x14ac:dyDescent="0.2">
      <c r="E17" s="2">
        <v>46031</v>
      </c>
      <c r="F17" s="3">
        <v>100</v>
      </c>
      <c r="G17" s="3">
        <f t="shared" si="18"/>
        <v>2.0625</v>
      </c>
      <c r="H17" s="3"/>
      <c r="I17" s="3">
        <f t="shared" si="0"/>
        <v>2.0625</v>
      </c>
      <c r="K17" s="4">
        <f t="shared" si="1"/>
        <v>1636</v>
      </c>
      <c r="L17" s="7">
        <f t="shared" si="2"/>
        <v>1.032151242703411</v>
      </c>
      <c r="M17" s="7">
        <f t="shared" si="3"/>
        <v>4.6905539807299448</v>
      </c>
      <c r="Q17" s="2">
        <f t="shared" si="12"/>
        <v>46031</v>
      </c>
      <c r="R17" s="3">
        <f t="shared" si="13"/>
        <v>100</v>
      </c>
      <c r="S17" s="3">
        <f t="shared" si="14"/>
        <v>2.0625</v>
      </c>
      <c r="T17" s="3"/>
      <c r="U17" s="3">
        <f t="shared" si="4"/>
        <v>2.0625</v>
      </c>
      <c r="W17" s="4">
        <f t="shared" si="5"/>
        <v>1636</v>
      </c>
      <c r="X17" s="7">
        <f t="shared" si="6"/>
        <v>1.0408304474022796</v>
      </c>
      <c r="Y17" s="7">
        <f t="shared" si="7"/>
        <v>4.7299961443059146</v>
      </c>
      <c r="AC17" s="2">
        <f t="shared" si="15"/>
        <v>46031</v>
      </c>
      <c r="AD17" s="3">
        <f t="shared" si="16"/>
        <v>100</v>
      </c>
      <c r="AE17" s="3">
        <f t="shared" si="17"/>
        <v>2.0625</v>
      </c>
      <c r="AF17" s="3"/>
      <c r="AG17" s="3">
        <f t="shared" si="8"/>
        <v>2.0625</v>
      </c>
      <c r="AI17" s="4">
        <f t="shared" si="9"/>
        <v>1636</v>
      </c>
      <c r="AJ17" s="7" t="e">
        <f t="shared" si="10"/>
        <v>#REF!</v>
      </c>
      <c r="AK17" s="7" t="e">
        <f t="shared" si="11"/>
        <v>#REF!</v>
      </c>
    </row>
    <row r="18" spans="5:37" x14ac:dyDescent="0.2">
      <c r="E18" s="2">
        <v>46212</v>
      </c>
      <c r="F18" s="3">
        <v>100</v>
      </c>
      <c r="G18" s="3">
        <f t="shared" si="18"/>
        <v>2.0625</v>
      </c>
      <c r="H18" s="3"/>
      <c r="I18" s="3">
        <f t="shared" si="0"/>
        <v>2.0625</v>
      </c>
      <c r="K18" s="4">
        <f t="shared" si="1"/>
        <v>1816</v>
      </c>
      <c r="L18" s="7">
        <f t="shared" si="2"/>
        <v>0.95645473388235447</v>
      </c>
      <c r="M18" s="7">
        <f t="shared" si="3"/>
        <v>4.8247827686954325</v>
      </c>
      <c r="Q18" s="2">
        <f t="shared" si="12"/>
        <v>46212</v>
      </c>
      <c r="R18" s="3">
        <f t="shared" si="13"/>
        <v>100</v>
      </c>
      <c r="S18" s="3">
        <f t="shared" si="14"/>
        <v>2.0625</v>
      </c>
      <c r="T18" s="3"/>
      <c r="U18" s="3">
        <f t="shared" si="4"/>
        <v>2.0625</v>
      </c>
      <c r="W18" s="4">
        <f t="shared" si="5"/>
        <v>1816</v>
      </c>
      <c r="X18" s="7">
        <f t="shared" si="6"/>
        <v>0.96538642945242725</v>
      </c>
      <c r="Y18" s="7">
        <f t="shared" si="7"/>
        <v>4.8698382107933549</v>
      </c>
      <c r="AC18" s="2">
        <f t="shared" si="15"/>
        <v>46212</v>
      </c>
      <c r="AD18" s="3">
        <f t="shared" si="16"/>
        <v>100</v>
      </c>
      <c r="AE18" s="3">
        <f t="shared" si="17"/>
        <v>2.0625</v>
      </c>
      <c r="AF18" s="3"/>
      <c r="AG18" s="3">
        <f t="shared" si="8"/>
        <v>2.0625</v>
      </c>
      <c r="AI18" s="4">
        <f t="shared" si="9"/>
        <v>1816</v>
      </c>
      <c r="AJ18" s="7" t="e">
        <f t="shared" si="10"/>
        <v>#REF!</v>
      </c>
      <c r="AK18" s="7" t="e">
        <f t="shared" si="11"/>
        <v>#REF!</v>
      </c>
    </row>
    <row r="19" spans="5:37" x14ac:dyDescent="0.2">
      <c r="E19" s="2">
        <v>46396</v>
      </c>
      <c r="F19" s="3">
        <v>100</v>
      </c>
      <c r="G19" s="3">
        <f t="shared" si="18"/>
        <v>2.0625</v>
      </c>
      <c r="H19" s="3"/>
      <c r="I19" s="3">
        <f t="shared" si="0"/>
        <v>2.0625</v>
      </c>
      <c r="K19" s="4">
        <f t="shared" si="1"/>
        <v>1996</v>
      </c>
      <c r="L19" s="7">
        <f t="shared" si="2"/>
        <v>0.88630969970050699</v>
      </c>
      <c r="M19" s="7">
        <f t="shared" si="3"/>
        <v>4.9140948905616995</v>
      </c>
      <c r="Q19" s="2">
        <f t="shared" si="12"/>
        <v>46396</v>
      </c>
      <c r="R19" s="3">
        <f t="shared" si="13"/>
        <v>100</v>
      </c>
      <c r="S19" s="3">
        <f t="shared" si="14"/>
        <v>2.0625</v>
      </c>
      <c r="T19" s="3"/>
      <c r="U19" s="3">
        <f t="shared" si="4"/>
        <v>2.0625</v>
      </c>
      <c r="W19" s="4">
        <f t="shared" si="5"/>
        <v>1996</v>
      </c>
      <c r="X19" s="7">
        <f t="shared" si="6"/>
        <v>0.89541092931796307</v>
      </c>
      <c r="Y19" s="7">
        <f t="shared" si="7"/>
        <v>4.9645561525518174</v>
      </c>
      <c r="AC19" s="2">
        <f t="shared" si="15"/>
        <v>46396</v>
      </c>
      <c r="AD19" s="3">
        <f t="shared" si="16"/>
        <v>100</v>
      </c>
      <c r="AE19" s="3">
        <f t="shared" si="17"/>
        <v>2.0625</v>
      </c>
      <c r="AF19" s="3"/>
      <c r="AG19" s="3">
        <f t="shared" si="8"/>
        <v>2.0625</v>
      </c>
      <c r="AI19" s="4">
        <f t="shared" si="9"/>
        <v>1996</v>
      </c>
      <c r="AJ19" s="7" t="e">
        <f t="shared" si="10"/>
        <v>#REF!</v>
      </c>
      <c r="AK19" s="7" t="e">
        <f t="shared" si="11"/>
        <v>#REF!</v>
      </c>
    </row>
    <row r="20" spans="5:37" x14ac:dyDescent="0.2">
      <c r="E20" s="2">
        <v>46577</v>
      </c>
      <c r="F20" s="3">
        <v>100</v>
      </c>
      <c r="G20" s="3">
        <f t="shared" si="18"/>
        <v>2.0625</v>
      </c>
      <c r="H20" s="3"/>
      <c r="I20" s="3">
        <f t="shared" si="0"/>
        <v>2.0625</v>
      </c>
      <c r="K20" s="4">
        <f t="shared" si="1"/>
        <v>2176</v>
      </c>
      <c r="L20" s="7">
        <f t="shared" si="2"/>
        <v>0.82130900287835928</v>
      </c>
      <c r="M20" s="7">
        <f t="shared" si="3"/>
        <v>4.9643566396203047</v>
      </c>
      <c r="Q20" s="2">
        <f t="shared" si="12"/>
        <v>46577</v>
      </c>
      <c r="R20" s="3">
        <f t="shared" si="13"/>
        <v>100</v>
      </c>
      <c r="S20" s="3">
        <f t="shared" si="14"/>
        <v>2.0625</v>
      </c>
      <c r="T20" s="3"/>
      <c r="U20" s="3">
        <f t="shared" si="4"/>
        <v>2.0625</v>
      </c>
      <c r="W20" s="4">
        <f t="shared" si="5"/>
        <v>2176</v>
      </c>
      <c r="X20" s="7">
        <f t="shared" si="6"/>
        <v>0.83050756451675167</v>
      </c>
      <c r="Y20" s="7">
        <f t="shared" si="7"/>
        <v>5.0199568344123655</v>
      </c>
      <c r="AC20" s="2">
        <f t="shared" si="15"/>
        <v>46577</v>
      </c>
      <c r="AD20" s="3">
        <f t="shared" si="16"/>
        <v>100</v>
      </c>
      <c r="AE20" s="3">
        <f t="shared" si="17"/>
        <v>2.0625</v>
      </c>
      <c r="AF20" s="3"/>
      <c r="AG20" s="3">
        <f t="shared" si="8"/>
        <v>2.0625</v>
      </c>
      <c r="AI20" s="4">
        <f t="shared" si="9"/>
        <v>2176</v>
      </c>
      <c r="AJ20" s="7" t="e">
        <f t="shared" si="10"/>
        <v>#REF!</v>
      </c>
      <c r="AK20" s="7" t="e">
        <f t="shared" si="11"/>
        <v>#REF!</v>
      </c>
    </row>
    <row r="21" spans="5:37" x14ac:dyDescent="0.2">
      <c r="E21" s="2">
        <v>46761</v>
      </c>
      <c r="F21" s="3">
        <v>100</v>
      </c>
      <c r="G21" s="3">
        <f>0.0475*(180/360)*F21</f>
        <v>2.375</v>
      </c>
      <c r="H21" s="3"/>
      <c r="I21" s="3">
        <f t="shared" si="0"/>
        <v>2.375</v>
      </c>
      <c r="K21" s="4">
        <f t="shared" si="1"/>
        <v>2356</v>
      </c>
      <c r="L21" s="7">
        <f t="shared" si="2"/>
        <v>0.87638981425079254</v>
      </c>
      <c r="M21" s="7">
        <f t="shared" si="3"/>
        <v>5.7354844510412981</v>
      </c>
      <c r="Q21" s="2">
        <f t="shared" si="12"/>
        <v>46761</v>
      </c>
      <c r="R21" s="3">
        <f t="shared" si="13"/>
        <v>100</v>
      </c>
      <c r="S21" s="3">
        <f t="shared" si="14"/>
        <v>2.375</v>
      </c>
      <c r="T21" s="3"/>
      <c r="U21" s="3">
        <f t="shared" si="4"/>
        <v>2.375</v>
      </c>
      <c r="W21" s="4">
        <f t="shared" si="5"/>
        <v>2356</v>
      </c>
      <c r="X21" s="7">
        <f t="shared" si="6"/>
        <v>0.88702212112068735</v>
      </c>
      <c r="Y21" s="7">
        <f t="shared" si="7"/>
        <v>5.8050669926676095</v>
      </c>
      <c r="AC21" s="2">
        <f t="shared" si="15"/>
        <v>46761</v>
      </c>
      <c r="AD21" s="3">
        <f t="shared" si="16"/>
        <v>100</v>
      </c>
      <c r="AE21" s="3">
        <f t="shared" si="17"/>
        <v>2.375</v>
      </c>
      <c r="AF21" s="3"/>
      <c r="AG21" s="3">
        <f t="shared" si="8"/>
        <v>2.375</v>
      </c>
      <c r="AI21" s="4">
        <f t="shared" si="9"/>
        <v>2356</v>
      </c>
      <c r="AJ21" s="7" t="e">
        <f t="shared" si="10"/>
        <v>#REF!</v>
      </c>
      <c r="AK21" s="7" t="e">
        <f t="shared" si="11"/>
        <v>#REF!</v>
      </c>
    </row>
    <row r="22" spans="5:37" x14ac:dyDescent="0.2">
      <c r="E22" s="2">
        <v>46943</v>
      </c>
      <c r="F22" s="3">
        <v>100</v>
      </c>
      <c r="G22" s="3">
        <f>0.0475*(180/360)*F22</f>
        <v>2.375</v>
      </c>
      <c r="H22" s="3"/>
      <c r="I22" s="3">
        <f t="shared" si="0"/>
        <v>2.375</v>
      </c>
      <c r="K22" s="4">
        <f t="shared" si="1"/>
        <v>2536</v>
      </c>
      <c r="L22" s="7">
        <f t="shared" si="2"/>
        <v>0.81211662776374016</v>
      </c>
      <c r="M22" s="7">
        <f t="shared" si="3"/>
        <v>5.7209104666912358</v>
      </c>
      <c r="Q22" s="2">
        <f t="shared" si="12"/>
        <v>46943</v>
      </c>
      <c r="R22" s="3">
        <f t="shared" si="13"/>
        <v>100</v>
      </c>
      <c r="S22" s="3">
        <f t="shared" si="14"/>
        <v>2.375</v>
      </c>
      <c r="T22" s="3"/>
      <c r="U22" s="3">
        <f t="shared" si="4"/>
        <v>2.375</v>
      </c>
      <c r="W22" s="4">
        <f t="shared" si="5"/>
        <v>2536</v>
      </c>
      <c r="X22" s="7">
        <f t="shared" si="6"/>
        <v>0.82272681443095097</v>
      </c>
      <c r="Y22" s="7">
        <f t="shared" si="7"/>
        <v>5.7956533372135874</v>
      </c>
      <c r="AC22" s="2">
        <f t="shared" si="15"/>
        <v>46943</v>
      </c>
      <c r="AD22" s="3">
        <f t="shared" si="16"/>
        <v>100</v>
      </c>
      <c r="AE22" s="3">
        <f t="shared" si="17"/>
        <v>2.375</v>
      </c>
      <c r="AF22" s="3"/>
      <c r="AG22" s="3">
        <f t="shared" si="8"/>
        <v>2.375</v>
      </c>
      <c r="AI22" s="4">
        <f t="shared" si="9"/>
        <v>2536</v>
      </c>
      <c r="AJ22" s="7" t="e">
        <f t="shared" si="10"/>
        <v>#REF!</v>
      </c>
      <c r="AK22" s="7" t="e">
        <f t="shared" si="11"/>
        <v>#REF!</v>
      </c>
    </row>
    <row r="23" spans="5:37" x14ac:dyDescent="0.2">
      <c r="E23" s="2">
        <v>47127</v>
      </c>
      <c r="F23" s="3">
        <v>100</v>
      </c>
      <c r="G23" s="3">
        <f>0.05*(180/360)*F23</f>
        <v>2.5</v>
      </c>
      <c r="H23" s="3"/>
      <c r="I23" s="3">
        <f t="shared" si="0"/>
        <v>2.5</v>
      </c>
      <c r="K23" s="4">
        <f t="shared" si="1"/>
        <v>2716</v>
      </c>
      <c r="L23" s="7">
        <f t="shared" si="2"/>
        <v>0.79216541647493233</v>
      </c>
      <c r="M23" s="7">
        <f t="shared" si="3"/>
        <v>5.976447975405323</v>
      </c>
      <c r="Q23" s="2">
        <f t="shared" si="12"/>
        <v>47127</v>
      </c>
      <c r="R23" s="3">
        <f t="shared" si="13"/>
        <v>100</v>
      </c>
      <c r="S23" s="3">
        <f t="shared" si="14"/>
        <v>2.5</v>
      </c>
      <c r="T23" s="3"/>
      <c r="U23" s="3">
        <f t="shared" si="4"/>
        <v>2.5</v>
      </c>
      <c r="W23" s="4">
        <f t="shared" si="5"/>
        <v>2716</v>
      </c>
      <c r="X23" s="7">
        <f t="shared" si="6"/>
        <v>0.80325464989651696</v>
      </c>
      <c r="Y23" s="7">
        <f t="shared" si="7"/>
        <v>6.0601100808859441</v>
      </c>
      <c r="AC23" s="2">
        <f t="shared" si="15"/>
        <v>47127</v>
      </c>
      <c r="AD23" s="3">
        <f t="shared" si="16"/>
        <v>100</v>
      </c>
      <c r="AE23" s="3">
        <f t="shared" si="17"/>
        <v>2.5</v>
      </c>
      <c r="AF23" s="3"/>
      <c r="AG23" s="3">
        <f t="shared" si="8"/>
        <v>2.5</v>
      </c>
      <c r="AI23" s="4">
        <f t="shared" si="9"/>
        <v>2716</v>
      </c>
      <c r="AJ23" s="7" t="e">
        <f t="shared" si="10"/>
        <v>#REF!</v>
      </c>
      <c r="AK23" s="7" t="e">
        <f t="shared" si="11"/>
        <v>#REF!</v>
      </c>
    </row>
    <row r="24" spans="5:37" x14ac:dyDescent="0.2">
      <c r="E24" s="2">
        <v>47308</v>
      </c>
      <c r="F24" s="3">
        <v>100</v>
      </c>
      <c r="G24" s="3">
        <f t="shared" ref="G24:G36" si="19">0.05*(180/360)*F24</f>
        <v>2.5</v>
      </c>
      <c r="H24" s="3"/>
      <c r="I24" s="3">
        <f t="shared" si="0"/>
        <v>2.5</v>
      </c>
      <c r="K24" s="4">
        <f t="shared" si="1"/>
        <v>2896</v>
      </c>
      <c r="L24" s="7">
        <f t="shared" si="2"/>
        <v>0.73406912791273238</v>
      </c>
      <c r="M24" s="7">
        <f t="shared" si="3"/>
        <v>5.905178317875758</v>
      </c>
      <c r="Q24" s="2">
        <f t="shared" si="12"/>
        <v>47308</v>
      </c>
      <c r="R24" s="3">
        <f t="shared" si="13"/>
        <v>100</v>
      </c>
      <c r="S24" s="3">
        <f t="shared" si="14"/>
        <v>2.5</v>
      </c>
      <c r="T24" s="3"/>
      <c r="U24" s="3">
        <f t="shared" si="4"/>
        <v>2.5</v>
      </c>
      <c r="W24" s="4">
        <f t="shared" si="5"/>
        <v>2896</v>
      </c>
      <c r="X24" s="7">
        <f t="shared" si="6"/>
        <v>0.74503118191828555</v>
      </c>
      <c r="Y24" s="7">
        <f t="shared" si="7"/>
        <v>5.9933619523204307</v>
      </c>
      <c r="AC24" s="2">
        <f t="shared" si="15"/>
        <v>47308</v>
      </c>
      <c r="AD24" s="3">
        <f t="shared" si="16"/>
        <v>100</v>
      </c>
      <c r="AE24" s="3">
        <f t="shared" si="17"/>
        <v>2.5</v>
      </c>
      <c r="AF24" s="3"/>
      <c r="AG24" s="3">
        <f t="shared" si="8"/>
        <v>2.5</v>
      </c>
      <c r="AI24" s="4">
        <f t="shared" si="9"/>
        <v>2896</v>
      </c>
      <c r="AJ24" s="7" t="e">
        <f t="shared" si="10"/>
        <v>#REF!</v>
      </c>
      <c r="AK24" s="7" t="e">
        <f t="shared" si="11"/>
        <v>#REF!</v>
      </c>
    </row>
    <row r="25" spans="5:37" x14ac:dyDescent="0.2">
      <c r="E25" s="2">
        <v>47492</v>
      </c>
      <c r="F25" s="3">
        <v>100</v>
      </c>
      <c r="G25" s="3">
        <f t="shared" si="19"/>
        <v>2.5</v>
      </c>
      <c r="H25" s="3"/>
      <c r="I25" s="3">
        <f t="shared" si="0"/>
        <v>2.5</v>
      </c>
      <c r="K25" s="4">
        <f t="shared" si="1"/>
        <v>3076</v>
      </c>
      <c r="L25" s="7">
        <f t="shared" si="2"/>
        <v>0.68023353878843718</v>
      </c>
      <c r="M25" s="7">
        <f t="shared" si="3"/>
        <v>5.8122176814256461</v>
      </c>
      <c r="Q25" s="2">
        <f t="shared" si="12"/>
        <v>47492</v>
      </c>
      <c r="R25" s="3">
        <f t="shared" si="13"/>
        <v>100</v>
      </c>
      <c r="S25" s="3">
        <f t="shared" si="14"/>
        <v>2.5</v>
      </c>
      <c r="T25" s="3"/>
      <c r="U25" s="3">
        <f t="shared" si="4"/>
        <v>2.5</v>
      </c>
      <c r="W25" s="4">
        <f t="shared" si="5"/>
        <v>3076</v>
      </c>
      <c r="X25" s="7">
        <f t="shared" si="6"/>
        <v>0.69102800973771772</v>
      </c>
      <c r="Y25" s="7">
        <f t="shared" si="7"/>
        <v>5.9044504387589436</v>
      </c>
      <c r="AC25" s="2">
        <f t="shared" si="15"/>
        <v>47492</v>
      </c>
      <c r="AD25" s="3">
        <f t="shared" si="16"/>
        <v>100</v>
      </c>
      <c r="AE25" s="3">
        <f t="shared" si="17"/>
        <v>2.5</v>
      </c>
      <c r="AF25" s="3"/>
      <c r="AG25" s="3">
        <f t="shared" si="8"/>
        <v>2.5</v>
      </c>
      <c r="AI25" s="4">
        <f t="shared" si="9"/>
        <v>3076</v>
      </c>
      <c r="AJ25" s="7" t="e">
        <f t="shared" si="10"/>
        <v>#REF!</v>
      </c>
      <c r="AK25" s="7" t="e">
        <f t="shared" si="11"/>
        <v>#REF!</v>
      </c>
    </row>
    <row r="26" spans="5:37" x14ac:dyDescent="0.2">
      <c r="E26" s="2">
        <v>47673</v>
      </c>
      <c r="F26" s="3">
        <v>100</v>
      </c>
      <c r="G26" s="3">
        <f t="shared" si="19"/>
        <v>2.5</v>
      </c>
      <c r="H26" s="3"/>
      <c r="I26" s="3">
        <f t="shared" si="0"/>
        <v>2.5</v>
      </c>
      <c r="K26" s="4">
        <f t="shared" si="1"/>
        <v>3256</v>
      </c>
      <c r="L26" s="7">
        <f t="shared" si="2"/>
        <v>0.6303461754458215</v>
      </c>
      <c r="M26" s="7">
        <f t="shared" si="3"/>
        <v>5.7011309645877635</v>
      </c>
      <c r="Q26" s="2">
        <f t="shared" si="12"/>
        <v>47673</v>
      </c>
      <c r="R26" s="3">
        <f t="shared" si="13"/>
        <v>100</v>
      </c>
      <c r="S26" s="3">
        <f t="shared" si="14"/>
        <v>2.5</v>
      </c>
      <c r="T26" s="3"/>
      <c r="U26" s="3">
        <f t="shared" si="4"/>
        <v>2.5</v>
      </c>
      <c r="W26" s="4">
        <f t="shared" si="5"/>
        <v>3256</v>
      </c>
      <c r="X26" s="7">
        <f t="shared" si="6"/>
        <v>0.64093922755362653</v>
      </c>
      <c r="Y26" s="7">
        <f t="shared" si="7"/>
        <v>5.7969392358739107</v>
      </c>
      <c r="AC26" s="2">
        <f t="shared" si="15"/>
        <v>47673</v>
      </c>
      <c r="AD26" s="3">
        <f t="shared" si="16"/>
        <v>100</v>
      </c>
      <c r="AE26" s="3">
        <f t="shared" si="17"/>
        <v>2.5</v>
      </c>
      <c r="AF26" s="3"/>
      <c r="AG26" s="3">
        <f t="shared" si="8"/>
        <v>2.5</v>
      </c>
      <c r="AI26" s="4">
        <f t="shared" si="9"/>
        <v>3256</v>
      </c>
      <c r="AJ26" s="7" t="e">
        <f t="shared" si="10"/>
        <v>#REF!</v>
      </c>
      <c r="AK26" s="7" t="e">
        <f t="shared" si="11"/>
        <v>#REF!</v>
      </c>
    </row>
    <row r="27" spans="5:37" x14ac:dyDescent="0.2">
      <c r="E27" s="2">
        <v>47857</v>
      </c>
      <c r="F27" s="3">
        <v>100</v>
      </c>
      <c r="G27" s="3">
        <f t="shared" si="19"/>
        <v>2.5</v>
      </c>
      <c r="H27" s="3">
        <f>100/10</f>
        <v>10</v>
      </c>
      <c r="I27" s="3">
        <f t="shared" si="0"/>
        <v>12.5</v>
      </c>
      <c r="K27" s="4">
        <f t="shared" si="1"/>
        <v>3436</v>
      </c>
      <c r="L27" s="7">
        <f t="shared" si="2"/>
        <v>2.920587403018009</v>
      </c>
      <c r="M27" s="7">
        <f t="shared" si="3"/>
        <v>27.875384213249664</v>
      </c>
      <c r="Q27" s="2">
        <f t="shared" si="12"/>
        <v>47857</v>
      </c>
      <c r="R27" s="3">
        <f t="shared" si="13"/>
        <v>100</v>
      </c>
      <c r="S27" s="3">
        <f t="shared" si="14"/>
        <v>2.5</v>
      </c>
      <c r="T27" s="3">
        <f>100/10</f>
        <v>10</v>
      </c>
      <c r="U27" s="3">
        <f t="shared" si="4"/>
        <v>12.5</v>
      </c>
      <c r="W27" s="4">
        <f t="shared" si="5"/>
        <v>3436</v>
      </c>
      <c r="X27" s="7">
        <f t="shared" si="6"/>
        <v>2.972405514886157</v>
      </c>
      <c r="Y27" s="7">
        <f t="shared" si="7"/>
        <v>28.369959303191209</v>
      </c>
      <c r="AC27" s="2">
        <f t="shared" si="15"/>
        <v>47857</v>
      </c>
      <c r="AD27" s="3">
        <f t="shared" si="16"/>
        <v>100</v>
      </c>
      <c r="AE27" s="3">
        <f t="shared" si="17"/>
        <v>2.5</v>
      </c>
      <c r="AF27" s="3">
        <f>100/10</f>
        <v>10</v>
      </c>
      <c r="AG27" s="3">
        <f t="shared" si="8"/>
        <v>12.5</v>
      </c>
      <c r="AI27" s="4">
        <f t="shared" si="9"/>
        <v>3436</v>
      </c>
      <c r="AJ27" s="7" t="e">
        <f t="shared" si="10"/>
        <v>#REF!</v>
      </c>
      <c r="AK27" s="7" t="e">
        <f t="shared" si="11"/>
        <v>#REF!</v>
      </c>
    </row>
    <row r="28" spans="5:37" x14ac:dyDescent="0.2">
      <c r="E28" s="2">
        <v>48038</v>
      </c>
      <c r="F28" s="3">
        <f>+F27-H27</f>
        <v>90</v>
      </c>
      <c r="G28" s="3">
        <f t="shared" si="19"/>
        <v>2.25</v>
      </c>
      <c r="H28" s="3">
        <f t="shared" ref="H28:H36" si="20">100/10</f>
        <v>10</v>
      </c>
      <c r="I28" s="3">
        <f t="shared" si="0"/>
        <v>12.25</v>
      </c>
      <c r="K28" s="4">
        <f t="shared" si="1"/>
        <v>3616</v>
      </c>
      <c r="L28" s="7">
        <f t="shared" si="2"/>
        <v>2.6522677502348406</v>
      </c>
      <c r="M28" s="7">
        <f t="shared" si="3"/>
        <v>26.640556069025511</v>
      </c>
      <c r="Q28" s="2">
        <f t="shared" si="12"/>
        <v>48038</v>
      </c>
      <c r="R28" s="3">
        <f t="shared" si="13"/>
        <v>90</v>
      </c>
      <c r="S28" s="3">
        <f t="shared" si="14"/>
        <v>2.25</v>
      </c>
      <c r="T28" s="3">
        <f t="shared" ref="T28:T36" si="21">100/10</f>
        <v>10</v>
      </c>
      <c r="U28" s="3">
        <f t="shared" si="4"/>
        <v>12.25</v>
      </c>
      <c r="W28" s="4">
        <f t="shared" si="5"/>
        <v>3616</v>
      </c>
      <c r="X28" s="7">
        <f t="shared" si="6"/>
        <v>2.7018133020427992</v>
      </c>
      <c r="Y28" s="7">
        <f t="shared" si="7"/>
        <v>27.138213611629894</v>
      </c>
      <c r="AC28" s="2">
        <f t="shared" si="15"/>
        <v>48038</v>
      </c>
      <c r="AD28" s="3">
        <f t="shared" si="16"/>
        <v>90</v>
      </c>
      <c r="AE28" s="3">
        <f t="shared" si="17"/>
        <v>2.25</v>
      </c>
      <c r="AF28" s="3">
        <f t="shared" ref="AF28:AF36" si="22">100/10</f>
        <v>10</v>
      </c>
      <c r="AG28" s="3">
        <f t="shared" si="8"/>
        <v>12.25</v>
      </c>
      <c r="AI28" s="4">
        <f t="shared" si="9"/>
        <v>3616</v>
      </c>
      <c r="AJ28" s="7" t="e">
        <f t="shared" si="10"/>
        <v>#REF!</v>
      </c>
      <c r="AK28" s="7" t="e">
        <f t="shared" si="11"/>
        <v>#REF!</v>
      </c>
    </row>
    <row r="29" spans="5:37" x14ac:dyDescent="0.2">
      <c r="E29" s="2">
        <v>48222</v>
      </c>
      <c r="F29" s="3">
        <f t="shared" ref="F29:F36" si="23">+F28-H28</f>
        <v>80</v>
      </c>
      <c r="G29" s="3">
        <f t="shared" si="19"/>
        <v>2</v>
      </c>
      <c r="H29" s="3">
        <f t="shared" si="20"/>
        <v>10</v>
      </c>
      <c r="I29" s="3">
        <f t="shared" si="0"/>
        <v>12</v>
      </c>
      <c r="K29" s="4">
        <f t="shared" si="1"/>
        <v>3796</v>
      </c>
      <c r="L29" s="7">
        <f t="shared" si="2"/>
        <v>2.4075959448002355</v>
      </c>
      <c r="M29" s="7">
        <f t="shared" si="3"/>
        <v>25.386761684615816</v>
      </c>
      <c r="Q29" s="2">
        <f t="shared" si="12"/>
        <v>48222</v>
      </c>
      <c r="R29" s="3">
        <f t="shared" si="13"/>
        <v>80</v>
      </c>
      <c r="S29" s="3">
        <f t="shared" si="14"/>
        <v>2</v>
      </c>
      <c r="T29" s="3">
        <f t="shared" si="21"/>
        <v>10</v>
      </c>
      <c r="U29" s="3">
        <f t="shared" si="4"/>
        <v>12</v>
      </c>
      <c r="W29" s="4">
        <f t="shared" si="5"/>
        <v>3796</v>
      </c>
      <c r="X29" s="7">
        <f t="shared" si="6"/>
        <v>2.4548315389843332</v>
      </c>
      <c r="Y29" s="7">
        <f t="shared" si="7"/>
        <v>25.884834783290358</v>
      </c>
      <c r="AC29" s="2">
        <f t="shared" si="15"/>
        <v>48222</v>
      </c>
      <c r="AD29" s="3">
        <f t="shared" si="16"/>
        <v>80</v>
      </c>
      <c r="AE29" s="3">
        <f t="shared" si="17"/>
        <v>2</v>
      </c>
      <c r="AF29" s="3">
        <f t="shared" si="22"/>
        <v>10</v>
      </c>
      <c r="AG29" s="3">
        <f t="shared" si="8"/>
        <v>12</v>
      </c>
      <c r="AI29" s="4">
        <f t="shared" si="9"/>
        <v>3796</v>
      </c>
      <c r="AJ29" s="7" t="e">
        <f t="shared" si="10"/>
        <v>#REF!</v>
      </c>
      <c r="AK29" s="7" t="e">
        <f t="shared" si="11"/>
        <v>#REF!</v>
      </c>
    </row>
    <row r="30" spans="5:37" x14ac:dyDescent="0.2">
      <c r="E30" s="2">
        <v>48404</v>
      </c>
      <c r="F30" s="3">
        <f t="shared" si="23"/>
        <v>70</v>
      </c>
      <c r="G30" s="3">
        <f t="shared" si="19"/>
        <v>1.75</v>
      </c>
      <c r="H30" s="3">
        <f t="shared" si="20"/>
        <v>10</v>
      </c>
      <c r="I30" s="3">
        <f t="shared" si="0"/>
        <v>11.75</v>
      </c>
      <c r="K30" s="4">
        <f t="shared" si="1"/>
        <v>3976</v>
      </c>
      <c r="L30" s="7">
        <f t="shared" si="2"/>
        <v>2.1845465575554428</v>
      </c>
      <c r="M30" s="7">
        <f t="shared" si="3"/>
        <v>24.127103091223447</v>
      </c>
      <c r="Q30" s="2">
        <f t="shared" si="12"/>
        <v>48404</v>
      </c>
      <c r="R30" s="3">
        <f t="shared" si="13"/>
        <v>70</v>
      </c>
      <c r="S30" s="3">
        <f t="shared" si="14"/>
        <v>1.75</v>
      </c>
      <c r="T30" s="3">
        <f t="shared" si="21"/>
        <v>10</v>
      </c>
      <c r="U30" s="3">
        <f t="shared" si="4"/>
        <v>11.75</v>
      </c>
      <c r="W30" s="4">
        <f t="shared" si="5"/>
        <v>3976</v>
      </c>
      <c r="X30" s="7">
        <f t="shared" si="6"/>
        <v>2.2294591350784549</v>
      </c>
      <c r="Y30" s="7">
        <f t="shared" si="7"/>
        <v>24.623137558533159</v>
      </c>
      <c r="AC30" s="2">
        <f t="shared" si="15"/>
        <v>48404</v>
      </c>
      <c r="AD30" s="3">
        <f t="shared" si="16"/>
        <v>70</v>
      </c>
      <c r="AE30" s="3">
        <f t="shared" si="17"/>
        <v>1.75</v>
      </c>
      <c r="AF30" s="3">
        <f t="shared" si="22"/>
        <v>10</v>
      </c>
      <c r="AG30" s="3">
        <f t="shared" si="8"/>
        <v>11.75</v>
      </c>
      <c r="AI30" s="4">
        <f t="shared" si="9"/>
        <v>3976</v>
      </c>
      <c r="AJ30" s="7" t="e">
        <f t="shared" si="10"/>
        <v>#REF!</v>
      </c>
      <c r="AK30" s="7" t="e">
        <f t="shared" si="11"/>
        <v>#REF!</v>
      </c>
    </row>
    <row r="31" spans="5:37" x14ac:dyDescent="0.2">
      <c r="E31" s="2">
        <v>48588</v>
      </c>
      <c r="F31" s="3">
        <f t="shared" si="23"/>
        <v>60</v>
      </c>
      <c r="G31" s="3">
        <f t="shared" si="19"/>
        <v>1.5</v>
      </c>
      <c r="H31" s="3">
        <f t="shared" si="20"/>
        <v>10</v>
      </c>
      <c r="I31" s="3">
        <f t="shared" si="0"/>
        <v>11.5</v>
      </c>
      <c r="K31" s="4">
        <f t="shared" si="1"/>
        <v>4156</v>
      </c>
      <c r="L31" s="7">
        <f t="shared" si="2"/>
        <v>1.9812640524739205</v>
      </c>
      <c r="M31" s="7">
        <f t="shared" si="3"/>
        <v>22.872592783560037</v>
      </c>
      <c r="Q31" s="2">
        <f t="shared" si="12"/>
        <v>48588</v>
      </c>
      <c r="R31" s="3">
        <f t="shared" si="13"/>
        <v>60</v>
      </c>
      <c r="S31" s="3">
        <f t="shared" si="14"/>
        <v>1.5</v>
      </c>
      <c r="T31" s="3">
        <f t="shared" si="21"/>
        <v>10</v>
      </c>
      <c r="U31" s="3">
        <f t="shared" si="4"/>
        <v>11.5</v>
      </c>
      <c r="W31" s="4">
        <f t="shared" si="5"/>
        <v>4156</v>
      </c>
      <c r="X31" s="7">
        <f t="shared" si="6"/>
        <v>2.0238610464013527</v>
      </c>
      <c r="Y31" s="7">
        <f t="shared" si="7"/>
        <v>23.364351413455616</v>
      </c>
      <c r="AC31" s="2">
        <f t="shared" si="15"/>
        <v>48588</v>
      </c>
      <c r="AD31" s="3">
        <f t="shared" si="16"/>
        <v>60</v>
      </c>
      <c r="AE31" s="3">
        <f t="shared" si="17"/>
        <v>1.5</v>
      </c>
      <c r="AF31" s="3">
        <f t="shared" si="22"/>
        <v>10</v>
      </c>
      <c r="AG31" s="3">
        <f t="shared" si="8"/>
        <v>11.5</v>
      </c>
      <c r="AI31" s="4">
        <f t="shared" si="9"/>
        <v>4156</v>
      </c>
      <c r="AJ31" s="7" t="e">
        <f t="shared" si="10"/>
        <v>#REF!</v>
      </c>
      <c r="AK31" s="7" t="e">
        <f t="shared" si="11"/>
        <v>#REF!</v>
      </c>
    </row>
    <row r="32" spans="5:37" x14ac:dyDescent="0.2">
      <c r="E32" s="2">
        <v>48769</v>
      </c>
      <c r="F32" s="3">
        <f t="shared" si="23"/>
        <v>50</v>
      </c>
      <c r="G32" s="3">
        <f t="shared" si="19"/>
        <v>1.25</v>
      </c>
      <c r="H32" s="3">
        <f t="shared" si="20"/>
        <v>10</v>
      </c>
      <c r="I32" s="3">
        <f t="shared" si="0"/>
        <v>11.25</v>
      </c>
      <c r="K32" s="4">
        <f t="shared" si="1"/>
        <v>4336</v>
      </c>
      <c r="L32" s="7">
        <f t="shared" si="2"/>
        <v>1.7960487610856704</v>
      </c>
      <c r="M32" s="7">
        <f t="shared" si="3"/>
        <v>21.632409522409628</v>
      </c>
      <c r="Q32" s="2">
        <f t="shared" si="12"/>
        <v>48769</v>
      </c>
      <c r="R32" s="3">
        <f t="shared" si="13"/>
        <v>50</v>
      </c>
      <c r="S32" s="3">
        <f t="shared" si="14"/>
        <v>1.25</v>
      </c>
      <c r="T32" s="3">
        <f t="shared" si="21"/>
        <v>10</v>
      </c>
      <c r="U32" s="3">
        <f t="shared" si="4"/>
        <v>11.25</v>
      </c>
      <c r="W32" s="4">
        <f t="shared" si="5"/>
        <v>4336</v>
      </c>
      <c r="X32" s="7">
        <f t="shared" si="6"/>
        <v>1.8363547178503714</v>
      </c>
      <c r="Y32" s="7">
        <f t="shared" si="7"/>
        <v>22.11787237944225</v>
      </c>
      <c r="AC32" s="2">
        <f t="shared" si="15"/>
        <v>48769</v>
      </c>
      <c r="AD32" s="3">
        <f t="shared" si="16"/>
        <v>50</v>
      </c>
      <c r="AE32" s="3">
        <f t="shared" si="17"/>
        <v>1.25</v>
      </c>
      <c r="AF32" s="3">
        <f t="shared" si="22"/>
        <v>10</v>
      </c>
      <c r="AG32" s="3">
        <f t="shared" si="8"/>
        <v>11.25</v>
      </c>
      <c r="AI32" s="4">
        <f t="shared" si="9"/>
        <v>4336</v>
      </c>
      <c r="AJ32" s="7" t="e">
        <f t="shared" si="10"/>
        <v>#REF!</v>
      </c>
      <c r="AK32" s="7" t="e">
        <f t="shared" si="11"/>
        <v>#REF!</v>
      </c>
    </row>
    <row r="33" spans="5:37" x14ac:dyDescent="0.2">
      <c r="E33" s="2">
        <v>48953</v>
      </c>
      <c r="F33" s="3">
        <f t="shared" si="23"/>
        <v>40</v>
      </c>
      <c r="G33" s="3">
        <f t="shared" si="19"/>
        <v>1</v>
      </c>
      <c r="H33" s="3">
        <f t="shared" si="20"/>
        <v>10</v>
      </c>
      <c r="I33" s="3">
        <f t="shared" si="0"/>
        <v>11</v>
      </c>
      <c r="K33" s="4">
        <f t="shared" si="1"/>
        <v>4516</v>
      </c>
      <c r="L33" s="7">
        <f t="shared" si="2"/>
        <v>1.6273440003549333</v>
      </c>
      <c r="M33" s="7">
        <f t="shared" si="3"/>
        <v>20.414126404452443</v>
      </c>
      <c r="Q33" s="2">
        <f t="shared" si="12"/>
        <v>48953</v>
      </c>
      <c r="R33" s="3">
        <f t="shared" si="13"/>
        <v>40</v>
      </c>
      <c r="S33" s="3">
        <f t="shared" si="14"/>
        <v>1</v>
      </c>
      <c r="T33" s="3">
        <f t="shared" si="21"/>
        <v>10</v>
      </c>
      <c r="U33" s="3">
        <f t="shared" si="4"/>
        <v>11</v>
      </c>
      <c r="W33" s="4">
        <f t="shared" si="5"/>
        <v>4516</v>
      </c>
      <c r="X33" s="7">
        <f t="shared" si="6"/>
        <v>1.6653976183200214</v>
      </c>
      <c r="Y33" s="7">
        <f t="shared" si="7"/>
        <v>20.8914879009256</v>
      </c>
      <c r="AC33" s="2">
        <f t="shared" si="15"/>
        <v>48953</v>
      </c>
      <c r="AD33" s="3">
        <f t="shared" si="16"/>
        <v>40</v>
      </c>
      <c r="AE33" s="3">
        <f t="shared" si="17"/>
        <v>1</v>
      </c>
      <c r="AF33" s="3">
        <f t="shared" si="22"/>
        <v>10</v>
      </c>
      <c r="AG33" s="3">
        <f t="shared" si="8"/>
        <v>11</v>
      </c>
      <c r="AI33" s="4">
        <f t="shared" si="9"/>
        <v>4516</v>
      </c>
      <c r="AJ33" s="7" t="e">
        <f t="shared" si="10"/>
        <v>#REF!</v>
      </c>
      <c r="AK33" s="7" t="e">
        <f t="shared" si="11"/>
        <v>#REF!</v>
      </c>
    </row>
    <row r="34" spans="5:37" x14ac:dyDescent="0.2">
      <c r="E34" s="2">
        <v>49134</v>
      </c>
      <c r="F34" s="3">
        <f t="shared" si="23"/>
        <v>30</v>
      </c>
      <c r="G34" s="3">
        <f t="shared" si="19"/>
        <v>0.75</v>
      </c>
      <c r="H34" s="3">
        <f t="shared" si="20"/>
        <v>10</v>
      </c>
      <c r="I34" s="3">
        <f t="shared" si="0"/>
        <v>10.75</v>
      </c>
      <c r="K34" s="4">
        <f t="shared" si="1"/>
        <v>4696</v>
      </c>
      <c r="L34" s="7">
        <f t="shared" si="2"/>
        <v>1.4737242417299783</v>
      </c>
      <c r="M34" s="7">
        <f t="shared" si="3"/>
        <v>19.223913997677716</v>
      </c>
      <c r="Q34" s="2">
        <f t="shared" si="12"/>
        <v>49134</v>
      </c>
      <c r="R34" s="3">
        <f t="shared" si="13"/>
        <v>30</v>
      </c>
      <c r="S34" s="3">
        <f t="shared" si="14"/>
        <v>0.75</v>
      </c>
      <c r="T34" s="3">
        <f t="shared" si="21"/>
        <v>10</v>
      </c>
      <c r="U34" s="3">
        <f t="shared" si="4"/>
        <v>10.75</v>
      </c>
      <c r="W34" s="4">
        <f t="shared" si="5"/>
        <v>4696</v>
      </c>
      <c r="X34" s="7">
        <f t="shared" si="6"/>
        <v>1.5095757817142195</v>
      </c>
      <c r="Y34" s="7">
        <f t="shared" si="7"/>
        <v>19.691577419249928</v>
      </c>
      <c r="AC34" s="2">
        <f t="shared" si="15"/>
        <v>49134</v>
      </c>
      <c r="AD34" s="3">
        <f t="shared" si="16"/>
        <v>30</v>
      </c>
      <c r="AE34" s="3">
        <f t="shared" si="17"/>
        <v>0.75</v>
      </c>
      <c r="AF34" s="3">
        <f t="shared" si="22"/>
        <v>10</v>
      </c>
      <c r="AG34" s="3">
        <f t="shared" si="8"/>
        <v>10.75</v>
      </c>
      <c r="AI34" s="4">
        <f t="shared" si="9"/>
        <v>4696</v>
      </c>
      <c r="AJ34" s="7" t="e">
        <f t="shared" si="10"/>
        <v>#REF!</v>
      </c>
      <c r="AK34" s="7" t="e">
        <f t="shared" si="11"/>
        <v>#REF!</v>
      </c>
    </row>
    <row r="35" spans="5:37" x14ac:dyDescent="0.2">
      <c r="E35" s="2">
        <v>49318</v>
      </c>
      <c r="F35" s="3">
        <f t="shared" si="23"/>
        <v>20</v>
      </c>
      <c r="G35" s="3">
        <f t="shared" si="19"/>
        <v>0.5</v>
      </c>
      <c r="H35" s="3">
        <f t="shared" si="20"/>
        <v>10</v>
      </c>
      <c r="I35" s="3">
        <f t="shared" si="0"/>
        <v>10.5</v>
      </c>
      <c r="K35" s="4">
        <f t="shared" si="1"/>
        <v>4876</v>
      </c>
      <c r="L35" s="7">
        <f t="shared" si="2"/>
        <v>1.3338842464691532</v>
      </c>
      <c r="M35" s="7">
        <f t="shared" si="3"/>
        <v>18.066721071621085</v>
      </c>
      <c r="Q35" s="2">
        <f t="shared" si="12"/>
        <v>49318</v>
      </c>
      <c r="R35" s="3">
        <f t="shared" si="13"/>
        <v>20</v>
      </c>
      <c r="S35" s="3">
        <f t="shared" si="14"/>
        <v>0.5</v>
      </c>
      <c r="T35" s="3">
        <f t="shared" si="21"/>
        <v>10</v>
      </c>
      <c r="U35" s="3">
        <f t="shared" si="4"/>
        <v>10.5</v>
      </c>
      <c r="W35" s="4">
        <f t="shared" si="5"/>
        <v>4876</v>
      </c>
      <c r="X35" s="7">
        <f t="shared" si="6"/>
        <v>1.3675932734699165</v>
      </c>
      <c r="Y35" s="7">
        <f t="shared" si="7"/>
        <v>18.523291115109203</v>
      </c>
      <c r="AC35" s="2">
        <f t="shared" si="15"/>
        <v>49318</v>
      </c>
      <c r="AD35" s="3">
        <f t="shared" si="16"/>
        <v>20</v>
      </c>
      <c r="AE35" s="3">
        <f t="shared" si="17"/>
        <v>0.5</v>
      </c>
      <c r="AF35" s="3">
        <f t="shared" si="22"/>
        <v>10</v>
      </c>
      <c r="AG35" s="3">
        <f t="shared" si="8"/>
        <v>10.5</v>
      </c>
      <c r="AI35" s="4">
        <f t="shared" si="9"/>
        <v>4876</v>
      </c>
      <c r="AJ35" s="7" t="e">
        <f t="shared" si="10"/>
        <v>#REF!</v>
      </c>
      <c r="AK35" s="7" t="e">
        <f t="shared" si="11"/>
        <v>#REF!</v>
      </c>
    </row>
    <row r="36" spans="5:37" x14ac:dyDescent="0.2">
      <c r="E36" s="2">
        <v>49499</v>
      </c>
      <c r="F36" s="3">
        <f t="shared" si="23"/>
        <v>10</v>
      </c>
      <c r="G36" s="3">
        <f t="shared" si="19"/>
        <v>0.25</v>
      </c>
      <c r="H36" s="3">
        <f t="shared" si="20"/>
        <v>10</v>
      </c>
      <c r="I36" s="3">
        <f t="shared" si="0"/>
        <v>10.25</v>
      </c>
      <c r="K36" s="4">
        <f t="shared" si="1"/>
        <v>5056</v>
      </c>
      <c r="L36" s="7">
        <f t="shared" si="2"/>
        <v>1.206629089145858</v>
      </c>
      <c r="M36" s="7">
        <f t="shared" si="3"/>
        <v>16.946435207559606</v>
      </c>
      <c r="Q36" s="2">
        <f t="shared" si="12"/>
        <v>49499</v>
      </c>
      <c r="R36" s="3">
        <f t="shared" si="13"/>
        <v>10</v>
      </c>
      <c r="S36" s="3">
        <f t="shared" si="14"/>
        <v>0.25</v>
      </c>
      <c r="T36" s="3">
        <f t="shared" si="21"/>
        <v>10</v>
      </c>
      <c r="U36" s="3">
        <f t="shared" si="4"/>
        <v>10.25</v>
      </c>
      <c r="W36" s="4">
        <f t="shared" si="5"/>
        <v>5056</v>
      </c>
      <c r="X36" s="7">
        <f t="shared" si="6"/>
        <v>1.2382625086272214</v>
      </c>
      <c r="Y36" s="7">
        <f t="shared" si="7"/>
        <v>17.390709010053421</v>
      </c>
      <c r="AC36" s="2">
        <f t="shared" si="15"/>
        <v>49499</v>
      </c>
      <c r="AD36" s="3">
        <f t="shared" si="16"/>
        <v>10</v>
      </c>
      <c r="AE36" s="3">
        <f t="shared" si="17"/>
        <v>0.25</v>
      </c>
      <c r="AF36" s="3">
        <f t="shared" si="22"/>
        <v>10</v>
      </c>
      <c r="AG36" s="3">
        <f t="shared" si="8"/>
        <v>10.25</v>
      </c>
      <c r="AI36" s="4">
        <f t="shared" si="9"/>
        <v>5056</v>
      </c>
      <c r="AJ36" s="7" t="e">
        <f t="shared" si="10"/>
        <v>#REF!</v>
      </c>
      <c r="AK36" s="7" t="e">
        <f t="shared" si="11"/>
        <v>#REF!</v>
      </c>
    </row>
    <row r="37" spans="5:37" x14ac:dyDescent="0.2">
      <c r="L37" s="7">
        <f>SUM(L8:L36)</f>
        <v>34.736007726849884</v>
      </c>
      <c r="M37" s="7">
        <f>SUM(M8:M36)</f>
        <v>295.62282338087891</v>
      </c>
      <c r="X37" s="7">
        <f>SUM(X8:X36)</f>
        <v>35.285878128030326</v>
      </c>
      <c r="Y37" s="7">
        <f>SUM(Y8:Y36)</f>
        <v>301.23096598823901</v>
      </c>
      <c r="AJ37" s="7" t="e">
        <f>SUM(AJ8:AJ36)</f>
        <v>#REF!</v>
      </c>
      <c r="AK37" s="7" t="e">
        <f>SUM(AK8:AK36)</f>
        <v>#REF!</v>
      </c>
    </row>
    <row r="38" spans="5:37" ht="15" x14ac:dyDescent="0.25">
      <c r="H38" s="6" t="s">
        <v>5</v>
      </c>
      <c r="I38" s="5">
        <f>XIRR(I7:I36,E7:E36)</f>
        <v>0.16454918980598451</v>
      </c>
      <c r="T38" s="6" t="s">
        <v>5</v>
      </c>
      <c r="U38" s="5">
        <f>XIRR(U7:U36,Q7:Q36)</f>
        <v>0.16240534186363223</v>
      </c>
      <c r="AF38" s="6" t="s">
        <v>5</v>
      </c>
      <c r="AG38" s="5" t="e">
        <f>XIRR(AG7:AG36,AC7:AC36)</f>
        <v>#REF!</v>
      </c>
    </row>
    <row r="39" spans="5:37" ht="15" x14ac:dyDescent="0.25">
      <c r="H39" s="6" t="s">
        <v>8</v>
      </c>
      <c r="I39" s="3">
        <f>M39/(1+(I38/2))</f>
        <v>7.8635851474132616</v>
      </c>
      <c r="L39" s="4" t="s">
        <v>7</v>
      </c>
      <c r="M39" s="3">
        <f>M37/L37</f>
        <v>8.5105584299018737</v>
      </c>
      <c r="T39" s="6" t="s">
        <v>8</v>
      </c>
      <c r="U39" s="3">
        <f>Y39/(1+(U38/2))</f>
        <v>7.8957170172658149</v>
      </c>
      <c r="X39" s="4" t="s">
        <v>7</v>
      </c>
      <c r="Y39" s="3">
        <f>Y37/X37</f>
        <v>8.5368703279895914</v>
      </c>
      <c r="AF39" s="6" t="s">
        <v>8</v>
      </c>
      <c r="AG39" s="3" t="e">
        <f>AK39/(1+(AG38/2))</f>
        <v>#REF!</v>
      </c>
      <c r="AJ39" s="4" t="s">
        <v>7</v>
      </c>
      <c r="AK39" s="3" t="e">
        <f>AK37/AJ37</f>
        <v>#REF!</v>
      </c>
    </row>
    <row r="44" spans="5:37" x14ac:dyDescent="0.2">
      <c r="G44" s="3"/>
    </row>
    <row r="47" spans="5:37" x14ac:dyDescent="0.2">
      <c r="AF47" s="5">
        <v>0.25</v>
      </c>
      <c r="AG47" s="4">
        <f>XNPV(AF47,AG52:AG78,AC52:AC78)</f>
        <v>26.08352084478166</v>
      </c>
    </row>
    <row r="52" spans="29:33" x14ac:dyDescent="0.2">
      <c r="AC52" s="36">
        <v>44918</v>
      </c>
      <c r="AG52" s="4">
        <v>0</v>
      </c>
    </row>
    <row r="53" spans="29:33" x14ac:dyDescent="0.2">
      <c r="AC53" s="2">
        <v>44935</v>
      </c>
      <c r="AD53" s="3">
        <v>100</v>
      </c>
      <c r="AE53" s="3">
        <v>0.75</v>
      </c>
      <c r="AF53" s="3"/>
      <c r="AG53" s="3">
        <v>0.75</v>
      </c>
    </row>
    <row r="54" spans="29:33" x14ac:dyDescent="0.2">
      <c r="AC54" s="2">
        <v>45116</v>
      </c>
      <c r="AD54" s="3">
        <v>100</v>
      </c>
      <c r="AE54" s="3">
        <v>0.75</v>
      </c>
      <c r="AF54" s="3"/>
      <c r="AG54" s="3">
        <v>0.75</v>
      </c>
    </row>
    <row r="55" spans="29:33" x14ac:dyDescent="0.2">
      <c r="AC55" s="2">
        <v>45300</v>
      </c>
      <c r="AD55" s="3">
        <v>100</v>
      </c>
      <c r="AE55" s="3">
        <v>1.8124999999999998</v>
      </c>
      <c r="AF55" s="3"/>
      <c r="AG55" s="3">
        <v>1.8124999999999998</v>
      </c>
    </row>
    <row r="56" spans="29:33" x14ac:dyDescent="0.2">
      <c r="AC56" s="2">
        <v>45482</v>
      </c>
      <c r="AD56" s="3">
        <v>100</v>
      </c>
      <c r="AE56" s="3">
        <v>1.8124999999999998</v>
      </c>
      <c r="AF56" s="3"/>
      <c r="AG56" s="3">
        <v>1.8124999999999998</v>
      </c>
    </row>
    <row r="57" spans="29:33" x14ac:dyDescent="0.2">
      <c r="AC57" s="2">
        <v>45666</v>
      </c>
      <c r="AD57" s="3">
        <v>100</v>
      </c>
      <c r="AE57" s="3">
        <v>2.0625</v>
      </c>
      <c r="AF57" s="3"/>
      <c r="AG57" s="3">
        <v>2.0625</v>
      </c>
    </row>
    <row r="58" spans="29:33" x14ac:dyDescent="0.2">
      <c r="AC58" s="2">
        <v>45847</v>
      </c>
      <c r="AD58" s="3">
        <v>100</v>
      </c>
      <c r="AE58" s="3">
        <v>2.0625</v>
      </c>
      <c r="AF58" s="3"/>
      <c r="AG58" s="3">
        <v>2.0625</v>
      </c>
    </row>
    <row r="59" spans="29:33" x14ac:dyDescent="0.2">
      <c r="AC59" s="2">
        <v>46031</v>
      </c>
      <c r="AD59" s="3">
        <v>100</v>
      </c>
      <c r="AE59" s="3">
        <v>2.0625</v>
      </c>
      <c r="AF59" s="3"/>
      <c r="AG59" s="3">
        <v>2.0625</v>
      </c>
    </row>
    <row r="60" spans="29:33" x14ac:dyDescent="0.2">
      <c r="AC60" s="2">
        <v>46212</v>
      </c>
      <c r="AD60" s="3">
        <v>100</v>
      </c>
      <c r="AE60" s="3">
        <v>2.0625</v>
      </c>
      <c r="AF60" s="3"/>
      <c r="AG60" s="3">
        <v>2.0625</v>
      </c>
    </row>
    <row r="61" spans="29:33" x14ac:dyDescent="0.2">
      <c r="AC61" s="2">
        <v>46396</v>
      </c>
      <c r="AD61" s="3">
        <v>100</v>
      </c>
      <c r="AE61" s="3">
        <v>2.0625</v>
      </c>
      <c r="AF61" s="3"/>
      <c r="AG61" s="3">
        <v>2.0625</v>
      </c>
    </row>
    <row r="62" spans="29:33" x14ac:dyDescent="0.2">
      <c r="AC62" s="2">
        <v>46577</v>
      </c>
      <c r="AD62" s="3">
        <v>100</v>
      </c>
      <c r="AE62" s="3">
        <v>2.0625</v>
      </c>
      <c r="AF62" s="3"/>
      <c r="AG62" s="3">
        <v>2.0625</v>
      </c>
    </row>
    <row r="63" spans="29:33" x14ac:dyDescent="0.2">
      <c r="AC63" s="2">
        <v>46761</v>
      </c>
      <c r="AD63" s="3">
        <v>100</v>
      </c>
      <c r="AE63" s="3">
        <v>2.375</v>
      </c>
      <c r="AF63" s="3"/>
      <c r="AG63" s="3">
        <v>2.375</v>
      </c>
    </row>
    <row r="64" spans="29:33" x14ac:dyDescent="0.2">
      <c r="AC64" s="2">
        <v>46943</v>
      </c>
      <c r="AD64" s="3">
        <v>100</v>
      </c>
      <c r="AE64" s="3">
        <v>2.375</v>
      </c>
      <c r="AF64" s="3"/>
      <c r="AG64" s="3">
        <v>2.375</v>
      </c>
    </row>
    <row r="65" spans="29:33" x14ac:dyDescent="0.2">
      <c r="AC65" s="2">
        <v>47127</v>
      </c>
      <c r="AD65" s="3">
        <v>100</v>
      </c>
      <c r="AE65" s="3">
        <v>2.5</v>
      </c>
      <c r="AF65" s="3"/>
      <c r="AG65" s="3">
        <v>2.5</v>
      </c>
    </row>
    <row r="66" spans="29:33" x14ac:dyDescent="0.2">
      <c r="AC66" s="2">
        <v>47308</v>
      </c>
      <c r="AD66" s="3">
        <v>100</v>
      </c>
      <c r="AE66" s="3">
        <v>2.5</v>
      </c>
      <c r="AF66" s="3"/>
      <c r="AG66" s="3">
        <v>2.5</v>
      </c>
    </row>
    <row r="67" spans="29:33" x14ac:dyDescent="0.2">
      <c r="AC67" s="2">
        <v>47492</v>
      </c>
      <c r="AD67" s="3">
        <v>100</v>
      </c>
      <c r="AE67" s="3">
        <v>2.5</v>
      </c>
      <c r="AF67" s="3"/>
      <c r="AG67" s="3">
        <v>2.5</v>
      </c>
    </row>
    <row r="68" spans="29:33" x14ac:dyDescent="0.2">
      <c r="AC68" s="2">
        <v>47673</v>
      </c>
      <c r="AD68" s="3">
        <v>100</v>
      </c>
      <c r="AE68" s="3">
        <v>2.5</v>
      </c>
      <c r="AF68" s="3"/>
      <c r="AG68" s="3">
        <v>2.5</v>
      </c>
    </row>
    <row r="69" spans="29:33" x14ac:dyDescent="0.2">
      <c r="AC69" s="2">
        <v>47857</v>
      </c>
      <c r="AD69" s="3">
        <v>100</v>
      </c>
      <c r="AE69" s="3">
        <v>2.5</v>
      </c>
      <c r="AF69" s="3">
        <v>10</v>
      </c>
      <c r="AG69" s="3">
        <v>12.5</v>
      </c>
    </row>
    <row r="70" spans="29:33" x14ac:dyDescent="0.2">
      <c r="AC70" s="2">
        <v>48038</v>
      </c>
      <c r="AD70" s="3">
        <v>90</v>
      </c>
      <c r="AE70" s="3">
        <v>2.25</v>
      </c>
      <c r="AF70" s="3">
        <v>10</v>
      </c>
      <c r="AG70" s="3">
        <v>12.25</v>
      </c>
    </row>
    <row r="71" spans="29:33" x14ac:dyDescent="0.2">
      <c r="AC71" s="2">
        <v>48222</v>
      </c>
      <c r="AD71" s="3">
        <v>80</v>
      </c>
      <c r="AE71" s="3">
        <v>2</v>
      </c>
      <c r="AF71" s="3">
        <v>10</v>
      </c>
      <c r="AG71" s="3">
        <v>12</v>
      </c>
    </row>
    <row r="72" spans="29:33" x14ac:dyDescent="0.2">
      <c r="AC72" s="2">
        <v>48404</v>
      </c>
      <c r="AD72" s="3">
        <v>70</v>
      </c>
      <c r="AE72" s="3">
        <v>1.75</v>
      </c>
      <c r="AF72" s="3">
        <v>10</v>
      </c>
      <c r="AG72" s="3">
        <v>11.75</v>
      </c>
    </row>
    <row r="73" spans="29:33" x14ac:dyDescent="0.2">
      <c r="AC73" s="2">
        <v>48588</v>
      </c>
      <c r="AD73" s="3">
        <v>60</v>
      </c>
      <c r="AE73" s="3">
        <v>1.5</v>
      </c>
      <c r="AF73" s="3">
        <v>10</v>
      </c>
      <c r="AG73" s="3">
        <v>11.5</v>
      </c>
    </row>
    <row r="74" spans="29:33" x14ac:dyDescent="0.2">
      <c r="AC74" s="2">
        <v>48769</v>
      </c>
      <c r="AD74" s="3">
        <v>50</v>
      </c>
      <c r="AE74" s="3">
        <v>1.25</v>
      </c>
      <c r="AF74" s="3">
        <v>10</v>
      </c>
      <c r="AG74" s="3">
        <v>11.25</v>
      </c>
    </row>
    <row r="75" spans="29:33" x14ac:dyDescent="0.2">
      <c r="AC75" s="2">
        <v>48953</v>
      </c>
      <c r="AD75" s="3">
        <v>40</v>
      </c>
      <c r="AE75" s="3">
        <v>1</v>
      </c>
      <c r="AF75" s="3">
        <v>10</v>
      </c>
      <c r="AG75" s="3">
        <v>11</v>
      </c>
    </row>
    <row r="76" spans="29:33" x14ac:dyDescent="0.2">
      <c r="AC76" s="2">
        <v>49134</v>
      </c>
      <c r="AD76" s="3">
        <v>30</v>
      </c>
      <c r="AE76" s="3">
        <v>0.75</v>
      </c>
      <c r="AF76" s="3">
        <v>10</v>
      </c>
      <c r="AG76" s="3">
        <v>10.75</v>
      </c>
    </row>
    <row r="77" spans="29:33" x14ac:dyDescent="0.2">
      <c r="AC77" s="2">
        <v>49318</v>
      </c>
      <c r="AD77" s="3">
        <v>20</v>
      </c>
      <c r="AE77" s="3">
        <v>0.5</v>
      </c>
      <c r="AF77" s="3">
        <v>10</v>
      </c>
      <c r="AG77" s="3">
        <v>10.5</v>
      </c>
    </row>
    <row r="78" spans="29:33" x14ac:dyDescent="0.2">
      <c r="AC78" s="2">
        <v>49499</v>
      </c>
      <c r="AD78" s="3">
        <v>10</v>
      </c>
      <c r="AE78" s="3">
        <v>0.25</v>
      </c>
      <c r="AF78" s="3">
        <v>10</v>
      </c>
      <c r="AG78" s="3">
        <v>10.25</v>
      </c>
    </row>
  </sheetData>
  <mergeCells count="3">
    <mergeCell ref="E4:M4"/>
    <mergeCell ref="Q4:Y4"/>
    <mergeCell ref="AC4:AK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3:AK43"/>
  <sheetViews>
    <sheetView showGridLines="0" topLeftCell="M1" zoomScale="90" zoomScaleNormal="90" workbookViewId="0">
      <selection activeCell="AL12" sqref="AL12"/>
    </sheetView>
  </sheetViews>
  <sheetFormatPr baseColWidth="10" defaultRowHeight="14.25" x14ac:dyDescent="0.2"/>
  <cols>
    <col min="1" max="1" width="11.42578125" style="4"/>
    <col min="2" max="2" width="14.7109375" style="4" bestFit="1" customWidth="1"/>
    <col min="3" max="13" width="11.42578125" style="4"/>
    <col min="14" max="14" width="5.140625" style="4" customWidth="1"/>
    <col min="15" max="15" width="11.42578125" style="78"/>
    <col min="16" max="16" width="4.7109375" style="4" customWidth="1"/>
    <col min="17" max="26" width="11.42578125" style="4"/>
    <col min="27" max="27" width="11.42578125" style="78"/>
    <col min="28" max="16384" width="11.42578125" style="4"/>
  </cols>
  <sheetData>
    <row r="3" spans="2:37" ht="15" x14ac:dyDescent="0.25">
      <c r="E3" s="321" t="s">
        <v>76</v>
      </c>
      <c r="F3" s="321"/>
      <c r="G3" s="321"/>
      <c r="H3" s="321"/>
      <c r="I3" s="321"/>
      <c r="J3" s="321"/>
      <c r="K3" s="321"/>
      <c r="L3" s="321"/>
      <c r="M3" s="321"/>
      <c r="Q3" s="321" t="s">
        <v>77</v>
      </c>
      <c r="R3" s="321"/>
      <c r="S3" s="321"/>
      <c r="T3" s="321"/>
      <c r="U3" s="321"/>
      <c r="V3" s="321"/>
      <c r="W3" s="321"/>
      <c r="X3" s="321"/>
      <c r="Y3" s="321"/>
      <c r="AC3" s="321" t="s">
        <v>86</v>
      </c>
      <c r="AD3" s="321"/>
      <c r="AE3" s="321"/>
      <c r="AF3" s="321"/>
      <c r="AG3" s="321"/>
      <c r="AH3" s="321"/>
      <c r="AI3" s="321"/>
      <c r="AJ3" s="321"/>
      <c r="AK3" s="321"/>
    </row>
    <row r="4" spans="2:37" ht="15" x14ac:dyDescent="0.25">
      <c r="E4"/>
      <c r="F4"/>
      <c r="G4"/>
      <c r="H4"/>
      <c r="I4"/>
      <c r="Q4"/>
      <c r="R4"/>
      <c r="S4"/>
      <c r="T4"/>
      <c r="U4"/>
      <c r="AC4"/>
      <c r="AD4"/>
      <c r="AE4"/>
      <c r="AF4"/>
      <c r="AG4"/>
    </row>
    <row r="5" spans="2:37" ht="15" x14ac:dyDescent="0.25"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K5" s="1" t="s">
        <v>9</v>
      </c>
      <c r="L5" s="1" t="s">
        <v>10</v>
      </c>
      <c r="M5" s="1" t="s">
        <v>11</v>
      </c>
      <c r="Q5" s="53" t="s">
        <v>0</v>
      </c>
      <c r="R5" s="53" t="s">
        <v>1</v>
      </c>
      <c r="S5" s="53" t="s">
        <v>2</v>
      </c>
      <c r="T5" s="53" t="s">
        <v>3</v>
      </c>
      <c r="U5" s="53" t="s">
        <v>4</v>
      </c>
      <c r="W5" s="53" t="s">
        <v>9</v>
      </c>
      <c r="X5" s="53" t="s">
        <v>10</v>
      </c>
      <c r="Y5" s="53" t="s">
        <v>11</v>
      </c>
      <c r="AC5" s="53" t="s">
        <v>0</v>
      </c>
      <c r="AD5" s="53" t="s">
        <v>1</v>
      </c>
      <c r="AE5" s="53" t="s">
        <v>2</v>
      </c>
      <c r="AF5" s="53" t="s">
        <v>3</v>
      </c>
      <c r="AG5" s="53" t="s">
        <v>4</v>
      </c>
      <c r="AI5" s="53" t="s">
        <v>9</v>
      </c>
      <c r="AJ5" s="53" t="s">
        <v>10</v>
      </c>
      <c r="AK5" s="53" t="s">
        <v>11</v>
      </c>
    </row>
    <row r="6" spans="2:37" x14ac:dyDescent="0.2">
      <c r="B6" s="82" t="s">
        <v>36</v>
      </c>
      <c r="C6" s="83">
        <v>44078</v>
      </c>
      <c r="E6" s="2">
        <f>+Monitor!C2</f>
        <v>44370</v>
      </c>
      <c r="F6" s="3">
        <v>100</v>
      </c>
      <c r="G6" s="3"/>
      <c r="H6" s="3"/>
      <c r="I6" s="3">
        <f>-CCL!L33</f>
        <v>-40.680347222222224</v>
      </c>
      <c r="K6" s="4">
        <f>DAYS360(C6,E7)</f>
        <v>305</v>
      </c>
      <c r="Q6" s="2">
        <f>+E6</f>
        <v>44370</v>
      </c>
      <c r="R6" s="3">
        <v>100</v>
      </c>
      <c r="S6" s="3"/>
      <c r="T6" s="3"/>
      <c r="U6" s="3">
        <f>-Monitor!D17</f>
        <v>-41.75</v>
      </c>
      <c r="AC6" s="2">
        <f>+Q6</f>
        <v>44370</v>
      </c>
      <c r="AD6" s="3">
        <v>100</v>
      </c>
      <c r="AE6" s="3"/>
      <c r="AF6" s="3"/>
      <c r="AG6" s="3" t="e">
        <f>-CCL!K15</f>
        <v>#REF!</v>
      </c>
    </row>
    <row r="7" spans="2:37" x14ac:dyDescent="0.2">
      <c r="B7" s="84" t="s">
        <v>37</v>
      </c>
      <c r="C7" s="85">
        <v>1.25E-3</v>
      </c>
      <c r="E7" s="2">
        <v>44386</v>
      </c>
      <c r="F7" s="3">
        <f>+F6</f>
        <v>100</v>
      </c>
      <c r="G7" s="3">
        <f>(C7*F6)/360*K6</f>
        <v>0.10590277777777778</v>
      </c>
      <c r="H7" s="3"/>
      <c r="I7" s="3">
        <f>SUM(G7:H7)</f>
        <v>0.10590277777777778</v>
      </c>
      <c r="K7" s="4">
        <f t="shared" ref="K7:K40" si="0">DAYS360($E$6,E7)</f>
        <v>16</v>
      </c>
      <c r="L7" s="7">
        <f t="shared" ref="L7:L40" si="1">I7/(1+$I$42)^(K7/360)</f>
        <v>0.10518070176899338</v>
      </c>
      <c r="M7" s="7">
        <f t="shared" ref="M7:M40" si="2">L7*(K7/360)</f>
        <v>4.6746978563997057E-3</v>
      </c>
      <c r="Q7" s="2">
        <f>+E7</f>
        <v>44386</v>
      </c>
      <c r="R7" s="3">
        <f>+F7</f>
        <v>100</v>
      </c>
      <c r="S7" s="3">
        <f>+G7</f>
        <v>0.10590277777777778</v>
      </c>
      <c r="T7" s="3"/>
      <c r="U7" s="3">
        <f>SUM(S7:T7)</f>
        <v>0.10590277777777778</v>
      </c>
      <c r="W7" s="4">
        <f t="shared" ref="W7:W40" si="3">DAYS360($E$6,Q7)</f>
        <v>16</v>
      </c>
      <c r="X7" s="7">
        <f t="shared" ref="X7:X40" si="4">U7/(1+$U$42)^(W7/360)</f>
        <v>0.10519723811714782</v>
      </c>
      <c r="Y7" s="7">
        <f t="shared" ref="Y7:Y40" si="5">X7*(W7/360)</f>
        <v>4.67543280520657E-3</v>
      </c>
      <c r="AC7" s="2">
        <f>+E7</f>
        <v>44386</v>
      </c>
      <c r="AD7" s="3">
        <f>+F7</f>
        <v>100</v>
      </c>
      <c r="AE7" s="3">
        <f>+G7</f>
        <v>0.10590277777777778</v>
      </c>
      <c r="AF7" s="3"/>
      <c r="AG7" s="3">
        <f>SUM(AE7:AF7)</f>
        <v>0.10590277777777778</v>
      </c>
      <c r="AI7" s="4">
        <f t="shared" ref="AI7:AI40" si="6">DAYS360($E$6,AC7)</f>
        <v>16</v>
      </c>
      <c r="AJ7" s="7" t="e">
        <f t="shared" ref="AJ7:AJ40" si="7">AG7/(1+$AG$42)^(AI7/360)</f>
        <v>#REF!</v>
      </c>
      <c r="AK7" s="7" t="e">
        <f t="shared" ref="AK7:AK40" si="8">AJ7*(AI7/360)</f>
        <v>#REF!</v>
      </c>
    </row>
    <row r="8" spans="2:37" x14ac:dyDescent="0.2">
      <c r="B8" s="84" t="s">
        <v>38</v>
      </c>
      <c r="C8" s="86">
        <f>DAYS360(C6,E6)</f>
        <v>289</v>
      </c>
      <c r="E8" s="2">
        <v>44570</v>
      </c>
      <c r="F8" s="3">
        <f>+F7</f>
        <v>100</v>
      </c>
      <c r="G8" s="3">
        <f>0.02*(180/360)*F10</f>
        <v>1</v>
      </c>
      <c r="H8" s="3"/>
      <c r="I8" s="3">
        <f>SUM(G8:H8)</f>
        <v>1</v>
      </c>
      <c r="K8" s="4">
        <f t="shared" si="0"/>
        <v>196</v>
      </c>
      <c r="L8" s="7">
        <f t="shared" si="1"/>
        <v>0.91960585658428862</v>
      </c>
      <c r="M8" s="7">
        <f t="shared" si="2"/>
        <v>0.50067429969589039</v>
      </c>
      <c r="Q8" s="2">
        <f t="shared" ref="Q8:Q40" si="9">+E8</f>
        <v>44570</v>
      </c>
      <c r="R8" s="3">
        <f t="shared" ref="R8:R40" si="10">+F8</f>
        <v>100</v>
      </c>
      <c r="S8" s="3">
        <f t="shared" ref="S8:S40" si="11">+G8</f>
        <v>1</v>
      </c>
      <c r="T8" s="3"/>
      <c r="U8" s="3">
        <f>SUM(S8:T8)</f>
        <v>1</v>
      </c>
      <c r="W8" s="4">
        <f t="shared" si="3"/>
        <v>196</v>
      </c>
      <c r="X8" s="7">
        <f t="shared" si="4"/>
        <v>0.92137851667340653</v>
      </c>
      <c r="Y8" s="7">
        <f t="shared" si="5"/>
        <v>0.50163941463329909</v>
      </c>
      <c r="AC8" s="2">
        <f t="shared" ref="AC8:AC40" si="12">+E8</f>
        <v>44570</v>
      </c>
      <c r="AD8" s="3">
        <f t="shared" ref="AD8:AD40" si="13">+F8</f>
        <v>100</v>
      </c>
      <c r="AE8" s="3">
        <f t="shared" ref="AE8:AE40" si="14">+G8</f>
        <v>1</v>
      </c>
      <c r="AF8" s="3"/>
      <c r="AG8" s="3">
        <f>SUM(AE8:AF8)</f>
        <v>1</v>
      </c>
      <c r="AI8" s="4">
        <f t="shared" si="6"/>
        <v>196</v>
      </c>
      <c r="AJ8" s="7" t="e">
        <f t="shared" si="7"/>
        <v>#REF!</v>
      </c>
      <c r="AK8" s="7" t="e">
        <f t="shared" si="8"/>
        <v>#REF!</v>
      </c>
    </row>
    <row r="9" spans="2:37" x14ac:dyDescent="0.2">
      <c r="B9" s="84" t="s">
        <v>39</v>
      </c>
      <c r="C9" s="87">
        <f>(C7*100)/360*C8</f>
        <v>0.10034722222222223</v>
      </c>
      <c r="E9" s="2">
        <v>44751</v>
      </c>
      <c r="F9" s="3">
        <v>100</v>
      </c>
      <c r="G9" s="3">
        <f>0.02*(180/360)*F11</f>
        <v>1</v>
      </c>
      <c r="H9" s="3"/>
      <c r="I9" s="3">
        <f>SUM(G9:H9)</f>
        <v>1</v>
      </c>
      <c r="K9" s="4">
        <f t="shared" si="0"/>
        <v>376</v>
      </c>
      <c r="L9" s="7">
        <f t="shared" si="1"/>
        <v>0.85148057421959522</v>
      </c>
      <c r="M9" s="7">
        <f t="shared" si="2"/>
        <v>0.88932415529602171</v>
      </c>
      <c r="Q9" s="2">
        <f t="shared" si="9"/>
        <v>44751</v>
      </c>
      <c r="R9" s="3">
        <f t="shared" si="10"/>
        <v>100</v>
      </c>
      <c r="S9" s="3">
        <f t="shared" si="11"/>
        <v>1</v>
      </c>
      <c r="T9" s="3"/>
      <c r="U9" s="3">
        <f>SUM(S9:T9)</f>
        <v>1</v>
      </c>
      <c r="W9" s="4">
        <f t="shared" si="3"/>
        <v>376</v>
      </c>
      <c r="X9" s="7">
        <f t="shared" si="4"/>
        <v>0.8546320536436236</v>
      </c>
      <c r="Y9" s="7">
        <f t="shared" si="5"/>
        <v>0.89261570047222916</v>
      </c>
      <c r="AC9" s="2">
        <f t="shared" si="12"/>
        <v>44751</v>
      </c>
      <c r="AD9" s="3">
        <f t="shared" si="13"/>
        <v>100</v>
      </c>
      <c r="AE9" s="3">
        <f t="shared" si="14"/>
        <v>1</v>
      </c>
      <c r="AF9" s="3"/>
      <c r="AG9" s="3">
        <f>SUM(AE9:AF9)</f>
        <v>1</v>
      </c>
      <c r="AI9" s="4">
        <f t="shared" si="6"/>
        <v>376</v>
      </c>
      <c r="AJ9" s="7" t="e">
        <f t="shared" si="7"/>
        <v>#REF!</v>
      </c>
      <c r="AK9" s="7" t="e">
        <f t="shared" si="8"/>
        <v>#REF!</v>
      </c>
    </row>
    <row r="10" spans="2:37" x14ac:dyDescent="0.2">
      <c r="B10" s="84" t="s">
        <v>35</v>
      </c>
      <c r="C10" s="86">
        <v>100</v>
      </c>
      <c r="E10" s="2">
        <v>44935</v>
      </c>
      <c r="F10" s="3">
        <v>100</v>
      </c>
      <c r="G10" s="3">
        <f>0.03875*(180/360)*F10</f>
        <v>1.9375</v>
      </c>
      <c r="H10" s="3"/>
      <c r="I10" s="3">
        <f>SUM(G10:H10)</f>
        <v>1.9375</v>
      </c>
      <c r="K10" s="4">
        <f t="shared" si="0"/>
        <v>556</v>
      </c>
      <c r="L10" s="7">
        <f t="shared" si="1"/>
        <v>1.527529026127757</v>
      </c>
      <c r="M10" s="7">
        <f t="shared" si="2"/>
        <v>2.3591837181306472</v>
      </c>
      <c r="Q10" s="2">
        <f t="shared" si="9"/>
        <v>44935</v>
      </c>
      <c r="R10" s="3">
        <f t="shared" si="10"/>
        <v>100</v>
      </c>
      <c r="S10" s="3">
        <f t="shared" si="11"/>
        <v>1.9375</v>
      </c>
      <c r="T10" s="3"/>
      <c r="U10" s="3">
        <f>SUM(S10:T10)</f>
        <v>1.9375</v>
      </c>
      <c r="W10" s="4">
        <f t="shared" si="3"/>
        <v>556</v>
      </c>
      <c r="X10" s="7">
        <f t="shared" si="4"/>
        <v>1.5358966178686733</v>
      </c>
      <c r="Y10" s="7">
        <f t="shared" si="5"/>
        <v>2.3721069987082846</v>
      </c>
      <c r="AC10" s="2">
        <f t="shared" si="12"/>
        <v>44935</v>
      </c>
      <c r="AD10" s="3">
        <f t="shared" si="13"/>
        <v>100</v>
      </c>
      <c r="AE10" s="3">
        <f t="shared" si="14"/>
        <v>1.9375</v>
      </c>
      <c r="AF10" s="3"/>
      <c r="AG10" s="3">
        <f>SUM(AE10:AF10)</f>
        <v>1.9375</v>
      </c>
      <c r="AI10" s="4">
        <f t="shared" si="6"/>
        <v>556</v>
      </c>
      <c r="AJ10" s="7" t="e">
        <f t="shared" si="7"/>
        <v>#REF!</v>
      </c>
      <c r="AK10" s="7" t="e">
        <f t="shared" si="8"/>
        <v>#REF!</v>
      </c>
    </row>
    <row r="11" spans="2:37" x14ac:dyDescent="0.2">
      <c r="B11" s="88" t="s">
        <v>23</v>
      </c>
      <c r="C11" s="89">
        <f>+C10+C9</f>
        <v>100.10034722222223</v>
      </c>
      <c r="E11" s="2">
        <v>45116</v>
      </c>
      <c r="F11" s="3">
        <v>100</v>
      </c>
      <c r="G11" s="3">
        <f>0.03875*(180/360)*F11</f>
        <v>1.9375</v>
      </c>
      <c r="H11" s="3"/>
      <c r="I11" s="3">
        <f t="shared" ref="I11:I40" si="15">SUM(G11:H11)</f>
        <v>1.9375</v>
      </c>
      <c r="K11" s="4">
        <f t="shared" si="0"/>
        <v>736</v>
      </c>
      <c r="L11" s="7">
        <f t="shared" si="1"/>
        <v>1.4143682132858912</v>
      </c>
      <c r="M11" s="7">
        <f t="shared" si="2"/>
        <v>2.891597236051155</v>
      </c>
      <c r="Q11" s="2">
        <f t="shared" si="9"/>
        <v>45116</v>
      </c>
      <c r="R11" s="3">
        <f t="shared" si="10"/>
        <v>100</v>
      </c>
      <c r="S11" s="3">
        <f t="shared" si="11"/>
        <v>1.9375</v>
      </c>
      <c r="T11" s="3"/>
      <c r="U11" s="3">
        <f t="shared" ref="U11:U40" si="16">SUM(S11:T11)</f>
        <v>1.9375</v>
      </c>
      <c r="W11" s="4">
        <f t="shared" si="3"/>
        <v>736</v>
      </c>
      <c r="X11" s="7">
        <f t="shared" si="4"/>
        <v>1.4246332608802033</v>
      </c>
      <c r="Y11" s="7">
        <f t="shared" si="5"/>
        <v>2.9125835555773043</v>
      </c>
      <c r="AC11" s="2">
        <f t="shared" si="12"/>
        <v>45116</v>
      </c>
      <c r="AD11" s="3">
        <f t="shared" si="13"/>
        <v>100</v>
      </c>
      <c r="AE11" s="3">
        <f t="shared" si="14"/>
        <v>1.9375</v>
      </c>
      <c r="AF11" s="3"/>
      <c r="AG11" s="3">
        <f t="shared" ref="AG11:AG40" si="17">SUM(AE11:AF11)</f>
        <v>1.9375</v>
      </c>
      <c r="AI11" s="4">
        <f t="shared" si="6"/>
        <v>736</v>
      </c>
      <c r="AJ11" s="7" t="e">
        <f t="shared" si="7"/>
        <v>#REF!</v>
      </c>
      <c r="AK11" s="7" t="e">
        <f t="shared" si="8"/>
        <v>#REF!</v>
      </c>
    </row>
    <row r="12" spans="2:37" x14ac:dyDescent="0.2">
      <c r="E12" s="2">
        <v>45300</v>
      </c>
      <c r="F12" s="3">
        <v>100</v>
      </c>
      <c r="G12" s="3">
        <f>0.0425*(180/360)*F12</f>
        <v>2.125</v>
      </c>
      <c r="H12" s="3"/>
      <c r="I12" s="3">
        <f t="shared" si="15"/>
        <v>2.125</v>
      </c>
      <c r="K12" s="4">
        <f t="shared" si="0"/>
        <v>916</v>
      </c>
      <c r="L12" s="7">
        <f t="shared" si="1"/>
        <v>1.4363250226293858</v>
      </c>
      <c r="M12" s="7">
        <f t="shared" si="2"/>
        <v>3.6546492242458815</v>
      </c>
      <c r="Q12" s="2">
        <f t="shared" si="9"/>
        <v>45300</v>
      </c>
      <c r="R12" s="3">
        <f t="shared" si="10"/>
        <v>100</v>
      </c>
      <c r="S12" s="3">
        <f t="shared" si="11"/>
        <v>2.125</v>
      </c>
      <c r="T12" s="3"/>
      <c r="U12" s="3">
        <f t="shared" si="16"/>
        <v>2.125</v>
      </c>
      <c r="W12" s="4">
        <f t="shared" si="3"/>
        <v>916</v>
      </c>
      <c r="X12" s="7">
        <f t="shared" si="4"/>
        <v>1.4493103656090505</v>
      </c>
      <c r="Y12" s="7">
        <f t="shared" si="5"/>
        <v>3.6876897080496946</v>
      </c>
      <c r="AC12" s="2">
        <f t="shared" si="12"/>
        <v>45300</v>
      </c>
      <c r="AD12" s="3">
        <f t="shared" si="13"/>
        <v>100</v>
      </c>
      <c r="AE12" s="3">
        <f t="shared" si="14"/>
        <v>2.125</v>
      </c>
      <c r="AF12" s="3"/>
      <c r="AG12" s="3">
        <f t="shared" si="17"/>
        <v>2.125</v>
      </c>
      <c r="AI12" s="4">
        <f t="shared" si="6"/>
        <v>916</v>
      </c>
      <c r="AJ12" s="7" t="e">
        <f t="shared" si="7"/>
        <v>#REF!</v>
      </c>
      <c r="AK12" s="7" t="e">
        <f t="shared" si="8"/>
        <v>#REF!</v>
      </c>
    </row>
    <row r="13" spans="2:37" x14ac:dyDescent="0.2">
      <c r="E13" s="2">
        <v>45482</v>
      </c>
      <c r="F13" s="3">
        <v>100</v>
      </c>
      <c r="G13" s="3">
        <f>0.0425*(180/360)*F13</f>
        <v>2.125</v>
      </c>
      <c r="H13" s="3"/>
      <c r="I13" s="3">
        <f t="shared" si="15"/>
        <v>2.125</v>
      </c>
      <c r="K13" s="4">
        <f t="shared" si="0"/>
        <v>1096</v>
      </c>
      <c r="L13" s="7">
        <f t="shared" si="1"/>
        <v>1.3299206896931561</v>
      </c>
      <c r="M13" s="7">
        <f t="shared" si="2"/>
        <v>4.048869655288053</v>
      </c>
      <c r="Q13" s="2">
        <f t="shared" si="9"/>
        <v>45482</v>
      </c>
      <c r="R13" s="3">
        <f t="shared" si="10"/>
        <v>100</v>
      </c>
      <c r="S13" s="3">
        <f t="shared" si="11"/>
        <v>2.125</v>
      </c>
      <c r="T13" s="3"/>
      <c r="U13" s="3">
        <f t="shared" si="16"/>
        <v>2.125</v>
      </c>
      <c r="W13" s="4">
        <f t="shared" si="3"/>
        <v>1096</v>
      </c>
      <c r="X13" s="7">
        <f t="shared" si="4"/>
        <v>1.3443194861971148</v>
      </c>
      <c r="Y13" s="7">
        <f t="shared" si="5"/>
        <v>4.0927059913112158</v>
      </c>
      <c r="AC13" s="2">
        <f t="shared" si="12"/>
        <v>45482</v>
      </c>
      <c r="AD13" s="3">
        <f t="shared" si="13"/>
        <v>100</v>
      </c>
      <c r="AE13" s="3">
        <f t="shared" si="14"/>
        <v>2.125</v>
      </c>
      <c r="AF13" s="3"/>
      <c r="AG13" s="3">
        <f t="shared" si="17"/>
        <v>2.125</v>
      </c>
      <c r="AI13" s="4">
        <f t="shared" si="6"/>
        <v>1096</v>
      </c>
      <c r="AJ13" s="7" t="e">
        <f t="shared" si="7"/>
        <v>#REF!</v>
      </c>
      <c r="AK13" s="7" t="e">
        <f t="shared" si="8"/>
        <v>#REF!</v>
      </c>
    </row>
    <row r="14" spans="2:37" x14ac:dyDescent="0.2">
      <c r="E14" s="2">
        <v>45666</v>
      </c>
      <c r="F14" s="3">
        <v>100</v>
      </c>
      <c r="G14" s="3">
        <f>0.05*(180/360)*F14</f>
        <v>2.5</v>
      </c>
      <c r="H14" s="3"/>
      <c r="I14" s="3">
        <f t="shared" si="15"/>
        <v>2.5</v>
      </c>
      <c r="K14" s="4">
        <f t="shared" si="0"/>
        <v>1276</v>
      </c>
      <c r="L14" s="7">
        <f t="shared" si="1"/>
        <v>1.4487045783781276</v>
      </c>
      <c r="M14" s="7">
        <f t="shared" si="2"/>
        <v>5.1348528944735854</v>
      </c>
      <c r="Q14" s="2">
        <f t="shared" si="9"/>
        <v>45666</v>
      </c>
      <c r="R14" s="3">
        <f t="shared" si="10"/>
        <v>100</v>
      </c>
      <c r="S14" s="3">
        <f t="shared" si="11"/>
        <v>2.5</v>
      </c>
      <c r="T14" s="3"/>
      <c r="U14" s="3">
        <f t="shared" si="16"/>
        <v>2.5</v>
      </c>
      <c r="W14" s="4">
        <f t="shared" si="3"/>
        <v>1276</v>
      </c>
      <c r="X14" s="7">
        <f t="shared" si="4"/>
        <v>1.4669815900863095</v>
      </c>
      <c r="Y14" s="7">
        <f t="shared" si="5"/>
        <v>5.1996347470836968</v>
      </c>
      <c r="AC14" s="2">
        <f t="shared" si="12"/>
        <v>45666</v>
      </c>
      <c r="AD14" s="3">
        <f t="shared" si="13"/>
        <v>100</v>
      </c>
      <c r="AE14" s="3">
        <f t="shared" si="14"/>
        <v>2.5</v>
      </c>
      <c r="AF14" s="3"/>
      <c r="AG14" s="3">
        <f t="shared" si="17"/>
        <v>2.5</v>
      </c>
      <c r="AI14" s="4">
        <f t="shared" si="6"/>
        <v>1276</v>
      </c>
      <c r="AJ14" s="7" t="e">
        <f t="shared" si="7"/>
        <v>#REF!</v>
      </c>
      <c r="AK14" s="7" t="e">
        <f t="shared" si="8"/>
        <v>#REF!</v>
      </c>
    </row>
    <row r="15" spans="2:37" x14ac:dyDescent="0.2">
      <c r="E15" s="2">
        <v>45847</v>
      </c>
      <c r="F15" s="3">
        <v>100</v>
      </c>
      <c r="G15" s="3">
        <f t="shared" ref="G15:G40" si="18">0.05*(180/360)*F15</f>
        <v>2.5</v>
      </c>
      <c r="H15" s="3"/>
      <c r="I15" s="3">
        <f t="shared" si="15"/>
        <v>2.5</v>
      </c>
      <c r="K15" s="4">
        <f t="shared" si="0"/>
        <v>1456</v>
      </c>
      <c r="L15" s="7">
        <f t="shared" si="1"/>
        <v>1.3413831560987906</v>
      </c>
      <c r="M15" s="7">
        <f t="shared" si="2"/>
        <v>5.425149653555108</v>
      </c>
      <c r="Q15" s="2">
        <f t="shared" si="9"/>
        <v>45847</v>
      </c>
      <c r="R15" s="3">
        <f t="shared" si="10"/>
        <v>100</v>
      </c>
      <c r="S15" s="3">
        <f t="shared" si="11"/>
        <v>2.5</v>
      </c>
      <c r="T15" s="3"/>
      <c r="U15" s="3">
        <f t="shared" si="16"/>
        <v>2.5</v>
      </c>
      <c r="W15" s="4">
        <f t="shared" si="3"/>
        <v>1456</v>
      </c>
      <c r="X15" s="7">
        <f t="shared" si="4"/>
        <v>1.3607105725878892</v>
      </c>
      <c r="Y15" s="7">
        <f t="shared" si="5"/>
        <v>5.5033183157999073</v>
      </c>
      <c r="AC15" s="2">
        <f t="shared" si="12"/>
        <v>45847</v>
      </c>
      <c r="AD15" s="3">
        <f t="shared" si="13"/>
        <v>100</v>
      </c>
      <c r="AE15" s="3">
        <f t="shared" si="14"/>
        <v>2.5</v>
      </c>
      <c r="AF15" s="3"/>
      <c r="AG15" s="3">
        <f t="shared" si="17"/>
        <v>2.5</v>
      </c>
      <c r="AI15" s="4">
        <f t="shared" si="6"/>
        <v>1456</v>
      </c>
      <c r="AJ15" s="7" t="e">
        <f t="shared" si="7"/>
        <v>#REF!</v>
      </c>
      <c r="AK15" s="7" t="e">
        <f t="shared" si="8"/>
        <v>#REF!</v>
      </c>
    </row>
    <row r="16" spans="2:37" x14ac:dyDescent="0.2">
      <c r="E16" s="2">
        <v>46031</v>
      </c>
      <c r="F16" s="3">
        <v>100</v>
      </c>
      <c r="G16" s="3">
        <f t="shared" si="18"/>
        <v>2.5</v>
      </c>
      <c r="H16" s="3"/>
      <c r="I16" s="3">
        <f t="shared" si="15"/>
        <v>2.5</v>
      </c>
      <c r="K16" s="4">
        <f t="shared" si="0"/>
        <v>1636</v>
      </c>
      <c r="L16" s="7">
        <f t="shared" si="1"/>
        <v>1.2420122075405722</v>
      </c>
      <c r="M16" s="7">
        <f t="shared" si="2"/>
        <v>5.6442554764899331</v>
      </c>
      <c r="Q16" s="2">
        <f t="shared" si="9"/>
        <v>46031</v>
      </c>
      <c r="R16" s="3">
        <f t="shared" si="10"/>
        <v>100</v>
      </c>
      <c r="S16" s="3">
        <f t="shared" si="11"/>
        <v>2.5</v>
      </c>
      <c r="T16" s="3"/>
      <c r="U16" s="3">
        <f t="shared" si="16"/>
        <v>2.5</v>
      </c>
      <c r="W16" s="4">
        <f t="shared" si="3"/>
        <v>1636</v>
      </c>
      <c r="X16" s="7">
        <f t="shared" si="4"/>
        <v>1.2621380355860681</v>
      </c>
      <c r="Y16" s="7">
        <f t="shared" si="5"/>
        <v>5.7357161839411317</v>
      </c>
      <c r="AC16" s="2">
        <f t="shared" si="12"/>
        <v>46031</v>
      </c>
      <c r="AD16" s="3">
        <f t="shared" si="13"/>
        <v>100</v>
      </c>
      <c r="AE16" s="3">
        <f t="shared" si="14"/>
        <v>2.5</v>
      </c>
      <c r="AF16" s="3"/>
      <c r="AG16" s="3">
        <f t="shared" si="17"/>
        <v>2.5</v>
      </c>
      <c r="AI16" s="4">
        <f t="shared" si="6"/>
        <v>1636</v>
      </c>
      <c r="AJ16" s="7" t="e">
        <f t="shared" si="7"/>
        <v>#REF!</v>
      </c>
      <c r="AK16" s="7" t="e">
        <f t="shared" si="8"/>
        <v>#REF!</v>
      </c>
    </row>
    <row r="17" spans="5:37" x14ac:dyDescent="0.2">
      <c r="E17" s="2">
        <v>46212</v>
      </c>
      <c r="F17" s="3">
        <v>100</v>
      </c>
      <c r="G17" s="3">
        <f t="shared" si="18"/>
        <v>2.5</v>
      </c>
      <c r="H17" s="3"/>
      <c r="I17" s="3">
        <f t="shared" si="15"/>
        <v>2.5</v>
      </c>
      <c r="K17" s="4">
        <f t="shared" si="0"/>
        <v>1816</v>
      </c>
      <c r="L17" s="7">
        <f t="shared" si="1"/>
        <v>1.150002753997752</v>
      </c>
      <c r="M17" s="7">
        <f t="shared" si="2"/>
        <v>5.801125003499771</v>
      </c>
      <c r="Q17" s="2">
        <f t="shared" si="9"/>
        <v>46212</v>
      </c>
      <c r="R17" s="3">
        <f t="shared" si="10"/>
        <v>100</v>
      </c>
      <c r="S17" s="3">
        <f t="shared" si="11"/>
        <v>2.5</v>
      </c>
      <c r="T17" s="3"/>
      <c r="U17" s="3">
        <f t="shared" si="16"/>
        <v>2.5</v>
      </c>
      <c r="W17" s="4">
        <f t="shared" si="3"/>
        <v>1816</v>
      </c>
      <c r="X17" s="7">
        <f t="shared" si="4"/>
        <v>1.1707062860865411</v>
      </c>
      <c r="Y17" s="7">
        <f t="shared" si="5"/>
        <v>5.9055628209254412</v>
      </c>
      <c r="AC17" s="2">
        <f t="shared" si="12"/>
        <v>46212</v>
      </c>
      <c r="AD17" s="3">
        <f t="shared" si="13"/>
        <v>100</v>
      </c>
      <c r="AE17" s="3">
        <f t="shared" si="14"/>
        <v>2.5</v>
      </c>
      <c r="AF17" s="3"/>
      <c r="AG17" s="3">
        <f t="shared" si="17"/>
        <v>2.5</v>
      </c>
      <c r="AI17" s="4">
        <f t="shared" si="6"/>
        <v>1816</v>
      </c>
      <c r="AJ17" s="7" t="e">
        <f t="shared" si="7"/>
        <v>#REF!</v>
      </c>
      <c r="AK17" s="7" t="e">
        <f t="shared" si="8"/>
        <v>#REF!</v>
      </c>
    </row>
    <row r="18" spans="5:37" x14ac:dyDescent="0.2">
      <c r="E18" s="2">
        <v>46396</v>
      </c>
      <c r="F18" s="3">
        <v>100</v>
      </c>
      <c r="G18" s="3">
        <f t="shared" si="18"/>
        <v>2.5</v>
      </c>
      <c r="H18" s="3"/>
      <c r="I18" s="3">
        <f t="shared" si="15"/>
        <v>2.5</v>
      </c>
      <c r="K18" s="4">
        <f t="shared" si="0"/>
        <v>1996</v>
      </c>
      <c r="L18" s="7">
        <f t="shared" si="1"/>
        <v>1.0648094488710671</v>
      </c>
      <c r="M18" s="7">
        <f t="shared" si="2"/>
        <v>5.9037768331851384</v>
      </c>
      <c r="Q18" s="2">
        <f t="shared" si="9"/>
        <v>46396</v>
      </c>
      <c r="R18" s="3">
        <f t="shared" si="10"/>
        <v>100</v>
      </c>
      <c r="S18" s="3">
        <f t="shared" si="11"/>
        <v>2.5</v>
      </c>
      <c r="T18" s="3"/>
      <c r="U18" s="3">
        <f t="shared" si="16"/>
        <v>2.5</v>
      </c>
      <c r="W18" s="4">
        <f t="shared" si="3"/>
        <v>1996</v>
      </c>
      <c r="X18" s="7">
        <f t="shared" si="4"/>
        <v>1.0858980314670037</v>
      </c>
      <c r="Y18" s="7">
        <f t="shared" si="5"/>
        <v>6.0207013078003868</v>
      </c>
      <c r="AC18" s="2">
        <f t="shared" si="12"/>
        <v>46396</v>
      </c>
      <c r="AD18" s="3">
        <f t="shared" si="13"/>
        <v>100</v>
      </c>
      <c r="AE18" s="3">
        <f t="shared" si="14"/>
        <v>2.5</v>
      </c>
      <c r="AF18" s="3"/>
      <c r="AG18" s="3">
        <f t="shared" si="17"/>
        <v>2.5</v>
      </c>
      <c r="AI18" s="4">
        <f t="shared" si="6"/>
        <v>1996</v>
      </c>
      <c r="AJ18" s="7" t="e">
        <f t="shared" si="7"/>
        <v>#REF!</v>
      </c>
      <c r="AK18" s="7" t="e">
        <f t="shared" si="8"/>
        <v>#REF!</v>
      </c>
    </row>
    <row r="19" spans="5:37" x14ac:dyDescent="0.2">
      <c r="E19" s="2">
        <v>46577</v>
      </c>
      <c r="F19" s="3">
        <v>100</v>
      </c>
      <c r="G19" s="3">
        <f t="shared" si="18"/>
        <v>2.5</v>
      </c>
      <c r="H19" s="3">
        <f>100/22</f>
        <v>4.5454545454545459</v>
      </c>
      <c r="I19" s="3">
        <f t="shared" si="15"/>
        <v>7.0454545454545459</v>
      </c>
      <c r="K19" s="4">
        <f t="shared" si="0"/>
        <v>2176</v>
      </c>
      <c r="L19" s="7">
        <f t="shared" si="1"/>
        <v>2.7785225187403793</v>
      </c>
      <c r="M19" s="7">
        <f t="shared" si="2"/>
        <v>16.794625002164068</v>
      </c>
      <c r="Q19" s="2">
        <f t="shared" si="9"/>
        <v>46577</v>
      </c>
      <c r="R19" s="3">
        <f t="shared" si="10"/>
        <v>100</v>
      </c>
      <c r="S19" s="3">
        <f t="shared" si="11"/>
        <v>2.5</v>
      </c>
      <c r="T19" s="3">
        <f>100/22</f>
        <v>4.5454545454545459</v>
      </c>
      <c r="U19" s="3">
        <f t="shared" si="16"/>
        <v>7.0454545454545459</v>
      </c>
      <c r="W19" s="4">
        <f t="shared" si="3"/>
        <v>2176</v>
      </c>
      <c r="X19" s="7">
        <f t="shared" si="4"/>
        <v>2.8385670033317396</v>
      </c>
      <c r="Y19" s="7">
        <f t="shared" si="5"/>
        <v>17.157560553471846</v>
      </c>
      <c r="AC19" s="2">
        <f t="shared" si="12"/>
        <v>46577</v>
      </c>
      <c r="AD19" s="3">
        <f t="shared" si="13"/>
        <v>100</v>
      </c>
      <c r="AE19" s="3">
        <f t="shared" si="14"/>
        <v>2.5</v>
      </c>
      <c r="AF19" s="3">
        <f>100/22</f>
        <v>4.5454545454545459</v>
      </c>
      <c r="AG19" s="3">
        <f t="shared" si="17"/>
        <v>7.0454545454545459</v>
      </c>
      <c r="AI19" s="4">
        <f t="shared" si="6"/>
        <v>2176</v>
      </c>
      <c r="AJ19" s="7" t="e">
        <f t="shared" si="7"/>
        <v>#REF!</v>
      </c>
      <c r="AK19" s="7" t="e">
        <f t="shared" si="8"/>
        <v>#REF!</v>
      </c>
    </row>
    <row r="20" spans="5:37" x14ac:dyDescent="0.2">
      <c r="E20" s="2">
        <v>46761</v>
      </c>
      <c r="F20" s="3">
        <f t="shared" ref="F20:F40" si="19">F19-H19</f>
        <v>95.454545454545453</v>
      </c>
      <c r="G20" s="3">
        <f t="shared" si="18"/>
        <v>2.3863636363636362</v>
      </c>
      <c r="H20" s="3">
        <f>100/22</f>
        <v>4.5454545454545459</v>
      </c>
      <c r="I20" s="3">
        <f t="shared" si="15"/>
        <v>6.9318181818181817</v>
      </c>
      <c r="K20" s="4">
        <f t="shared" si="0"/>
        <v>2356</v>
      </c>
      <c r="L20" s="7">
        <f t="shared" si="1"/>
        <v>2.5311919599942678</v>
      </c>
      <c r="M20" s="7">
        <f t="shared" si="2"/>
        <v>16.565245160406931</v>
      </c>
      <c r="Q20" s="2">
        <f t="shared" si="9"/>
        <v>46761</v>
      </c>
      <c r="R20" s="3">
        <f t="shared" si="10"/>
        <v>95.454545454545453</v>
      </c>
      <c r="S20" s="3">
        <f t="shared" si="11"/>
        <v>2.3863636363636362</v>
      </c>
      <c r="T20" s="3">
        <f>100/22</f>
        <v>4.5454545454545459</v>
      </c>
      <c r="U20" s="3">
        <f t="shared" si="16"/>
        <v>6.9318181818181817</v>
      </c>
      <c r="W20" s="4">
        <f t="shared" si="3"/>
        <v>2356</v>
      </c>
      <c r="X20" s="7">
        <f t="shared" si="4"/>
        <v>2.5904689499922666</v>
      </c>
      <c r="Y20" s="7">
        <f t="shared" si="5"/>
        <v>16.953180128282721</v>
      </c>
      <c r="AC20" s="2">
        <f t="shared" si="12"/>
        <v>46761</v>
      </c>
      <c r="AD20" s="3">
        <f t="shared" si="13"/>
        <v>95.454545454545453</v>
      </c>
      <c r="AE20" s="3">
        <f t="shared" si="14"/>
        <v>2.3863636363636362</v>
      </c>
      <c r="AF20" s="3">
        <f>100/22</f>
        <v>4.5454545454545459</v>
      </c>
      <c r="AG20" s="3">
        <f t="shared" si="17"/>
        <v>6.9318181818181817</v>
      </c>
      <c r="AI20" s="4">
        <f t="shared" si="6"/>
        <v>2356</v>
      </c>
      <c r="AJ20" s="7" t="e">
        <f t="shared" si="7"/>
        <v>#REF!</v>
      </c>
      <c r="AK20" s="7" t="e">
        <f t="shared" si="8"/>
        <v>#REF!</v>
      </c>
    </row>
    <row r="21" spans="5:37" x14ac:dyDescent="0.2">
      <c r="E21" s="2">
        <v>46943</v>
      </c>
      <c r="F21" s="3">
        <f t="shared" si="19"/>
        <v>90.909090909090907</v>
      </c>
      <c r="G21" s="3">
        <f t="shared" si="18"/>
        <v>2.2727272727272729</v>
      </c>
      <c r="H21" s="3">
        <f>100/22</f>
        <v>4.5454545454545459</v>
      </c>
      <c r="I21" s="3">
        <f t="shared" si="15"/>
        <v>6.8181818181818183</v>
      </c>
      <c r="K21" s="4">
        <f t="shared" si="0"/>
        <v>2536</v>
      </c>
      <c r="L21" s="7">
        <f t="shared" si="1"/>
        <v>2.3052578714943355</v>
      </c>
      <c r="M21" s="7">
        <f t="shared" si="2"/>
        <v>16.239261005860097</v>
      </c>
      <c r="Q21" s="2">
        <f t="shared" si="9"/>
        <v>46943</v>
      </c>
      <c r="R21" s="3">
        <f t="shared" si="10"/>
        <v>90.909090909090907</v>
      </c>
      <c r="S21" s="3">
        <f t="shared" si="11"/>
        <v>2.2727272727272729</v>
      </c>
      <c r="T21" s="3">
        <f>100/22</f>
        <v>4.5454545454545459</v>
      </c>
      <c r="U21" s="3">
        <f t="shared" si="16"/>
        <v>6.8181818181818183</v>
      </c>
      <c r="W21" s="4">
        <f t="shared" si="3"/>
        <v>2536</v>
      </c>
      <c r="X21" s="7">
        <f t="shared" si="4"/>
        <v>2.3634199763622878</v>
      </c>
      <c r="Y21" s="7">
        <f t="shared" si="5"/>
        <v>16.64898072237434</v>
      </c>
      <c r="AC21" s="2">
        <f t="shared" si="12"/>
        <v>46943</v>
      </c>
      <c r="AD21" s="3">
        <f t="shared" si="13"/>
        <v>90.909090909090907</v>
      </c>
      <c r="AE21" s="3">
        <f t="shared" si="14"/>
        <v>2.2727272727272729</v>
      </c>
      <c r="AF21" s="3">
        <f>100/22</f>
        <v>4.5454545454545459</v>
      </c>
      <c r="AG21" s="3">
        <f t="shared" si="17"/>
        <v>6.8181818181818183</v>
      </c>
      <c r="AI21" s="4">
        <f t="shared" si="6"/>
        <v>2536</v>
      </c>
      <c r="AJ21" s="7" t="e">
        <f t="shared" si="7"/>
        <v>#REF!</v>
      </c>
      <c r="AK21" s="7" t="e">
        <f t="shared" si="8"/>
        <v>#REF!</v>
      </c>
    </row>
    <row r="22" spans="5:37" x14ac:dyDescent="0.2">
      <c r="E22" s="2">
        <v>47127</v>
      </c>
      <c r="F22" s="3">
        <f t="shared" si="19"/>
        <v>86.36363636363636</v>
      </c>
      <c r="G22" s="3">
        <f t="shared" si="18"/>
        <v>2.1590909090909092</v>
      </c>
      <c r="H22" s="3">
        <f>100/22</f>
        <v>4.5454545454545459</v>
      </c>
      <c r="I22" s="3">
        <f t="shared" si="15"/>
        <v>6.704545454545455</v>
      </c>
      <c r="K22" s="4">
        <f t="shared" si="0"/>
        <v>2716</v>
      </c>
      <c r="L22" s="7">
        <f t="shared" si="1"/>
        <v>2.0989074584385135</v>
      </c>
      <c r="M22" s="7">
        <f t="shared" si="2"/>
        <v>15.835090714219451</v>
      </c>
      <c r="Q22" s="2">
        <f t="shared" si="9"/>
        <v>47127</v>
      </c>
      <c r="R22" s="3">
        <f t="shared" si="10"/>
        <v>86.36363636363636</v>
      </c>
      <c r="S22" s="3">
        <f t="shared" si="11"/>
        <v>2.1590909090909092</v>
      </c>
      <c r="T22" s="3">
        <f>100/22</f>
        <v>4.5454545454545459</v>
      </c>
      <c r="U22" s="3">
        <f t="shared" si="16"/>
        <v>6.704545454545455</v>
      </c>
      <c r="W22" s="4">
        <f t="shared" si="3"/>
        <v>2716</v>
      </c>
      <c r="X22" s="7">
        <f t="shared" si="4"/>
        <v>2.1556723875636159</v>
      </c>
      <c r="Y22" s="7">
        <f t="shared" si="5"/>
        <v>16.263350568396614</v>
      </c>
      <c r="AC22" s="2">
        <f t="shared" si="12"/>
        <v>47127</v>
      </c>
      <c r="AD22" s="3">
        <f t="shared" si="13"/>
        <v>86.36363636363636</v>
      </c>
      <c r="AE22" s="3">
        <f t="shared" si="14"/>
        <v>2.1590909090909092</v>
      </c>
      <c r="AF22" s="3">
        <f>100/22</f>
        <v>4.5454545454545459</v>
      </c>
      <c r="AG22" s="3">
        <f t="shared" si="17"/>
        <v>6.704545454545455</v>
      </c>
      <c r="AI22" s="4">
        <f t="shared" si="6"/>
        <v>2716</v>
      </c>
      <c r="AJ22" s="7" t="e">
        <f t="shared" si="7"/>
        <v>#REF!</v>
      </c>
      <c r="AK22" s="7" t="e">
        <f t="shared" si="8"/>
        <v>#REF!</v>
      </c>
    </row>
    <row r="23" spans="5:37" x14ac:dyDescent="0.2">
      <c r="E23" s="2">
        <v>47308</v>
      </c>
      <c r="F23" s="3">
        <f t="shared" si="19"/>
        <v>81.818181818181813</v>
      </c>
      <c r="G23" s="3">
        <f t="shared" si="18"/>
        <v>2.0454545454545454</v>
      </c>
      <c r="H23" s="3">
        <f t="shared" ref="H23:H40" si="20">100/22</f>
        <v>4.5454545454545459</v>
      </c>
      <c r="I23" s="3">
        <f t="shared" si="15"/>
        <v>6.5909090909090917</v>
      </c>
      <c r="K23" s="4">
        <f t="shared" si="0"/>
        <v>2896</v>
      </c>
      <c r="L23" s="7">
        <f t="shared" si="1"/>
        <v>1.9104790895965016</v>
      </c>
      <c r="M23" s="7">
        <f t="shared" si="2"/>
        <v>15.368742898531856</v>
      </c>
      <c r="Q23" s="2">
        <f t="shared" si="9"/>
        <v>47308</v>
      </c>
      <c r="R23" s="3">
        <f t="shared" si="10"/>
        <v>81.818181818181813</v>
      </c>
      <c r="S23" s="3">
        <f t="shared" si="11"/>
        <v>2.0454545454545454</v>
      </c>
      <c r="T23" s="3">
        <f t="shared" ref="T23:T40" si="21">100/22</f>
        <v>4.5454545454545459</v>
      </c>
      <c r="U23" s="3">
        <f t="shared" si="16"/>
        <v>6.5909090909090917</v>
      </c>
      <c r="W23" s="4">
        <f t="shared" si="3"/>
        <v>2896</v>
      </c>
      <c r="X23" s="7">
        <f t="shared" si="4"/>
        <v>1.9656212394504273</v>
      </c>
      <c r="Y23" s="7">
        <f t="shared" si="5"/>
        <v>15.812330859578992</v>
      </c>
      <c r="AC23" s="2">
        <f t="shared" si="12"/>
        <v>47308</v>
      </c>
      <c r="AD23" s="3">
        <f t="shared" si="13"/>
        <v>81.818181818181813</v>
      </c>
      <c r="AE23" s="3">
        <f t="shared" si="14"/>
        <v>2.0454545454545454</v>
      </c>
      <c r="AF23" s="3">
        <f t="shared" ref="AF23:AF40" si="22">100/22</f>
        <v>4.5454545454545459</v>
      </c>
      <c r="AG23" s="3">
        <f t="shared" si="17"/>
        <v>6.5909090909090917</v>
      </c>
      <c r="AI23" s="4">
        <f t="shared" si="6"/>
        <v>2896</v>
      </c>
      <c r="AJ23" s="7" t="e">
        <f t="shared" si="7"/>
        <v>#REF!</v>
      </c>
      <c r="AK23" s="7" t="e">
        <f t="shared" si="8"/>
        <v>#REF!</v>
      </c>
    </row>
    <row r="24" spans="5:37" x14ac:dyDescent="0.2">
      <c r="E24" s="2">
        <v>47492</v>
      </c>
      <c r="F24" s="3">
        <f t="shared" si="19"/>
        <v>77.272727272727266</v>
      </c>
      <c r="G24" s="3">
        <f t="shared" si="18"/>
        <v>1.9318181818181817</v>
      </c>
      <c r="H24" s="3">
        <f t="shared" si="20"/>
        <v>4.5454545454545459</v>
      </c>
      <c r="I24" s="3">
        <f t="shared" si="15"/>
        <v>6.4772727272727275</v>
      </c>
      <c r="K24" s="4">
        <f t="shared" si="0"/>
        <v>3076</v>
      </c>
      <c r="L24" s="7">
        <f t="shared" si="1"/>
        <v>1.7384498492220901</v>
      </c>
      <c r="M24" s="7">
        <f t="shared" si="2"/>
        <v>14.85408815613097</v>
      </c>
      <c r="Q24" s="2">
        <f t="shared" si="9"/>
        <v>47492</v>
      </c>
      <c r="R24" s="3">
        <f t="shared" si="10"/>
        <v>77.272727272727266</v>
      </c>
      <c r="S24" s="3">
        <f t="shared" si="11"/>
        <v>1.9318181818181817</v>
      </c>
      <c r="T24" s="3">
        <f t="shared" si="21"/>
        <v>4.5454545454545459</v>
      </c>
      <c r="U24" s="3">
        <f t="shared" si="16"/>
        <v>6.4772727272727275</v>
      </c>
      <c r="W24" s="4">
        <f t="shared" si="3"/>
        <v>3076</v>
      </c>
      <c r="X24" s="7">
        <f t="shared" si="4"/>
        <v>1.7917928279425066</v>
      </c>
      <c r="Y24" s="7">
        <f t="shared" si="5"/>
        <v>15.309874274308751</v>
      </c>
      <c r="AC24" s="2">
        <f t="shared" si="12"/>
        <v>47492</v>
      </c>
      <c r="AD24" s="3">
        <f t="shared" si="13"/>
        <v>77.272727272727266</v>
      </c>
      <c r="AE24" s="3">
        <f t="shared" si="14"/>
        <v>1.9318181818181817</v>
      </c>
      <c r="AF24" s="3">
        <f t="shared" si="22"/>
        <v>4.5454545454545459</v>
      </c>
      <c r="AG24" s="3">
        <f t="shared" si="17"/>
        <v>6.4772727272727275</v>
      </c>
      <c r="AI24" s="4">
        <f t="shared" si="6"/>
        <v>3076</v>
      </c>
      <c r="AJ24" s="7" t="e">
        <f t="shared" si="7"/>
        <v>#REF!</v>
      </c>
      <c r="AK24" s="7" t="e">
        <f t="shared" si="8"/>
        <v>#REF!</v>
      </c>
    </row>
    <row r="25" spans="5:37" x14ac:dyDescent="0.2">
      <c r="E25" s="2">
        <v>47673</v>
      </c>
      <c r="F25" s="3">
        <f t="shared" si="19"/>
        <v>72.72727272727272</v>
      </c>
      <c r="G25" s="3">
        <f t="shared" si="18"/>
        <v>1.8181818181818181</v>
      </c>
      <c r="H25" s="3">
        <f t="shared" si="20"/>
        <v>4.5454545454545459</v>
      </c>
      <c r="I25" s="3">
        <f t="shared" si="15"/>
        <v>6.3636363636363642</v>
      </c>
      <c r="K25" s="4">
        <f t="shared" si="0"/>
        <v>3256</v>
      </c>
      <c r="L25" s="7">
        <f t="shared" si="1"/>
        <v>1.5814241037140939</v>
      </c>
      <c r="M25" s="7">
        <f t="shared" si="2"/>
        <v>14.303102449147472</v>
      </c>
      <c r="Q25" s="2">
        <f t="shared" si="9"/>
        <v>47673</v>
      </c>
      <c r="R25" s="3">
        <f t="shared" si="10"/>
        <v>72.72727272727272</v>
      </c>
      <c r="S25" s="3">
        <f t="shared" si="11"/>
        <v>1.8181818181818181</v>
      </c>
      <c r="T25" s="3">
        <f t="shared" si="21"/>
        <v>4.5454545454545459</v>
      </c>
      <c r="U25" s="3">
        <f t="shared" si="16"/>
        <v>6.3636363636363642</v>
      </c>
      <c r="W25" s="4">
        <f t="shared" si="3"/>
        <v>3256</v>
      </c>
      <c r="X25" s="7">
        <f t="shared" si="4"/>
        <v>1.6328340969363486</v>
      </c>
      <c r="Y25" s="7">
        <f t="shared" si="5"/>
        <v>14.76807727673542</v>
      </c>
      <c r="AC25" s="2">
        <f t="shared" si="12"/>
        <v>47673</v>
      </c>
      <c r="AD25" s="3">
        <f t="shared" si="13"/>
        <v>72.72727272727272</v>
      </c>
      <c r="AE25" s="3">
        <f t="shared" si="14"/>
        <v>1.8181818181818181</v>
      </c>
      <c r="AF25" s="3">
        <f t="shared" si="22"/>
        <v>4.5454545454545459</v>
      </c>
      <c r="AG25" s="3">
        <f t="shared" si="17"/>
        <v>6.3636363636363642</v>
      </c>
      <c r="AI25" s="4">
        <f t="shared" si="6"/>
        <v>3256</v>
      </c>
      <c r="AJ25" s="7" t="e">
        <f t="shared" si="7"/>
        <v>#REF!</v>
      </c>
      <c r="AK25" s="7" t="e">
        <f t="shared" si="8"/>
        <v>#REF!</v>
      </c>
    </row>
    <row r="26" spans="5:37" x14ac:dyDescent="0.2">
      <c r="E26" s="2">
        <v>47857</v>
      </c>
      <c r="F26" s="3">
        <f t="shared" si="19"/>
        <v>68.181818181818173</v>
      </c>
      <c r="G26" s="3">
        <f t="shared" si="18"/>
        <v>1.7045454545454544</v>
      </c>
      <c r="H26" s="3">
        <f t="shared" si="20"/>
        <v>4.5454545454545459</v>
      </c>
      <c r="I26" s="3">
        <f t="shared" si="15"/>
        <v>6.25</v>
      </c>
      <c r="K26" s="4">
        <f t="shared" si="0"/>
        <v>3436</v>
      </c>
      <c r="L26" s="7">
        <f t="shared" si="1"/>
        <v>1.438123000993738</v>
      </c>
      <c r="M26" s="7">
        <f t="shared" si="2"/>
        <v>13.726085087262454</v>
      </c>
      <c r="Q26" s="2">
        <f t="shared" si="9"/>
        <v>47857</v>
      </c>
      <c r="R26" s="3">
        <f t="shared" si="10"/>
        <v>68.181818181818173</v>
      </c>
      <c r="S26" s="3">
        <f t="shared" si="11"/>
        <v>1.7045454545454544</v>
      </c>
      <c r="T26" s="3">
        <f t="shared" si="21"/>
        <v>4.5454545454545459</v>
      </c>
      <c r="U26" s="3">
        <f t="shared" si="16"/>
        <v>6.25</v>
      </c>
      <c r="W26" s="4">
        <f t="shared" si="3"/>
        <v>3436</v>
      </c>
      <c r="X26" s="7">
        <f t="shared" si="4"/>
        <v>1.4875028921130697</v>
      </c>
      <c r="Y26" s="7">
        <f t="shared" si="5"/>
        <v>14.197388714723632</v>
      </c>
      <c r="AC26" s="2">
        <f t="shared" si="12"/>
        <v>47857</v>
      </c>
      <c r="AD26" s="3">
        <f t="shared" si="13"/>
        <v>68.181818181818173</v>
      </c>
      <c r="AE26" s="3">
        <f t="shared" si="14"/>
        <v>1.7045454545454544</v>
      </c>
      <c r="AF26" s="3">
        <f t="shared" si="22"/>
        <v>4.5454545454545459</v>
      </c>
      <c r="AG26" s="3">
        <f t="shared" si="17"/>
        <v>6.25</v>
      </c>
      <c r="AI26" s="4">
        <f t="shared" si="6"/>
        <v>3436</v>
      </c>
      <c r="AJ26" s="7" t="e">
        <f t="shared" si="7"/>
        <v>#REF!</v>
      </c>
      <c r="AK26" s="7" t="e">
        <f t="shared" si="8"/>
        <v>#REF!</v>
      </c>
    </row>
    <row r="27" spans="5:37" x14ac:dyDescent="0.2">
      <c r="E27" s="2">
        <v>48038</v>
      </c>
      <c r="F27" s="3">
        <f t="shared" si="19"/>
        <v>63.636363636363626</v>
      </c>
      <c r="G27" s="3">
        <f t="shared" si="18"/>
        <v>1.5909090909090908</v>
      </c>
      <c r="H27" s="3">
        <f t="shared" si="20"/>
        <v>4.5454545454545459</v>
      </c>
      <c r="I27" s="3">
        <f t="shared" si="15"/>
        <v>6.1363636363636367</v>
      </c>
      <c r="K27" s="4">
        <f t="shared" si="0"/>
        <v>3616</v>
      </c>
      <c r="L27" s="7">
        <f t="shared" si="1"/>
        <v>1.30737482715149</v>
      </c>
      <c r="M27" s="7">
        <f t="shared" si="2"/>
        <v>13.131853819388299</v>
      </c>
      <c r="Q27" s="2">
        <f t="shared" si="9"/>
        <v>48038</v>
      </c>
      <c r="R27" s="3">
        <f t="shared" si="10"/>
        <v>63.636363636363626</v>
      </c>
      <c r="S27" s="3">
        <f t="shared" si="11"/>
        <v>1.5909090909090908</v>
      </c>
      <c r="T27" s="3">
        <f t="shared" si="21"/>
        <v>4.5454545454545459</v>
      </c>
      <c r="U27" s="3">
        <f t="shared" si="16"/>
        <v>6.1363636363636367</v>
      </c>
      <c r="W27" s="4">
        <f t="shared" si="3"/>
        <v>3616</v>
      </c>
      <c r="X27" s="7">
        <f t="shared" si="4"/>
        <v>1.3546589936718414</v>
      </c>
      <c r="Y27" s="7">
        <f t="shared" si="5"/>
        <v>13.606797003103829</v>
      </c>
      <c r="AC27" s="2">
        <f t="shared" si="12"/>
        <v>48038</v>
      </c>
      <c r="AD27" s="3">
        <f t="shared" si="13"/>
        <v>63.636363636363626</v>
      </c>
      <c r="AE27" s="3">
        <f t="shared" si="14"/>
        <v>1.5909090909090908</v>
      </c>
      <c r="AF27" s="3">
        <f t="shared" si="22"/>
        <v>4.5454545454545459</v>
      </c>
      <c r="AG27" s="3">
        <f t="shared" si="17"/>
        <v>6.1363636363636367</v>
      </c>
      <c r="AI27" s="4">
        <f t="shared" si="6"/>
        <v>3616</v>
      </c>
      <c r="AJ27" s="7" t="e">
        <f t="shared" si="7"/>
        <v>#REF!</v>
      </c>
      <c r="AK27" s="7" t="e">
        <f t="shared" si="8"/>
        <v>#REF!</v>
      </c>
    </row>
    <row r="28" spans="5:37" x14ac:dyDescent="0.2">
      <c r="E28" s="2">
        <v>48222</v>
      </c>
      <c r="F28" s="3">
        <f t="shared" si="19"/>
        <v>59.090909090909079</v>
      </c>
      <c r="G28" s="3">
        <f t="shared" si="18"/>
        <v>1.4772727272727271</v>
      </c>
      <c r="H28" s="3">
        <f t="shared" si="20"/>
        <v>4.5454545454545459</v>
      </c>
      <c r="I28" s="3">
        <f t="shared" si="15"/>
        <v>6.0227272727272734</v>
      </c>
      <c r="K28" s="4">
        <f t="shared" si="0"/>
        <v>3796</v>
      </c>
      <c r="L28" s="7">
        <f t="shared" si="1"/>
        <v>1.1881061509759316</v>
      </c>
      <c r="M28" s="7">
        <f t="shared" si="2"/>
        <v>12.527919303068435</v>
      </c>
      <c r="Q28" s="2">
        <f t="shared" si="9"/>
        <v>48222</v>
      </c>
      <c r="R28" s="3">
        <f t="shared" si="10"/>
        <v>59.090909090909079</v>
      </c>
      <c r="S28" s="3">
        <f t="shared" si="11"/>
        <v>1.4772727272727271</v>
      </c>
      <c r="T28" s="3">
        <f t="shared" si="21"/>
        <v>4.5454545454545459</v>
      </c>
      <c r="U28" s="3">
        <f t="shared" si="16"/>
        <v>6.0227272727272734</v>
      </c>
      <c r="W28" s="4">
        <f t="shared" si="3"/>
        <v>3796</v>
      </c>
      <c r="X28" s="7">
        <f t="shared" si="4"/>
        <v>1.233255866281501</v>
      </c>
      <c r="Y28" s="7">
        <f t="shared" si="5"/>
        <v>13.003997967790493</v>
      </c>
      <c r="AC28" s="2">
        <f t="shared" si="12"/>
        <v>48222</v>
      </c>
      <c r="AD28" s="3">
        <f t="shared" si="13"/>
        <v>59.090909090909079</v>
      </c>
      <c r="AE28" s="3">
        <f t="shared" si="14"/>
        <v>1.4772727272727271</v>
      </c>
      <c r="AF28" s="3">
        <f t="shared" si="22"/>
        <v>4.5454545454545459</v>
      </c>
      <c r="AG28" s="3">
        <f t="shared" si="17"/>
        <v>6.0227272727272734</v>
      </c>
      <c r="AI28" s="4">
        <f t="shared" si="6"/>
        <v>3796</v>
      </c>
      <c r="AJ28" s="7" t="e">
        <f t="shared" si="7"/>
        <v>#REF!</v>
      </c>
      <c r="AK28" s="7" t="e">
        <f t="shared" si="8"/>
        <v>#REF!</v>
      </c>
    </row>
    <row r="29" spans="5:37" x14ac:dyDescent="0.2">
      <c r="E29" s="2">
        <v>48404</v>
      </c>
      <c r="F29" s="3">
        <f t="shared" si="19"/>
        <v>54.545454545454533</v>
      </c>
      <c r="G29" s="3">
        <f t="shared" si="18"/>
        <v>1.3636363636363633</v>
      </c>
      <c r="H29" s="3">
        <f t="shared" si="20"/>
        <v>4.5454545454545459</v>
      </c>
      <c r="I29" s="3">
        <f t="shared" si="15"/>
        <v>5.9090909090909092</v>
      </c>
      <c r="K29" s="4">
        <f t="shared" si="0"/>
        <v>3976</v>
      </c>
      <c r="L29" s="7">
        <f t="shared" si="1"/>
        <v>1.0793336925531829</v>
      </c>
      <c r="M29" s="7">
        <f t="shared" si="2"/>
        <v>11.920641004420709</v>
      </c>
      <c r="Q29" s="2">
        <f t="shared" si="9"/>
        <v>48404</v>
      </c>
      <c r="R29" s="3">
        <f t="shared" si="10"/>
        <v>54.545454545454533</v>
      </c>
      <c r="S29" s="3">
        <f t="shared" si="11"/>
        <v>1.3636363636363633</v>
      </c>
      <c r="T29" s="3">
        <f t="shared" si="21"/>
        <v>4.5454545454545459</v>
      </c>
      <c r="U29" s="3">
        <f t="shared" si="16"/>
        <v>5.9090909090909092</v>
      </c>
      <c r="W29" s="4">
        <f t="shared" si="3"/>
        <v>3976</v>
      </c>
      <c r="X29" s="7">
        <f t="shared" si="4"/>
        <v>1.1223330693957128</v>
      </c>
      <c r="Y29" s="7">
        <f t="shared" si="5"/>
        <v>12.395545233103761</v>
      </c>
      <c r="AC29" s="2">
        <f t="shared" si="12"/>
        <v>48404</v>
      </c>
      <c r="AD29" s="3">
        <f t="shared" si="13"/>
        <v>54.545454545454533</v>
      </c>
      <c r="AE29" s="3">
        <f t="shared" si="14"/>
        <v>1.3636363636363633</v>
      </c>
      <c r="AF29" s="3">
        <f t="shared" si="22"/>
        <v>4.5454545454545459</v>
      </c>
      <c r="AG29" s="3">
        <f t="shared" si="17"/>
        <v>5.9090909090909092</v>
      </c>
      <c r="AI29" s="4">
        <f t="shared" si="6"/>
        <v>3976</v>
      </c>
      <c r="AJ29" s="7" t="e">
        <f t="shared" si="7"/>
        <v>#REF!</v>
      </c>
      <c r="AK29" s="7" t="e">
        <f t="shared" si="8"/>
        <v>#REF!</v>
      </c>
    </row>
    <row r="30" spans="5:37" x14ac:dyDescent="0.2">
      <c r="E30" s="2">
        <v>48588</v>
      </c>
      <c r="F30" s="3">
        <f t="shared" si="19"/>
        <v>49.999999999999986</v>
      </c>
      <c r="G30" s="3">
        <f t="shared" si="18"/>
        <v>1.2499999999999998</v>
      </c>
      <c r="H30" s="3">
        <f t="shared" si="20"/>
        <v>4.5454545454545459</v>
      </c>
      <c r="I30" s="3">
        <f t="shared" si="15"/>
        <v>5.7954545454545459</v>
      </c>
      <c r="K30" s="4">
        <f t="shared" si="0"/>
        <v>4156</v>
      </c>
      <c r="L30" s="7">
        <f t="shared" si="1"/>
        <v>0.98015685725590829</v>
      </c>
      <c r="M30" s="7">
        <f t="shared" si="2"/>
        <v>11.315366385432096</v>
      </c>
      <c r="Q30" s="2">
        <f t="shared" si="9"/>
        <v>48588</v>
      </c>
      <c r="R30" s="3">
        <f t="shared" si="10"/>
        <v>49.999999999999986</v>
      </c>
      <c r="S30" s="3">
        <f t="shared" si="11"/>
        <v>1.2499999999999998</v>
      </c>
      <c r="T30" s="3">
        <f t="shared" si="21"/>
        <v>4.5454545454545459</v>
      </c>
      <c r="U30" s="3">
        <f t="shared" si="16"/>
        <v>5.7954545454545459</v>
      </c>
      <c r="W30" s="4">
        <f t="shared" si="3"/>
        <v>4156</v>
      </c>
      <c r="X30" s="7">
        <f t="shared" si="4"/>
        <v>1.0210092755505378</v>
      </c>
      <c r="Y30" s="7">
        <f t="shared" si="5"/>
        <v>11.786984858855652</v>
      </c>
      <c r="AC30" s="2">
        <f t="shared" si="12"/>
        <v>48588</v>
      </c>
      <c r="AD30" s="3">
        <f t="shared" si="13"/>
        <v>49.999999999999986</v>
      </c>
      <c r="AE30" s="3">
        <f t="shared" si="14"/>
        <v>1.2499999999999998</v>
      </c>
      <c r="AF30" s="3">
        <f t="shared" si="22"/>
        <v>4.5454545454545459</v>
      </c>
      <c r="AG30" s="3">
        <f t="shared" si="17"/>
        <v>5.7954545454545459</v>
      </c>
      <c r="AI30" s="4">
        <f t="shared" si="6"/>
        <v>4156</v>
      </c>
      <c r="AJ30" s="7" t="e">
        <f t="shared" si="7"/>
        <v>#REF!</v>
      </c>
      <c r="AK30" s="7" t="e">
        <f t="shared" si="8"/>
        <v>#REF!</v>
      </c>
    </row>
    <row r="31" spans="5:37" x14ac:dyDescent="0.2">
      <c r="E31" s="2">
        <v>48769</v>
      </c>
      <c r="F31" s="3">
        <f t="shared" si="19"/>
        <v>45.454545454545439</v>
      </c>
      <c r="G31" s="3">
        <f t="shared" si="18"/>
        <v>1.136363636363636</v>
      </c>
      <c r="H31" s="3">
        <f t="shared" si="20"/>
        <v>4.5454545454545459</v>
      </c>
      <c r="I31" s="3">
        <f t="shared" si="15"/>
        <v>5.6818181818181817</v>
      </c>
      <c r="K31" s="4">
        <f t="shared" si="0"/>
        <v>4336</v>
      </c>
      <c r="L31" s="7">
        <f t="shared" si="1"/>
        <v>0.88975088116154777</v>
      </c>
      <c r="M31" s="7">
        <f t="shared" si="2"/>
        <v>10.716555057545753</v>
      </c>
      <c r="Q31" s="2">
        <f t="shared" si="9"/>
        <v>48769</v>
      </c>
      <c r="R31" s="3">
        <f t="shared" si="10"/>
        <v>45.454545454545439</v>
      </c>
      <c r="S31" s="3">
        <f t="shared" si="11"/>
        <v>1.136363636363636</v>
      </c>
      <c r="T31" s="3">
        <f t="shared" si="21"/>
        <v>4.5454545454545459</v>
      </c>
      <c r="U31" s="3">
        <f t="shared" si="16"/>
        <v>5.6818181818181817</v>
      </c>
      <c r="W31" s="4">
        <f t="shared" si="3"/>
        <v>4336</v>
      </c>
      <c r="X31" s="7">
        <f t="shared" si="4"/>
        <v>0.92847584838696773</v>
      </c>
      <c r="Y31" s="7">
        <f t="shared" si="5"/>
        <v>11.182975773905255</v>
      </c>
      <c r="AC31" s="2">
        <f t="shared" si="12"/>
        <v>48769</v>
      </c>
      <c r="AD31" s="3">
        <f t="shared" si="13"/>
        <v>45.454545454545439</v>
      </c>
      <c r="AE31" s="3">
        <f t="shared" si="14"/>
        <v>1.136363636363636</v>
      </c>
      <c r="AF31" s="3">
        <f t="shared" si="22"/>
        <v>4.5454545454545459</v>
      </c>
      <c r="AG31" s="3">
        <f t="shared" si="17"/>
        <v>5.6818181818181817</v>
      </c>
      <c r="AI31" s="4">
        <f t="shared" si="6"/>
        <v>4336</v>
      </c>
      <c r="AJ31" s="7" t="e">
        <f t="shared" si="7"/>
        <v>#REF!</v>
      </c>
      <c r="AK31" s="7" t="e">
        <f t="shared" si="8"/>
        <v>#REF!</v>
      </c>
    </row>
    <row r="32" spans="5:37" x14ac:dyDescent="0.2">
      <c r="E32" s="2">
        <v>48953</v>
      </c>
      <c r="F32" s="3">
        <f t="shared" si="19"/>
        <v>40.909090909090892</v>
      </c>
      <c r="G32" s="3">
        <f t="shared" si="18"/>
        <v>1.0227272727272723</v>
      </c>
      <c r="H32" s="3">
        <f t="shared" si="20"/>
        <v>4.5454545454545459</v>
      </c>
      <c r="I32" s="3">
        <f t="shared" si="15"/>
        <v>5.5681818181818183</v>
      </c>
      <c r="K32" s="4">
        <f t="shared" si="0"/>
        <v>4516</v>
      </c>
      <c r="L32" s="7">
        <f t="shared" si="1"/>
        <v>0.80736053828262877</v>
      </c>
      <c r="M32" s="7">
        <f t="shared" si="2"/>
        <v>10.127889419123198</v>
      </c>
      <c r="Q32" s="2">
        <f t="shared" si="9"/>
        <v>48953</v>
      </c>
      <c r="R32" s="3">
        <f t="shared" si="10"/>
        <v>40.909090909090892</v>
      </c>
      <c r="S32" s="3">
        <f t="shared" si="11"/>
        <v>1.0227272727272723</v>
      </c>
      <c r="T32" s="3">
        <f t="shared" si="21"/>
        <v>4.5454545454545459</v>
      </c>
      <c r="U32" s="3">
        <f t="shared" si="16"/>
        <v>5.5681818181818183</v>
      </c>
      <c r="W32" s="4">
        <f t="shared" si="3"/>
        <v>4516</v>
      </c>
      <c r="X32" s="7">
        <f t="shared" si="4"/>
        <v>0.84399093594212005</v>
      </c>
      <c r="Y32" s="7">
        <f t="shared" si="5"/>
        <v>10.587397407540594</v>
      </c>
      <c r="AC32" s="2">
        <f t="shared" si="12"/>
        <v>48953</v>
      </c>
      <c r="AD32" s="3">
        <f t="shared" si="13"/>
        <v>40.909090909090892</v>
      </c>
      <c r="AE32" s="3">
        <f t="shared" si="14"/>
        <v>1.0227272727272723</v>
      </c>
      <c r="AF32" s="3">
        <f t="shared" si="22"/>
        <v>4.5454545454545459</v>
      </c>
      <c r="AG32" s="3">
        <f t="shared" si="17"/>
        <v>5.5681818181818183</v>
      </c>
      <c r="AI32" s="4">
        <f t="shared" si="6"/>
        <v>4516</v>
      </c>
      <c r="AJ32" s="7" t="e">
        <f t="shared" si="7"/>
        <v>#REF!</v>
      </c>
      <c r="AK32" s="7" t="e">
        <f t="shared" si="8"/>
        <v>#REF!</v>
      </c>
    </row>
    <row r="33" spans="5:37" x14ac:dyDescent="0.2">
      <c r="E33" s="2">
        <v>49134</v>
      </c>
      <c r="F33" s="3">
        <f t="shared" si="19"/>
        <v>36.363636363636346</v>
      </c>
      <c r="G33" s="3">
        <f t="shared" si="18"/>
        <v>0.90909090909090873</v>
      </c>
      <c r="H33" s="3">
        <f t="shared" si="20"/>
        <v>4.5454545454545459</v>
      </c>
      <c r="I33" s="3">
        <f t="shared" si="15"/>
        <v>5.454545454545455</v>
      </c>
      <c r="K33" s="4">
        <f t="shared" si="0"/>
        <v>4696</v>
      </c>
      <c r="L33" s="7">
        <f t="shared" si="1"/>
        <v>0.73229436398786485</v>
      </c>
      <c r="M33" s="7">
        <f t="shared" si="2"/>
        <v>9.5523731480194822</v>
      </c>
      <c r="Q33" s="2">
        <f t="shared" si="9"/>
        <v>49134</v>
      </c>
      <c r="R33" s="3">
        <f t="shared" si="10"/>
        <v>36.363636363636346</v>
      </c>
      <c r="S33" s="3">
        <f t="shared" si="11"/>
        <v>0.90909090909090873</v>
      </c>
      <c r="T33" s="3">
        <f t="shared" si="21"/>
        <v>4.5454545454545459</v>
      </c>
      <c r="U33" s="3">
        <f t="shared" si="16"/>
        <v>5.454545454545455</v>
      </c>
      <c r="W33" s="4">
        <f t="shared" si="3"/>
        <v>4696</v>
      </c>
      <c r="X33" s="7">
        <f t="shared" si="4"/>
        <v>0.76687403825644285</v>
      </c>
      <c r="Y33" s="7">
        <f t="shared" si="5"/>
        <v>10.003445787922931</v>
      </c>
      <c r="AC33" s="2">
        <f t="shared" si="12"/>
        <v>49134</v>
      </c>
      <c r="AD33" s="3">
        <f t="shared" si="13"/>
        <v>36.363636363636346</v>
      </c>
      <c r="AE33" s="3">
        <f t="shared" si="14"/>
        <v>0.90909090909090873</v>
      </c>
      <c r="AF33" s="3">
        <f t="shared" si="22"/>
        <v>4.5454545454545459</v>
      </c>
      <c r="AG33" s="3">
        <f t="shared" si="17"/>
        <v>5.454545454545455</v>
      </c>
      <c r="AI33" s="4">
        <f t="shared" si="6"/>
        <v>4696</v>
      </c>
      <c r="AJ33" s="7" t="e">
        <f t="shared" si="7"/>
        <v>#REF!</v>
      </c>
      <c r="AK33" s="7" t="e">
        <f t="shared" si="8"/>
        <v>#REF!</v>
      </c>
    </row>
    <row r="34" spans="5:37" x14ac:dyDescent="0.2">
      <c r="E34" s="2">
        <v>49318</v>
      </c>
      <c r="F34" s="3">
        <f t="shared" si="19"/>
        <v>31.818181818181799</v>
      </c>
      <c r="G34" s="3">
        <f t="shared" si="18"/>
        <v>0.79545454545454497</v>
      </c>
      <c r="H34" s="3">
        <f t="shared" si="20"/>
        <v>4.5454545454545459</v>
      </c>
      <c r="I34" s="3">
        <f t="shared" si="15"/>
        <v>5.3409090909090908</v>
      </c>
      <c r="K34" s="4">
        <f t="shared" si="0"/>
        <v>4876</v>
      </c>
      <c r="L34" s="7">
        <f t="shared" si="1"/>
        <v>0.66391935266887669</v>
      </c>
      <c r="M34" s="7">
        <f t="shared" si="2"/>
        <v>8.9924187878151187</v>
      </c>
      <c r="Q34" s="2">
        <f t="shared" si="9"/>
        <v>49318</v>
      </c>
      <c r="R34" s="3">
        <f t="shared" si="10"/>
        <v>31.818181818181799</v>
      </c>
      <c r="S34" s="3">
        <f t="shared" si="11"/>
        <v>0.79545454545454497</v>
      </c>
      <c r="T34" s="3">
        <f t="shared" si="21"/>
        <v>4.5454545454545459</v>
      </c>
      <c r="U34" s="3">
        <f t="shared" si="16"/>
        <v>5.3409090909090908</v>
      </c>
      <c r="W34" s="4">
        <f t="shared" si="3"/>
        <v>4876</v>
      </c>
      <c r="X34" s="7">
        <f t="shared" si="4"/>
        <v>0.69650101157361732</v>
      </c>
      <c r="Y34" s="7">
        <f t="shared" si="5"/>
        <v>9.4337192567582164</v>
      </c>
      <c r="AC34" s="2">
        <f t="shared" si="12"/>
        <v>49318</v>
      </c>
      <c r="AD34" s="3">
        <f t="shared" si="13"/>
        <v>31.818181818181799</v>
      </c>
      <c r="AE34" s="3">
        <f t="shared" si="14"/>
        <v>0.79545454545454497</v>
      </c>
      <c r="AF34" s="3">
        <f t="shared" si="22"/>
        <v>4.5454545454545459</v>
      </c>
      <c r="AG34" s="3">
        <f t="shared" si="17"/>
        <v>5.3409090909090908</v>
      </c>
      <c r="AI34" s="4">
        <f t="shared" si="6"/>
        <v>4876</v>
      </c>
      <c r="AJ34" s="7" t="e">
        <f t="shared" si="7"/>
        <v>#REF!</v>
      </c>
      <c r="AK34" s="7" t="e">
        <f t="shared" si="8"/>
        <v>#REF!</v>
      </c>
    </row>
    <row r="35" spans="5:37" x14ac:dyDescent="0.2">
      <c r="E35" s="2">
        <v>49499</v>
      </c>
      <c r="F35" s="3">
        <f t="shared" si="19"/>
        <v>27.272727272727252</v>
      </c>
      <c r="G35" s="3">
        <f t="shared" si="18"/>
        <v>0.68181818181818132</v>
      </c>
      <c r="H35" s="3">
        <f t="shared" si="20"/>
        <v>4.5454545454545459</v>
      </c>
      <c r="I35" s="3">
        <f t="shared" si="15"/>
        <v>5.2272727272727275</v>
      </c>
      <c r="K35" s="4">
        <f t="shared" si="0"/>
        <v>5056</v>
      </c>
      <c r="L35" s="7">
        <f t="shared" si="1"/>
        <v>0.60165609108919194</v>
      </c>
      <c r="M35" s="7">
        <f t="shared" si="2"/>
        <v>8.4499255459637617</v>
      </c>
      <c r="Q35" s="2">
        <f t="shared" si="9"/>
        <v>49499</v>
      </c>
      <c r="R35" s="3">
        <f t="shared" si="10"/>
        <v>27.272727272727252</v>
      </c>
      <c r="S35" s="3">
        <f t="shared" si="11"/>
        <v>0.68181818181818132</v>
      </c>
      <c r="T35" s="3">
        <f t="shared" si="21"/>
        <v>4.5454545454545459</v>
      </c>
      <c r="U35" s="3">
        <f t="shared" si="16"/>
        <v>5.2272727272727275</v>
      </c>
      <c r="W35" s="4">
        <f t="shared" si="3"/>
        <v>5056</v>
      </c>
      <c r="X35" s="7">
        <f t="shared" si="4"/>
        <v>0.63229947438620948</v>
      </c>
      <c r="Y35" s="7">
        <f t="shared" si="5"/>
        <v>8.880294840268542</v>
      </c>
      <c r="AC35" s="2">
        <f t="shared" si="12"/>
        <v>49499</v>
      </c>
      <c r="AD35" s="3">
        <f t="shared" si="13"/>
        <v>27.272727272727252</v>
      </c>
      <c r="AE35" s="3">
        <f t="shared" si="14"/>
        <v>0.68181818181818132</v>
      </c>
      <c r="AF35" s="3">
        <f t="shared" si="22"/>
        <v>4.5454545454545459</v>
      </c>
      <c r="AG35" s="3">
        <f t="shared" si="17"/>
        <v>5.2272727272727275</v>
      </c>
      <c r="AI35" s="4">
        <f t="shared" si="6"/>
        <v>5056</v>
      </c>
      <c r="AJ35" s="7" t="e">
        <f t="shared" si="7"/>
        <v>#REF!</v>
      </c>
      <c r="AK35" s="7" t="e">
        <f t="shared" si="8"/>
        <v>#REF!</v>
      </c>
    </row>
    <row r="36" spans="5:37" x14ac:dyDescent="0.2">
      <c r="E36" s="2">
        <v>49683</v>
      </c>
      <c r="F36" s="3">
        <f t="shared" si="19"/>
        <v>22.727272727272705</v>
      </c>
      <c r="G36" s="3">
        <f t="shared" si="18"/>
        <v>0.56818181818181768</v>
      </c>
      <c r="H36" s="3">
        <f t="shared" si="20"/>
        <v>4.5454545454545459</v>
      </c>
      <c r="I36" s="3">
        <f t="shared" si="15"/>
        <v>5.1136363636363633</v>
      </c>
      <c r="K36" s="4">
        <f t="shared" si="0"/>
        <v>5236</v>
      </c>
      <c r="L36" s="7">
        <f t="shared" si="1"/>
        <v>0.5449742919631434</v>
      </c>
      <c r="M36" s="7">
        <f t="shared" si="2"/>
        <v>7.9263483131083854</v>
      </c>
      <c r="Q36" s="2">
        <f t="shared" si="9"/>
        <v>49683</v>
      </c>
      <c r="R36" s="3">
        <f t="shared" si="10"/>
        <v>22.727272727272705</v>
      </c>
      <c r="S36" s="3">
        <f t="shared" si="11"/>
        <v>0.56818181818181768</v>
      </c>
      <c r="T36" s="3">
        <f t="shared" si="21"/>
        <v>4.5454545454545459</v>
      </c>
      <c r="U36" s="3">
        <f t="shared" si="16"/>
        <v>5.1136363636363633</v>
      </c>
      <c r="W36" s="4">
        <f t="shared" si="3"/>
        <v>5236</v>
      </c>
      <c r="X36" s="7">
        <f t="shared" si="4"/>
        <v>0.5737445833232353</v>
      </c>
      <c r="Y36" s="7">
        <f t="shared" si="5"/>
        <v>8.3447962174457224</v>
      </c>
      <c r="AC36" s="2">
        <f t="shared" si="12"/>
        <v>49683</v>
      </c>
      <c r="AD36" s="3">
        <f t="shared" si="13"/>
        <v>22.727272727272705</v>
      </c>
      <c r="AE36" s="3">
        <f t="shared" si="14"/>
        <v>0.56818181818181768</v>
      </c>
      <c r="AF36" s="3">
        <f t="shared" si="22"/>
        <v>4.5454545454545459</v>
      </c>
      <c r="AG36" s="3">
        <f t="shared" si="17"/>
        <v>5.1136363636363633</v>
      </c>
      <c r="AI36" s="4">
        <f t="shared" si="6"/>
        <v>5236</v>
      </c>
      <c r="AJ36" s="7" t="e">
        <f t="shared" si="7"/>
        <v>#REF!</v>
      </c>
      <c r="AK36" s="7" t="e">
        <f t="shared" si="8"/>
        <v>#REF!</v>
      </c>
    </row>
    <row r="37" spans="5:37" x14ac:dyDescent="0.2">
      <c r="E37" s="2">
        <v>49865</v>
      </c>
      <c r="F37" s="3">
        <f t="shared" si="19"/>
        <v>18.181818181818159</v>
      </c>
      <c r="G37" s="3">
        <f t="shared" si="18"/>
        <v>0.45454545454545398</v>
      </c>
      <c r="H37" s="3">
        <f t="shared" si="20"/>
        <v>4.5454545454545459</v>
      </c>
      <c r="I37" s="3">
        <f t="shared" si="15"/>
        <v>5</v>
      </c>
      <c r="K37" s="4">
        <f t="shared" si="0"/>
        <v>5416</v>
      </c>
      <c r="L37" s="7">
        <f t="shared" si="1"/>
        <v>0.49338869517396333</v>
      </c>
      <c r="M37" s="7">
        <f t="shared" si="2"/>
        <v>7.4227588140616261</v>
      </c>
      <c r="Q37" s="2">
        <f t="shared" si="9"/>
        <v>49865</v>
      </c>
      <c r="R37" s="3">
        <f t="shared" si="10"/>
        <v>18.181818181818159</v>
      </c>
      <c r="S37" s="3">
        <f t="shared" si="11"/>
        <v>0.45454545454545398</v>
      </c>
      <c r="T37" s="3">
        <f t="shared" si="21"/>
        <v>4.5454545454545459</v>
      </c>
      <c r="U37" s="3">
        <f t="shared" si="16"/>
        <v>5</v>
      </c>
      <c r="W37" s="4">
        <f t="shared" si="3"/>
        <v>5416</v>
      </c>
      <c r="X37" s="7">
        <f t="shared" si="4"/>
        <v>0.52035514940381289</v>
      </c>
      <c r="Y37" s="7">
        <f t="shared" si="5"/>
        <v>7.8284541365862514</v>
      </c>
      <c r="AC37" s="2">
        <f t="shared" si="12"/>
        <v>49865</v>
      </c>
      <c r="AD37" s="3">
        <f t="shared" si="13"/>
        <v>18.181818181818159</v>
      </c>
      <c r="AE37" s="3">
        <f t="shared" si="14"/>
        <v>0.45454545454545398</v>
      </c>
      <c r="AF37" s="3">
        <f t="shared" si="22"/>
        <v>4.5454545454545459</v>
      </c>
      <c r="AG37" s="3">
        <f t="shared" si="17"/>
        <v>5</v>
      </c>
      <c r="AI37" s="4">
        <f t="shared" si="6"/>
        <v>5416</v>
      </c>
      <c r="AJ37" s="7" t="e">
        <f t="shared" si="7"/>
        <v>#REF!</v>
      </c>
      <c r="AK37" s="7" t="e">
        <f t="shared" si="8"/>
        <v>#REF!</v>
      </c>
    </row>
    <row r="38" spans="5:37" x14ac:dyDescent="0.2">
      <c r="E38" s="2">
        <v>50049</v>
      </c>
      <c r="F38" s="3">
        <f t="shared" si="19"/>
        <v>13.636363636363612</v>
      </c>
      <c r="G38" s="3">
        <f t="shared" si="18"/>
        <v>0.34090909090909033</v>
      </c>
      <c r="H38" s="3">
        <f t="shared" si="20"/>
        <v>4.5454545454545459</v>
      </c>
      <c r="I38" s="3">
        <f t="shared" si="15"/>
        <v>4.8863636363636358</v>
      </c>
      <c r="K38" s="4">
        <f t="shared" si="0"/>
        <v>5596</v>
      </c>
      <c r="L38" s="7">
        <f t="shared" si="1"/>
        <v>0.44645530667261352</v>
      </c>
      <c r="M38" s="7">
        <f t="shared" si="2"/>
        <v>6.939899711499848</v>
      </c>
      <c r="Q38" s="2">
        <f t="shared" si="9"/>
        <v>50049</v>
      </c>
      <c r="R38" s="3">
        <f t="shared" si="10"/>
        <v>13.636363636363612</v>
      </c>
      <c r="S38" s="3">
        <f t="shared" si="11"/>
        <v>0.34090909090909033</v>
      </c>
      <c r="T38" s="3">
        <f t="shared" si="21"/>
        <v>4.5454545454545459</v>
      </c>
      <c r="U38" s="3">
        <f t="shared" si="16"/>
        <v>4.8863636363636358</v>
      </c>
      <c r="W38" s="4">
        <f t="shared" si="3"/>
        <v>5596</v>
      </c>
      <c r="X38" s="7">
        <f t="shared" si="4"/>
        <v>0.47169006751079351</v>
      </c>
      <c r="Y38" s="7">
        <f t="shared" si="5"/>
        <v>7.3321600494177792</v>
      </c>
      <c r="AC38" s="2">
        <f t="shared" si="12"/>
        <v>50049</v>
      </c>
      <c r="AD38" s="3">
        <f t="shared" si="13"/>
        <v>13.636363636363612</v>
      </c>
      <c r="AE38" s="3">
        <f t="shared" si="14"/>
        <v>0.34090909090909033</v>
      </c>
      <c r="AF38" s="3">
        <f t="shared" si="22"/>
        <v>4.5454545454545459</v>
      </c>
      <c r="AG38" s="3">
        <f t="shared" si="17"/>
        <v>4.8863636363636358</v>
      </c>
      <c r="AI38" s="4">
        <f t="shared" si="6"/>
        <v>5596</v>
      </c>
      <c r="AJ38" s="7" t="e">
        <f t="shared" si="7"/>
        <v>#REF!</v>
      </c>
      <c r="AK38" s="7" t="e">
        <f t="shared" si="8"/>
        <v>#REF!</v>
      </c>
    </row>
    <row r="39" spans="5:37" x14ac:dyDescent="0.2">
      <c r="E39" s="2">
        <v>50230</v>
      </c>
      <c r="F39" s="3">
        <f t="shared" si="19"/>
        <v>9.0909090909090651</v>
      </c>
      <c r="G39" s="3">
        <f t="shared" si="18"/>
        <v>0.22727272727272663</v>
      </c>
      <c r="H39" s="3">
        <f t="shared" si="20"/>
        <v>4.5454545454545459</v>
      </c>
      <c r="I39" s="3">
        <f t="shared" si="15"/>
        <v>4.7727272727272725</v>
      </c>
      <c r="K39" s="4">
        <f t="shared" si="0"/>
        <v>5776</v>
      </c>
      <c r="L39" s="7">
        <f t="shared" si="1"/>
        <v>0.40376794751999107</v>
      </c>
      <c r="M39" s="7">
        <f t="shared" si="2"/>
        <v>6.4782324024318569</v>
      </c>
      <c r="Q39" s="2">
        <f t="shared" si="9"/>
        <v>50230</v>
      </c>
      <c r="R39" s="3">
        <f t="shared" si="10"/>
        <v>9.0909090909090651</v>
      </c>
      <c r="S39" s="3">
        <f t="shared" si="11"/>
        <v>0.22727272727272663</v>
      </c>
      <c r="T39" s="3">
        <f t="shared" si="21"/>
        <v>4.5454545454545459</v>
      </c>
      <c r="U39" s="3">
        <f t="shared" si="16"/>
        <v>4.7727272727272725</v>
      </c>
      <c r="W39" s="4">
        <f t="shared" si="3"/>
        <v>5776</v>
      </c>
      <c r="X39" s="7">
        <f t="shared" si="4"/>
        <v>0.42734503408509478</v>
      </c>
      <c r="Y39" s="7">
        <f t="shared" si="5"/>
        <v>6.856513657987521</v>
      </c>
      <c r="AC39" s="2">
        <f t="shared" si="12"/>
        <v>50230</v>
      </c>
      <c r="AD39" s="3">
        <f t="shared" si="13"/>
        <v>9.0909090909090651</v>
      </c>
      <c r="AE39" s="3">
        <f t="shared" si="14"/>
        <v>0.22727272727272663</v>
      </c>
      <c r="AF39" s="3">
        <f t="shared" si="22"/>
        <v>4.5454545454545459</v>
      </c>
      <c r="AG39" s="3">
        <f t="shared" si="17"/>
        <v>4.7727272727272725</v>
      </c>
      <c r="AI39" s="4">
        <f t="shared" si="6"/>
        <v>5776</v>
      </c>
      <c r="AJ39" s="7" t="e">
        <f t="shared" si="7"/>
        <v>#REF!</v>
      </c>
      <c r="AK39" s="7" t="e">
        <f t="shared" si="8"/>
        <v>#REF!</v>
      </c>
    </row>
    <row r="40" spans="5:37" x14ac:dyDescent="0.2">
      <c r="E40" s="2">
        <v>50414</v>
      </c>
      <c r="F40" s="3">
        <f t="shared" si="19"/>
        <v>4.5454545454545192</v>
      </c>
      <c r="G40" s="3">
        <f t="shared" si="18"/>
        <v>0.11363636363636298</v>
      </c>
      <c r="H40" s="3">
        <f t="shared" si="20"/>
        <v>4.5454545454545459</v>
      </c>
      <c r="I40" s="3">
        <f t="shared" si="15"/>
        <v>4.6590909090909092</v>
      </c>
      <c r="K40" s="4">
        <f t="shared" si="0"/>
        <v>5956</v>
      </c>
      <c r="L40" s="7">
        <f t="shared" si="1"/>
        <v>0.36495508776195601</v>
      </c>
      <c r="M40" s="7">
        <f t="shared" si="2"/>
        <v>6.0379791741950273</v>
      </c>
      <c r="Q40" s="2">
        <f t="shared" si="9"/>
        <v>50414</v>
      </c>
      <c r="R40" s="3">
        <f t="shared" si="10"/>
        <v>4.5454545454545192</v>
      </c>
      <c r="S40" s="3">
        <f t="shared" si="11"/>
        <v>0.11363636363636298</v>
      </c>
      <c r="T40" s="3">
        <f t="shared" si="21"/>
        <v>4.5454545454545459</v>
      </c>
      <c r="U40" s="3">
        <f t="shared" si="16"/>
        <v>4.6590909090909092</v>
      </c>
      <c r="W40" s="4">
        <f t="shared" si="3"/>
        <v>5956</v>
      </c>
      <c r="X40" s="7">
        <f t="shared" si="4"/>
        <v>0.38694953001973981</v>
      </c>
      <c r="Y40" s="7">
        <f t="shared" si="5"/>
        <v>6.4018650022154731</v>
      </c>
      <c r="AC40" s="2">
        <f t="shared" si="12"/>
        <v>50414</v>
      </c>
      <c r="AD40" s="3">
        <f t="shared" si="13"/>
        <v>4.5454545454545192</v>
      </c>
      <c r="AE40" s="3">
        <f t="shared" si="14"/>
        <v>0.11363636363636298</v>
      </c>
      <c r="AF40" s="3">
        <f t="shared" si="22"/>
        <v>4.5454545454545459</v>
      </c>
      <c r="AG40" s="3">
        <f t="shared" si="17"/>
        <v>4.6590909090909092</v>
      </c>
      <c r="AI40" s="4">
        <f t="shared" si="6"/>
        <v>5956</v>
      </c>
      <c r="AJ40" s="7" t="e">
        <f t="shared" si="7"/>
        <v>#REF!</v>
      </c>
      <c r="AK40" s="7" t="e">
        <f t="shared" si="8"/>
        <v>#REF!</v>
      </c>
    </row>
    <row r="41" spans="5:37" x14ac:dyDescent="0.2">
      <c r="L41" s="7">
        <f>SUM(L7:L40)</f>
        <v>40.717172165607579</v>
      </c>
      <c r="M41" s="7">
        <f>SUM(M7:M40)</f>
        <v>297.48453420756448</v>
      </c>
      <c r="X41" s="7">
        <f>SUM(X7:X40)</f>
        <v>41.787164306282911</v>
      </c>
      <c r="Y41" s="7">
        <f>SUM(Y7:Y40)</f>
        <v>307.58464046788214</v>
      </c>
      <c r="AJ41" s="7" t="e">
        <f>SUM(AJ7:AJ40)</f>
        <v>#REF!</v>
      </c>
      <c r="AK41" s="7" t="e">
        <f>SUM(AK7:AK40)</f>
        <v>#REF!</v>
      </c>
    </row>
    <row r="42" spans="5:37" ht="15" x14ac:dyDescent="0.25">
      <c r="H42" s="6" t="s">
        <v>5</v>
      </c>
      <c r="I42" s="5">
        <f>XIRR(I6:I40,E6:E40)</f>
        <v>0.16641734242439271</v>
      </c>
      <c r="T42" s="6" t="s">
        <v>5</v>
      </c>
      <c r="U42" s="5">
        <f>XIRR(U6:U40,Q6:Q40)</f>
        <v>0.16229885220527654</v>
      </c>
      <c r="AF42" s="6" t="s">
        <v>5</v>
      </c>
      <c r="AG42" s="5" t="e">
        <f>XIRR(AG6:AG40,AC6:AC40)</f>
        <v>#REF!</v>
      </c>
    </row>
    <row r="43" spans="5:37" ht="15" x14ac:dyDescent="0.25">
      <c r="H43" s="6" t="s">
        <v>8</v>
      </c>
      <c r="I43" s="3">
        <f>M43/(1+(I42/2))</f>
        <v>6.7448866566014685</v>
      </c>
      <c r="L43" s="4" t="s">
        <v>7</v>
      </c>
      <c r="M43" s="3">
        <f>M41/L41</f>
        <v>7.3061197127741506</v>
      </c>
      <c r="T43" s="6" t="s">
        <v>8</v>
      </c>
      <c r="U43" s="3">
        <f>Y43/(1+(U42/2))</f>
        <v>6.8082582641755565</v>
      </c>
      <c r="X43" s="4" t="s">
        <v>7</v>
      </c>
      <c r="Y43" s="3">
        <f>Y41/X41</f>
        <v>7.3607445150719464</v>
      </c>
      <c r="AF43" s="6" t="s">
        <v>8</v>
      </c>
      <c r="AG43" s="3" t="e">
        <f>AK43/(1+(AG42/2))</f>
        <v>#REF!</v>
      </c>
      <c r="AJ43" s="4" t="s">
        <v>7</v>
      </c>
      <c r="AK43" s="3" t="e">
        <f>AK41/AJ41</f>
        <v>#REF!</v>
      </c>
    </row>
  </sheetData>
  <mergeCells count="3">
    <mergeCell ref="E3:M3"/>
    <mergeCell ref="Q3:Y3"/>
    <mergeCell ref="AC3:A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83EF-65E7-48CD-BC62-FB5F62A08642}">
  <dimension ref="B3:I23"/>
  <sheetViews>
    <sheetView showGridLines="0" workbookViewId="0">
      <selection activeCell="L15" sqref="L15"/>
    </sheetView>
  </sheetViews>
  <sheetFormatPr baseColWidth="10" defaultRowHeight="15" x14ac:dyDescent="0.25"/>
  <cols>
    <col min="2" max="2" width="9.42578125" customWidth="1"/>
    <col min="4" max="4" width="9.42578125" customWidth="1"/>
    <col min="5" max="5" width="8.140625" customWidth="1"/>
    <col min="6" max="6" width="6.85546875" customWidth="1"/>
    <col min="7" max="7" width="10.7109375" customWidth="1"/>
    <col min="8" max="8" width="10.42578125" customWidth="1"/>
    <col min="9" max="9" width="12.28515625" customWidth="1"/>
  </cols>
  <sheetData>
    <row r="3" spans="2:9" x14ac:dyDescent="0.25">
      <c r="B3" s="27" t="s">
        <v>216</v>
      </c>
    </row>
    <row r="4" spans="2:9" ht="15.75" x14ac:dyDescent="0.25">
      <c r="C4" s="280" t="s">
        <v>196</v>
      </c>
      <c r="D4" s="280"/>
      <c r="E4" s="280"/>
      <c r="F4" s="280"/>
      <c r="G4" s="280"/>
      <c r="H4" s="280"/>
      <c r="I4" s="280"/>
    </row>
    <row r="6" spans="2:9" x14ac:dyDescent="0.25">
      <c r="C6" s="288" t="s">
        <v>31</v>
      </c>
      <c r="D6" s="286" t="s">
        <v>194</v>
      </c>
      <c r="E6" s="290" t="s">
        <v>5</v>
      </c>
      <c r="F6" s="288" t="s">
        <v>22</v>
      </c>
      <c r="G6" s="281" t="s">
        <v>195</v>
      </c>
      <c r="H6" s="282"/>
      <c r="I6" s="282"/>
    </row>
    <row r="7" spans="2:9" x14ac:dyDescent="0.25">
      <c r="B7" s="226"/>
      <c r="C7" s="289"/>
      <c r="D7" s="287"/>
      <c r="E7" s="291"/>
      <c r="F7" s="289"/>
      <c r="G7" s="245" t="s">
        <v>218</v>
      </c>
      <c r="H7" s="246" t="s">
        <v>217</v>
      </c>
      <c r="I7" s="247" t="s">
        <v>183</v>
      </c>
    </row>
    <row r="8" spans="2:9" x14ac:dyDescent="0.25">
      <c r="B8" s="13" t="s">
        <v>193</v>
      </c>
      <c r="C8" s="239" t="s">
        <v>20</v>
      </c>
      <c r="D8" s="234">
        <f>+Monitor!D8</f>
        <v>39.21</v>
      </c>
      <c r="E8" s="233">
        <f>+Monitor!F8</f>
        <v>0.20530791878700264</v>
      </c>
      <c r="F8" s="231">
        <f>+Monitor!G8</f>
        <v>4.6007759063985887</v>
      </c>
      <c r="G8" s="227">
        <f>(Monitor!D8-Monitor!J8)/Monitor!J8</f>
        <v>1.1870967741935506E-2</v>
      </c>
      <c r="H8" s="227">
        <f>(Monitor!D8-Monitor!K8)/Monitor!K8</f>
        <v>4.783538214858362E-2</v>
      </c>
      <c r="I8" s="227">
        <f>(Monitor!D8-Monitor!L8)/Monitor!L8</f>
        <v>-7.4144037780401434E-2</v>
      </c>
    </row>
    <row r="9" spans="2:9" x14ac:dyDescent="0.25">
      <c r="B9" s="13"/>
      <c r="C9" s="240" t="s">
        <v>15</v>
      </c>
      <c r="D9" s="235">
        <f>+Monitor!D9</f>
        <v>37.299999999999997</v>
      </c>
      <c r="E9" s="233">
        <f>+Monitor!F9</f>
        <v>0.19669069647789003</v>
      </c>
      <c r="F9" s="231">
        <f>+Monitor!G9</f>
        <v>4.9549134271585</v>
      </c>
      <c r="G9" s="227">
        <f>(Monitor!D9-Monitor!J9)/Monitor!J9</f>
        <v>7.563479200432037E-3</v>
      </c>
      <c r="H9" s="227">
        <f>(Monitor!D9-Monitor!K9)/Monitor!K9</f>
        <v>6.2980906241094148E-2</v>
      </c>
      <c r="I9" s="227">
        <f>(Monitor!D9-Monitor!L9)/Monitor!L9</f>
        <v>-8.8910600879335638E-2</v>
      </c>
    </row>
    <row r="10" spans="2:9" x14ac:dyDescent="0.25">
      <c r="B10" s="13"/>
      <c r="C10" s="240" t="s">
        <v>16</v>
      </c>
      <c r="D10" s="235">
        <f>+Monitor!D10</f>
        <v>33.81</v>
      </c>
      <c r="E10" s="233">
        <f>+Monitor!F10</f>
        <v>0.16811838746070862</v>
      </c>
      <c r="F10" s="231">
        <f>+Monitor!G10</f>
        <v>7.8101522908703531</v>
      </c>
      <c r="G10" s="227">
        <f>(Monitor!D10-Monitor!J10)/Monitor!J10</f>
        <v>-8.2135523613963372E-3</v>
      </c>
      <c r="H10" s="227">
        <f>(Monitor!D10-Monitor!K10)/Monitor!K10</f>
        <v>4.1910631741140195E-2</v>
      </c>
      <c r="I10" s="227">
        <f>(Monitor!D10-Monitor!L10)/Monitor!L10</f>
        <v>-7.3698630136986243E-2</v>
      </c>
    </row>
    <row r="11" spans="2:9" x14ac:dyDescent="0.25">
      <c r="B11" s="13"/>
      <c r="C11" s="240" t="s">
        <v>17</v>
      </c>
      <c r="D11" s="235">
        <f>+Monitor!D11</f>
        <v>37.9</v>
      </c>
      <c r="E11" s="233">
        <f>+Monitor!F11</f>
        <v>0.17788648009300234</v>
      </c>
      <c r="F11" s="231">
        <f>+Monitor!G11</f>
        <v>6.5716437306641904</v>
      </c>
      <c r="G11" s="227">
        <f>(Monitor!D11-Monitor!J11)/Monitor!J11</f>
        <v>9.3209054593875219E-3</v>
      </c>
      <c r="H11" s="227">
        <f>(Monitor!D11-Monitor!K11)/Monitor!K11</f>
        <v>9.8550724637681122E-2</v>
      </c>
      <c r="I11" s="227">
        <f>(Monitor!D11-Monitor!L11)/Monitor!L11</f>
        <v>-7.8534031413613672E-3</v>
      </c>
    </row>
    <row r="12" spans="2:9" x14ac:dyDescent="0.25">
      <c r="B12" s="228"/>
      <c r="C12" s="241" t="s">
        <v>21</v>
      </c>
      <c r="D12" s="236">
        <f>+Monitor!D12</f>
        <v>36.9</v>
      </c>
      <c r="E12" s="229">
        <f>+Monitor!F12</f>
        <v>0.1556748449802399</v>
      </c>
      <c r="F12" s="232">
        <f>+Monitor!G12</f>
        <v>7.5131194205059622</v>
      </c>
      <c r="G12" s="230">
        <f>(Monitor!D12-Monitor!J12)/Monitor!J12</f>
        <v>2.7855153203342621E-2</v>
      </c>
      <c r="H12" s="230">
        <f>(Monitor!D12-Monitor!K12)/Monitor!K12</f>
        <v>0.1164901664145235</v>
      </c>
      <c r="I12" s="230">
        <f>(Monitor!D12-Monitor!L12)/Monitor!L12</f>
        <v>2.7855153203342621E-2</v>
      </c>
    </row>
    <row r="13" spans="2:9" x14ac:dyDescent="0.25">
      <c r="B13" s="13" t="s">
        <v>192</v>
      </c>
      <c r="C13" s="240" t="s">
        <v>25</v>
      </c>
      <c r="D13" s="235">
        <f>+Monitor!D14</f>
        <v>43.2</v>
      </c>
      <c r="E13" s="233">
        <f>+Monitor!F14</f>
        <v>0.18260790705680849</v>
      </c>
      <c r="F13" s="231">
        <f>+Monitor!G14</f>
        <v>4.7038208985776873</v>
      </c>
      <c r="G13" s="227">
        <f>(Monitor!D14-Monitor!J14)/Monitor!J14</f>
        <v>1.6470588235294185E-2</v>
      </c>
      <c r="H13" s="227">
        <f>(Monitor!D14-Monitor!K14)/Monitor!K14</f>
        <v>9.3670886075949436E-2</v>
      </c>
      <c r="I13" s="227">
        <f>(Monitor!D14-Monitor!L14)/Monitor!L14</f>
        <v>-3.78619153674832E-2</v>
      </c>
    </row>
    <row r="14" spans="2:9" x14ac:dyDescent="0.25">
      <c r="B14" s="13"/>
      <c r="C14" s="240" t="s">
        <v>26</v>
      </c>
      <c r="D14" s="235">
        <f>+Monitor!D15</f>
        <v>39.71</v>
      </c>
      <c r="E14" s="233">
        <f>+Monitor!F15</f>
        <v>0.18306362032890325</v>
      </c>
      <c r="F14" s="231">
        <f>+Monitor!G15</f>
        <v>5.0228680048178713</v>
      </c>
      <c r="G14" s="227">
        <f>(Monitor!D15-Monitor!J15)/Monitor!J15</f>
        <v>-6.2562562562562558E-3</v>
      </c>
      <c r="H14" s="227">
        <f>(Monitor!D15-Monitor!K15)/Monitor!K15</f>
        <v>6.034712950600795E-2</v>
      </c>
      <c r="I14" s="227">
        <f>(Monitor!D15-Monitor!L15)/Monitor!L15</f>
        <v>-4.5203173839865413E-2</v>
      </c>
    </row>
    <row r="15" spans="2:9" x14ac:dyDescent="0.25">
      <c r="B15" s="13"/>
      <c r="C15" s="240" t="s">
        <v>27</v>
      </c>
      <c r="D15" s="235">
        <f>+Monitor!D16</f>
        <v>35.25</v>
      </c>
      <c r="E15" s="233">
        <f>+Monitor!F16</f>
        <v>0.16240534186363223</v>
      </c>
      <c r="F15" s="231">
        <f>+Monitor!G16</f>
        <v>7.8957170172658149</v>
      </c>
      <c r="G15" s="227">
        <f>(Monitor!D16-Monitor!J16)/Monitor!J16</f>
        <v>-1.4164305949007695E-3</v>
      </c>
      <c r="H15" s="227">
        <f>(Monitor!D16-Monitor!K16)/Monitor!K16</f>
        <v>6.4954682779456152E-2</v>
      </c>
      <c r="I15" s="227">
        <f>(Monitor!D16-Monitor!L16)/Monitor!L16</f>
        <v>-4.9865229110512166E-2</v>
      </c>
    </row>
    <row r="16" spans="2:9" x14ac:dyDescent="0.25">
      <c r="B16" s="13"/>
      <c r="C16" s="240" t="s">
        <v>28</v>
      </c>
      <c r="D16" s="235">
        <f>+Monitor!D17</f>
        <v>41.75</v>
      </c>
      <c r="E16" s="233">
        <f>+Monitor!F17</f>
        <v>0.16229885220527654</v>
      </c>
      <c r="F16" s="231">
        <f>+Monitor!G17</f>
        <v>6.8082582641755565</v>
      </c>
      <c r="G16" s="227">
        <f>(Monitor!D17-Monitor!J17)/Monitor!J17</f>
        <v>1.2121212121212121E-2</v>
      </c>
      <c r="H16" s="227">
        <f>(Monitor!D17-Monitor!K17)/Monitor!K17</f>
        <v>5.6962025316455694E-2</v>
      </c>
      <c r="I16" s="227">
        <f>(Monitor!D17-Monitor!L17)/Monitor!L17</f>
        <v>3.6057692307691963E-3</v>
      </c>
    </row>
    <row r="17" spans="2:9" x14ac:dyDescent="0.25">
      <c r="B17" s="13"/>
      <c r="C17" s="240" t="s">
        <v>29</v>
      </c>
      <c r="D17" s="235">
        <f>+Monitor!D18</f>
        <v>39.19</v>
      </c>
      <c r="E17" s="233">
        <f>+Monitor!F18</f>
        <v>0.14720516800880437</v>
      </c>
      <c r="F17" s="231">
        <f>+Monitor!G18</f>
        <v>7.6978776266562452</v>
      </c>
      <c r="G17" s="227">
        <f>(Monitor!D18-Monitor!J18)/Monitor!J18</f>
        <v>1.2661498708010203E-2</v>
      </c>
      <c r="H17" s="227">
        <f>(Monitor!D18-Monitor!K18)/Monitor!K18</f>
        <v>5.9189189189189126E-2</v>
      </c>
      <c r="I17" s="227">
        <f>(Monitor!D18-Monitor!L18)/Monitor!L18</f>
        <v>5.3873781426372726E-3</v>
      </c>
    </row>
    <row r="18" spans="2:9" x14ac:dyDescent="0.25">
      <c r="B18" s="13"/>
      <c r="C18" s="240" t="s">
        <v>30</v>
      </c>
      <c r="D18" s="235">
        <f>+Monitor!D19</f>
        <v>36.1</v>
      </c>
      <c r="E18" s="233">
        <f>+Monitor!F19</f>
        <v>0.15977626442909246</v>
      </c>
      <c r="F18" s="231">
        <f>+Monitor!G19</f>
        <v>7.2044001676840024</v>
      </c>
      <c r="G18" s="227">
        <f>(Monitor!D19-Monitor!J19)/Monitor!J19</f>
        <v>8.3798882681565441E-3</v>
      </c>
      <c r="H18" s="227">
        <f>(Monitor!D19-Monitor!K19)/Monitor!K19</f>
        <v>0.12461059190031153</v>
      </c>
      <c r="I18" s="227">
        <f>(Monitor!D19-Monitor!L19)/Monitor!L19</f>
        <v>-4.24403183023873E-2</v>
      </c>
    </row>
    <row r="19" spans="2:9" x14ac:dyDescent="0.25">
      <c r="B19" s="13"/>
      <c r="C19" s="13"/>
      <c r="D19" s="13"/>
      <c r="E19" s="13"/>
      <c r="F19" s="13"/>
      <c r="G19" s="13"/>
      <c r="H19" s="13"/>
      <c r="I19" s="13"/>
    </row>
    <row r="20" spans="2:9" x14ac:dyDescent="0.25">
      <c r="B20" s="13"/>
      <c r="C20" s="13"/>
      <c r="D20" s="283" t="s">
        <v>197</v>
      </c>
      <c r="E20" s="283"/>
      <c r="F20" s="283"/>
      <c r="G20" s="257">
        <f>MEDIAN(G8:G12)</f>
        <v>9.3209054593875219E-3</v>
      </c>
      <c r="H20" s="257">
        <f>MEDIAN(H8:H12)</f>
        <v>6.2980906241094148E-2</v>
      </c>
      <c r="I20" s="237">
        <f>MEDIAN(I8:I12)</f>
        <v>-7.3698630136986243E-2</v>
      </c>
    </row>
    <row r="21" spans="2:9" x14ac:dyDescent="0.25">
      <c r="D21" s="284" t="s">
        <v>198</v>
      </c>
      <c r="E21" s="284"/>
      <c r="F21" s="284"/>
      <c r="G21" s="258">
        <f>MEDIAN(G13:G18)</f>
        <v>1.0250550194684332E-2</v>
      </c>
      <c r="H21" s="258">
        <f t="shared" ref="H21:I21" si="0">MEDIAN(H13:H18)</f>
        <v>6.2650906142732055E-2</v>
      </c>
      <c r="I21" s="238">
        <f t="shared" si="0"/>
        <v>-4.0151116834935247E-2</v>
      </c>
    </row>
    <row r="22" spans="2:9" ht="6.75" customHeight="1" x14ac:dyDescent="0.25"/>
    <row r="23" spans="2:9" x14ac:dyDescent="0.25">
      <c r="C23" s="285" t="s">
        <v>146</v>
      </c>
      <c r="D23" s="285"/>
      <c r="E23" s="285"/>
      <c r="F23" s="285"/>
      <c r="G23" s="285"/>
      <c r="H23" s="285"/>
      <c r="I23" s="285"/>
    </row>
  </sheetData>
  <mergeCells count="9">
    <mergeCell ref="C4:I4"/>
    <mergeCell ref="G6:I6"/>
    <mergeCell ref="D20:F20"/>
    <mergeCell ref="D21:F21"/>
    <mergeCell ref="C23:I23"/>
    <mergeCell ref="D6:D7"/>
    <mergeCell ref="C6:C7"/>
    <mergeCell ref="E6:E7"/>
    <mergeCell ref="F6:F7"/>
  </mergeCells>
  <conditionalFormatting sqref="G8:I1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{E1A7F93F-F07F-43DC-A460-5BC6DC0D744B}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A7F93F-F07F-43DC-A460-5BC6DC0D74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G8:I18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3:AK50"/>
  <sheetViews>
    <sheetView showGridLines="0" topLeftCell="J4" zoomScale="80" zoomScaleNormal="80" workbookViewId="0">
      <selection activeCell="AL16" sqref="AL16"/>
    </sheetView>
  </sheetViews>
  <sheetFormatPr baseColWidth="10" defaultRowHeight="14.25" x14ac:dyDescent="0.2"/>
  <cols>
    <col min="1" max="1" width="11.42578125" style="4"/>
    <col min="2" max="2" width="14.7109375" style="4" bestFit="1" customWidth="1"/>
    <col min="3" max="4" width="11.42578125" style="4"/>
    <col min="5" max="5" width="12.28515625" style="4" bestFit="1" customWidth="1"/>
    <col min="6" max="9" width="11.42578125" style="4"/>
    <col min="10" max="10" width="4.7109375" style="4" customWidth="1"/>
    <col min="11" max="14" width="11.42578125" style="4"/>
    <col min="15" max="15" width="11.42578125" style="78"/>
    <col min="16" max="16" width="11.42578125" style="4"/>
    <col min="17" max="17" width="12.28515625" style="4" bestFit="1" customWidth="1"/>
    <col min="18" max="26" width="11.42578125" style="4"/>
    <col min="27" max="27" width="11.42578125" style="78"/>
    <col min="28" max="28" width="11.42578125" style="4"/>
    <col min="29" max="29" width="12.28515625" style="4" bestFit="1" customWidth="1"/>
    <col min="30" max="16384" width="11.42578125" style="4"/>
  </cols>
  <sheetData>
    <row r="3" spans="2:37" ht="15" x14ac:dyDescent="0.25">
      <c r="E3" s="321" t="s">
        <v>78</v>
      </c>
      <c r="F3" s="321"/>
      <c r="G3" s="321"/>
      <c r="H3" s="321"/>
      <c r="I3" s="321"/>
      <c r="J3" s="74"/>
      <c r="K3" s="74"/>
      <c r="L3" s="74"/>
      <c r="M3" s="74"/>
      <c r="Q3" s="321" t="s">
        <v>79</v>
      </c>
      <c r="R3" s="321"/>
      <c r="S3" s="321"/>
      <c r="T3" s="321"/>
      <c r="U3" s="321"/>
      <c r="V3" s="321"/>
      <c r="W3" s="321"/>
      <c r="X3" s="321"/>
      <c r="Y3" s="321"/>
      <c r="AC3" s="321" t="s">
        <v>87</v>
      </c>
      <c r="AD3" s="321"/>
      <c r="AE3" s="321"/>
      <c r="AF3" s="321"/>
      <c r="AG3" s="321"/>
      <c r="AH3" s="321"/>
      <c r="AI3" s="321"/>
      <c r="AJ3" s="321"/>
      <c r="AK3" s="321"/>
    </row>
    <row r="5" spans="2:37" ht="15" x14ac:dyDescent="0.25"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K5" s="1" t="s">
        <v>9</v>
      </c>
      <c r="L5" s="1" t="s">
        <v>10</v>
      </c>
      <c r="M5" s="1" t="s">
        <v>11</v>
      </c>
      <c r="Q5" s="53" t="s">
        <v>0</v>
      </c>
      <c r="R5" s="53" t="s">
        <v>1</v>
      </c>
      <c r="S5" s="53" t="s">
        <v>2</v>
      </c>
      <c r="T5" s="53" t="s">
        <v>3</v>
      </c>
      <c r="U5" s="53" t="s">
        <v>4</v>
      </c>
      <c r="W5" s="53" t="s">
        <v>9</v>
      </c>
      <c r="X5" s="53" t="s">
        <v>10</v>
      </c>
      <c r="Y5" s="53" t="s">
        <v>11</v>
      </c>
      <c r="AC5" s="53" t="s">
        <v>0</v>
      </c>
      <c r="AD5" s="53" t="s">
        <v>1</v>
      </c>
      <c r="AE5" s="53" t="s">
        <v>2</v>
      </c>
      <c r="AF5" s="53" t="s">
        <v>3</v>
      </c>
      <c r="AG5" s="53" t="s">
        <v>4</v>
      </c>
      <c r="AI5" s="53" t="s">
        <v>9</v>
      </c>
      <c r="AJ5" s="53" t="s">
        <v>10</v>
      </c>
      <c r="AK5" s="53" t="s">
        <v>11</v>
      </c>
    </row>
    <row r="6" spans="2:37" x14ac:dyDescent="0.2">
      <c r="B6" s="4" t="s">
        <v>36</v>
      </c>
      <c r="C6" s="36">
        <v>44078</v>
      </c>
      <c r="E6" s="2">
        <f>+Monitor!C2</f>
        <v>44370</v>
      </c>
      <c r="F6" s="3">
        <v>100</v>
      </c>
      <c r="G6" s="3"/>
      <c r="H6" s="3"/>
      <c r="I6" s="3">
        <f>-CCL!L34</f>
        <v>-38.420347222222233</v>
      </c>
      <c r="K6" s="4">
        <f>DAYS360(C6,E7)</f>
        <v>305</v>
      </c>
      <c r="Q6" s="2">
        <f>+E6</f>
        <v>44370</v>
      </c>
      <c r="R6" s="3">
        <v>100</v>
      </c>
      <c r="S6" s="3"/>
      <c r="T6" s="3"/>
      <c r="U6" s="3">
        <f>-Monitor!D18</f>
        <v>-39.19</v>
      </c>
      <c r="AC6" s="2">
        <f>+Q6</f>
        <v>44370</v>
      </c>
      <c r="AD6" s="3">
        <v>100</v>
      </c>
      <c r="AE6" s="3"/>
      <c r="AF6" s="3"/>
      <c r="AG6" s="3" t="e">
        <f>-CCL!K16</f>
        <v>#REF!</v>
      </c>
    </row>
    <row r="7" spans="2:37" x14ac:dyDescent="0.2">
      <c r="B7" s="4" t="s">
        <v>37</v>
      </c>
      <c r="C7" s="5">
        <v>1.25E-3</v>
      </c>
      <c r="E7" s="2">
        <v>44386</v>
      </c>
      <c r="F7" s="3">
        <f>+F6</f>
        <v>100</v>
      </c>
      <c r="G7" s="3">
        <f>(C7*F6)/360*K6</f>
        <v>0.10590277777777778</v>
      </c>
      <c r="H7" s="3"/>
      <c r="I7" s="3">
        <f>SUM(G7:H7)</f>
        <v>0.10590277777777778</v>
      </c>
      <c r="K7" s="4">
        <f t="shared" ref="K7:K47" si="0">DAYS360($E$6,E7)</f>
        <v>16</v>
      </c>
      <c r="L7" s="7">
        <f t="shared" ref="L7:L47" si="1">I7/(1+$I$49)^(K7/360)</f>
        <v>0.1052471110227295</v>
      </c>
      <c r="M7" s="7">
        <f t="shared" ref="M7:M47" si="2">L7*(K7/360)</f>
        <v>4.6776493787879783E-3</v>
      </c>
      <c r="Q7" s="2">
        <v>44386</v>
      </c>
      <c r="R7" s="3">
        <f>+F7</f>
        <v>100</v>
      </c>
      <c r="S7" s="3">
        <f>+G7</f>
        <v>0.10590277777777778</v>
      </c>
      <c r="T7" s="3"/>
      <c r="U7" s="3">
        <f>SUM(S7:T7)</f>
        <v>0.10590277777777778</v>
      </c>
      <c r="W7" s="4">
        <f t="shared" ref="W7:W47" si="3">DAYS360($E$6,Q7)</f>
        <v>16</v>
      </c>
      <c r="X7" s="7">
        <f t="shared" ref="X7:X47" si="4">U7/(1+$U$49)^(W7/360)</f>
        <v>0.10525836900318714</v>
      </c>
      <c r="Y7" s="7">
        <f t="shared" ref="Y7:Y47" si="5">X7*(W7/360)</f>
        <v>4.6781497334749842E-3</v>
      </c>
      <c r="AC7" s="2">
        <v>44386</v>
      </c>
      <c r="AD7" s="3">
        <f>+F7</f>
        <v>100</v>
      </c>
      <c r="AE7" s="3">
        <f>+G7</f>
        <v>0.10590277777777778</v>
      </c>
      <c r="AF7" s="3"/>
      <c r="AG7" s="3">
        <f>SUM(AE7:AF7)</f>
        <v>0.10590277777777778</v>
      </c>
      <c r="AI7" s="4">
        <f t="shared" ref="AI7:AI47" si="6">DAYS360($E$6,AC7)</f>
        <v>16</v>
      </c>
      <c r="AJ7" s="7" t="e">
        <f t="shared" ref="AJ7:AJ47" si="7">AG7/(1+$AG$49)^(AI7/360)</f>
        <v>#REF!</v>
      </c>
      <c r="AK7" s="7" t="e">
        <f t="shared" ref="AK7:AK47" si="8">AJ7*(AI7/360)</f>
        <v>#REF!</v>
      </c>
    </row>
    <row r="8" spans="2:37" x14ac:dyDescent="0.2">
      <c r="B8" s="4" t="s">
        <v>38</v>
      </c>
      <c r="C8" s="4">
        <f>DAYS360(C6,E6)</f>
        <v>289</v>
      </c>
      <c r="E8" s="2">
        <v>44570</v>
      </c>
      <c r="F8" s="3">
        <f>+F7</f>
        <v>100</v>
      </c>
      <c r="G8" s="3">
        <f>0.025*(180/360)*F8</f>
        <v>1.25</v>
      </c>
      <c r="H8" s="3"/>
      <c r="I8" s="3">
        <f>SUM(G8:H8)</f>
        <v>1.25</v>
      </c>
      <c r="K8" s="4">
        <f t="shared" si="0"/>
        <v>196</v>
      </c>
      <c r="L8" s="7">
        <f t="shared" si="1"/>
        <v>1.158429755102788</v>
      </c>
      <c r="M8" s="7">
        <f t="shared" si="2"/>
        <v>0.63070064444485119</v>
      </c>
      <c r="Q8" s="2">
        <v>44570</v>
      </c>
      <c r="R8" s="3">
        <f t="shared" ref="R8:R47" si="9">+F8</f>
        <v>100</v>
      </c>
      <c r="S8" s="3">
        <f t="shared" ref="S8:S47" si="10">+G8</f>
        <v>1.25</v>
      </c>
      <c r="T8" s="3"/>
      <c r="U8" s="3">
        <f>SUM(S8:T8)</f>
        <v>1.25</v>
      </c>
      <c r="W8" s="4">
        <f t="shared" si="3"/>
        <v>196</v>
      </c>
      <c r="X8" s="7">
        <f t="shared" si="4"/>
        <v>1.1599486139922928</v>
      </c>
      <c r="Y8" s="7">
        <f t="shared" si="5"/>
        <v>0.63152757872913712</v>
      </c>
      <c r="AC8" s="2">
        <v>44570</v>
      </c>
      <c r="AD8" s="3">
        <f t="shared" ref="AD8:AD47" si="11">+F8</f>
        <v>100</v>
      </c>
      <c r="AE8" s="3">
        <f t="shared" ref="AE8:AE47" si="12">+G8</f>
        <v>1.25</v>
      </c>
      <c r="AF8" s="3"/>
      <c r="AG8" s="3">
        <f>SUM(AE8:AF8)</f>
        <v>1.25</v>
      </c>
      <c r="AI8" s="4">
        <f t="shared" si="6"/>
        <v>196</v>
      </c>
      <c r="AJ8" s="7" t="e">
        <f t="shared" si="7"/>
        <v>#REF!</v>
      </c>
      <c r="AK8" s="7" t="e">
        <f t="shared" si="8"/>
        <v>#REF!</v>
      </c>
    </row>
    <row r="9" spans="2:37" x14ac:dyDescent="0.2">
      <c r="B9" s="4" t="s">
        <v>39</v>
      </c>
      <c r="C9" s="3">
        <f>(C7*100)/360*C8</f>
        <v>0.10034722222222223</v>
      </c>
      <c r="E9" s="2">
        <v>44751</v>
      </c>
      <c r="F9" s="3">
        <v>100</v>
      </c>
      <c r="G9" s="3">
        <f>0.025*(180/360)*F9</f>
        <v>1.25</v>
      </c>
      <c r="H9" s="3"/>
      <c r="I9" s="3">
        <f>SUM(G9:H9)</f>
        <v>1.25</v>
      </c>
      <c r="K9" s="4">
        <f t="shared" si="0"/>
        <v>376</v>
      </c>
      <c r="L9" s="7">
        <f t="shared" si="1"/>
        <v>1.0802556921158513</v>
      </c>
      <c r="M9" s="7">
        <f t="shared" si="2"/>
        <v>1.1282670562098891</v>
      </c>
      <c r="Q9" s="2">
        <v>44751</v>
      </c>
      <c r="R9" s="3">
        <f t="shared" si="9"/>
        <v>100</v>
      </c>
      <c r="S9" s="3">
        <f t="shared" si="10"/>
        <v>1.25</v>
      </c>
      <c r="T9" s="3"/>
      <c r="U9" s="3">
        <f>SUM(S9:T9)</f>
        <v>1.25</v>
      </c>
      <c r="W9" s="4">
        <f t="shared" si="3"/>
        <v>376</v>
      </c>
      <c r="X9" s="7">
        <f t="shared" si="4"/>
        <v>1.0829744306335283</v>
      </c>
      <c r="Y9" s="7">
        <f t="shared" si="5"/>
        <v>1.1311066275505741</v>
      </c>
      <c r="AC9" s="2">
        <v>44751</v>
      </c>
      <c r="AD9" s="3">
        <f t="shared" si="11"/>
        <v>100</v>
      </c>
      <c r="AE9" s="3">
        <f t="shared" si="12"/>
        <v>1.25</v>
      </c>
      <c r="AF9" s="3"/>
      <c r="AG9" s="3">
        <f>SUM(AE9:AF9)</f>
        <v>1.25</v>
      </c>
      <c r="AI9" s="4">
        <f t="shared" si="6"/>
        <v>376</v>
      </c>
      <c r="AJ9" s="7" t="e">
        <f t="shared" si="7"/>
        <v>#REF!</v>
      </c>
      <c r="AK9" s="7" t="e">
        <f t="shared" si="8"/>
        <v>#REF!</v>
      </c>
    </row>
    <row r="10" spans="2:37" x14ac:dyDescent="0.2">
      <c r="B10" s="4" t="s">
        <v>35</v>
      </c>
      <c r="C10" s="4">
        <v>100</v>
      </c>
      <c r="E10" s="2">
        <v>44935</v>
      </c>
      <c r="F10" s="3">
        <v>100</v>
      </c>
      <c r="G10" s="3">
        <f>0.035*(180/360)*F10</f>
        <v>1.7500000000000002</v>
      </c>
      <c r="H10" s="3"/>
      <c r="I10" s="3">
        <f t="shared" ref="I10:I47" si="13">SUM(G10:H10)</f>
        <v>1.7500000000000002</v>
      </c>
      <c r="K10" s="4">
        <f t="shared" si="0"/>
        <v>556</v>
      </c>
      <c r="L10" s="7">
        <f t="shared" si="1"/>
        <v>1.4102998453654312</v>
      </c>
      <c r="M10" s="7">
        <f t="shared" si="2"/>
        <v>2.1781297611754993</v>
      </c>
      <c r="Q10" s="2">
        <v>44935</v>
      </c>
      <c r="R10" s="3">
        <f t="shared" si="9"/>
        <v>100</v>
      </c>
      <c r="S10" s="3">
        <f t="shared" si="10"/>
        <v>1.7500000000000002</v>
      </c>
      <c r="T10" s="3"/>
      <c r="U10" s="3">
        <f t="shared" ref="U10:U47" si="14">SUM(S10:T10)</f>
        <v>1.7500000000000002</v>
      </c>
      <c r="W10" s="4">
        <f t="shared" si="3"/>
        <v>556</v>
      </c>
      <c r="X10" s="7">
        <f t="shared" si="4"/>
        <v>1.4155515550961559</v>
      </c>
      <c r="Y10" s="7">
        <f t="shared" si="5"/>
        <v>2.186240735092952</v>
      </c>
      <c r="AC10" s="2">
        <v>44935</v>
      </c>
      <c r="AD10" s="3">
        <f t="shared" si="11"/>
        <v>100</v>
      </c>
      <c r="AE10" s="3">
        <f t="shared" si="12"/>
        <v>1.7500000000000002</v>
      </c>
      <c r="AF10" s="3"/>
      <c r="AG10" s="3">
        <f t="shared" ref="AG10:AG47" si="15">SUM(AE10:AF10)</f>
        <v>1.7500000000000002</v>
      </c>
      <c r="AI10" s="4">
        <f t="shared" si="6"/>
        <v>556</v>
      </c>
      <c r="AJ10" s="7" t="e">
        <f t="shared" si="7"/>
        <v>#REF!</v>
      </c>
      <c r="AK10" s="7" t="e">
        <f t="shared" si="8"/>
        <v>#REF!</v>
      </c>
    </row>
    <row r="11" spans="2:37" x14ac:dyDescent="0.2">
      <c r="B11" s="4" t="s">
        <v>23</v>
      </c>
      <c r="C11" s="3">
        <f>+C10+C9</f>
        <v>100.10034722222223</v>
      </c>
      <c r="E11" s="2">
        <v>45116</v>
      </c>
      <c r="F11" s="3">
        <v>100</v>
      </c>
      <c r="G11" s="3">
        <f>0.035*(180/360)*F11</f>
        <v>1.7500000000000002</v>
      </c>
      <c r="H11" s="3"/>
      <c r="I11" s="3">
        <f t="shared" si="13"/>
        <v>1.7500000000000002</v>
      </c>
      <c r="K11" s="4">
        <f t="shared" si="0"/>
        <v>736</v>
      </c>
      <c r="L11" s="7">
        <f t="shared" si="1"/>
        <v>1.315128887906486</v>
      </c>
      <c r="M11" s="7">
        <f t="shared" si="2"/>
        <v>2.6887079486088155</v>
      </c>
      <c r="Q11" s="2">
        <v>45116</v>
      </c>
      <c r="R11" s="3">
        <f t="shared" si="9"/>
        <v>100</v>
      </c>
      <c r="S11" s="3">
        <f t="shared" si="10"/>
        <v>1.7500000000000002</v>
      </c>
      <c r="T11" s="3"/>
      <c r="U11" s="3">
        <f t="shared" si="14"/>
        <v>1.7500000000000002</v>
      </c>
      <c r="W11" s="4">
        <f t="shared" si="3"/>
        <v>736</v>
      </c>
      <c r="X11" s="7">
        <f t="shared" si="4"/>
        <v>1.3216155620345875</v>
      </c>
      <c r="Y11" s="7">
        <f t="shared" si="5"/>
        <v>2.7019695934929344</v>
      </c>
      <c r="AC11" s="2">
        <v>45116</v>
      </c>
      <c r="AD11" s="3">
        <f t="shared" si="11"/>
        <v>100</v>
      </c>
      <c r="AE11" s="3">
        <f t="shared" si="12"/>
        <v>1.7500000000000002</v>
      </c>
      <c r="AF11" s="3"/>
      <c r="AG11" s="3">
        <f t="shared" si="15"/>
        <v>1.7500000000000002</v>
      </c>
      <c r="AI11" s="4">
        <f t="shared" si="6"/>
        <v>736</v>
      </c>
      <c r="AJ11" s="7" t="e">
        <f t="shared" si="7"/>
        <v>#REF!</v>
      </c>
      <c r="AK11" s="7" t="e">
        <f t="shared" si="8"/>
        <v>#REF!</v>
      </c>
    </row>
    <row r="12" spans="2:37" x14ac:dyDescent="0.2">
      <c r="E12" s="2">
        <v>45300</v>
      </c>
      <c r="F12" s="3">
        <v>100</v>
      </c>
      <c r="G12" s="3">
        <f t="shared" ref="G12:G23" si="16">0.035*(180/360)*F12</f>
        <v>1.7500000000000002</v>
      </c>
      <c r="H12" s="3"/>
      <c r="I12" s="3">
        <f t="shared" si="13"/>
        <v>1.7500000000000002</v>
      </c>
      <c r="K12" s="4">
        <f t="shared" si="0"/>
        <v>916</v>
      </c>
      <c r="L12" s="7">
        <f t="shared" si="1"/>
        <v>1.2263803314521333</v>
      </c>
      <c r="M12" s="7">
        <f t="shared" si="2"/>
        <v>3.1204566211393168</v>
      </c>
      <c r="Q12" s="2">
        <v>45300</v>
      </c>
      <c r="R12" s="3">
        <f t="shared" si="9"/>
        <v>100</v>
      </c>
      <c r="S12" s="3">
        <f t="shared" si="10"/>
        <v>1.7500000000000002</v>
      </c>
      <c r="T12" s="3"/>
      <c r="U12" s="3">
        <f t="shared" si="14"/>
        <v>1.7500000000000002</v>
      </c>
      <c r="W12" s="4">
        <f t="shared" si="3"/>
        <v>916</v>
      </c>
      <c r="X12" s="7">
        <f t="shared" si="4"/>
        <v>1.2339131609327723</v>
      </c>
      <c r="Y12" s="7">
        <f t="shared" si="5"/>
        <v>3.1396234872622757</v>
      </c>
      <c r="AC12" s="2">
        <v>45300</v>
      </c>
      <c r="AD12" s="3">
        <f t="shared" si="11"/>
        <v>100</v>
      </c>
      <c r="AE12" s="3">
        <f t="shared" si="12"/>
        <v>1.7500000000000002</v>
      </c>
      <c r="AF12" s="3"/>
      <c r="AG12" s="3">
        <f t="shared" si="15"/>
        <v>1.7500000000000002</v>
      </c>
      <c r="AI12" s="4">
        <f t="shared" si="6"/>
        <v>916</v>
      </c>
      <c r="AJ12" s="7" t="e">
        <f t="shared" si="7"/>
        <v>#REF!</v>
      </c>
      <c r="AK12" s="7" t="e">
        <f t="shared" si="8"/>
        <v>#REF!</v>
      </c>
    </row>
    <row r="13" spans="2:37" x14ac:dyDescent="0.2">
      <c r="E13" s="2">
        <v>45482</v>
      </c>
      <c r="F13" s="3">
        <v>100</v>
      </c>
      <c r="G13" s="3">
        <f t="shared" si="16"/>
        <v>1.7500000000000002</v>
      </c>
      <c r="H13" s="3"/>
      <c r="I13" s="3">
        <f t="shared" si="13"/>
        <v>1.7500000000000002</v>
      </c>
      <c r="K13" s="4">
        <f t="shared" si="0"/>
        <v>1096</v>
      </c>
      <c r="L13" s="7">
        <f t="shared" si="1"/>
        <v>1.1436207745134632</v>
      </c>
      <c r="M13" s="7">
        <f t="shared" si="2"/>
        <v>3.4816899135187658</v>
      </c>
      <c r="Q13" s="2">
        <v>45482</v>
      </c>
      <c r="R13" s="3">
        <f t="shared" si="9"/>
        <v>100</v>
      </c>
      <c r="S13" s="3">
        <f t="shared" si="10"/>
        <v>1.7500000000000002</v>
      </c>
      <c r="T13" s="3"/>
      <c r="U13" s="3">
        <f t="shared" si="14"/>
        <v>1.7500000000000002</v>
      </c>
      <c r="W13" s="4">
        <f t="shared" si="3"/>
        <v>1096</v>
      </c>
      <c r="X13" s="7">
        <f t="shared" si="4"/>
        <v>1.1520306906640825</v>
      </c>
      <c r="Y13" s="7">
        <f t="shared" si="5"/>
        <v>3.507293436021762</v>
      </c>
      <c r="AC13" s="2">
        <v>45482</v>
      </c>
      <c r="AD13" s="3">
        <f t="shared" si="11"/>
        <v>100</v>
      </c>
      <c r="AE13" s="3">
        <f t="shared" si="12"/>
        <v>1.7500000000000002</v>
      </c>
      <c r="AF13" s="3"/>
      <c r="AG13" s="3">
        <f t="shared" si="15"/>
        <v>1.7500000000000002</v>
      </c>
      <c r="AI13" s="4">
        <f t="shared" si="6"/>
        <v>1096</v>
      </c>
      <c r="AJ13" s="7" t="e">
        <f t="shared" si="7"/>
        <v>#REF!</v>
      </c>
      <c r="AK13" s="7" t="e">
        <f t="shared" si="8"/>
        <v>#REF!</v>
      </c>
    </row>
    <row r="14" spans="2:37" x14ac:dyDescent="0.2">
      <c r="E14" s="2">
        <v>45666</v>
      </c>
      <c r="F14" s="3">
        <v>100</v>
      </c>
      <c r="G14" s="3">
        <f t="shared" si="16"/>
        <v>1.7500000000000002</v>
      </c>
      <c r="H14" s="3"/>
      <c r="I14" s="3">
        <f t="shared" si="13"/>
        <v>1.7500000000000002</v>
      </c>
      <c r="K14" s="4">
        <f t="shared" si="0"/>
        <v>1276</v>
      </c>
      <c r="L14" s="7">
        <f t="shared" si="1"/>
        <v>1.0664460627398935</v>
      </c>
      <c r="M14" s="7">
        <f t="shared" si="2"/>
        <v>3.7799588223780667</v>
      </c>
      <c r="Q14" s="2">
        <v>45666</v>
      </c>
      <c r="R14" s="3">
        <f t="shared" si="9"/>
        <v>100</v>
      </c>
      <c r="S14" s="3">
        <f t="shared" si="10"/>
        <v>1.7500000000000002</v>
      </c>
      <c r="T14" s="3"/>
      <c r="U14" s="3">
        <f t="shared" si="14"/>
        <v>1.7500000000000002</v>
      </c>
      <c r="W14" s="4">
        <f t="shared" si="3"/>
        <v>1276</v>
      </c>
      <c r="X14" s="7">
        <f t="shared" si="4"/>
        <v>1.0755819406518767</v>
      </c>
      <c r="Y14" s="7">
        <f t="shared" si="5"/>
        <v>3.8123404340883185</v>
      </c>
      <c r="AC14" s="2">
        <v>45666</v>
      </c>
      <c r="AD14" s="3">
        <f t="shared" si="11"/>
        <v>100</v>
      </c>
      <c r="AE14" s="3">
        <f t="shared" si="12"/>
        <v>1.7500000000000002</v>
      </c>
      <c r="AF14" s="3"/>
      <c r="AG14" s="3">
        <f t="shared" si="15"/>
        <v>1.7500000000000002</v>
      </c>
      <c r="AI14" s="4">
        <f t="shared" si="6"/>
        <v>1276</v>
      </c>
      <c r="AJ14" s="7" t="e">
        <f t="shared" si="7"/>
        <v>#REF!</v>
      </c>
      <c r="AK14" s="7" t="e">
        <f t="shared" si="8"/>
        <v>#REF!</v>
      </c>
    </row>
    <row r="15" spans="2:37" x14ac:dyDescent="0.2">
      <c r="E15" s="2">
        <v>45847</v>
      </c>
      <c r="F15" s="3">
        <v>100</v>
      </c>
      <c r="G15" s="3">
        <f t="shared" si="16"/>
        <v>1.7500000000000002</v>
      </c>
      <c r="H15" s="3"/>
      <c r="I15" s="3">
        <f t="shared" si="13"/>
        <v>1.7500000000000002</v>
      </c>
      <c r="K15" s="4">
        <f t="shared" si="0"/>
        <v>1456</v>
      </c>
      <c r="L15" s="7">
        <f t="shared" si="1"/>
        <v>0.99447931524090372</v>
      </c>
      <c r="M15" s="7">
        <f t="shared" si="2"/>
        <v>4.022116341640988</v>
      </c>
      <c r="Q15" s="2">
        <v>45847</v>
      </c>
      <c r="R15" s="3">
        <f t="shared" si="9"/>
        <v>100</v>
      </c>
      <c r="S15" s="3">
        <f t="shared" si="10"/>
        <v>1.7500000000000002</v>
      </c>
      <c r="T15" s="3"/>
      <c r="U15" s="3">
        <f t="shared" si="14"/>
        <v>1.7500000000000002</v>
      </c>
      <c r="W15" s="4">
        <f t="shared" si="3"/>
        <v>1456</v>
      </c>
      <c r="X15" s="7">
        <f t="shared" si="4"/>
        <v>1.0042063292511605</v>
      </c>
      <c r="Y15" s="7">
        <f t="shared" si="5"/>
        <v>4.0614567094158041</v>
      </c>
      <c r="AC15" s="2">
        <v>45847</v>
      </c>
      <c r="AD15" s="3">
        <f t="shared" si="11"/>
        <v>100</v>
      </c>
      <c r="AE15" s="3">
        <f t="shared" si="12"/>
        <v>1.7500000000000002</v>
      </c>
      <c r="AF15" s="3"/>
      <c r="AG15" s="3">
        <f t="shared" si="15"/>
        <v>1.7500000000000002</v>
      </c>
      <c r="AI15" s="4">
        <f t="shared" si="6"/>
        <v>1456</v>
      </c>
      <c r="AJ15" s="7" t="e">
        <f t="shared" si="7"/>
        <v>#REF!</v>
      </c>
      <c r="AK15" s="7" t="e">
        <f t="shared" si="8"/>
        <v>#REF!</v>
      </c>
    </row>
    <row r="16" spans="2:37" x14ac:dyDescent="0.2">
      <c r="E16" s="2">
        <v>46031</v>
      </c>
      <c r="F16" s="3">
        <v>100</v>
      </c>
      <c r="G16" s="3">
        <f t="shared" si="16"/>
        <v>1.7500000000000002</v>
      </c>
      <c r="H16" s="3"/>
      <c r="I16" s="3">
        <f t="shared" si="13"/>
        <v>1.7500000000000002</v>
      </c>
      <c r="K16" s="4">
        <f t="shared" si="0"/>
        <v>1636</v>
      </c>
      <c r="L16" s="7">
        <f t="shared" si="1"/>
        <v>0.92736908409706553</v>
      </c>
      <c r="M16" s="7">
        <f t="shared" si="2"/>
        <v>4.2143772821744419</v>
      </c>
      <c r="Q16" s="2">
        <v>46031</v>
      </c>
      <c r="R16" s="3">
        <f t="shared" si="9"/>
        <v>100</v>
      </c>
      <c r="S16" s="3">
        <f t="shared" si="10"/>
        <v>1.7500000000000002</v>
      </c>
      <c r="T16" s="3"/>
      <c r="U16" s="3">
        <f t="shared" si="14"/>
        <v>1.7500000000000002</v>
      </c>
      <c r="W16" s="4">
        <f t="shared" si="3"/>
        <v>1636</v>
      </c>
      <c r="X16" s="7">
        <f t="shared" si="4"/>
        <v>0.93756720301282848</v>
      </c>
      <c r="Y16" s="7">
        <f t="shared" si="5"/>
        <v>4.2607220670249646</v>
      </c>
      <c r="AC16" s="2">
        <v>46031</v>
      </c>
      <c r="AD16" s="3">
        <f t="shared" si="11"/>
        <v>100</v>
      </c>
      <c r="AE16" s="3">
        <f t="shared" si="12"/>
        <v>1.7500000000000002</v>
      </c>
      <c r="AF16" s="3"/>
      <c r="AG16" s="3">
        <f t="shared" si="15"/>
        <v>1.7500000000000002</v>
      </c>
      <c r="AI16" s="4">
        <f t="shared" si="6"/>
        <v>1636</v>
      </c>
      <c r="AJ16" s="7" t="e">
        <f t="shared" si="7"/>
        <v>#REF!</v>
      </c>
      <c r="AK16" s="7" t="e">
        <f t="shared" si="8"/>
        <v>#REF!</v>
      </c>
    </row>
    <row r="17" spans="5:37" x14ac:dyDescent="0.2">
      <c r="E17" s="2">
        <v>46212</v>
      </c>
      <c r="F17" s="3">
        <v>100</v>
      </c>
      <c r="G17" s="3">
        <f t="shared" si="16"/>
        <v>1.7500000000000002</v>
      </c>
      <c r="H17" s="3"/>
      <c r="I17" s="3">
        <f t="shared" si="13"/>
        <v>1.7500000000000002</v>
      </c>
      <c r="K17" s="4">
        <f t="shared" si="0"/>
        <v>1816</v>
      </c>
      <c r="L17" s="7">
        <f t="shared" si="1"/>
        <v>0.86478763807239145</v>
      </c>
      <c r="M17" s="7">
        <f t="shared" si="2"/>
        <v>4.362373196498508</v>
      </c>
      <c r="Q17" s="2">
        <v>46212</v>
      </c>
      <c r="R17" s="3">
        <f t="shared" si="9"/>
        <v>100</v>
      </c>
      <c r="S17" s="3">
        <f t="shared" si="10"/>
        <v>1.7500000000000002</v>
      </c>
      <c r="T17" s="3"/>
      <c r="U17" s="3">
        <f t="shared" si="14"/>
        <v>1.7500000000000002</v>
      </c>
      <c r="W17" s="4">
        <f t="shared" si="3"/>
        <v>1816</v>
      </c>
      <c r="X17" s="7">
        <f t="shared" si="4"/>
        <v>0.87535024880872359</v>
      </c>
      <c r="Y17" s="7">
        <f t="shared" si="5"/>
        <v>4.4156556995462282</v>
      </c>
      <c r="AC17" s="2">
        <v>46212</v>
      </c>
      <c r="AD17" s="3">
        <f t="shared" si="11"/>
        <v>100</v>
      </c>
      <c r="AE17" s="3">
        <f t="shared" si="12"/>
        <v>1.7500000000000002</v>
      </c>
      <c r="AF17" s="3"/>
      <c r="AG17" s="3">
        <f t="shared" si="15"/>
        <v>1.7500000000000002</v>
      </c>
      <c r="AI17" s="4">
        <f t="shared" si="6"/>
        <v>1816</v>
      </c>
      <c r="AJ17" s="7" t="e">
        <f t="shared" si="7"/>
        <v>#REF!</v>
      </c>
      <c r="AK17" s="7" t="e">
        <f t="shared" si="8"/>
        <v>#REF!</v>
      </c>
    </row>
    <row r="18" spans="5:37" x14ac:dyDescent="0.2">
      <c r="E18" s="2">
        <v>46396</v>
      </c>
      <c r="F18" s="3">
        <v>100</v>
      </c>
      <c r="G18" s="3">
        <f t="shared" si="16"/>
        <v>1.7500000000000002</v>
      </c>
      <c r="H18" s="3"/>
      <c r="I18" s="3">
        <f t="shared" si="13"/>
        <v>1.7500000000000002</v>
      </c>
      <c r="K18" s="4">
        <f t="shared" si="0"/>
        <v>1996</v>
      </c>
      <c r="L18" s="7">
        <f t="shared" si="1"/>
        <v>0.80642936214654837</v>
      </c>
      <c r="M18" s="7">
        <f t="shared" si="2"/>
        <v>4.4712027967903065</v>
      </c>
      <c r="Q18" s="2">
        <v>46396</v>
      </c>
      <c r="R18" s="3">
        <f t="shared" si="9"/>
        <v>100</v>
      </c>
      <c r="S18" s="3">
        <f t="shared" si="10"/>
        <v>1.7500000000000002</v>
      </c>
      <c r="T18" s="3"/>
      <c r="U18" s="3">
        <f t="shared" si="14"/>
        <v>1.7500000000000002</v>
      </c>
      <c r="W18" s="4">
        <f t="shared" si="3"/>
        <v>1996</v>
      </c>
      <c r="X18" s="7">
        <f t="shared" si="4"/>
        <v>0.81726201132806686</v>
      </c>
      <c r="Y18" s="7">
        <f t="shared" si="5"/>
        <v>4.5312638183633931</v>
      </c>
      <c r="AC18" s="2">
        <v>46396</v>
      </c>
      <c r="AD18" s="3">
        <f t="shared" si="11"/>
        <v>100</v>
      </c>
      <c r="AE18" s="3">
        <f t="shared" si="12"/>
        <v>1.7500000000000002</v>
      </c>
      <c r="AF18" s="3"/>
      <c r="AG18" s="3">
        <f t="shared" si="15"/>
        <v>1.7500000000000002</v>
      </c>
      <c r="AI18" s="4">
        <f t="shared" si="6"/>
        <v>1996</v>
      </c>
      <c r="AJ18" s="7" t="e">
        <f t="shared" si="7"/>
        <v>#REF!</v>
      </c>
      <c r="AK18" s="7" t="e">
        <f t="shared" si="8"/>
        <v>#REF!</v>
      </c>
    </row>
    <row r="19" spans="5:37" x14ac:dyDescent="0.2">
      <c r="E19" s="2">
        <v>46577</v>
      </c>
      <c r="F19" s="3">
        <f t="shared" ref="F19:F27" si="17">+F18-H18</f>
        <v>100</v>
      </c>
      <c r="G19" s="3">
        <f t="shared" si="16"/>
        <v>1.7500000000000002</v>
      </c>
      <c r="H19" s="3"/>
      <c r="I19" s="3">
        <f t="shared" si="13"/>
        <v>1.7500000000000002</v>
      </c>
      <c r="K19" s="4">
        <f t="shared" si="0"/>
        <v>2176</v>
      </c>
      <c r="L19" s="7">
        <f t="shared" si="1"/>
        <v>0.75200926505109222</v>
      </c>
      <c r="M19" s="7">
        <f t="shared" si="2"/>
        <v>4.5454782243088241</v>
      </c>
      <c r="Q19" s="2">
        <v>46577</v>
      </c>
      <c r="R19" s="3">
        <f t="shared" si="9"/>
        <v>100</v>
      </c>
      <c r="S19" s="3">
        <f t="shared" si="10"/>
        <v>1.7500000000000002</v>
      </c>
      <c r="T19" s="3"/>
      <c r="U19" s="3">
        <f t="shared" si="14"/>
        <v>1.7500000000000002</v>
      </c>
      <c r="W19" s="4">
        <f t="shared" si="3"/>
        <v>2176</v>
      </c>
      <c r="X19" s="7">
        <f t="shared" si="4"/>
        <v>0.76302850895281671</v>
      </c>
      <c r="Y19" s="7">
        <f t="shared" si="5"/>
        <v>4.6120834318925805</v>
      </c>
      <c r="AC19" s="2">
        <v>46577</v>
      </c>
      <c r="AD19" s="3">
        <f t="shared" si="11"/>
        <v>100</v>
      </c>
      <c r="AE19" s="3">
        <f t="shared" si="12"/>
        <v>1.7500000000000002</v>
      </c>
      <c r="AF19" s="3"/>
      <c r="AG19" s="3">
        <f t="shared" si="15"/>
        <v>1.7500000000000002</v>
      </c>
      <c r="AI19" s="4">
        <f t="shared" si="6"/>
        <v>2176</v>
      </c>
      <c r="AJ19" s="7" t="e">
        <f t="shared" si="7"/>
        <v>#REF!</v>
      </c>
      <c r="AK19" s="7" t="e">
        <f t="shared" si="8"/>
        <v>#REF!</v>
      </c>
    </row>
    <row r="20" spans="5:37" x14ac:dyDescent="0.2">
      <c r="E20" s="2">
        <v>46761</v>
      </c>
      <c r="F20" s="3">
        <f t="shared" si="17"/>
        <v>100</v>
      </c>
      <c r="G20" s="3">
        <f t="shared" si="16"/>
        <v>1.7500000000000002</v>
      </c>
      <c r="H20" s="3">
        <f>100/28</f>
        <v>3.5714285714285716</v>
      </c>
      <c r="I20" s="3">
        <f t="shared" si="13"/>
        <v>5.3214285714285721</v>
      </c>
      <c r="K20" s="4">
        <f t="shared" si="0"/>
        <v>2356</v>
      </c>
      <c r="L20" s="7">
        <f t="shared" si="1"/>
        <v>2.1324076845035673</v>
      </c>
      <c r="M20" s="7">
        <f t="shared" si="2"/>
        <v>13.955423624140012</v>
      </c>
      <c r="Q20" s="2">
        <v>46761</v>
      </c>
      <c r="R20" s="3">
        <f t="shared" si="9"/>
        <v>100</v>
      </c>
      <c r="S20" s="3">
        <f t="shared" si="10"/>
        <v>1.7500000000000002</v>
      </c>
      <c r="T20" s="3">
        <f>100/28</f>
        <v>3.5714285714285716</v>
      </c>
      <c r="U20" s="3">
        <f t="shared" si="14"/>
        <v>5.3214285714285721</v>
      </c>
      <c r="W20" s="4">
        <f t="shared" si="3"/>
        <v>2356</v>
      </c>
      <c r="X20" s="7">
        <f t="shared" si="4"/>
        <v>2.1662591281846106</v>
      </c>
      <c r="Y20" s="7">
        <f t="shared" si="5"/>
        <v>14.176962516674841</v>
      </c>
      <c r="AC20" s="2">
        <v>46761</v>
      </c>
      <c r="AD20" s="3">
        <f t="shared" si="11"/>
        <v>100</v>
      </c>
      <c r="AE20" s="3">
        <f t="shared" si="12"/>
        <v>1.7500000000000002</v>
      </c>
      <c r="AF20" s="3">
        <f>+H20</f>
        <v>3.5714285714285716</v>
      </c>
      <c r="AG20" s="3">
        <f t="shared" si="15"/>
        <v>5.3214285714285721</v>
      </c>
      <c r="AI20" s="4">
        <f t="shared" si="6"/>
        <v>2356</v>
      </c>
      <c r="AJ20" s="7" t="e">
        <f t="shared" si="7"/>
        <v>#REF!</v>
      </c>
      <c r="AK20" s="7" t="e">
        <f t="shared" si="8"/>
        <v>#REF!</v>
      </c>
    </row>
    <row r="21" spans="5:37" x14ac:dyDescent="0.2">
      <c r="E21" s="2">
        <v>46943</v>
      </c>
      <c r="F21" s="3">
        <f t="shared" si="17"/>
        <v>96.428571428571431</v>
      </c>
      <c r="G21" s="3">
        <f t="shared" si="16"/>
        <v>1.6875000000000002</v>
      </c>
      <c r="H21" s="3">
        <f t="shared" ref="H21:H47" si="18">100/28</f>
        <v>3.5714285714285716</v>
      </c>
      <c r="I21" s="3">
        <f t="shared" si="13"/>
        <v>5.2589285714285721</v>
      </c>
      <c r="K21" s="4">
        <f t="shared" si="0"/>
        <v>2536</v>
      </c>
      <c r="L21" s="7">
        <f t="shared" si="1"/>
        <v>1.9651519343424186</v>
      </c>
      <c r="M21" s="7">
        <f t="shared" si="2"/>
        <v>13.843403626367705</v>
      </c>
      <c r="Q21" s="2">
        <v>46943</v>
      </c>
      <c r="R21" s="3">
        <f t="shared" si="9"/>
        <v>96.428571428571431</v>
      </c>
      <c r="S21" s="3">
        <f t="shared" si="10"/>
        <v>1.6875000000000002</v>
      </c>
      <c r="T21" s="3">
        <f t="shared" ref="T21:T47" si="19">100/28</f>
        <v>3.5714285714285716</v>
      </c>
      <c r="U21" s="3">
        <f t="shared" si="14"/>
        <v>5.2589285714285721</v>
      </c>
      <c r="W21" s="4">
        <f t="shared" si="3"/>
        <v>2536</v>
      </c>
      <c r="X21" s="7">
        <f t="shared" si="4"/>
        <v>1.998751917614749</v>
      </c>
      <c r="Y21" s="7">
        <f t="shared" si="5"/>
        <v>14.080096841863899</v>
      </c>
      <c r="AC21" s="2">
        <v>46943</v>
      </c>
      <c r="AD21" s="3">
        <f t="shared" si="11"/>
        <v>96.428571428571431</v>
      </c>
      <c r="AE21" s="3">
        <f t="shared" si="12"/>
        <v>1.6875000000000002</v>
      </c>
      <c r="AF21" s="3">
        <f t="shared" ref="AF21:AF47" si="20">+H21</f>
        <v>3.5714285714285716</v>
      </c>
      <c r="AG21" s="3">
        <f t="shared" si="15"/>
        <v>5.2589285714285721</v>
      </c>
      <c r="AI21" s="4">
        <f t="shared" si="6"/>
        <v>2536</v>
      </c>
      <c r="AJ21" s="7" t="e">
        <f t="shared" si="7"/>
        <v>#REF!</v>
      </c>
      <c r="AK21" s="7" t="e">
        <f t="shared" si="8"/>
        <v>#REF!</v>
      </c>
    </row>
    <row r="22" spans="5:37" x14ac:dyDescent="0.2">
      <c r="E22" s="2">
        <v>47127</v>
      </c>
      <c r="F22" s="3">
        <f t="shared" si="17"/>
        <v>92.857142857142861</v>
      </c>
      <c r="G22" s="3">
        <f t="shared" si="16"/>
        <v>1.6250000000000002</v>
      </c>
      <c r="H22" s="3">
        <f t="shared" si="18"/>
        <v>3.5714285714285716</v>
      </c>
      <c r="I22" s="3">
        <f t="shared" si="13"/>
        <v>5.1964285714285721</v>
      </c>
      <c r="K22" s="4">
        <f t="shared" si="0"/>
        <v>2716</v>
      </c>
      <c r="L22" s="7">
        <f t="shared" si="1"/>
        <v>1.8107591243362717</v>
      </c>
      <c r="M22" s="7">
        <f t="shared" si="2"/>
        <v>13.661171615825872</v>
      </c>
      <c r="Q22" s="2">
        <v>47127</v>
      </c>
      <c r="R22" s="3">
        <f t="shared" si="9"/>
        <v>92.857142857142861</v>
      </c>
      <c r="S22" s="3">
        <f t="shared" si="10"/>
        <v>1.6250000000000002</v>
      </c>
      <c r="T22" s="3">
        <f t="shared" si="19"/>
        <v>3.5714285714285716</v>
      </c>
      <c r="U22" s="3">
        <f t="shared" si="14"/>
        <v>5.1964285714285721</v>
      </c>
      <c r="W22" s="4">
        <f t="shared" si="3"/>
        <v>2716</v>
      </c>
      <c r="X22" s="7">
        <f t="shared" si="4"/>
        <v>1.8439368176153803</v>
      </c>
      <c r="Y22" s="7">
        <f t="shared" si="5"/>
        <v>13.911478879564925</v>
      </c>
      <c r="AC22" s="2">
        <v>47127</v>
      </c>
      <c r="AD22" s="3">
        <f t="shared" si="11"/>
        <v>92.857142857142861</v>
      </c>
      <c r="AE22" s="3">
        <f t="shared" si="12"/>
        <v>1.6250000000000002</v>
      </c>
      <c r="AF22" s="3">
        <f t="shared" si="20"/>
        <v>3.5714285714285716</v>
      </c>
      <c r="AG22" s="3">
        <f t="shared" si="15"/>
        <v>5.1964285714285721</v>
      </c>
      <c r="AI22" s="4">
        <f t="shared" si="6"/>
        <v>2716</v>
      </c>
      <c r="AJ22" s="7" t="e">
        <f t="shared" si="7"/>
        <v>#REF!</v>
      </c>
      <c r="AK22" s="7" t="e">
        <f t="shared" si="8"/>
        <v>#REF!</v>
      </c>
    </row>
    <row r="23" spans="5:37" x14ac:dyDescent="0.2">
      <c r="E23" s="2">
        <v>47308</v>
      </c>
      <c r="F23" s="3">
        <f t="shared" si="17"/>
        <v>89.285714285714292</v>
      </c>
      <c r="G23" s="3">
        <f t="shared" si="16"/>
        <v>1.5625000000000002</v>
      </c>
      <c r="H23" s="3">
        <f t="shared" si="18"/>
        <v>3.5714285714285716</v>
      </c>
      <c r="I23" s="3">
        <f t="shared" si="13"/>
        <v>5.1339285714285721</v>
      </c>
      <c r="K23" s="4">
        <f t="shared" si="0"/>
        <v>2896</v>
      </c>
      <c r="L23" s="7">
        <f t="shared" si="1"/>
        <v>1.6682548707983988</v>
      </c>
      <c r="M23" s="7">
        <f t="shared" si="2"/>
        <v>13.420183627311564</v>
      </c>
      <c r="Q23" s="2">
        <v>47308</v>
      </c>
      <c r="R23" s="3">
        <f t="shared" si="9"/>
        <v>89.285714285714292</v>
      </c>
      <c r="S23" s="3">
        <f t="shared" si="10"/>
        <v>1.5625000000000002</v>
      </c>
      <c r="T23" s="3">
        <f t="shared" si="19"/>
        <v>3.5714285714285716</v>
      </c>
      <c r="U23" s="3">
        <f t="shared" si="14"/>
        <v>5.1339285714285721</v>
      </c>
      <c r="W23" s="4">
        <f t="shared" si="3"/>
        <v>2896</v>
      </c>
      <c r="X23" s="7">
        <f t="shared" si="4"/>
        <v>1.7008669743505287</v>
      </c>
      <c r="Y23" s="7">
        <f t="shared" si="5"/>
        <v>13.682529882553142</v>
      </c>
      <c r="AC23" s="2">
        <v>47308</v>
      </c>
      <c r="AD23" s="3">
        <f t="shared" si="11"/>
        <v>89.285714285714292</v>
      </c>
      <c r="AE23" s="3">
        <f t="shared" si="12"/>
        <v>1.5625000000000002</v>
      </c>
      <c r="AF23" s="3">
        <f t="shared" si="20"/>
        <v>3.5714285714285716</v>
      </c>
      <c r="AG23" s="3">
        <f t="shared" si="15"/>
        <v>5.1339285714285721</v>
      </c>
      <c r="AI23" s="4">
        <f t="shared" si="6"/>
        <v>2896</v>
      </c>
      <c r="AJ23" s="7" t="e">
        <f t="shared" si="7"/>
        <v>#REF!</v>
      </c>
      <c r="AK23" s="7" t="e">
        <f t="shared" si="8"/>
        <v>#REF!</v>
      </c>
    </row>
    <row r="24" spans="5:37" x14ac:dyDescent="0.2">
      <c r="E24" s="2">
        <v>47492</v>
      </c>
      <c r="F24" s="3">
        <f t="shared" si="17"/>
        <v>85.714285714285722</v>
      </c>
      <c r="G24" s="3">
        <f t="shared" ref="G24:G47" si="21">0.04875*(180/360)*F24</f>
        <v>2.0892857142857144</v>
      </c>
      <c r="H24" s="3">
        <f t="shared" si="18"/>
        <v>3.5714285714285716</v>
      </c>
      <c r="I24" s="3">
        <f t="shared" si="13"/>
        <v>5.6607142857142865</v>
      </c>
      <c r="K24" s="4">
        <f t="shared" si="0"/>
        <v>3076</v>
      </c>
      <c r="L24" s="7">
        <f t="shared" si="1"/>
        <v>1.7153023157992795</v>
      </c>
      <c r="M24" s="7">
        <f t="shared" si="2"/>
        <v>14.656305342773843</v>
      </c>
      <c r="Q24" s="2">
        <v>47492</v>
      </c>
      <c r="R24" s="3">
        <f t="shared" si="9"/>
        <v>85.714285714285722</v>
      </c>
      <c r="S24" s="3">
        <f t="shared" si="10"/>
        <v>2.0892857142857144</v>
      </c>
      <c r="T24" s="3">
        <f t="shared" si="19"/>
        <v>3.5714285714285716</v>
      </c>
      <c r="U24" s="3">
        <f t="shared" si="14"/>
        <v>5.6607142857142865</v>
      </c>
      <c r="W24" s="4">
        <f t="shared" si="3"/>
        <v>3076</v>
      </c>
      <c r="X24" s="7">
        <f t="shared" si="4"/>
        <v>1.7509397989254494</v>
      </c>
      <c r="Y24" s="7">
        <f t="shared" si="5"/>
        <v>14.960807837485229</v>
      </c>
      <c r="AC24" s="2">
        <v>47492</v>
      </c>
      <c r="AD24" s="3">
        <f t="shared" si="11"/>
        <v>85.714285714285722</v>
      </c>
      <c r="AE24" s="3">
        <f t="shared" si="12"/>
        <v>2.0892857142857144</v>
      </c>
      <c r="AF24" s="3">
        <f t="shared" si="20"/>
        <v>3.5714285714285716</v>
      </c>
      <c r="AG24" s="3">
        <f t="shared" si="15"/>
        <v>5.6607142857142865</v>
      </c>
      <c r="AI24" s="4">
        <f t="shared" si="6"/>
        <v>3076</v>
      </c>
      <c r="AJ24" s="7" t="e">
        <f t="shared" si="7"/>
        <v>#REF!</v>
      </c>
      <c r="AK24" s="7" t="e">
        <f t="shared" si="8"/>
        <v>#REF!</v>
      </c>
    </row>
    <row r="25" spans="5:37" x14ac:dyDescent="0.2">
      <c r="E25" s="2">
        <v>47673</v>
      </c>
      <c r="F25" s="3">
        <f t="shared" si="17"/>
        <v>82.142857142857153</v>
      </c>
      <c r="G25" s="3">
        <f t="shared" si="21"/>
        <v>2.0022321428571432</v>
      </c>
      <c r="H25" s="3">
        <f t="shared" si="18"/>
        <v>3.5714285714285716</v>
      </c>
      <c r="I25" s="3">
        <f t="shared" si="13"/>
        <v>5.5736607142857153</v>
      </c>
      <c r="K25" s="4">
        <f t="shared" si="0"/>
        <v>3256</v>
      </c>
      <c r="L25" s="7">
        <f t="shared" si="1"/>
        <v>1.5749502013918613</v>
      </c>
      <c r="M25" s="7">
        <f t="shared" si="2"/>
        <v>14.244549599255278</v>
      </c>
      <c r="Q25" s="2">
        <v>47673</v>
      </c>
      <c r="R25" s="3">
        <f t="shared" si="9"/>
        <v>82.142857142857153</v>
      </c>
      <c r="S25" s="3">
        <f t="shared" si="10"/>
        <v>2.0022321428571432</v>
      </c>
      <c r="T25" s="3">
        <f t="shared" si="19"/>
        <v>3.5714285714285716</v>
      </c>
      <c r="U25" s="3">
        <f t="shared" si="14"/>
        <v>5.5736607142857153</v>
      </c>
      <c r="W25" s="4">
        <f t="shared" si="3"/>
        <v>3256</v>
      </c>
      <c r="X25" s="7">
        <f t="shared" si="4"/>
        <v>1.6096074004317775</v>
      </c>
      <c r="Y25" s="7">
        <f t="shared" si="5"/>
        <v>14.558004710571854</v>
      </c>
      <c r="AC25" s="2">
        <v>47673</v>
      </c>
      <c r="AD25" s="3">
        <f t="shared" si="11"/>
        <v>82.142857142857153</v>
      </c>
      <c r="AE25" s="3">
        <f t="shared" si="12"/>
        <v>2.0022321428571432</v>
      </c>
      <c r="AF25" s="3">
        <f t="shared" si="20"/>
        <v>3.5714285714285716</v>
      </c>
      <c r="AG25" s="3">
        <f t="shared" si="15"/>
        <v>5.5736607142857153</v>
      </c>
      <c r="AI25" s="4">
        <f t="shared" si="6"/>
        <v>3256</v>
      </c>
      <c r="AJ25" s="7" t="e">
        <f t="shared" si="7"/>
        <v>#REF!</v>
      </c>
      <c r="AK25" s="7" t="e">
        <f t="shared" si="8"/>
        <v>#REF!</v>
      </c>
    </row>
    <row r="26" spans="5:37" x14ac:dyDescent="0.2">
      <c r="E26" s="2">
        <v>47857</v>
      </c>
      <c r="F26" s="3">
        <f t="shared" si="17"/>
        <v>78.571428571428584</v>
      </c>
      <c r="G26" s="3">
        <f t="shared" si="21"/>
        <v>1.9151785714285718</v>
      </c>
      <c r="H26" s="3">
        <f t="shared" si="18"/>
        <v>3.5714285714285716</v>
      </c>
      <c r="I26" s="3">
        <f t="shared" si="13"/>
        <v>5.4866071428571432</v>
      </c>
      <c r="K26" s="4">
        <f t="shared" si="0"/>
        <v>3436</v>
      </c>
      <c r="L26" s="7">
        <f t="shared" si="1"/>
        <v>1.4457294296946481</v>
      </c>
      <c r="M26" s="7">
        <f t="shared" si="2"/>
        <v>13.798684223418919</v>
      </c>
      <c r="Q26" s="2">
        <v>47857</v>
      </c>
      <c r="R26" s="3">
        <f t="shared" si="9"/>
        <v>78.571428571428584</v>
      </c>
      <c r="S26" s="3">
        <f t="shared" si="10"/>
        <v>1.9151785714285718</v>
      </c>
      <c r="T26" s="3">
        <f t="shared" si="19"/>
        <v>3.5714285714285716</v>
      </c>
      <c r="U26" s="3">
        <f t="shared" si="14"/>
        <v>5.4866071428571432</v>
      </c>
      <c r="W26" s="4">
        <f t="shared" si="3"/>
        <v>3436</v>
      </c>
      <c r="X26" s="7">
        <f t="shared" si="4"/>
        <v>1.4793221122320843</v>
      </c>
      <c r="Y26" s="7">
        <f t="shared" si="5"/>
        <v>14.119307715637337</v>
      </c>
      <c r="AC26" s="2">
        <v>47857</v>
      </c>
      <c r="AD26" s="3">
        <f t="shared" si="11"/>
        <v>78.571428571428584</v>
      </c>
      <c r="AE26" s="3">
        <f t="shared" si="12"/>
        <v>1.9151785714285718</v>
      </c>
      <c r="AF26" s="3">
        <f t="shared" si="20"/>
        <v>3.5714285714285716</v>
      </c>
      <c r="AG26" s="3">
        <f t="shared" si="15"/>
        <v>5.4866071428571432</v>
      </c>
      <c r="AI26" s="4">
        <f t="shared" si="6"/>
        <v>3436</v>
      </c>
      <c r="AJ26" s="7" t="e">
        <f t="shared" si="7"/>
        <v>#REF!</v>
      </c>
      <c r="AK26" s="7" t="e">
        <f t="shared" si="8"/>
        <v>#REF!</v>
      </c>
    </row>
    <row r="27" spans="5:37" x14ac:dyDescent="0.2">
      <c r="E27" s="2">
        <v>48038</v>
      </c>
      <c r="F27" s="3">
        <f t="shared" si="17"/>
        <v>75.000000000000014</v>
      </c>
      <c r="G27" s="3">
        <f t="shared" si="21"/>
        <v>1.8281250000000004</v>
      </c>
      <c r="H27" s="3">
        <f t="shared" si="18"/>
        <v>3.5714285714285716</v>
      </c>
      <c r="I27" s="3">
        <f t="shared" si="13"/>
        <v>5.3995535714285721</v>
      </c>
      <c r="K27" s="4">
        <f t="shared" si="0"/>
        <v>3616</v>
      </c>
      <c r="L27" s="7">
        <f t="shared" si="1"/>
        <v>1.3267768058838587</v>
      </c>
      <c r="M27" s="7">
        <f t="shared" si="2"/>
        <v>13.326735916877869</v>
      </c>
      <c r="Q27" s="2">
        <v>48038</v>
      </c>
      <c r="R27" s="3">
        <f t="shared" si="9"/>
        <v>75.000000000000014</v>
      </c>
      <c r="S27" s="3">
        <f t="shared" si="10"/>
        <v>1.8281250000000004</v>
      </c>
      <c r="T27" s="3">
        <f t="shared" si="19"/>
        <v>3.5714285714285716</v>
      </c>
      <c r="U27" s="3">
        <f t="shared" si="14"/>
        <v>5.3995535714285721</v>
      </c>
      <c r="W27" s="4">
        <f t="shared" si="3"/>
        <v>3616</v>
      </c>
      <c r="X27" s="7">
        <f t="shared" si="4"/>
        <v>1.3592401402274203</v>
      </c>
      <c r="Y27" s="7">
        <f t="shared" si="5"/>
        <v>13.6528120751732</v>
      </c>
      <c r="AC27" s="2">
        <v>48038</v>
      </c>
      <c r="AD27" s="3">
        <f t="shared" si="11"/>
        <v>75.000000000000014</v>
      </c>
      <c r="AE27" s="3">
        <f t="shared" si="12"/>
        <v>1.8281250000000004</v>
      </c>
      <c r="AF27" s="3">
        <f t="shared" si="20"/>
        <v>3.5714285714285716</v>
      </c>
      <c r="AG27" s="3">
        <f t="shared" si="15"/>
        <v>5.3995535714285721</v>
      </c>
      <c r="AI27" s="4">
        <f t="shared" si="6"/>
        <v>3616</v>
      </c>
      <c r="AJ27" s="7" t="e">
        <f t="shared" si="7"/>
        <v>#REF!</v>
      </c>
      <c r="AK27" s="7" t="e">
        <f t="shared" si="8"/>
        <v>#REF!</v>
      </c>
    </row>
    <row r="28" spans="5:37" x14ac:dyDescent="0.2">
      <c r="E28" s="2">
        <v>48222</v>
      </c>
      <c r="F28" s="3">
        <f>+F27-H27</f>
        <v>71.428571428571445</v>
      </c>
      <c r="G28" s="3">
        <f t="shared" si="21"/>
        <v>1.741071428571429</v>
      </c>
      <c r="H28" s="3">
        <f t="shared" si="18"/>
        <v>3.5714285714285716</v>
      </c>
      <c r="I28" s="3">
        <f t="shared" si="13"/>
        <v>5.3125000000000009</v>
      </c>
      <c r="K28" s="4">
        <f t="shared" si="0"/>
        <v>3796</v>
      </c>
      <c r="L28" s="7">
        <f t="shared" si="1"/>
        <v>1.2172949454025166</v>
      </c>
      <c r="M28" s="7">
        <f t="shared" si="2"/>
        <v>12.835698924299869</v>
      </c>
      <c r="Q28" s="2">
        <v>48222</v>
      </c>
      <c r="R28" s="3">
        <f t="shared" si="9"/>
        <v>71.428571428571445</v>
      </c>
      <c r="S28" s="3">
        <f t="shared" si="10"/>
        <v>1.741071428571429</v>
      </c>
      <c r="T28" s="3">
        <f t="shared" si="19"/>
        <v>3.5714285714285716</v>
      </c>
      <c r="U28" s="3">
        <f t="shared" si="14"/>
        <v>5.3125000000000009</v>
      </c>
      <c r="W28" s="4">
        <f t="shared" si="3"/>
        <v>3796</v>
      </c>
      <c r="X28" s="7">
        <f t="shared" si="4"/>
        <v>1.2485810310675494</v>
      </c>
      <c r="Y28" s="7">
        <f t="shared" si="5"/>
        <v>13.165593316478937</v>
      </c>
      <c r="AC28" s="2">
        <v>48222</v>
      </c>
      <c r="AD28" s="3">
        <f t="shared" si="11"/>
        <v>71.428571428571445</v>
      </c>
      <c r="AE28" s="3">
        <f t="shared" si="12"/>
        <v>1.741071428571429</v>
      </c>
      <c r="AF28" s="3">
        <f t="shared" si="20"/>
        <v>3.5714285714285716</v>
      </c>
      <c r="AG28" s="3">
        <f t="shared" si="15"/>
        <v>5.3125000000000009</v>
      </c>
      <c r="AI28" s="4">
        <f t="shared" si="6"/>
        <v>3796</v>
      </c>
      <c r="AJ28" s="7" t="e">
        <f t="shared" si="7"/>
        <v>#REF!</v>
      </c>
      <c r="AK28" s="7" t="e">
        <f t="shared" si="8"/>
        <v>#REF!</v>
      </c>
    </row>
    <row r="29" spans="5:37" x14ac:dyDescent="0.2">
      <c r="E29" s="2">
        <v>48404</v>
      </c>
      <c r="F29" s="3">
        <f t="shared" ref="F29:F47" si="22">+F28-H28</f>
        <v>67.857142857142875</v>
      </c>
      <c r="G29" s="3">
        <f t="shared" si="21"/>
        <v>1.6540178571428577</v>
      </c>
      <c r="H29" s="3">
        <f t="shared" si="18"/>
        <v>3.5714285714285716</v>
      </c>
      <c r="I29" s="3">
        <f t="shared" si="13"/>
        <v>5.2254464285714288</v>
      </c>
      <c r="K29" s="4">
        <f t="shared" si="0"/>
        <v>3976</v>
      </c>
      <c r="L29" s="7">
        <f t="shared" si="1"/>
        <v>1.1165473227659082</v>
      </c>
      <c r="M29" s="7">
        <f t="shared" si="2"/>
        <v>12.331644875881253</v>
      </c>
      <c r="Q29" s="2">
        <v>48404</v>
      </c>
      <c r="R29" s="3">
        <f t="shared" si="9"/>
        <v>67.857142857142875</v>
      </c>
      <c r="S29" s="3">
        <f t="shared" si="10"/>
        <v>1.6540178571428577</v>
      </c>
      <c r="T29" s="3">
        <f t="shared" si="19"/>
        <v>3.5714285714285716</v>
      </c>
      <c r="U29" s="3">
        <f t="shared" si="14"/>
        <v>5.2254464285714288</v>
      </c>
      <c r="W29" s="4">
        <f t="shared" si="3"/>
        <v>3976</v>
      </c>
      <c r="X29" s="7">
        <f t="shared" si="4"/>
        <v>1.1466229813404099</v>
      </c>
      <c r="Y29" s="7">
        <f t="shared" si="5"/>
        <v>12.663813816137415</v>
      </c>
      <c r="AC29" s="2">
        <v>48404</v>
      </c>
      <c r="AD29" s="3">
        <f t="shared" si="11"/>
        <v>67.857142857142875</v>
      </c>
      <c r="AE29" s="3">
        <f t="shared" si="12"/>
        <v>1.6540178571428577</v>
      </c>
      <c r="AF29" s="3">
        <f t="shared" si="20"/>
        <v>3.5714285714285716</v>
      </c>
      <c r="AG29" s="3">
        <f t="shared" si="15"/>
        <v>5.2254464285714288</v>
      </c>
      <c r="AI29" s="4">
        <f t="shared" si="6"/>
        <v>3976</v>
      </c>
      <c r="AJ29" s="7" t="e">
        <f t="shared" si="7"/>
        <v>#REF!</v>
      </c>
      <c r="AK29" s="7" t="e">
        <f t="shared" si="8"/>
        <v>#REF!</v>
      </c>
    </row>
    <row r="30" spans="5:37" x14ac:dyDescent="0.2">
      <c r="E30" s="2">
        <v>48588</v>
      </c>
      <c r="F30" s="3">
        <f t="shared" si="22"/>
        <v>64.285714285714306</v>
      </c>
      <c r="G30" s="3">
        <f t="shared" si="21"/>
        <v>1.5669642857142863</v>
      </c>
      <c r="H30" s="3">
        <f t="shared" si="18"/>
        <v>3.5714285714285716</v>
      </c>
      <c r="I30" s="3">
        <f t="shared" si="13"/>
        <v>5.1383928571428577</v>
      </c>
      <c r="K30" s="4">
        <f t="shared" si="0"/>
        <v>4156</v>
      </c>
      <c r="L30" s="7">
        <f t="shared" si="1"/>
        <v>1.0238536889127239</v>
      </c>
      <c r="M30" s="7">
        <f t="shared" si="2"/>
        <v>11.819822030892446</v>
      </c>
      <c r="Q30" s="2">
        <v>48588</v>
      </c>
      <c r="R30" s="3">
        <f t="shared" si="9"/>
        <v>64.285714285714306</v>
      </c>
      <c r="S30" s="3">
        <f t="shared" si="10"/>
        <v>1.5669642857142863</v>
      </c>
      <c r="T30" s="3">
        <f t="shared" si="19"/>
        <v>3.5714285714285716</v>
      </c>
      <c r="U30" s="3">
        <f t="shared" si="14"/>
        <v>5.1383928571428577</v>
      </c>
      <c r="W30" s="4">
        <f t="shared" si="3"/>
        <v>4156</v>
      </c>
      <c r="X30" s="7">
        <f t="shared" si="4"/>
        <v>1.0526984903954821</v>
      </c>
      <c r="Y30" s="7">
        <f t="shared" si="5"/>
        <v>12.152819239121177</v>
      </c>
      <c r="AC30" s="2">
        <v>48588</v>
      </c>
      <c r="AD30" s="3">
        <f t="shared" si="11"/>
        <v>64.285714285714306</v>
      </c>
      <c r="AE30" s="3">
        <f t="shared" si="12"/>
        <v>1.5669642857142863</v>
      </c>
      <c r="AF30" s="3">
        <f t="shared" si="20"/>
        <v>3.5714285714285716</v>
      </c>
      <c r="AG30" s="3">
        <f t="shared" si="15"/>
        <v>5.1383928571428577</v>
      </c>
      <c r="AI30" s="4">
        <f t="shared" si="6"/>
        <v>4156</v>
      </c>
      <c r="AJ30" s="7" t="e">
        <f t="shared" si="7"/>
        <v>#REF!</v>
      </c>
      <c r="AK30" s="7" t="e">
        <f t="shared" si="8"/>
        <v>#REF!</v>
      </c>
    </row>
    <row r="31" spans="5:37" x14ac:dyDescent="0.2">
      <c r="E31" s="2">
        <v>48769</v>
      </c>
      <c r="F31" s="3">
        <f t="shared" si="22"/>
        <v>60.714285714285737</v>
      </c>
      <c r="G31" s="3">
        <f t="shared" si="21"/>
        <v>1.4799107142857149</v>
      </c>
      <c r="H31" s="3">
        <f t="shared" si="18"/>
        <v>3.5714285714285716</v>
      </c>
      <c r="I31" s="3">
        <f t="shared" si="13"/>
        <v>5.0513392857142865</v>
      </c>
      <c r="K31" s="4">
        <f t="shared" si="0"/>
        <v>4336</v>
      </c>
      <c r="L31" s="7">
        <f t="shared" si="1"/>
        <v>0.93858582990828587</v>
      </c>
      <c r="M31" s="7">
        <f t="shared" si="2"/>
        <v>11.304744884673132</v>
      </c>
      <c r="Q31" s="2">
        <v>48769</v>
      </c>
      <c r="R31" s="3">
        <f t="shared" si="9"/>
        <v>60.714285714285737</v>
      </c>
      <c r="S31" s="3">
        <f t="shared" si="10"/>
        <v>1.4799107142857149</v>
      </c>
      <c r="T31" s="3">
        <f t="shared" si="19"/>
        <v>3.5714285714285716</v>
      </c>
      <c r="U31" s="3">
        <f t="shared" si="14"/>
        <v>5.0513392857142865</v>
      </c>
      <c r="W31" s="4">
        <f t="shared" si="3"/>
        <v>4336</v>
      </c>
      <c r="X31" s="7">
        <f t="shared" si="4"/>
        <v>0.96619033185065861</v>
      </c>
      <c r="Y31" s="7">
        <f t="shared" si="5"/>
        <v>11.637225774734599</v>
      </c>
      <c r="AC31" s="2">
        <v>48769</v>
      </c>
      <c r="AD31" s="3">
        <f t="shared" si="11"/>
        <v>60.714285714285737</v>
      </c>
      <c r="AE31" s="3">
        <f t="shared" si="12"/>
        <v>1.4799107142857149</v>
      </c>
      <c r="AF31" s="3">
        <f t="shared" si="20"/>
        <v>3.5714285714285716</v>
      </c>
      <c r="AG31" s="3">
        <f t="shared" si="15"/>
        <v>5.0513392857142865</v>
      </c>
      <c r="AI31" s="4">
        <f t="shared" si="6"/>
        <v>4336</v>
      </c>
      <c r="AJ31" s="7" t="e">
        <f t="shared" si="7"/>
        <v>#REF!</v>
      </c>
      <c r="AK31" s="7" t="e">
        <f t="shared" si="8"/>
        <v>#REF!</v>
      </c>
    </row>
    <row r="32" spans="5:37" x14ac:dyDescent="0.2">
      <c r="E32" s="2">
        <v>48953</v>
      </c>
      <c r="F32" s="3">
        <f t="shared" si="22"/>
        <v>57.142857142857167</v>
      </c>
      <c r="G32" s="3">
        <f t="shared" si="21"/>
        <v>1.3928571428571435</v>
      </c>
      <c r="H32" s="3">
        <f t="shared" si="18"/>
        <v>3.5714285714285716</v>
      </c>
      <c r="I32" s="3">
        <f t="shared" si="13"/>
        <v>4.9642857142857153</v>
      </c>
      <c r="K32" s="4">
        <f t="shared" si="0"/>
        <v>4516</v>
      </c>
      <c r="L32" s="7">
        <f t="shared" si="1"/>
        <v>0.86016364179812665</v>
      </c>
      <c r="M32" s="7">
        <f t="shared" si="2"/>
        <v>10.790275017667611</v>
      </c>
      <c r="Q32" s="2">
        <v>48953</v>
      </c>
      <c r="R32" s="3">
        <f t="shared" si="9"/>
        <v>57.142857142857167</v>
      </c>
      <c r="S32" s="3">
        <f t="shared" si="10"/>
        <v>1.3928571428571435</v>
      </c>
      <c r="T32" s="3">
        <f t="shared" si="19"/>
        <v>3.5714285714285716</v>
      </c>
      <c r="U32" s="3">
        <f t="shared" si="14"/>
        <v>4.9642857142857153</v>
      </c>
      <c r="W32" s="4">
        <f t="shared" si="3"/>
        <v>4516</v>
      </c>
      <c r="X32" s="7">
        <f t="shared" si="4"/>
        <v>0.8865278206303786</v>
      </c>
      <c r="Y32" s="7">
        <f t="shared" si="5"/>
        <v>11.120998994352194</v>
      </c>
      <c r="AC32" s="2">
        <v>48953</v>
      </c>
      <c r="AD32" s="3">
        <f t="shared" si="11"/>
        <v>57.142857142857167</v>
      </c>
      <c r="AE32" s="3">
        <f t="shared" si="12"/>
        <v>1.3928571428571435</v>
      </c>
      <c r="AF32" s="3">
        <f t="shared" si="20"/>
        <v>3.5714285714285716</v>
      </c>
      <c r="AG32" s="3">
        <f t="shared" si="15"/>
        <v>4.9642857142857153</v>
      </c>
      <c r="AI32" s="4">
        <f t="shared" si="6"/>
        <v>4516</v>
      </c>
      <c r="AJ32" s="7" t="e">
        <f t="shared" si="7"/>
        <v>#REF!</v>
      </c>
      <c r="AK32" s="7" t="e">
        <f t="shared" si="8"/>
        <v>#REF!</v>
      </c>
    </row>
    <row r="33" spans="5:37" x14ac:dyDescent="0.2">
      <c r="E33" s="2">
        <v>49134</v>
      </c>
      <c r="F33" s="3">
        <f t="shared" si="22"/>
        <v>53.571428571428598</v>
      </c>
      <c r="G33" s="3">
        <f t="shared" si="21"/>
        <v>1.3058035714285721</v>
      </c>
      <c r="H33" s="3">
        <f t="shared" si="18"/>
        <v>3.5714285714285716</v>
      </c>
      <c r="I33" s="3">
        <f t="shared" si="13"/>
        <v>4.8772321428571441</v>
      </c>
      <c r="K33" s="4">
        <f t="shared" si="0"/>
        <v>4696</v>
      </c>
      <c r="L33" s="7">
        <f t="shared" si="1"/>
        <v>0.78805149825705922</v>
      </c>
      <c r="M33" s="7">
        <f t="shared" si="2"/>
        <v>10.279693988375417</v>
      </c>
      <c r="Q33" s="2">
        <v>49134</v>
      </c>
      <c r="R33" s="3">
        <f t="shared" si="9"/>
        <v>53.571428571428598</v>
      </c>
      <c r="S33" s="3">
        <f t="shared" si="10"/>
        <v>1.3058035714285721</v>
      </c>
      <c r="T33" s="3">
        <f t="shared" si="19"/>
        <v>3.5714285714285716</v>
      </c>
      <c r="U33" s="3">
        <f t="shared" si="14"/>
        <v>4.8772321428571441</v>
      </c>
      <c r="W33" s="4">
        <f t="shared" si="3"/>
        <v>4696</v>
      </c>
      <c r="X33" s="7">
        <f t="shared" si="4"/>
        <v>0.81318335405220155</v>
      </c>
      <c r="Y33" s="7">
        <f t="shared" si="5"/>
        <v>10.60752508508094</v>
      </c>
      <c r="AC33" s="2">
        <v>49134</v>
      </c>
      <c r="AD33" s="3">
        <f t="shared" si="11"/>
        <v>53.571428571428598</v>
      </c>
      <c r="AE33" s="3">
        <f t="shared" si="12"/>
        <v>1.3058035714285721</v>
      </c>
      <c r="AF33" s="3">
        <f t="shared" si="20"/>
        <v>3.5714285714285716</v>
      </c>
      <c r="AG33" s="3">
        <f t="shared" si="15"/>
        <v>4.8772321428571441</v>
      </c>
      <c r="AI33" s="4">
        <f t="shared" si="6"/>
        <v>4696</v>
      </c>
      <c r="AJ33" s="7" t="e">
        <f t="shared" si="7"/>
        <v>#REF!</v>
      </c>
      <c r="AK33" s="7" t="e">
        <f t="shared" si="8"/>
        <v>#REF!</v>
      </c>
    </row>
    <row r="34" spans="5:37" x14ac:dyDescent="0.2">
      <c r="E34" s="2">
        <v>49318</v>
      </c>
      <c r="F34" s="3">
        <f t="shared" si="22"/>
        <v>50.000000000000028</v>
      </c>
      <c r="G34" s="3">
        <f t="shared" si="21"/>
        <v>1.2187500000000007</v>
      </c>
      <c r="H34" s="3">
        <f t="shared" si="18"/>
        <v>3.5714285714285716</v>
      </c>
      <c r="I34" s="3">
        <f t="shared" si="13"/>
        <v>4.7901785714285721</v>
      </c>
      <c r="K34" s="4">
        <f t="shared" si="0"/>
        <v>4876</v>
      </c>
      <c r="L34" s="7">
        <f t="shared" si="1"/>
        <v>0.72175488939125543</v>
      </c>
      <c r="M34" s="7">
        <f t="shared" si="2"/>
        <v>9.7757690018660046</v>
      </c>
      <c r="Q34" s="2">
        <v>49318</v>
      </c>
      <c r="R34" s="3">
        <f t="shared" si="9"/>
        <v>50.000000000000028</v>
      </c>
      <c r="S34" s="3">
        <f t="shared" si="10"/>
        <v>1.2187500000000007</v>
      </c>
      <c r="T34" s="3">
        <f t="shared" si="19"/>
        <v>3.5714285714285716</v>
      </c>
      <c r="U34" s="3">
        <f t="shared" si="14"/>
        <v>4.7901785714285721</v>
      </c>
      <c r="W34" s="4">
        <f t="shared" si="3"/>
        <v>4876</v>
      </c>
      <c r="X34" s="7">
        <f t="shared" si="4"/>
        <v>0.74566920702875406</v>
      </c>
      <c r="Y34" s="7">
        <f t="shared" si="5"/>
        <v>10.099675148533903</v>
      </c>
      <c r="AC34" s="2">
        <v>49318</v>
      </c>
      <c r="AD34" s="3">
        <f t="shared" si="11"/>
        <v>50.000000000000028</v>
      </c>
      <c r="AE34" s="3">
        <f t="shared" si="12"/>
        <v>1.2187500000000007</v>
      </c>
      <c r="AF34" s="3">
        <f t="shared" si="20"/>
        <v>3.5714285714285716</v>
      </c>
      <c r="AG34" s="3">
        <f t="shared" si="15"/>
        <v>4.7901785714285721</v>
      </c>
      <c r="AI34" s="4">
        <f t="shared" si="6"/>
        <v>4876</v>
      </c>
      <c r="AJ34" s="7" t="e">
        <f t="shared" si="7"/>
        <v>#REF!</v>
      </c>
      <c r="AK34" s="7" t="e">
        <f t="shared" si="8"/>
        <v>#REF!</v>
      </c>
    </row>
    <row r="35" spans="5:37" x14ac:dyDescent="0.2">
      <c r="E35" s="2">
        <v>49499</v>
      </c>
      <c r="F35" s="3">
        <f t="shared" si="22"/>
        <v>46.428571428571459</v>
      </c>
      <c r="G35" s="3">
        <f t="shared" si="21"/>
        <v>1.1316964285714293</v>
      </c>
      <c r="H35" s="3">
        <f t="shared" si="18"/>
        <v>3.5714285714285716</v>
      </c>
      <c r="I35" s="3">
        <f t="shared" si="13"/>
        <v>4.7031250000000009</v>
      </c>
      <c r="K35" s="4">
        <f t="shared" si="0"/>
        <v>5056</v>
      </c>
      <c r="L35" s="7">
        <f t="shared" si="1"/>
        <v>0.6608173116384729</v>
      </c>
      <c r="M35" s="7">
        <f t="shared" si="2"/>
        <v>9.2808120212336647</v>
      </c>
      <c r="Q35" s="2">
        <v>49499</v>
      </c>
      <c r="R35" s="3">
        <f t="shared" si="9"/>
        <v>46.428571428571459</v>
      </c>
      <c r="S35" s="3">
        <f t="shared" si="10"/>
        <v>1.1316964285714293</v>
      </c>
      <c r="T35" s="3">
        <f t="shared" si="19"/>
        <v>3.5714285714285716</v>
      </c>
      <c r="U35" s="3">
        <f t="shared" si="14"/>
        <v>4.7031250000000009</v>
      </c>
      <c r="W35" s="4">
        <f t="shared" si="3"/>
        <v>5056</v>
      </c>
      <c r="X35" s="7">
        <f t="shared" si="4"/>
        <v>0.68353456289071213</v>
      </c>
      <c r="Y35" s="7">
        <f t="shared" si="5"/>
        <v>9.5998631943762227</v>
      </c>
      <c r="AC35" s="2">
        <v>49499</v>
      </c>
      <c r="AD35" s="3">
        <f t="shared" si="11"/>
        <v>46.428571428571459</v>
      </c>
      <c r="AE35" s="3">
        <f t="shared" si="12"/>
        <v>1.1316964285714293</v>
      </c>
      <c r="AF35" s="3">
        <f t="shared" si="20"/>
        <v>3.5714285714285716</v>
      </c>
      <c r="AG35" s="3">
        <f t="shared" si="15"/>
        <v>4.7031250000000009</v>
      </c>
      <c r="AI35" s="4">
        <f t="shared" si="6"/>
        <v>5056</v>
      </c>
      <c r="AJ35" s="7" t="e">
        <f t="shared" si="7"/>
        <v>#REF!</v>
      </c>
      <c r="AK35" s="7" t="e">
        <f t="shared" si="8"/>
        <v>#REF!</v>
      </c>
    </row>
    <row r="36" spans="5:37" x14ac:dyDescent="0.2">
      <c r="E36" s="2">
        <v>49683</v>
      </c>
      <c r="F36" s="3">
        <f t="shared" si="22"/>
        <v>42.85714285714289</v>
      </c>
      <c r="G36" s="3">
        <f t="shared" si="21"/>
        <v>1.0446428571428579</v>
      </c>
      <c r="H36" s="3">
        <f t="shared" si="18"/>
        <v>3.5714285714285716</v>
      </c>
      <c r="I36" s="3">
        <f t="shared" si="13"/>
        <v>4.6160714285714297</v>
      </c>
      <c r="K36" s="4">
        <f t="shared" si="0"/>
        <v>5236</v>
      </c>
      <c r="L36" s="7">
        <f t="shared" si="1"/>
        <v>0.60481739018346981</v>
      </c>
      <c r="M36" s="7">
        <f t="shared" si="2"/>
        <v>8.7967329305573561</v>
      </c>
      <c r="Q36" s="2">
        <v>49683</v>
      </c>
      <c r="R36" s="3">
        <f t="shared" si="9"/>
        <v>42.85714285714289</v>
      </c>
      <c r="S36" s="3">
        <f t="shared" si="10"/>
        <v>1.0446428571428579</v>
      </c>
      <c r="T36" s="3">
        <f t="shared" si="19"/>
        <v>3.5714285714285716</v>
      </c>
      <c r="U36" s="3">
        <f t="shared" si="14"/>
        <v>4.6160714285714297</v>
      </c>
      <c r="W36" s="4">
        <f t="shared" si="3"/>
        <v>5236</v>
      </c>
      <c r="X36" s="7">
        <f t="shared" si="4"/>
        <v>0.62636276267199442</v>
      </c>
      <c r="Y36" s="7">
        <f t="shared" si="5"/>
        <v>9.1100984037515627</v>
      </c>
      <c r="AC36" s="2">
        <v>49683</v>
      </c>
      <c r="AD36" s="3">
        <f t="shared" si="11"/>
        <v>42.85714285714289</v>
      </c>
      <c r="AE36" s="3">
        <f t="shared" si="12"/>
        <v>1.0446428571428579</v>
      </c>
      <c r="AF36" s="3">
        <f t="shared" si="20"/>
        <v>3.5714285714285716</v>
      </c>
      <c r="AG36" s="3">
        <f t="shared" si="15"/>
        <v>4.6160714285714297</v>
      </c>
      <c r="AI36" s="4">
        <f t="shared" si="6"/>
        <v>5236</v>
      </c>
      <c r="AJ36" s="7" t="e">
        <f t="shared" si="7"/>
        <v>#REF!</v>
      </c>
      <c r="AK36" s="7" t="e">
        <f t="shared" si="8"/>
        <v>#REF!</v>
      </c>
    </row>
    <row r="37" spans="5:37" x14ac:dyDescent="0.2">
      <c r="E37" s="2">
        <v>49865</v>
      </c>
      <c r="F37" s="3">
        <f t="shared" si="22"/>
        <v>39.28571428571432</v>
      </c>
      <c r="G37" s="3">
        <f t="shared" si="21"/>
        <v>0.95758928571428659</v>
      </c>
      <c r="H37" s="3">
        <f t="shared" si="18"/>
        <v>3.5714285714285716</v>
      </c>
      <c r="I37" s="3">
        <f t="shared" si="13"/>
        <v>4.5290178571428585</v>
      </c>
      <c r="K37" s="4">
        <f t="shared" si="0"/>
        <v>5416</v>
      </c>
      <c r="L37" s="7">
        <f t="shared" si="1"/>
        <v>0.55336621667023189</v>
      </c>
      <c r="M37" s="7">
        <f t="shared" si="2"/>
        <v>8.3250873041277114</v>
      </c>
      <c r="Q37" s="2">
        <v>49865</v>
      </c>
      <c r="R37" s="3">
        <f t="shared" si="9"/>
        <v>39.28571428571432</v>
      </c>
      <c r="S37" s="3">
        <f t="shared" si="10"/>
        <v>0.95758928571428659</v>
      </c>
      <c r="T37" s="3">
        <f t="shared" si="19"/>
        <v>3.5714285714285716</v>
      </c>
      <c r="U37" s="3">
        <f t="shared" si="14"/>
        <v>4.5290178571428585</v>
      </c>
      <c r="W37" s="4">
        <f t="shared" si="3"/>
        <v>5416</v>
      </c>
      <c r="X37" s="7">
        <f t="shared" si="4"/>
        <v>0.57376875693808183</v>
      </c>
      <c r="Y37" s="7">
        <f t="shared" si="5"/>
        <v>8.6320321877129196</v>
      </c>
      <c r="AC37" s="2">
        <v>49865</v>
      </c>
      <c r="AD37" s="3">
        <f t="shared" si="11"/>
        <v>39.28571428571432</v>
      </c>
      <c r="AE37" s="3">
        <f t="shared" si="12"/>
        <v>0.95758928571428659</v>
      </c>
      <c r="AF37" s="3">
        <f t="shared" si="20"/>
        <v>3.5714285714285716</v>
      </c>
      <c r="AG37" s="3">
        <f t="shared" si="15"/>
        <v>4.5290178571428585</v>
      </c>
      <c r="AI37" s="4">
        <f t="shared" si="6"/>
        <v>5416</v>
      </c>
      <c r="AJ37" s="7" t="e">
        <f t="shared" si="7"/>
        <v>#REF!</v>
      </c>
      <c r="AK37" s="7" t="e">
        <f t="shared" si="8"/>
        <v>#REF!</v>
      </c>
    </row>
    <row r="38" spans="5:37" x14ac:dyDescent="0.2">
      <c r="E38" s="2">
        <v>50049</v>
      </c>
      <c r="F38" s="3">
        <f t="shared" si="22"/>
        <v>35.714285714285751</v>
      </c>
      <c r="G38" s="3">
        <f t="shared" si="21"/>
        <v>0.87053571428571519</v>
      </c>
      <c r="H38" s="3">
        <f t="shared" si="18"/>
        <v>3.5714285714285716</v>
      </c>
      <c r="I38" s="3">
        <f t="shared" si="13"/>
        <v>4.4419642857142865</v>
      </c>
      <c r="K38" s="4">
        <f t="shared" si="0"/>
        <v>5596</v>
      </c>
      <c r="L38" s="7">
        <f t="shared" si="1"/>
        <v>0.50610488625765815</v>
      </c>
      <c r="M38" s="7">
        <f t="shared" si="2"/>
        <v>7.8671192874940417</v>
      </c>
      <c r="Q38" s="2">
        <v>50049</v>
      </c>
      <c r="R38" s="3">
        <f t="shared" si="9"/>
        <v>35.714285714285751</v>
      </c>
      <c r="S38" s="3">
        <f t="shared" si="10"/>
        <v>0.87053571428571519</v>
      </c>
      <c r="T38" s="3">
        <f t="shared" si="19"/>
        <v>3.5714285714285716</v>
      </c>
      <c r="U38" s="3">
        <f t="shared" si="14"/>
        <v>4.4419642857142865</v>
      </c>
      <c r="W38" s="4">
        <f t="shared" si="3"/>
        <v>5596</v>
      </c>
      <c r="X38" s="7">
        <f t="shared" si="4"/>
        <v>0.52539674538912506</v>
      </c>
      <c r="Y38" s="7">
        <f t="shared" si="5"/>
        <v>8.1670005199931772</v>
      </c>
      <c r="AC38" s="2">
        <v>50049</v>
      </c>
      <c r="AD38" s="3">
        <f t="shared" si="11"/>
        <v>35.714285714285751</v>
      </c>
      <c r="AE38" s="3">
        <f t="shared" si="12"/>
        <v>0.87053571428571519</v>
      </c>
      <c r="AF38" s="3">
        <f t="shared" si="20"/>
        <v>3.5714285714285716</v>
      </c>
      <c r="AG38" s="3">
        <f t="shared" si="15"/>
        <v>4.4419642857142865</v>
      </c>
      <c r="AI38" s="4">
        <f t="shared" si="6"/>
        <v>5596</v>
      </c>
      <c r="AJ38" s="7" t="e">
        <f t="shared" si="7"/>
        <v>#REF!</v>
      </c>
      <c r="AK38" s="7" t="e">
        <f t="shared" si="8"/>
        <v>#REF!</v>
      </c>
    </row>
    <row r="39" spans="5:37" x14ac:dyDescent="0.2">
      <c r="E39" s="2">
        <v>50230</v>
      </c>
      <c r="F39" s="3">
        <f t="shared" si="22"/>
        <v>32.142857142857181</v>
      </c>
      <c r="G39" s="3">
        <f t="shared" si="21"/>
        <v>0.78348214285714379</v>
      </c>
      <c r="H39" s="3">
        <f t="shared" si="18"/>
        <v>3.5714285714285716</v>
      </c>
      <c r="I39" s="3">
        <f t="shared" si="13"/>
        <v>4.3549107142857153</v>
      </c>
      <c r="K39" s="4">
        <f t="shared" si="0"/>
        <v>5776</v>
      </c>
      <c r="L39" s="7">
        <f t="shared" si="1"/>
        <v>0.46270221923807098</v>
      </c>
      <c r="M39" s="7">
        <f t="shared" si="2"/>
        <v>7.4238000508863831</v>
      </c>
      <c r="Q39" s="2">
        <v>50230</v>
      </c>
      <c r="R39" s="3">
        <f t="shared" si="9"/>
        <v>32.142857142857181</v>
      </c>
      <c r="S39" s="3">
        <f t="shared" si="10"/>
        <v>0.78348214285714379</v>
      </c>
      <c r="T39" s="3">
        <f t="shared" si="19"/>
        <v>3.5714285714285716</v>
      </c>
      <c r="U39" s="3">
        <f t="shared" si="14"/>
        <v>4.3549107142857153</v>
      </c>
      <c r="W39" s="4">
        <f t="shared" si="3"/>
        <v>5776</v>
      </c>
      <c r="X39" s="7">
        <f t="shared" si="4"/>
        <v>0.48091799053762085</v>
      </c>
      <c r="Y39" s="7">
        <f t="shared" si="5"/>
        <v>7.7160619815147165</v>
      </c>
      <c r="AC39" s="2">
        <v>50230</v>
      </c>
      <c r="AD39" s="3">
        <f t="shared" si="11"/>
        <v>32.142857142857181</v>
      </c>
      <c r="AE39" s="3">
        <f t="shared" si="12"/>
        <v>0.78348214285714379</v>
      </c>
      <c r="AF39" s="3">
        <f t="shared" si="20"/>
        <v>3.5714285714285716</v>
      </c>
      <c r="AG39" s="3">
        <f t="shared" si="15"/>
        <v>4.3549107142857153</v>
      </c>
      <c r="AI39" s="4">
        <f t="shared" si="6"/>
        <v>5776</v>
      </c>
      <c r="AJ39" s="7" t="e">
        <f t="shared" si="7"/>
        <v>#REF!</v>
      </c>
      <c r="AK39" s="7" t="e">
        <f t="shared" si="8"/>
        <v>#REF!</v>
      </c>
    </row>
    <row r="40" spans="5:37" x14ac:dyDescent="0.2">
      <c r="E40" s="2">
        <v>50414</v>
      </c>
      <c r="F40" s="3">
        <f t="shared" si="22"/>
        <v>28.571428571428608</v>
      </c>
      <c r="G40" s="3">
        <f t="shared" si="21"/>
        <v>0.6964285714285724</v>
      </c>
      <c r="H40" s="3">
        <f t="shared" si="18"/>
        <v>3.5714285714285716</v>
      </c>
      <c r="I40" s="3">
        <f t="shared" si="13"/>
        <v>4.2678571428571441</v>
      </c>
      <c r="K40" s="4">
        <f t="shared" si="0"/>
        <v>5956</v>
      </c>
      <c r="L40" s="7">
        <f t="shared" si="1"/>
        <v>0.42285265352498108</v>
      </c>
      <c r="M40" s="7">
        <f t="shared" si="2"/>
        <v>6.995862234429965</v>
      </c>
      <c r="Q40" s="2">
        <v>50414</v>
      </c>
      <c r="R40" s="3">
        <f t="shared" si="9"/>
        <v>28.571428571428608</v>
      </c>
      <c r="S40" s="3">
        <f t="shared" si="10"/>
        <v>0.6964285714285724</v>
      </c>
      <c r="T40" s="3">
        <f t="shared" si="19"/>
        <v>3.5714285714285716</v>
      </c>
      <c r="U40" s="3">
        <f t="shared" si="14"/>
        <v>4.2678571428571441</v>
      </c>
      <c r="W40" s="4">
        <f t="shared" si="3"/>
        <v>5956</v>
      </c>
      <c r="X40" s="7">
        <f t="shared" si="4"/>
        <v>0.44002879275184498</v>
      </c>
      <c r="Y40" s="7">
        <f t="shared" si="5"/>
        <v>7.2800319156388573</v>
      </c>
      <c r="AC40" s="2">
        <v>50414</v>
      </c>
      <c r="AD40" s="3">
        <f t="shared" si="11"/>
        <v>28.571428571428608</v>
      </c>
      <c r="AE40" s="3">
        <f t="shared" si="12"/>
        <v>0.6964285714285724</v>
      </c>
      <c r="AF40" s="3">
        <f t="shared" si="20"/>
        <v>3.5714285714285716</v>
      </c>
      <c r="AG40" s="3">
        <f t="shared" si="15"/>
        <v>4.2678571428571441</v>
      </c>
      <c r="AI40" s="4">
        <f t="shared" si="6"/>
        <v>5956</v>
      </c>
      <c r="AJ40" s="7" t="e">
        <f t="shared" si="7"/>
        <v>#REF!</v>
      </c>
      <c r="AK40" s="7" t="e">
        <f t="shared" si="8"/>
        <v>#REF!</v>
      </c>
    </row>
    <row r="41" spans="5:37" x14ac:dyDescent="0.2">
      <c r="E41" s="2">
        <v>50595</v>
      </c>
      <c r="F41" s="3">
        <f t="shared" si="22"/>
        <v>25.000000000000036</v>
      </c>
      <c r="G41" s="3">
        <f t="shared" si="21"/>
        <v>0.60937500000000089</v>
      </c>
      <c r="H41" s="3">
        <f t="shared" si="18"/>
        <v>3.5714285714285716</v>
      </c>
      <c r="I41" s="3">
        <f t="shared" si="13"/>
        <v>4.180803571428573</v>
      </c>
      <c r="K41" s="4">
        <f t="shared" si="0"/>
        <v>6136</v>
      </c>
      <c r="L41" s="7">
        <f t="shared" si="1"/>
        <v>0.38627429532423319</v>
      </c>
      <c r="M41" s="7">
        <f t="shared" si="2"/>
        <v>6.5838307669708191</v>
      </c>
      <c r="Q41" s="2">
        <v>50595</v>
      </c>
      <c r="R41" s="3">
        <f t="shared" si="9"/>
        <v>25.000000000000036</v>
      </c>
      <c r="S41" s="3">
        <f t="shared" si="10"/>
        <v>0.60937500000000089</v>
      </c>
      <c r="T41" s="3">
        <f t="shared" si="19"/>
        <v>3.5714285714285716</v>
      </c>
      <c r="U41" s="3">
        <f t="shared" si="14"/>
        <v>4.180803571428573</v>
      </c>
      <c r="W41" s="4">
        <f t="shared" si="3"/>
        <v>6136</v>
      </c>
      <c r="X41" s="7">
        <f t="shared" si="4"/>
        <v>0.40244861487637634</v>
      </c>
      <c r="Y41" s="7">
        <f t="shared" si="5"/>
        <v>6.8595130580040147</v>
      </c>
      <c r="AC41" s="2">
        <v>50595</v>
      </c>
      <c r="AD41" s="3">
        <f t="shared" si="11"/>
        <v>25.000000000000036</v>
      </c>
      <c r="AE41" s="3">
        <f t="shared" si="12"/>
        <v>0.60937500000000089</v>
      </c>
      <c r="AF41" s="3">
        <f t="shared" si="20"/>
        <v>3.5714285714285716</v>
      </c>
      <c r="AG41" s="3">
        <f t="shared" si="15"/>
        <v>4.180803571428573</v>
      </c>
      <c r="AI41" s="4">
        <f t="shared" si="6"/>
        <v>6136</v>
      </c>
      <c r="AJ41" s="7" t="e">
        <f t="shared" si="7"/>
        <v>#REF!</v>
      </c>
      <c r="AK41" s="7" t="e">
        <f t="shared" si="8"/>
        <v>#REF!</v>
      </c>
    </row>
    <row r="42" spans="5:37" x14ac:dyDescent="0.2">
      <c r="E42" s="2">
        <v>50779</v>
      </c>
      <c r="F42" s="3">
        <f t="shared" si="22"/>
        <v>21.428571428571463</v>
      </c>
      <c r="G42" s="3">
        <f t="shared" si="21"/>
        <v>0.52232142857142938</v>
      </c>
      <c r="H42" s="3">
        <f t="shared" si="18"/>
        <v>3.5714285714285716</v>
      </c>
      <c r="I42" s="3">
        <f t="shared" si="13"/>
        <v>4.0937500000000009</v>
      </c>
      <c r="K42" s="4">
        <f t="shared" si="0"/>
        <v>6316</v>
      </c>
      <c r="L42" s="7">
        <f t="shared" si="1"/>
        <v>0.35270711623666773</v>
      </c>
      <c r="M42" s="7">
        <f t="shared" si="2"/>
        <v>6.1880504059744261</v>
      </c>
      <c r="Q42" s="2">
        <v>50779</v>
      </c>
      <c r="R42" s="3">
        <f t="shared" si="9"/>
        <v>21.428571428571463</v>
      </c>
      <c r="S42" s="3">
        <f t="shared" si="10"/>
        <v>0.52232142857142938</v>
      </c>
      <c r="T42" s="3">
        <f t="shared" si="19"/>
        <v>3.5714285714285716</v>
      </c>
      <c r="U42" s="3">
        <f t="shared" si="14"/>
        <v>4.0937500000000009</v>
      </c>
      <c r="W42" s="4">
        <f t="shared" si="3"/>
        <v>6316</v>
      </c>
      <c r="X42" s="7">
        <f t="shared" si="4"/>
        <v>0.36791834549503816</v>
      </c>
      <c r="Y42" s="7">
        <f t="shared" si="5"/>
        <v>6.454922972629614</v>
      </c>
      <c r="AC42" s="2">
        <v>50779</v>
      </c>
      <c r="AD42" s="3">
        <f t="shared" si="11"/>
        <v>21.428571428571463</v>
      </c>
      <c r="AE42" s="3">
        <f t="shared" si="12"/>
        <v>0.52232142857142938</v>
      </c>
      <c r="AF42" s="3">
        <f t="shared" si="20"/>
        <v>3.5714285714285716</v>
      </c>
      <c r="AG42" s="3">
        <f t="shared" si="15"/>
        <v>4.0937500000000009</v>
      </c>
      <c r="AI42" s="4">
        <f t="shared" si="6"/>
        <v>6316</v>
      </c>
      <c r="AJ42" s="7" t="e">
        <f t="shared" si="7"/>
        <v>#REF!</v>
      </c>
      <c r="AK42" s="7" t="e">
        <f t="shared" si="8"/>
        <v>#REF!</v>
      </c>
    </row>
    <row r="43" spans="5:37" x14ac:dyDescent="0.2">
      <c r="E43" s="2">
        <v>50960</v>
      </c>
      <c r="F43" s="3">
        <f t="shared" si="22"/>
        <v>17.85714285714289</v>
      </c>
      <c r="G43" s="3">
        <f t="shared" si="21"/>
        <v>0.43526785714285793</v>
      </c>
      <c r="H43" s="3">
        <f t="shared" si="18"/>
        <v>3.5714285714285716</v>
      </c>
      <c r="I43" s="3">
        <f t="shared" si="13"/>
        <v>4.0066964285714297</v>
      </c>
      <c r="K43" s="4">
        <f t="shared" si="0"/>
        <v>6496</v>
      </c>
      <c r="L43" s="7">
        <f t="shared" si="1"/>
        <v>0.32191128590619422</v>
      </c>
      <c r="M43" s="7">
        <f t="shared" si="2"/>
        <v>5.8087103145739931</v>
      </c>
      <c r="Q43" s="2">
        <v>50960</v>
      </c>
      <c r="R43" s="3">
        <f t="shared" si="9"/>
        <v>17.85714285714289</v>
      </c>
      <c r="S43" s="3">
        <f t="shared" si="10"/>
        <v>0.43526785714285793</v>
      </c>
      <c r="T43" s="3">
        <f t="shared" si="19"/>
        <v>3.5714285714285716</v>
      </c>
      <c r="U43" s="3">
        <f t="shared" si="14"/>
        <v>4.0066964285714297</v>
      </c>
      <c r="W43" s="4">
        <f t="shared" si="3"/>
        <v>6496</v>
      </c>
      <c r="X43" s="7">
        <f t="shared" si="4"/>
        <v>0.33619869069414998</v>
      </c>
      <c r="Y43" s="7">
        <f t="shared" si="5"/>
        <v>6.066518596525551</v>
      </c>
      <c r="AC43" s="2">
        <v>50960</v>
      </c>
      <c r="AD43" s="3">
        <f t="shared" si="11"/>
        <v>17.85714285714289</v>
      </c>
      <c r="AE43" s="3">
        <f t="shared" si="12"/>
        <v>0.43526785714285793</v>
      </c>
      <c r="AF43" s="3">
        <f t="shared" si="20"/>
        <v>3.5714285714285716</v>
      </c>
      <c r="AG43" s="3">
        <f t="shared" si="15"/>
        <v>4.0066964285714297</v>
      </c>
      <c r="AI43" s="4">
        <f t="shared" si="6"/>
        <v>6496</v>
      </c>
      <c r="AJ43" s="7" t="e">
        <f t="shared" si="7"/>
        <v>#REF!</v>
      </c>
      <c r="AK43" s="7" t="e">
        <f t="shared" si="8"/>
        <v>#REF!</v>
      </c>
    </row>
    <row r="44" spans="5:37" x14ac:dyDescent="0.2">
      <c r="E44" s="2">
        <v>51144</v>
      </c>
      <c r="F44" s="3">
        <f t="shared" si="22"/>
        <v>14.285714285714318</v>
      </c>
      <c r="G44" s="3">
        <f t="shared" si="21"/>
        <v>0.34821428571428653</v>
      </c>
      <c r="H44" s="3">
        <f t="shared" si="18"/>
        <v>3.5714285714285716</v>
      </c>
      <c r="I44" s="3">
        <f t="shared" si="13"/>
        <v>3.9196428571428581</v>
      </c>
      <c r="K44" s="4">
        <f t="shared" si="0"/>
        <v>6676</v>
      </c>
      <c r="L44" s="7">
        <f t="shared" si="1"/>
        <v>0.29366563012956615</v>
      </c>
      <c r="M44" s="7">
        <f t="shared" si="2"/>
        <v>5.44586596318051</v>
      </c>
      <c r="Q44" s="2">
        <v>51144</v>
      </c>
      <c r="R44" s="3">
        <f t="shared" si="9"/>
        <v>14.285714285714318</v>
      </c>
      <c r="S44" s="3">
        <f t="shared" si="10"/>
        <v>0.34821428571428653</v>
      </c>
      <c r="T44" s="3">
        <f t="shared" si="19"/>
        <v>3.5714285714285716</v>
      </c>
      <c r="U44" s="3">
        <f t="shared" si="14"/>
        <v>3.9196428571428581</v>
      </c>
      <c r="W44" s="4">
        <f t="shared" si="3"/>
        <v>6676</v>
      </c>
      <c r="X44" s="7">
        <f t="shared" si="4"/>
        <v>0.30706868491951078</v>
      </c>
      <c r="Y44" s="7">
        <f t="shared" si="5"/>
        <v>5.6944181681184833</v>
      </c>
      <c r="AC44" s="2">
        <v>51144</v>
      </c>
      <c r="AD44" s="3">
        <f t="shared" si="11"/>
        <v>14.285714285714318</v>
      </c>
      <c r="AE44" s="3">
        <f t="shared" si="12"/>
        <v>0.34821428571428653</v>
      </c>
      <c r="AF44" s="3">
        <f t="shared" si="20"/>
        <v>3.5714285714285716</v>
      </c>
      <c r="AG44" s="3">
        <f t="shared" si="15"/>
        <v>3.9196428571428581</v>
      </c>
      <c r="AI44" s="4">
        <f t="shared" si="6"/>
        <v>6676</v>
      </c>
      <c r="AJ44" s="7" t="e">
        <f t="shared" si="7"/>
        <v>#REF!</v>
      </c>
      <c r="AK44" s="7" t="e">
        <f t="shared" si="8"/>
        <v>#REF!</v>
      </c>
    </row>
    <row r="45" spans="5:37" x14ac:dyDescent="0.2">
      <c r="E45" s="2">
        <v>51326</v>
      </c>
      <c r="F45" s="3">
        <f t="shared" si="22"/>
        <v>10.714285714285747</v>
      </c>
      <c r="G45" s="3">
        <f t="shared" si="21"/>
        <v>0.26116071428571508</v>
      </c>
      <c r="H45" s="3">
        <f t="shared" si="18"/>
        <v>3.5714285714285716</v>
      </c>
      <c r="I45" s="3">
        <f t="shared" si="13"/>
        <v>3.8325892857142865</v>
      </c>
      <c r="K45" s="4">
        <f t="shared" si="0"/>
        <v>6856</v>
      </c>
      <c r="L45" s="7">
        <f t="shared" si="1"/>
        <v>0.26776620508785232</v>
      </c>
      <c r="M45" s="7">
        <f t="shared" si="2"/>
        <v>5.0994586168953209</v>
      </c>
      <c r="Q45" s="2">
        <v>51326</v>
      </c>
      <c r="R45" s="3">
        <f t="shared" si="9"/>
        <v>10.714285714285747</v>
      </c>
      <c r="S45" s="3">
        <f t="shared" si="10"/>
        <v>0.26116071428571508</v>
      </c>
      <c r="T45" s="3">
        <f t="shared" si="19"/>
        <v>3.5714285714285716</v>
      </c>
      <c r="U45" s="3">
        <f t="shared" si="14"/>
        <v>3.8325892857142865</v>
      </c>
      <c r="W45" s="4">
        <f t="shared" si="3"/>
        <v>6856</v>
      </c>
      <c r="X45" s="7">
        <f t="shared" si="4"/>
        <v>0.28032431220310361</v>
      </c>
      <c r="Y45" s="7">
        <f t="shared" si="5"/>
        <v>5.3386207901791067</v>
      </c>
      <c r="AC45" s="2">
        <v>51326</v>
      </c>
      <c r="AD45" s="3">
        <f t="shared" si="11"/>
        <v>10.714285714285747</v>
      </c>
      <c r="AE45" s="3">
        <f t="shared" si="12"/>
        <v>0.26116071428571508</v>
      </c>
      <c r="AF45" s="3">
        <f t="shared" si="20"/>
        <v>3.5714285714285716</v>
      </c>
      <c r="AG45" s="3">
        <f t="shared" si="15"/>
        <v>3.8325892857142865</v>
      </c>
      <c r="AI45" s="4">
        <f t="shared" si="6"/>
        <v>6856</v>
      </c>
      <c r="AJ45" s="7" t="e">
        <f t="shared" si="7"/>
        <v>#REF!</v>
      </c>
      <c r="AK45" s="7" t="e">
        <f t="shared" si="8"/>
        <v>#REF!</v>
      </c>
    </row>
    <row r="46" spans="5:37" x14ac:dyDescent="0.2">
      <c r="E46" s="2">
        <v>51510</v>
      </c>
      <c r="F46" s="3">
        <f t="shared" si="22"/>
        <v>7.1428571428571761</v>
      </c>
      <c r="G46" s="3">
        <f t="shared" si="21"/>
        <v>0.17410714285714368</v>
      </c>
      <c r="H46" s="3">
        <f t="shared" si="18"/>
        <v>3.5714285714285716</v>
      </c>
      <c r="I46" s="3">
        <f t="shared" si="13"/>
        <v>3.7455357142857153</v>
      </c>
      <c r="K46" s="4">
        <f t="shared" si="0"/>
        <v>7036</v>
      </c>
      <c r="L46" s="7">
        <f t="shared" si="1"/>
        <v>0.244024979048823</v>
      </c>
      <c r="M46" s="7">
        <f t="shared" si="2"/>
        <v>4.7693326460764407</v>
      </c>
      <c r="Q46" s="2">
        <v>51510</v>
      </c>
      <c r="R46" s="3">
        <f t="shared" si="9"/>
        <v>7.1428571428571761</v>
      </c>
      <c r="S46" s="3">
        <f t="shared" si="10"/>
        <v>0.17410714285714368</v>
      </c>
      <c r="T46" s="3">
        <f t="shared" si="19"/>
        <v>3.5714285714285716</v>
      </c>
      <c r="U46" s="3">
        <f t="shared" si="14"/>
        <v>3.7455357142857153</v>
      </c>
      <c r="W46" s="4">
        <f t="shared" si="3"/>
        <v>7036</v>
      </c>
      <c r="X46" s="7">
        <f t="shared" si="4"/>
        <v>0.25577722966891908</v>
      </c>
      <c r="Y46" s="7">
        <f t="shared" si="5"/>
        <v>4.9990238554180966</v>
      </c>
      <c r="AC46" s="2">
        <v>51510</v>
      </c>
      <c r="AD46" s="3">
        <f t="shared" si="11"/>
        <v>7.1428571428571761</v>
      </c>
      <c r="AE46" s="3">
        <f t="shared" si="12"/>
        <v>0.17410714285714368</v>
      </c>
      <c r="AF46" s="3">
        <f t="shared" si="20"/>
        <v>3.5714285714285716</v>
      </c>
      <c r="AG46" s="3">
        <f t="shared" si="15"/>
        <v>3.7455357142857153</v>
      </c>
      <c r="AI46" s="4">
        <f t="shared" si="6"/>
        <v>7036</v>
      </c>
      <c r="AJ46" s="7" t="e">
        <f t="shared" si="7"/>
        <v>#REF!</v>
      </c>
      <c r="AK46" s="7" t="e">
        <f t="shared" si="8"/>
        <v>#REF!</v>
      </c>
    </row>
    <row r="47" spans="5:37" x14ac:dyDescent="0.2">
      <c r="E47" s="2">
        <v>51691</v>
      </c>
      <c r="F47" s="3">
        <f t="shared" si="22"/>
        <v>3.5714285714286045</v>
      </c>
      <c r="G47" s="3">
        <f t="shared" si="21"/>
        <v>8.7053571428572243E-2</v>
      </c>
      <c r="H47" s="3">
        <f t="shared" si="18"/>
        <v>3.5714285714285716</v>
      </c>
      <c r="I47" s="3">
        <f t="shared" si="13"/>
        <v>3.6584821428571437</v>
      </c>
      <c r="K47" s="4">
        <f t="shared" si="0"/>
        <v>7216</v>
      </c>
      <c r="L47" s="7">
        <f t="shared" si="1"/>
        <v>0.22226861352822447</v>
      </c>
      <c r="M47" s="7">
        <f t="shared" si="2"/>
        <v>4.4552508756101883</v>
      </c>
      <c r="Q47" s="2">
        <v>51691</v>
      </c>
      <c r="R47" s="3">
        <f t="shared" si="9"/>
        <v>3.5714285714286045</v>
      </c>
      <c r="S47" s="3">
        <f t="shared" si="10"/>
        <v>8.7053571428572243E-2</v>
      </c>
      <c r="T47" s="3">
        <f t="shared" si="19"/>
        <v>3.5714285714285716</v>
      </c>
      <c r="U47" s="3">
        <f t="shared" si="14"/>
        <v>3.6584821428571437</v>
      </c>
      <c r="W47" s="4">
        <f t="shared" si="3"/>
        <v>7216</v>
      </c>
      <c r="X47" s="7">
        <f t="shared" si="4"/>
        <v>0.23325358581504363</v>
      </c>
      <c r="Y47" s="7">
        <f t="shared" si="5"/>
        <v>4.6754385423370968</v>
      </c>
      <c r="AC47" s="2">
        <v>51691</v>
      </c>
      <c r="AD47" s="3">
        <f t="shared" si="11"/>
        <v>3.5714285714286045</v>
      </c>
      <c r="AE47" s="3">
        <f t="shared" si="12"/>
        <v>8.7053571428572243E-2</v>
      </c>
      <c r="AF47" s="3">
        <f t="shared" si="20"/>
        <v>3.5714285714285716</v>
      </c>
      <c r="AG47" s="3">
        <f t="shared" si="15"/>
        <v>3.6584821428571437</v>
      </c>
      <c r="AI47" s="4">
        <f t="shared" si="6"/>
        <v>7216</v>
      </c>
      <c r="AJ47" s="7" t="e">
        <f t="shared" si="7"/>
        <v>#REF!</v>
      </c>
      <c r="AK47" s="7" t="e">
        <f t="shared" si="8"/>
        <v>#REF!</v>
      </c>
    </row>
    <row r="48" spans="5:37" x14ac:dyDescent="0.2">
      <c r="L48" s="7">
        <f>SUM(L7:L47)</f>
        <v>38.455746110787409</v>
      </c>
      <c r="M48" s="7">
        <f>SUM(M7:M47)</f>
        <v>315.71215597590481</v>
      </c>
      <c r="X48" s="7">
        <f>SUM(X7:X47)</f>
        <v>39.225685205161035</v>
      </c>
      <c r="Y48" s="7">
        <f>SUM(Y7:Y47)</f>
        <v>324.17915778837738</v>
      </c>
      <c r="AJ48" s="7" t="e">
        <f>SUM(AJ7:AJ47)</f>
        <v>#REF!</v>
      </c>
      <c r="AK48" s="7" t="e">
        <f>SUM(AK7:AK47)</f>
        <v>#REF!</v>
      </c>
    </row>
    <row r="49" spans="8:37" ht="15" x14ac:dyDescent="0.25">
      <c r="H49" s="6" t="s">
        <v>5</v>
      </c>
      <c r="I49" s="5">
        <f>XIRR(I6:I47,E6:E47)</f>
        <v>0.14996939301490786</v>
      </c>
      <c r="T49" s="6" t="s">
        <v>5</v>
      </c>
      <c r="U49" s="5">
        <f>XIRR(U6:U47,Q6:Q47)</f>
        <v>0.14720516800880437</v>
      </c>
      <c r="AF49" s="6" t="s">
        <v>5</v>
      </c>
      <c r="AG49" s="5" t="e">
        <f>XIRR(AG6:AG47,AC6:AC47)</f>
        <v>#REF!</v>
      </c>
    </row>
    <row r="50" spans="8:37" ht="15" x14ac:dyDescent="0.25">
      <c r="H50" s="6" t="s">
        <v>8</v>
      </c>
      <c r="I50" s="3">
        <f>M50/(1+(I49/2))</f>
        <v>7.6370877464180777</v>
      </c>
      <c r="L50" s="4" t="s">
        <v>7</v>
      </c>
      <c r="M50" s="3">
        <f>+M48/L48</f>
        <v>8.2097524532840325</v>
      </c>
      <c r="T50" s="6" t="s">
        <v>8</v>
      </c>
      <c r="U50" s="3">
        <f>Y50/(1+(U49/2))</f>
        <v>7.6978776266562452</v>
      </c>
      <c r="X50" s="4" t="s">
        <v>7</v>
      </c>
      <c r="Y50" s="3">
        <f>+Y48/X48</f>
        <v>8.2644613113278194</v>
      </c>
      <c r="AF50" s="6" t="s">
        <v>8</v>
      </c>
      <c r="AG50" s="3" t="e">
        <f>AK50/(1+(AG49/2))</f>
        <v>#REF!</v>
      </c>
      <c r="AJ50" s="4" t="s">
        <v>7</v>
      </c>
      <c r="AK50" s="3" t="e">
        <f>+AK48/AJ48</f>
        <v>#REF!</v>
      </c>
    </row>
  </sheetData>
  <mergeCells count="3">
    <mergeCell ref="Q3:Y3"/>
    <mergeCell ref="AC3:AK3"/>
    <mergeCell ref="E3:I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3:AL61"/>
  <sheetViews>
    <sheetView showGridLines="0" zoomScale="90" zoomScaleNormal="90" workbookViewId="0">
      <selection activeCell="AE7" sqref="AE7"/>
    </sheetView>
  </sheetViews>
  <sheetFormatPr baseColWidth="10" defaultRowHeight="14.25" x14ac:dyDescent="0.2"/>
  <cols>
    <col min="1" max="1" width="11.42578125" style="4"/>
    <col min="2" max="2" width="14.7109375" style="4" bestFit="1" customWidth="1"/>
    <col min="3" max="9" width="11.42578125" style="4"/>
    <col min="10" max="10" width="3.28515625" style="4" customWidth="1"/>
    <col min="11" max="14" width="11.42578125" style="4"/>
    <col min="15" max="15" width="11.42578125" style="78"/>
    <col min="16" max="21" width="11.42578125" style="4"/>
    <col min="22" max="22" width="3.28515625" style="4" customWidth="1"/>
    <col min="23" max="26" width="11.42578125" style="4"/>
    <col min="27" max="27" width="11.42578125" style="78"/>
    <col min="28" max="33" width="11.42578125" style="4"/>
    <col min="34" max="34" width="3.28515625" style="4" customWidth="1"/>
    <col min="35" max="16384" width="11.42578125" style="4"/>
  </cols>
  <sheetData>
    <row r="3" spans="2:38" ht="15" x14ac:dyDescent="0.25">
      <c r="E3" s="321" t="s">
        <v>80</v>
      </c>
      <c r="F3" s="321"/>
      <c r="G3" s="321"/>
      <c r="H3" s="321"/>
      <c r="I3" s="321"/>
      <c r="J3" s="321"/>
      <c r="K3" s="321"/>
      <c r="L3" s="321"/>
      <c r="M3" s="321"/>
      <c r="Q3" s="321" t="s">
        <v>109</v>
      </c>
      <c r="R3" s="321"/>
      <c r="S3" s="321"/>
      <c r="T3" s="321"/>
      <c r="U3" s="321"/>
      <c r="V3" s="321"/>
      <c r="W3" s="321"/>
      <c r="X3" s="321"/>
      <c r="Y3" s="321"/>
      <c r="AC3" s="321" t="s">
        <v>110</v>
      </c>
      <c r="AD3" s="321"/>
      <c r="AE3" s="321"/>
      <c r="AF3" s="321"/>
      <c r="AG3" s="321"/>
      <c r="AH3" s="321"/>
    </row>
    <row r="5" spans="2:38" ht="15" x14ac:dyDescent="0.25"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K5" s="1" t="s">
        <v>9</v>
      </c>
      <c r="L5" s="1" t="s">
        <v>10</v>
      </c>
      <c r="M5" s="1" t="s">
        <v>11</v>
      </c>
      <c r="Q5" s="53" t="s">
        <v>0</v>
      </c>
      <c r="R5" s="53" t="s">
        <v>1</v>
      </c>
      <c r="S5" s="53" t="s">
        <v>2</v>
      </c>
      <c r="T5" s="53" t="s">
        <v>3</v>
      </c>
      <c r="U5" s="53" t="s">
        <v>4</v>
      </c>
      <c r="W5" s="53" t="s">
        <v>9</v>
      </c>
      <c r="X5" s="53" t="s">
        <v>10</v>
      </c>
      <c r="Y5" s="53" t="s">
        <v>11</v>
      </c>
      <c r="AC5" s="53" t="s">
        <v>0</v>
      </c>
      <c r="AD5" s="53" t="s">
        <v>1</v>
      </c>
      <c r="AE5" s="53" t="s">
        <v>2</v>
      </c>
      <c r="AF5" s="53" t="s">
        <v>3</v>
      </c>
      <c r="AG5" s="53" t="s">
        <v>4</v>
      </c>
      <c r="AK5" s="53" t="s">
        <v>5</v>
      </c>
      <c r="AL5" s="53" t="s">
        <v>61</v>
      </c>
    </row>
    <row r="6" spans="2:38" x14ac:dyDescent="0.2">
      <c r="B6" s="82" t="s">
        <v>36</v>
      </c>
      <c r="C6" s="83">
        <v>44078</v>
      </c>
      <c r="E6" s="2">
        <f>+Monitor!C2</f>
        <v>44370</v>
      </c>
      <c r="F6" s="3">
        <v>100</v>
      </c>
      <c r="G6" s="3"/>
      <c r="H6" s="3"/>
      <c r="I6" s="3">
        <f>-CCL!L35</f>
        <v>-35.030347222222218</v>
      </c>
      <c r="K6" s="4">
        <f>DAYS360(C6,E7)</f>
        <v>305</v>
      </c>
      <c r="Q6" s="2">
        <f>E6</f>
        <v>44370</v>
      </c>
      <c r="R6" s="3">
        <v>100</v>
      </c>
      <c r="S6" s="3"/>
      <c r="T6" s="3"/>
      <c r="U6" s="3">
        <f>-Monitor!D19</f>
        <v>-36.1</v>
      </c>
      <c r="AC6" s="2">
        <f>Q6</f>
        <v>44370</v>
      </c>
      <c r="AD6" s="3">
        <v>100</v>
      </c>
      <c r="AE6" s="3"/>
      <c r="AF6" s="3"/>
      <c r="AG6" s="3">
        <v>0</v>
      </c>
      <c r="AK6" s="56">
        <v>0.06</v>
      </c>
      <c r="AL6" s="8">
        <f>XNPV(AK6,AG6:AG57,AC6:AC57)</f>
        <v>81.334363007653991</v>
      </c>
    </row>
    <row r="7" spans="2:38" x14ac:dyDescent="0.2">
      <c r="B7" s="84" t="s">
        <v>37</v>
      </c>
      <c r="C7" s="85">
        <v>1.25E-3</v>
      </c>
      <c r="E7" s="2">
        <v>44386</v>
      </c>
      <c r="F7" s="3">
        <f>+F6</f>
        <v>100</v>
      </c>
      <c r="G7" s="3">
        <f>(C7*F6)/360*K6</f>
        <v>0.10590277777777778</v>
      </c>
      <c r="H7" s="3"/>
      <c r="I7" s="3">
        <f>SUM(G7:H7)</f>
        <v>0.10590277777777778</v>
      </c>
      <c r="K7" s="4">
        <f t="shared" ref="K7:K57" si="0">DAYS360($E$6,E7)</f>
        <v>16</v>
      </c>
      <c r="L7" s="7">
        <f t="shared" ref="L7:L38" si="1">I7/(1+$I$59)^(K7/360)</f>
        <v>0.10518922355736209</v>
      </c>
      <c r="M7" s="7">
        <f t="shared" ref="M7:M57" si="2">L7*(K7/360)</f>
        <v>4.6750766025494264E-3</v>
      </c>
      <c r="Q7" s="2">
        <v>44386</v>
      </c>
      <c r="R7" s="3">
        <f>+F7</f>
        <v>100</v>
      </c>
      <c r="S7" s="3">
        <f>+G7</f>
        <v>0.10590277777777778</v>
      </c>
      <c r="T7" s="3"/>
      <c r="U7" s="3">
        <f>SUM(S7:T7)</f>
        <v>0.10590277777777778</v>
      </c>
      <c r="W7" s="4">
        <f t="shared" ref="W7:W57" si="3">DAYS360($E$6,Q7)</f>
        <v>16</v>
      </c>
      <c r="X7" s="7">
        <f t="shared" ref="X7:X38" si="4">U7/(1+$U$59)^(W7/360)</f>
        <v>0.10520739693041511</v>
      </c>
      <c r="Y7" s="7">
        <f t="shared" ref="Y7:Y57" si="5">X7*(W7/360)</f>
        <v>4.6758843080184501E-3</v>
      </c>
      <c r="AC7" s="2">
        <v>44386</v>
      </c>
      <c r="AD7" s="3">
        <f>+F7</f>
        <v>100</v>
      </c>
      <c r="AE7" s="3">
        <f>+G7</f>
        <v>0.10590277777777778</v>
      </c>
      <c r="AF7" s="3">
        <f t="shared" ref="AF7:AF38" si="6">+T7</f>
        <v>0</v>
      </c>
      <c r="AG7" s="3">
        <f>SUM(AE7:AF7)</f>
        <v>0.10590277777777778</v>
      </c>
      <c r="AK7" s="56">
        <v>6.5000000000000002E-2</v>
      </c>
      <c r="AL7" s="8">
        <f>XNPV(AK7,AG6:AG57,AC6:AC57)</f>
        <v>77.458314916898942</v>
      </c>
    </row>
    <row r="8" spans="2:38" x14ac:dyDescent="0.2">
      <c r="B8" s="84" t="s">
        <v>38</v>
      </c>
      <c r="C8" s="86">
        <f>DAYS360(C6,E6)</f>
        <v>289</v>
      </c>
      <c r="E8" s="2">
        <v>44570</v>
      </c>
      <c r="F8" s="3">
        <f>+F7</f>
        <v>100</v>
      </c>
      <c r="G8" s="3">
        <f>0.01125*(180/360)*F8</f>
        <v>0.5625</v>
      </c>
      <c r="H8" s="3"/>
      <c r="I8" s="3">
        <f>SUM(G8:H8)</f>
        <v>0.5625</v>
      </c>
      <c r="K8" s="4">
        <f t="shared" si="0"/>
        <v>196</v>
      </c>
      <c r="L8" s="7">
        <f t="shared" si="1"/>
        <v>0.5177919273771121</v>
      </c>
      <c r="M8" s="7">
        <f t="shared" si="2"/>
        <v>0.28190893823864988</v>
      </c>
      <c r="Q8" s="2">
        <v>44570</v>
      </c>
      <c r="R8" s="3">
        <f t="shared" ref="R8:R57" si="7">+F8</f>
        <v>100</v>
      </c>
      <c r="S8" s="3">
        <f t="shared" ref="S8:S57" si="8">+G8</f>
        <v>0.5625</v>
      </c>
      <c r="T8" s="3"/>
      <c r="U8" s="3">
        <f>SUM(S8:T8)</f>
        <v>0.5625</v>
      </c>
      <c r="W8" s="4">
        <f t="shared" si="3"/>
        <v>196</v>
      </c>
      <c r="X8" s="7">
        <f t="shared" si="4"/>
        <v>0.51888885445500699</v>
      </c>
      <c r="Y8" s="7">
        <f t="shared" si="5"/>
        <v>0.28250615409217045</v>
      </c>
      <c r="AC8" s="2">
        <v>44570</v>
      </c>
      <c r="AD8" s="3">
        <f t="shared" ref="AD8:AD57" si="9">+F8</f>
        <v>100</v>
      </c>
      <c r="AE8" s="3">
        <f t="shared" ref="AE8:AE39" si="10">+S8</f>
        <v>0.5625</v>
      </c>
      <c r="AF8" s="3">
        <f t="shared" si="6"/>
        <v>0</v>
      </c>
      <c r="AG8" s="3">
        <f>SUM(AE8:AF8)</f>
        <v>0.5625</v>
      </c>
      <c r="AK8" s="56">
        <v>7.0000000000000007E-2</v>
      </c>
      <c r="AL8" s="8">
        <f>XNPV(AK8,AG6:AG57,AC6:AC57)</f>
        <v>73.841084027451814</v>
      </c>
    </row>
    <row r="9" spans="2:38" x14ac:dyDescent="0.2">
      <c r="B9" s="84" t="s">
        <v>39</v>
      </c>
      <c r="C9" s="87">
        <f>(C7*100)/360*C8</f>
        <v>0.10034722222222223</v>
      </c>
      <c r="E9" s="2">
        <v>44751</v>
      </c>
      <c r="F9" s="3">
        <v>100</v>
      </c>
      <c r="G9" s="3">
        <f>0.01125*(180/360)*F9</f>
        <v>0.5625</v>
      </c>
      <c r="H9" s="3"/>
      <c r="I9" s="3">
        <f>SUM(G9:H9)</f>
        <v>0.5625</v>
      </c>
      <c r="K9" s="4">
        <f t="shared" si="0"/>
        <v>376</v>
      </c>
      <c r="L9" s="7">
        <f t="shared" si="1"/>
        <v>0.47987058113750247</v>
      </c>
      <c r="M9" s="7">
        <f t="shared" si="2"/>
        <v>0.50119816252139149</v>
      </c>
      <c r="Q9" s="2">
        <v>44751</v>
      </c>
      <c r="R9" s="3">
        <f t="shared" si="7"/>
        <v>100</v>
      </c>
      <c r="S9" s="3">
        <f t="shared" si="8"/>
        <v>0.5625</v>
      </c>
      <c r="T9" s="3"/>
      <c r="U9" s="3">
        <f>SUM(S9:T9)</f>
        <v>0.5625</v>
      </c>
      <c r="W9" s="4">
        <f t="shared" si="3"/>
        <v>376</v>
      </c>
      <c r="X9" s="7">
        <f t="shared" si="4"/>
        <v>0.48182267465513134</v>
      </c>
      <c r="Y9" s="7">
        <f t="shared" si="5"/>
        <v>0.50323701575091495</v>
      </c>
      <c r="AC9" s="2">
        <v>44751</v>
      </c>
      <c r="AD9" s="3">
        <f t="shared" si="9"/>
        <v>100</v>
      </c>
      <c r="AE9" s="3">
        <f t="shared" si="10"/>
        <v>0.5625</v>
      </c>
      <c r="AF9" s="3">
        <f t="shared" si="6"/>
        <v>0</v>
      </c>
      <c r="AG9" s="3">
        <f>SUM(AE9:AF9)</f>
        <v>0.5625</v>
      </c>
      <c r="AK9" s="56">
        <v>7.4999999999999997E-2</v>
      </c>
      <c r="AL9" s="8">
        <f>XNPV(AK9,AG6:AG57,AC6:AC57)</f>
        <v>70.461628401366241</v>
      </c>
    </row>
    <row r="10" spans="2:38" x14ac:dyDescent="0.2">
      <c r="B10" s="84" t="s">
        <v>35</v>
      </c>
      <c r="C10" s="86">
        <v>100</v>
      </c>
      <c r="E10" s="2">
        <v>44935</v>
      </c>
      <c r="F10" s="3">
        <v>100</v>
      </c>
      <c r="G10" s="3">
        <f>0.015*(180/360)*F10</f>
        <v>0.75</v>
      </c>
      <c r="H10" s="3"/>
      <c r="I10" s="3">
        <f t="shared" ref="I10:I57" si="11">SUM(G10:H10)</f>
        <v>0.75</v>
      </c>
      <c r="K10" s="4">
        <f t="shared" si="0"/>
        <v>556</v>
      </c>
      <c r="L10" s="7">
        <f t="shared" si="1"/>
        <v>0.59296862302125097</v>
      </c>
      <c r="M10" s="7">
        <f t="shared" si="2"/>
        <v>0.91580709555504325</v>
      </c>
      <c r="Q10" s="2">
        <v>44935</v>
      </c>
      <c r="R10" s="3">
        <f t="shared" si="7"/>
        <v>100</v>
      </c>
      <c r="S10" s="3">
        <f t="shared" si="8"/>
        <v>0.75</v>
      </c>
      <c r="T10" s="3"/>
      <c r="U10" s="3">
        <f t="shared" ref="U10:U57" si="12">SUM(S10:T10)</f>
        <v>0.75</v>
      </c>
      <c r="W10" s="4">
        <f t="shared" si="3"/>
        <v>556</v>
      </c>
      <c r="X10" s="7">
        <f t="shared" si="4"/>
        <v>0.59653902839663475</v>
      </c>
      <c r="Y10" s="7">
        <f t="shared" si="5"/>
        <v>0.92132138830146926</v>
      </c>
      <c r="AC10" s="2">
        <v>44935</v>
      </c>
      <c r="AD10" s="3">
        <f t="shared" si="9"/>
        <v>100</v>
      </c>
      <c r="AE10" s="3">
        <f t="shared" si="10"/>
        <v>0.75</v>
      </c>
      <c r="AF10" s="3">
        <f t="shared" si="6"/>
        <v>0</v>
      </c>
      <c r="AG10" s="3">
        <f t="shared" ref="AG10:AG57" si="13">SUM(AE10:AF10)</f>
        <v>0.75</v>
      </c>
      <c r="AK10" s="56">
        <v>0.08</v>
      </c>
      <c r="AL10" s="8">
        <f>XNPV(AK10,AG6:AG57,AC6:AC57)</f>
        <v>67.300854060547195</v>
      </c>
    </row>
    <row r="11" spans="2:38" x14ac:dyDescent="0.2">
      <c r="B11" s="88" t="s">
        <v>23</v>
      </c>
      <c r="C11" s="89">
        <f>+C10+C9</f>
        <v>100.10034722222223</v>
      </c>
      <c r="E11" s="2">
        <v>45116</v>
      </c>
      <c r="F11" s="3">
        <v>100</v>
      </c>
      <c r="G11" s="3">
        <f>0.015*(180/360)*F11</f>
        <v>0.75</v>
      </c>
      <c r="H11" s="3"/>
      <c r="I11" s="3">
        <f t="shared" si="11"/>
        <v>0.75</v>
      </c>
      <c r="K11" s="4">
        <f t="shared" si="0"/>
        <v>736</v>
      </c>
      <c r="L11" s="7">
        <f t="shared" si="1"/>
        <v>0.54954158742276715</v>
      </c>
      <c r="M11" s="7">
        <f t="shared" si="2"/>
        <v>1.1235072453976571</v>
      </c>
      <c r="Q11" s="2">
        <v>45116</v>
      </c>
      <c r="R11" s="3">
        <f t="shared" si="7"/>
        <v>100</v>
      </c>
      <c r="S11" s="3">
        <f t="shared" si="8"/>
        <v>0.75</v>
      </c>
      <c r="T11" s="3"/>
      <c r="U11" s="3">
        <f t="shared" si="12"/>
        <v>0.75</v>
      </c>
      <c r="W11" s="4">
        <f t="shared" si="3"/>
        <v>736</v>
      </c>
      <c r="X11" s="7">
        <f t="shared" si="4"/>
        <v>0.55392600502110545</v>
      </c>
      <c r="Y11" s="7">
        <f t="shared" si="5"/>
        <v>1.1324709435987044</v>
      </c>
      <c r="AC11" s="2">
        <v>45116</v>
      </c>
      <c r="AD11" s="3">
        <f t="shared" si="9"/>
        <v>100</v>
      </c>
      <c r="AE11" s="3">
        <f t="shared" si="10"/>
        <v>0.75</v>
      </c>
      <c r="AF11" s="3">
        <f t="shared" si="6"/>
        <v>0</v>
      </c>
      <c r="AG11" s="3">
        <f t="shared" si="13"/>
        <v>0.75</v>
      </c>
      <c r="AK11" s="56">
        <v>8.5000000000000006E-2</v>
      </c>
      <c r="AL11" s="8">
        <f>XNPV(AK11,AG6:AG57,AC6:AC57)</f>
        <v>64.341416985866218</v>
      </c>
    </row>
    <row r="12" spans="2:38" x14ac:dyDescent="0.2">
      <c r="E12" s="2">
        <v>45300</v>
      </c>
      <c r="F12" s="3">
        <v>100</v>
      </c>
      <c r="G12" s="3">
        <f>0.03625*(180/360)*F12</f>
        <v>1.8124999999999998</v>
      </c>
      <c r="H12" s="3"/>
      <c r="I12" s="3">
        <f t="shared" si="11"/>
        <v>1.8124999999999998</v>
      </c>
      <c r="K12" s="4">
        <f t="shared" si="0"/>
        <v>916</v>
      </c>
      <c r="L12" s="7">
        <f t="shared" si="1"/>
        <v>1.2307962558913004</v>
      </c>
      <c r="M12" s="7">
        <f t="shared" si="2"/>
        <v>3.1316926955456417</v>
      </c>
      <c r="Q12" s="2">
        <v>45300</v>
      </c>
      <c r="R12" s="3">
        <f t="shared" si="7"/>
        <v>100</v>
      </c>
      <c r="S12" s="3">
        <f t="shared" si="8"/>
        <v>1.8124999999999998</v>
      </c>
      <c r="T12" s="3"/>
      <c r="U12" s="3">
        <f t="shared" si="12"/>
        <v>1.8124999999999998</v>
      </c>
      <c r="W12" s="4">
        <f t="shared" si="3"/>
        <v>916</v>
      </c>
      <c r="X12" s="7">
        <f t="shared" si="4"/>
        <v>1.2430293923988192</v>
      </c>
      <c r="Y12" s="7">
        <f t="shared" si="5"/>
        <v>3.1628192317703285</v>
      </c>
      <c r="AC12" s="2">
        <v>45300</v>
      </c>
      <c r="AD12" s="3">
        <f t="shared" si="9"/>
        <v>100</v>
      </c>
      <c r="AE12" s="3">
        <f t="shared" si="10"/>
        <v>1.8124999999999998</v>
      </c>
      <c r="AF12" s="3">
        <f t="shared" si="6"/>
        <v>0</v>
      </c>
      <c r="AG12" s="3">
        <f t="shared" si="13"/>
        <v>1.8124999999999998</v>
      </c>
      <c r="AK12" s="56">
        <v>0.09</v>
      </c>
      <c r="AL12" s="8">
        <f>XNPV(AK12,AG6:AG57,AC6:AC57)</f>
        <v>61.567546748693083</v>
      </c>
    </row>
    <row r="13" spans="2:38" x14ac:dyDescent="0.2">
      <c r="E13" s="2">
        <v>45482</v>
      </c>
      <c r="F13" s="3">
        <v>100</v>
      </c>
      <c r="G13" s="3">
        <f>0.03625*(180/360)*F13</f>
        <v>1.8124999999999998</v>
      </c>
      <c r="H13" s="3"/>
      <c r="I13" s="3">
        <f t="shared" si="11"/>
        <v>1.8124999999999998</v>
      </c>
      <c r="K13" s="4">
        <f t="shared" si="0"/>
        <v>1096</v>
      </c>
      <c r="L13" s="7">
        <f t="shared" si="1"/>
        <v>1.1406568610836316</v>
      </c>
      <c r="M13" s="7">
        <f t="shared" si="2"/>
        <v>3.4726664437435004</v>
      </c>
      <c r="Q13" s="2">
        <v>45482</v>
      </c>
      <c r="R13" s="3">
        <f t="shared" si="7"/>
        <v>100</v>
      </c>
      <c r="S13" s="3">
        <f t="shared" si="8"/>
        <v>1.8124999999999998</v>
      </c>
      <c r="T13" s="3"/>
      <c r="U13" s="3">
        <f t="shared" si="12"/>
        <v>1.8124999999999998</v>
      </c>
      <c r="W13" s="4">
        <f t="shared" si="3"/>
        <v>1096</v>
      </c>
      <c r="X13" s="7">
        <f t="shared" si="4"/>
        <v>1.154235134130202</v>
      </c>
      <c r="Y13" s="7">
        <f t="shared" si="5"/>
        <v>3.5140047416852815</v>
      </c>
      <c r="AC13" s="2">
        <v>45482</v>
      </c>
      <c r="AD13" s="3">
        <f t="shared" si="9"/>
        <v>100</v>
      </c>
      <c r="AE13" s="3">
        <f t="shared" si="10"/>
        <v>1.8124999999999998</v>
      </c>
      <c r="AF13" s="3">
        <f t="shared" si="6"/>
        <v>0</v>
      </c>
      <c r="AG13" s="3">
        <f t="shared" si="13"/>
        <v>1.8124999999999998</v>
      </c>
      <c r="AK13" s="56">
        <v>9.5000000000000001E-2</v>
      </c>
      <c r="AL13" s="8">
        <f>XNPV(AK13,AG6:AG57,AC6:AC57)</f>
        <v>58.96488926813106</v>
      </c>
    </row>
    <row r="14" spans="2:38" x14ac:dyDescent="0.2">
      <c r="E14" s="2">
        <v>45666</v>
      </c>
      <c r="F14" s="3">
        <f t="shared" ref="F14:F57" si="14">F13-H13</f>
        <v>100</v>
      </c>
      <c r="G14" s="3">
        <f t="shared" ref="G14:G19" si="15">0.04125*(180/360)*F14</f>
        <v>2.0625</v>
      </c>
      <c r="H14" s="3">
        <f>100/44</f>
        <v>2.2727272727272729</v>
      </c>
      <c r="I14" s="3">
        <f t="shared" si="11"/>
        <v>4.3352272727272734</v>
      </c>
      <c r="K14" s="4">
        <f t="shared" si="0"/>
        <v>1276</v>
      </c>
      <c r="L14" s="7">
        <f t="shared" si="1"/>
        <v>2.5284695199246094</v>
      </c>
      <c r="M14" s="7">
        <f t="shared" si="2"/>
        <v>8.9620197428438928</v>
      </c>
      <c r="Q14" s="2">
        <v>45666</v>
      </c>
      <c r="R14" s="3">
        <f t="shared" si="7"/>
        <v>100</v>
      </c>
      <c r="S14" s="3">
        <f t="shared" si="8"/>
        <v>2.0625</v>
      </c>
      <c r="T14" s="3">
        <f>+H14</f>
        <v>2.2727272727272729</v>
      </c>
      <c r="U14" s="3">
        <f t="shared" si="12"/>
        <v>4.3352272727272734</v>
      </c>
      <c r="W14" s="4">
        <f t="shared" si="3"/>
        <v>1276</v>
      </c>
      <c r="X14" s="7">
        <f t="shared" si="4"/>
        <v>2.5635455379629484</v>
      </c>
      <c r="Y14" s="7">
        <f t="shared" si="5"/>
        <v>9.0863447401131161</v>
      </c>
      <c r="AC14" s="2">
        <v>45666</v>
      </c>
      <c r="AD14" s="3">
        <f t="shared" si="9"/>
        <v>100</v>
      </c>
      <c r="AE14" s="3">
        <f t="shared" si="10"/>
        <v>2.0625</v>
      </c>
      <c r="AF14" s="3">
        <f t="shared" si="6"/>
        <v>2.2727272727272729</v>
      </c>
      <c r="AG14" s="3">
        <f t="shared" si="13"/>
        <v>4.3352272727272734</v>
      </c>
      <c r="AK14" s="56">
        <v>0.1</v>
      </c>
      <c r="AL14" s="8">
        <f>XNPV(AK14,AG6:AG57,AC6:AC57)</f>
        <v>56.520366492590227</v>
      </c>
    </row>
    <row r="15" spans="2:38" x14ac:dyDescent="0.2">
      <c r="E15" s="2">
        <v>45847</v>
      </c>
      <c r="F15" s="3">
        <f t="shared" si="14"/>
        <v>97.727272727272734</v>
      </c>
      <c r="G15" s="3">
        <f t="shared" si="15"/>
        <v>2.0156250000000004</v>
      </c>
      <c r="H15" s="3">
        <f t="shared" ref="H15:H57" si="16">100/44</f>
        <v>2.2727272727272729</v>
      </c>
      <c r="I15" s="3">
        <f t="shared" si="11"/>
        <v>4.2883522727272734</v>
      </c>
      <c r="K15" s="4">
        <f t="shared" si="0"/>
        <v>1456</v>
      </c>
      <c r="L15" s="7">
        <f t="shared" si="1"/>
        <v>2.3179558360236459</v>
      </c>
      <c r="M15" s="7">
        <f t="shared" si="2"/>
        <v>9.3748436034734119</v>
      </c>
      <c r="Q15" s="2">
        <v>45847</v>
      </c>
      <c r="R15" s="3">
        <f t="shared" si="7"/>
        <v>97.727272727272734</v>
      </c>
      <c r="S15" s="3">
        <f t="shared" si="8"/>
        <v>2.0156250000000004</v>
      </c>
      <c r="T15" s="3">
        <f t="shared" ref="T15:T57" si="17">+H15</f>
        <v>2.2727272727272729</v>
      </c>
      <c r="U15" s="3">
        <f t="shared" si="12"/>
        <v>4.2883522727272734</v>
      </c>
      <c r="W15" s="4">
        <f t="shared" si="3"/>
        <v>1456</v>
      </c>
      <c r="X15" s="7">
        <f t="shared" si="4"/>
        <v>2.3546833453506988</v>
      </c>
      <c r="Y15" s="7">
        <f t="shared" si="5"/>
        <v>9.5233859745294929</v>
      </c>
      <c r="AC15" s="2">
        <v>45847</v>
      </c>
      <c r="AD15" s="3">
        <f t="shared" si="9"/>
        <v>97.727272727272734</v>
      </c>
      <c r="AE15" s="3">
        <f t="shared" si="10"/>
        <v>2.0156250000000004</v>
      </c>
      <c r="AF15" s="3">
        <f t="shared" si="6"/>
        <v>2.2727272727272729</v>
      </c>
      <c r="AG15" s="3">
        <f t="shared" si="13"/>
        <v>4.2883522727272734</v>
      </c>
      <c r="AK15" s="56">
        <v>0.105</v>
      </c>
      <c r="AL15" s="8">
        <f>XNPV(AK15,AG6:AG57,AC6:AC57)</f>
        <v>54.222051070843094</v>
      </c>
    </row>
    <row r="16" spans="2:38" x14ac:dyDescent="0.2">
      <c r="E16" s="2">
        <v>46031</v>
      </c>
      <c r="F16" s="3">
        <f t="shared" si="14"/>
        <v>95.454545454545467</v>
      </c>
      <c r="G16" s="3">
        <f t="shared" si="15"/>
        <v>1.9687500000000004</v>
      </c>
      <c r="H16" s="3">
        <f t="shared" si="16"/>
        <v>2.2727272727272729</v>
      </c>
      <c r="I16" s="3">
        <f t="shared" si="11"/>
        <v>4.2414772727272734</v>
      </c>
      <c r="K16" s="4">
        <f t="shared" si="0"/>
        <v>1636</v>
      </c>
      <c r="L16" s="7">
        <f t="shared" si="1"/>
        <v>2.1247150695351311</v>
      </c>
      <c r="M16" s="7">
        <f t="shared" si="2"/>
        <v>9.6556495937763174</v>
      </c>
      <c r="Q16" s="2">
        <v>46031</v>
      </c>
      <c r="R16" s="3">
        <f t="shared" si="7"/>
        <v>95.454545454545467</v>
      </c>
      <c r="S16" s="3">
        <f t="shared" si="8"/>
        <v>1.9687500000000004</v>
      </c>
      <c r="T16" s="3">
        <f t="shared" si="17"/>
        <v>2.2727272727272729</v>
      </c>
      <c r="U16" s="3">
        <f t="shared" si="12"/>
        <v>4.2414772727272734</v>
      </c>
      <c r="W16" s="4">
        <f t="shared" si="3"/>
        <v>1636</v>
      </c>
      <c r="X16" s="7">
        <f t="shared" si="4"/>
        <v>2.1625795618098471</v>
      </c>
      <c r="Y16" s="7">
        <f t="shared" si="5"/>
        <v>9.8277226753358597</v>
      </c>
      <c r="AC16" s="2">
        <v>46031</v>
      </c>
      <c r="AD16" s="3">
        <f t="shared" si="9"/>
        <v>95.454545454545467</v>
      </c>
      <c r="AE16" s="3">
        <f t="shared" si="10"/>
        <v>1.9687500000000004</v>
      </c>
      <c r="AF16" s="3">
        <f t="shared" si="6"/>
        <v>2.2727272727272729</v>
      </c>
      <c r="AG16" s="3">
        <f t="shared" si="13"/>
        <v>4.2414772727272734</v>
      </c>
      <c r="AK16" s="56">
        <v>0.11</v>
      </c>
      <c r="AL16" s="8">
        <f>XNPV(AK16,AG6:AG57,AC6:AC57)</f>
        <v>52.059054310478274</v>
      </c>
    </row>
    <row r="17" spans="5:38" x14ac:dyDescent="0.2">
      <c r="E17" s="2">
        <v>46212</v>
      </c>
      <c r="F17" s="3">
        <f t="shared" si="14"/>
        <v>93.181818181818201</v>
      </c>
      <c r="G17" s="3">
        <f t="shared" si="15"/>
        <v>1.9218750000000004</v>
      </c>
      <c r="H17" s="3">
        <f t="shared" si="16"/>
        <v>2.2727272727272729</v>
      </c>
      <c r="I17" s="3">
        <f t="shared" si="11"/>
        <v>4.1946022727272734</v>
      </c>
      <c r="K17" s="4">
        <f t="shared" si="0"/>
        <v>1816</v>
      </c>
      <c r="L17" s="7">
        <f t="shared" si="1"/>
        <v>1.947346311892646</v>
      </c>
      <c r="M17" s="7">
        <f t="shared" si="2"/>
        <v>9.8232802844362368</v>
      </c>
      <c r="Q17" s="2">
        <v>46212</v>
      </c>
      <c r="R17" s="3">
        <f t="shared" si="7"/>
        <v>93.181818181818201</v>
      </c>
      <c r="S17" s="3">
        <f t="shared" si="8"/>
        <v>1.9218750000000004</v>
      </c>
      <c r="T17" s="3">
        <f t="shared" si="17"/>
        <v>2.2727272727272729</v>
      </c>
      <c r="U17" s="3">
        <f t="shared" si="12"/>
        <v>4.1946022727272734</v>
      </c>
      <c r="W17" s="4">
        <f t="shared" si="3"/>
        <v>1816</v>
      </c>
      <c r="X17" s="7">
        <f t="shared" si="4"/>
        <v>1.9859057332631611</v>
      </c>
      <c r="Y17" s="7">
        <f t="shared" si="5"/>
        <v>10.017791143349724</v>
      </c>
      <c r="AC17" s="2">
        <v>46212</v>
      </c>
      <c r="AD17" s="3">
        <f t="shared" si="9"/>
        <v>93.181818181818201</v>
      </c>
      <c r="AE17" s="3">
        <f t="shared" si="10"/>
        <v>1.9218750000000004</v>
      </c>
      <c r="AF17" s="3">
        <f t="shared" si="6"/>
        <v>2.2727272727272729</v>
      </c>
      <c r="AG17" s="3">
        <f t="shared" si="13"/>
        <v>4.1946022727272734</v>
      </c>
      <c r="AK17" s="56">
        <v>0.115</v>
      </c>
      <c r="AL17" s="8">
        <f>XNPV(AK17,AG6:AG57,AC6:AC57)</f>
        <v>50.021425925177354</v>
      </c>
    </row>
    <row r="18" spans="5:38" x14ac:dyDescent="0.2">
      <c r="E18" s="2">
        <v>46396</v>
      </c>
      <c r="F18" s="3">
        <f t="shared" si="14"/>
        <v>90.909090909090935</v>
      </c>
      <c r="G18" s="3">
        <f t="shared" si="15"/>
        <v>1.8750000000000007</v>
      </c>
      <c r="H18" s="3">
        <f t="shared" si="16"/>
        <v>2.2727272727272729</v>
      </c>
      <c r="I18" s="3">
        <f t="shared" si="11"/>
        <v>4.1477272727272734</v>
      </c>
      <c r="K18" s="4">
        <f t="shared" si="0"/>
        <v>1996</v>
      </c>
      <c r="L18" s="7">
        <f t="shared" si="1"/>
        <v>1.7845612050914637</v>
      </c>
      <c r="M18" s="7">
        <f t="shared" si="2"/>
        <v>9.8944004593404475</v>
      </c>
      <c r="Q18" s="2">
        <v>46396</v>
      </c>
      <c r="R18" s="3">
        <f t="shared" si="7"/>
        <v>90.909090909090935</v>
      </c>
      <c r="S18" s="3">
        <f t="shared" si="8"/>
        <v>1.8750000000000007</v>
      </c>
      <c r="T18" s="3">
        <f t="shared" si="17"/>
        <v>2.2727272727272729</v>
      </c>
      <c r="U18" s="3">
        <f t="shared" si="12"/>
        <v>4.1477272727272734</v>
      </c>
      <c r="W18" s="4">
        <f t="shared" si="3"/>
        <v>1996</v>
      </c>
      <c r="X18" s="7">
        <f t="shared" si="4"/>
        <v>1.8234376840625013</v>
      </c>
      <c r="Y18" s="7">
        <f t="shared" si="5"/>
        <v>10.109948937190978</v>
      </c>
      <c r="AC18" s="2">
        <v>46396</v>
      </c>
      <c r="AD18" s="3">
        <f t="shared" si="9"/>
        <v>90.909090909090935</v>
      </c>
      <c r="AE18" s="3">
        <f t="shared" si="10"/>
        <v>1.8750000000000007</v>
      </c>
      <c r="AF18" s="3">
        <f t="shared" si="6"/>
        <v>2.2727272727272729</v>
      </c>
      <c r="AG18" s="3">
        <f t="shared" si="13"/>
        <v>4.1477272727272734</v>
      </c>
      <c r="AK18" s="56">
        <v>0.12</v>
      </c>
      <c r="AL18" s="8">
        <f>XNPV(AK18,AG6:AG57,AC6:AC57)</f>
        <v>48.100064250285982</v>
      </c>
    </row>
    <row r="19" spans="5:38" x14ac:dyDescent="0.2">
      <c r="E19" s="2">
        <v>46577</v>
      </c>
      <c r="F19" s="3">
        <f t="shared" si="14"/>
        <v>88.636363636363669</v>
      </c>
      <c r="G19" s="3">
        <f t="shared" si="15"/>
        <v>1.8281250000000007</v>
      </c>
      <c r="H19" s="3">
        <f t="shared" si="16"/>
        <v>2.2727272727272729</v>
      </c>
      <c r="I19" s="3">
        <f t="shared" si="11"/>
        <v>4.1008522727272734</v>
      </c>
      <c r="K19" s="4">
        <f t="shared" si="0"/>
        <v>2176</v>
      </c>
      <c r="L19" s="7">
        <f t="shared" si="1"/>
        <v>1.6351749699592175</v>
      </c>
      <c r="M19" s="7">
        <f t="shared" si="2"/>
        <v>9.8837242628646038</v>
      </c>
      <c r="Q19" s="2">
        <v>46577</v>
      </c>
      <c r="R19" s="3">
        <f t="shared" si="7"/>
        <v>88.636363636363669</v>
      </c>
      <c r="S19" s="3">
        <f t="shared" si="8"/>
        <v>1.8281250000000007</v>
      </c>
      <c r="T19" s="3">
        <f t="shared" si="17"/>
        <v>2.2727272727272729</v>
      </c>
      <c r="U19" s="3">
        <f t="shared" si="12"/>
        <v>4.1008522727272734</v>
      </c>
      <c r="W19" s="4">
        <f t="shared" si="3"/>
        <v>2176</v>
      </c>
      <c r="X19" s="7">
        <f t="shared" si="4"/>
        <v>1.6740473977999877</v>
      </c>
      <c r="Y19" s="7">
        <f t="shared" si="5"/>
        <v>10.118686493368815</v>
      </c>
      <c r="AC19" s="2">
        <v>46577</v>
      </c>
      <c r="AD19" s="3">
        <f t="shared" si="9"/>
        <v>88.636363636363669</v>
      </c>
      <c r="AE19" s="3">
        <f t="shared" si="10"/>
        <v>1.8281250000000007</v>
      </c>
      <c r="AF19" s="3">
        <f t="shared" si="6"/>
        <v>2.2727272727272729</v>
      </c>
      <c r="AG19" s="3">
        <f t="shared" si="13"/>
        <v>4.1008522727272734</v>
      </c>
      <c r="AK19" s="56">
        <v>0.125</v>
      </c>
      <c r="AL19" s="8">
        <f>XNPV(AK19,AG6:AG57,AC6:AC57)</f>
        <v>46.286635762073459</v>
      </c>
    </row>
    <row r="20" spans="5:38" x14ac:dyDescent="0.2">
      <c r="E20" s="2">
        <v>46761</v>
      </c>
      <c r="F20" s="3">
        <f t="shared" si="14"/>
        <v>86.363636363636402</v>
      </c>
      <c r="G20" s="3">
        <f>0.04375*(180/360)*F20</f>
        <v>1.8892045454545461</v>
      </c>
      <c r="H20" s="3">
        <f t="shared" si="16"/>
        <v>2.2727272727272729</v>
      </c>
      <c r="I20" s="3">
        <f t="shared" si="11"/>
        <v>4.1619318181818192</v>
      </c>
      <c r="K20" s="4">
        <f t="shared" si="0"/>
        <v>2356</v>
      </c>
      <c r="L20" s="7">
        <f t="shared" si="1"/>
        <v>1.5379914381445001</v>
      </c>
      <c r="M20" s="7">
        <f t="shared" si="2"/>
        <v>10.065299522967894</v>
      </c>
      <c r="Q20" s="2">
        <v>46761</v>
      </c>
      <c r="R20" s="3">
        <f t="shared" si="7"/>
        <v>86.363636363636402</v>
      </c>
      <c r="S20" s="3">
        <f t="shared" si="8"/>
        <v>1.8892045454545461</v>
      </c>
      <c r="T20" s="3">
        <f t="shared" si="17"/>
        <v>2.2727272727272729</v>
      </c>
      <c r="U20" s="3">
        <f t="shared" si="12"/>
        <v>4.1619318181818192</v>
      </c>
      <c r="W20" s="4">
        <f t="shared" si="3"/>
        <v>2356</v>
      </c>
      <c r="X20" s="7">
        <f t="shared" si="4"/>
        <v>1.5776166401940708</v>
      </c>
      <c r="Y20" s="7">
        <f t="shared" si="5"/>
        <v>10.324624456381196</v>
      </c>
      <c r="AC20" s="2">
        <v>46761</v>
      </c>
      <c r="AD20" s="3">
        <f t="shared" si="9"/>
        <v>86.363636363636402</v>
      </c>
      <c r="AE20" s="3">
        <f t="shared" si="10"/>
        <v>1.8892045454545461</v>
      </c>
      <c r="AF20" s="3">
        <f t="shared" si="6"/>
        <v>2.2727272727272729</v>
      </c>
      <c r="AG20" s="3">
        <f t="shared" si="13"/>
        <v>4.1619318181818192</v>
      </c>
      <c r="AK20" s="56">
        <v>0.13</v>
      </c>
      <c r="AL20" s="8">
        <f>XNPV(AK20,AG6:AG57,AC6:AC57)</f>
        <v>44.573502872716269</v>
      </c>
    </row>
    <row r="21" spans="5:38" x14ac:dyDescent="0.2">
      <c r="E21" s="2">
        <v>46943</v>
      </c>
      <c r="F21" s="3">
        <f t="shared" si="14"/>
        <v>84.090909090909136</v>
      </c>
      <c r="G21" s="3">
        <f>0.04375*(180/360)*F21</f>
        <v>1.8394886363636371</v>
      </c>
      <c r="H21" s="3">
        <f t="shared" si="16"/>
        <v>2.2727272727272729</v>
      </c>
      <c r="I21" s="3">
        <f t="shared" si="11"/>
        <v>4.1122159090909101</v>
      </c>
      <c r="K21" s="4">
        <f t="shared" si="0"/>
        <v>2536</v>
      </c>
      <c r="L21" s="7">
        <f t="shared" si="1"/>
        <v>1.4083276831132323</v>
      </c>
      <c r="M21" s="7">
        <f t="shared" si="2"/>
        <v>9.9208861232643244</v>
      </c>
      <c r="Q21" s="2">
        <v>46943</v>
      </c>
      <c r="R21" s="3">
        <f t="shared" si="7"/>
        <v>84.090909090909136</v>
      </c>
      <c r="S21" s="3">
        <f t="shared" si="8"/>
        <v>1.8394886363636371</v>
      </c>
      <c r="T21" s="3">
        <f t="shared" si="17"/>
        <v>2.2727272727272729</v>
      </c>
      <c r="U21" s="3">
        <f t="shared" si="12"/>
        <v>4.1122159090909101</v>
      </c>
      <c r="W21" s="4">
        <f t="shared" si="3"/>
        <v>2536</v>
      </c>
      <c r="X21" s="7">
        <f t="shared" si="4"/>
        <v>1.4474224951379369</v>
      </c>
      <c r="Y21" s="7">
        <f t="shared" si="5"/>
        <v>10.196287354638354</v>
      </c>
      <c r="AC21" s="2">
        <v>46943</v>
      </c>
      <c r="AD21" s="3">
        <f t="shared" si="9"/>
        <v>84.090909090909136</v>
      </c>
      <c r="AE21" s="3">
        <f t="shared" si="10"/>
        <v>1.8394886363636371</v>
      </c>
      <c r="AF21" s="3">
        <f t="shared" si="6"/>
        <v>2.2727272727272729</v>
      </c>
      <c r="AG21" s="3">
        <f t="shared" si="13"/>
        <v>4.1122159090909101</v>
      </c>
      <c r="AK21" s="56">
        <v>0.13500000000000001</v>
      </c>
      <c r="AL21" s="8">
        <f>XNPV(AK21,AG6:AG57,AC6:AC57)</f>
        <v>42.953659092902207</v>
      </c>
    </row>
    <row r="22" spans="5:38" x14ac:dyDescent="0.2">
      <c r="E22" s="2">
        <v>47127</v>
      </c>
      <c r="F22" s="3">
        <f t="shared" si="14"/>
        <v>81.81818181818187</v>
      </c>
      <c r="G22" s="3">
        <f>0.05*(180/360)*F22</f>
        <v>2.0454545454545467</v>
      </c>
      <c r="H22" s="3">
        <f t="shared" si="16"/>
        <v>2.2727272727272729</v>
      </c>
      <c r="I22" s="3">
        <f t="shared" si="11"/>
        <v>4.3181818181818201</v>
      </c>
      <c r="K22" s="4">
        <f t="shared" si="0"/>
        <v>2716</v>
      </c>
      <c r="L22" s="7">
        <f t="shared" si="1"/>
        <v>1.3705585157463436</v>
      </c>
      <c r="M22" s="7">
        <f t="shared" si="2"/>
        <v>10.340102579908525</v>
      </c>
      <c r="Q22" s="2">
        <v>47127</v>
      </c>
      <c r="R22" s="3">
        <f t="shared" si="7"/>
        <v>81.81818181818187</v>
      </c>
      <c r="S22" s="3">
        <f t="shared" si="8"/>
        <v>2.0454545454545467</v>
      </c>
      <c r="T22" s="3">
        <f t="shared" si="17"/>
        <v>2.2727272727272729</v>
      </c>
      <c r="U22" s="3">
        <f t="shared" si="12"/>
        <v>4.3181818181818201</v>
      </c>
      <c r="W22" s="4">
        <f t="shared" si="3"/>
        <v>2716</v>
      </c>
      <c r="X22" s="7">
        <f t="shared" si="4"/>
        <v>1.4113451179062269</v>
      </c>
      <c r="Y22" s="7">
        <f t="shared" si="5"/>
        <v>10.647814833981423</v>
      </c>
      <c r="AC22" s="2">
        <v>47127</v>
      </c>
      <c r="AD22" s="3">
        <f t="shared" si="9"/>
        <v>81.81818181818187</v>
      </c>
      <c r="AE22" s="3">
        <f t="shared" si="10"/>
        <v>2.0454545454545467</v>
      </c>
      <c r="AF22" s="3">
        <f t="shared" si="6"/>
        <v>2.2727272727272729</v>
      </c>
      <c r="AG22" s="3">
        <f t="shared" si="13"/>
        <v>4.3181818181818201</v>
      </c>
      <c r="AK22" s="56">
        <v>0.14000000000000001</v>
      </c>
      <c r="AL22" s="8">
        <f>XNPV(AK22,AG6:AG57,AC6:AC57)</f>
        <v>41.42067075916502</v>
      </c>
    </row>
    <row r="23" spans="5:38" x14ac:dyDescent="0.2">
      <c r="E23" s="2">
        <v>47308</v>
      </c>
      <c r="F23" s="3">
        <f t="shared" si="14"/>
        <v>79.545454545454604</v>
      </c>
      <c r="G23" s="3">
        <f t="shared" ref="G23:G57" si="18">0.05*(180/360)*F23</f>
        <v>1.9886363636363651</v>
      </c>
      <c r="H23" s="3">
        <f t="shared" si="16"/>
        <v>2.2727272727272729</v>
      </c>
      <c r="I23" s="3">
        <f t="shared" si="11"/>
        <v>4.2613636363636385</v>
      </c>
      <c r="K23" s="4">
        <f t="shared" si="0"/>
        <v>2896</v>
      </c>
      <c r="L23" s="7">
        <f t="shared" si="1"/>
        <v>1.2534704617188874</v>
      </c>
      <c r="M23" s="7">
        <f t="shared" si="2"/>
        <v>10.083473492049716</v>
      </c>
      <c r="Q23" s="2">
        <v>47308</v>
      </c>
      <c r="R23" s="3">
        <f t="shared" si="7"/>
        <v>79.545454545454604</v>
      </c>
      <c r="S23" s="3">
        <f t="shared" si="8"/>
        <v>1.9886363636363651</v>
      </c>
      <c r="T23" s="3">
        <f t="shared" si="17"/>
        <v>2.2727272727272729</v>
      </c>
      <c r="U23" s="3">
        <f t="shared" si="12"/>
        <v>4.2613636363636385</v>
      </c>
      <c r="W23" s="4">
        <f t="shared" si="3"/>
        <v>2896</v>
      </c>
      <c r="X23" s="7">
        <f t="shared" si="4"/>
        <v>1.2932836531355547</v>
      </c>
      <c r="Y23" s="7">
        <f t="shared" si="5"/>
        <v>10.403748498557128</v>
      </c>
      <c r="AC23" s="2">
        <v>47308</v>
      </c>
      <c r="AD23" s="3">
        <f t="shared" si="9"/>
        <v>79.545454545454604</v>
      </c>
      <c r="AE23" s="3">
        <f t="shared" si="10"/>
        <v>1.9886363636363651</v>
      </c>
      <c r="AF23" s="3">
        <f t="shared" si="6"/>
        <v>2.2727272727272729</v>
      </c>
      <c r="AG23" s="3">
        <f t="shared" si="13"/>
        <v>4.2613636363636385</v>
      </c>
      <c r="AK23" s="56">
        <v>0.14499999999999999</v>
      </c>
      <c r="AL23" s="8">
        <f>XNPV(AK23,AG6:AG57,AC6:AC57)</f>
        <v>39.968624615497866</v>
      </c>
    </row>
    <row r="24" spans="5:38" x14ac:dyDescent="0.2">
      <c r="E24" s="2">
        <v>47492</v>
      </c>
      <c r="F24" s="3">
        <f t="shared" si="14"/>
        <v>77.272727272727337</v>
      </c>
      <c r="G24" s="3">
        <f t="shared" si="18"/>
        <v>1.9318181818181834</v>
      </c>
      <c r="H24" s="3">
        <f t="shared" si="16"/>
        <v>2.2727272727272729</v>
      </c>
      <c r="I24" s="3">
        <f t="shared" si="11"/>
        <v>4.2045454545454568</v>
      </c>
      <c r="K24" s="4">
        <f t="shared" si="0"/>
        <v>3076</v>
      </c>
      <c r="L24" s="7">
        <f t="shared" si="1"/>
        <v>1.1461815442443428</v>
      </c>
      <c r="M24" s="7">
        <f t="shared" si="2"/>
        <v>9.7934845280433294</v>
      </c>
      <c r="Q24" s="2">
        <v>47492</v>
      </c>
      <c r="R24" s="3">
        <f t="shared" si="7"/>
        <v>77.272727272727337</v>
      </c>
      <c r="S24" s="3">
        <f t="shared" si="8"/>
        <v>1.9318181818181834</v>
      </c>
      <c r="T24" s="3">
        <f t="shared" si="17"/>
        <v>2.2727272727272729</v>
      </c>
      <c r="U24" s="3">
        <f t="shared" si="12"/>
        <v>4.2045454545454568</v>
      </c>
      <c r="W24" s="4">
        <f t="shared" si="3"/>
        <v>3076</v>
      </c>
      <c r="X24" s="7">
        <f t="shared" si="4"/>
        <v>1.18488755034589</v>
      </c>
      <c r="Y24" s="7">
        <f t="shared" si="5"/>
        <v>10.124205846844326</v>
      </c>
      <c r="AC24" s="2">
        <v>47492</v>
      </c>
      <c r="AD24" s="3">
        <f t="shared" si="9"/>
        <v>77.272727272727337</v>
      </c>
      <c r="AE24" s="3">
        <f t="shared" si="10"/>
        <v>1.9318181818181834</v>
      </c>
      <c r="AF24" s="3">
        <f t="shared" si="6"/>
        <v>2.2727272727272729</v>
      </c>
      <c r="AG24" s="3">
        <f t="shared" si="13"/>
        <v>4.2045454545454568</v>
      </c>
      <c r="AK24" s="56">
        <v>0.15</v>
      </c>
      <c r="AL24" s="8">
        <f>XNPV(AK24,AG6:AG57,AC6:AC57)</f>
        <v>38.592080620075471</v>
      </c>
    </row>
    <row r="25" spans="5:38" x14ac:dyDescent="0.2">
      <c r="E25" s="2">
        <v>47673</v>
      </c>
      <c r="F25" s="3">
        <f t="shared" si="14"/>
        <v>75.000000000000071</v>
      </c>
      <c r="G25" s="3">
        <f t="shared" si="18"/>
        <v>1.8750000000000018</v>
      </c>
      <c r="H25" s="3">
        <f t="shared" si="16"/>
        <v>2.2727272727272729</v>
      </c>
      <c r="I25" s="3">
        <f t="shared" si="11"/>
        <v>4.1477272727272751</v>
      </c>
      <c r="K25" s="4">
        <f t="shared" si="0"/>
        <v>3256</v>
      </c>
      <c r="L25" s="7">
        <f t="shared" si="1"/>
        <v>1.0478844657491351</v>
      </c>
      <c r="M25" s="7">
        <f t="shared" si="2"/>
        <v>9.4775328346643999</v>
      </c>
      <c r="Q25" s="2">
        <v>47673</v>
      </c>
      <c r="R25" s="3">
        <f t="shared" si="7"/>
        <v>75.000000000000071</v>
      </c>
      <c r="S25" s="3">
        <f t="shared" si="8"/>
        <v>1.8750000000000018</v>
      </c>
      <c r="T25" s="3">
        <f t="shared" si="17"/>
        <v>2.2727272727272729</v>
      </c>
      <c r="U25" s="3">
        <f t="shared" si="12"/>
        <v>4.1477272727272751</v>
      </c>
      <c r="W25" s="4">
        <f t="shared" si="3"/>
        <v>3256</v>
      </c>
      <c r="X25" s="7">
        <f t="shared" si="4"/>
        <v>1.0853783851763776</v>
      </c>
      <c r="Y25" s="7">
        <f t="shared" si="5"/>
        <v>9.8166445059285703</v>
      </c>
      <c r="AC25" s="2">
        <v>47673</v>
      </c>
      <c r="AD25" s="3">
        <f t="shared" si="9"/>
        <v>75.000000000000071</v>
      </c>
      <c r="AE25" s="3">
        <f t="shared" si="10"/>
        <v>1.8750000000000018</v>
      </c>
      <c r="AF25" s="3">
        <f t="shared" si="6"/>
        <v>2.2727272727272729</v>
      </c>
      <c r="AG25" s="3">
        <f t="shared" si="13"/>
        <v>4.1477272727272751</v>
      </c>
      <c r="AK25" s="56">
        <v>0.155</v>
      </c>
      <c r="AL25" s="8">
        <f>XNPV(AK25,AG6:AG57,AC6:AC57)</f>
        <v>37.286029419437412</v>
      </c>
    </row>
    <row r="26" spans="5:38" x14ac:dyDescent="0.2">
      <c r="E26" s="2">
        <v>47857</v>
      </c>
      <c r="F26" s="3">
        <f t="shared" si="14"/>
        <v>72.727272727272805</v>
      </c>
      <c r="G26" s="3">
        <f t="shared" si="18"/>
        <v>1.8181818181818201</v>
      </c>
      <c r="H26" s="3">
        <f t="shared" si="16"/>
        <v>2.2727272727272729</v>
      </c>
      <c r="I26" s="3">
        <f t="shared" si="11"/>
        <v>4.0909090909090935</v>
      </c>
      <c r="K26" s="4">
        <f t="shared" si="0"/>
        <v>3436</v>
      </c>
      <c r="L26" s="7">
        <f t="shared" si="1"/>
        <v>0.95783761748294161</v>
      </c>
      <c r="M26" s="7">
        <f t="shared" si="2"/>
        <v>9.142027926864964</v>
      </c>
      <c r="Q26" s="2">
        <v>47857</v>
      </c>
      <c r="R26" s="3">
        <f t="shared" si="7"/>
        <v>72.727272727272805</v>
      </c>
      <c r="S26" s="3">
        <f t="shared" si="8"/>
        <v>1.8181818181818201</v>
      </c>
      <c r="T26" s="3">
        <f t="shared" si="17"/>
        <v>2.2727272727272729</v>
      </c>
      <c r="U26" s="3">
        <f t="shared" si="12"/>
        <v>4.0909090909090935</v>
      </c>
      <c r="W26" s="4">
        <f t="shared" si="3"/>
        <v>3436</v>
      </c>
      <c r="X26" s="7">
        <f t="shared" si="4"/>
        <v>0.99403962458759954</v>
      </c>
      <c r="Y26" s="7">
        <f t="shared" si="5"/>
        <v>9.4875559724527552</v>
      </c>
      <c r="AC26" s="2">
        <v>47857</v>
      </c>
      <c r="AD26" s="3">
        <f t="shared" si="9"/>
        <v>72.727272727272805</v>
      </c>
      <c r="AE26" s="3">
        <f t="shared" si="10"/>
        <v>1.8181818181818201</v>
      </c>
      <c r="AF26" s="3">
        <f t="shared" si="6"/>
        <v>2.2727272727272729</v>
      </c>
      <c r="AG26" s="3">
        <f t="shared" si="13"/>
        <v>4.0909090909090935</v>
      </c>
      <c r="AK26" s="56">
        <v>0.16</v>
      </c>
      <c r="AL26" s="8">
        <f>XNPV(AK26,AG6:AG57,AC6:AC57)</f>
        <v>36.045853995477216</v>
      </c>
    </row>
    <row r="27" spans="5:38" x14ac:dyDescent="0.2">
      <c r="E27" s="2">
        <v>48038</v>
      </c>
      <c r="F27" s="3">
        <f t="shared" si="14"/>
        <v>70.454545454545539</v>
      </c>
      <c r="G27" s="3">
        <f t="shared" si="18"/>
        <v>1.7613636363636385</v>
      </c>
      <c r="H27" s="3">
        <f t="shared" si="16"/>
        <v>2.2727272727272729</v>
      </c>
      <c r="I27" s="3">
        <f t="shared" si="11"/>
        <v>4.0340909090909118</v>
      </c>
      <c r="K27" s="4">
        <f t="shared" si="0"/>
        <v>3616</v>
      </c>
      <c r="L27" s="7">
        <f t="shared" si="1"/>
        <v>0.8753597878868109</v>
      </c>
      <c r="M27" s="7">
        <f t="shared" si="2"/>
        <v>8.7925027583297446</v>
      </c>
      <c r="Q27" s="2">
        <v>48038</v>
      </c>
      <c r="R27" s="3">
        <f t="shared" si="7"/>
        <v>70.454545454545539</v>
      </c>
      <c r="S27" s="3">
        <f t="shared" si="8"/>
        <v>1.7613636363636385</v>
      </c>
      <c r="T27" s="3">
        <f t="shared" si="17"/>
        <v>2.2727272727272729</v>
      </c>
      <c r="U27" s="3">
        <f t="shared" si="12"/>
        <v>4.0340909090909118</v>
      </c>
      <c r="W27" s="4">
        <f t="shared" si="3"/>
        <v>3616</v>
      </c>
      <c r="X27" s="7">
        <f t="shared" si="4"/>
        <v>0.91021175673189281</v>
      </c>
      <c r="Y27" s="7">
        <f t="shared" si="5"/>
        <v>9.1425714231736794</v>
      </c>
      <c r="AC27" s="2">
        <v>48038</v>
      </c>
      <c r="AD27" s="3">
        <f t="shared" si="9"/>
        <v>70.454545454545539</v>
      </c>
      <c r="AE27" s="3">
        <f t="shared" si="10"/>
        <v>1.7613636363636385</v>
      </c>
      <c r="AF27" s="3">
        <f t="shared" si="6"/>
        <v>2.2727272727272729</v>
      </c>
      <c r="AG27" s="3">
        <f t="shared" si="13"/>
        <v>4.0340909090909118</v>
      </c>
    </row>
    <row r="28" spans="5:38" x14ac:dyDescent="0.2">
      <c r="E28" s="2">
        <v>48222</v>
      </c>
      <c r="F28" s="3">
        <f t="shared" si="14"/>
        <v>68.181818181818272</v>
      </c>
      <c r="G28" s="3">
        <f t="shared" si="18"/>
        <v>1.7045454545454568</v>
      </c>
      <c r="H28" s="3">
        <f t="shared" si="16"/>
        <v>2.2727272727272729</v>
      </c>
      <c r="I28" s="3">
        <f t="shared" si="11"/>
        <v>3.9772727272727297</v>
      </c>
      <c r="K28" s="4">
        <f t="shared" si="0"/>
        <v>3796</v>
      </c>
      <c r="L28" s="7">
        <f t="shared" si="1"/>
        <v>0.79982529371504529</v>
      </c>
      <c r="M28" s="7">
        <f t="shared" si="2"/>
        <v>8.4337133748397548</v>
      </c>
      <c r="Q28" s="2">
        <v>48222</v>
      </c>
      <c r="R28" s="3">
        <f t="shared" si="7"/>
        <v>68.181818181818272</v>
      </c>
      <c r="S28" s="3">
        <f t="shared" si="8"/>
        <v>1.7045454545454568</v>
      </c>
      <c r="T28" s="3">
        <f t="shared" si="17"/>
        <v>2.2727272727272729</v>
      </c>
      <c r="U28" s="3">
        <f t="shared" si="12"/>
        <v>3.9772727272727297</v>
      </c>
      <c r="W28" s="4">
        <f t="shared" si="3"/>
        <v>3796</v>
      </c>
      <c r="X28" s="7">
        <f t="shared" si="4"/>
        <v>0.83328780078908571</v>
      </c>
      <c r="Y28" s="7">
        <f t="shared" si="5"/>
        <v>8.7865569216538031</v>
      </c>
      <c r="AC28" s="2">
        <v>48222</v>
      </c>
      <c r="AD28" s="3">
        <f t="shared" si="9"/>
        <v>68.181818181818272</v>
      </c>
      <c r="AE28" s="3">
        <f t="shared" si="10"/>
        <v>1.7045454545454568</v>
      </c>
      <c r="AF28" s="3">
        <f t="shared" si="6"/>
        <v>2.2727272727272729</v>
      </c>
      <c r="AG28" s="3">
        <f t="shared" si="13"/>
        <v>3.9772727272727297</v>
      </c>
    </row>
    <row r="29" spans="5:38" x14ac:dyDescent="0.2">
      <c r="E29" s="2">
        <v>48404</v>
      </c>
      <c r="F29" s="3">
        <f t="shared" si="14"/>
        <v>65.909090909091006</v>
      </c>
      <c r="G29" s="3">
        <f t="shared" si="18"/>
        <v>1.6477272727272751</v>
      </c>
      <c r="H29" s="3">
        <f t="shared" si="16"/>
        <v>2.2727272727272729</v>
      </c>
      <c r="I29" s="3">
        <f t="shared" si="11"/>
        <v>3.9204545454545481</v>
      </c>
      <c r="K29" s="4">
        <f t="shared" si="0"/>
        <v>3976</v>
      </c>
      <c r="L29" s="7">
        <f t="shared" si="1"/>
        <v>0.73065950037093097</v>
      </c>
      <c r="M29" s="7">
        <f t="shared" si="2"/>
        <v>8.0697282596522815</v>
      </c>
      <c r="Q29" s="2">
        <v>48404</v>
      </c>
      <c r="R29" s="3">
        <f t="shared" si="7"/>
        <v>65.909090909091006</v>
      </c>
      <c r="S29" s="3">
        <f t="shared" si="8"/>
        <v>1.6477272727272751</v>
      </c>
      <c r="T29" s="3">
        <f t="shared" si="17"/>
        <v>2.2727272727272729</v>
      </c>
      <c r="U29" s="3">
        <f t="shared" si="12"/>
        <v>3.9204545454545481</v>
      </c>
      <c r="W29" s="4">
        <f t="shared" si="3"/>
        <v>3976</v>
      </c>
      <c r="X29" s="7">
        <f t="shared" si="4"/>
        <v>0.76270916733415361</v>
      </c>
      <c r="Y29" s="7">
        <f t="shared" si="5"/>
        <v>8.4236990258905404</v>
      </c>
      <c r="AC29" s="2">
        <v>48404</v>
      </c>
      <c r="AD29" s="3">
        <f t="shared" si="9"/>
        <v>65.909090909091006</v>
      </c>
      <c r="AE29" s="3">
        <f t="shared" si="10"/>
        <v>1.6477272727272751</v>
      </c>
      <c r="AF29" s="3">
        <f t="shared" si="6"/>
        <v>2.2727272727272729</v>
      </c>
      <c r="AG29" s="3">
        <f t="shared" si="13"/>
        <v>3.9204545454545481</v>
      </c>
    </row>
    <row r="30" spans="5:38" x14ac:dyDescent="0.2">
      <c r="E30" s="2">
        <v>48588</v>
      </c>
      <c r="F30" s="3">
        <f t="shared" si="14"/>
        <v>63.636363636363733</v>
      </c>
      <c r="G30" s="3">
        <f t="shared" si="18"/>
        <v>1.5909090909090935</v>
      </c>
      <c r="H30" s="3">
        <f t="shared" si="16"/>
        <v>2.2727272727272729</v>
      </c>
      <c r="I30" s="3">
        <f t="shared" si="11"/>
        <v>3.8636363636363664</v>
      </c>
      <c r="K30" s="4">
        <f t="shared" si="0"/>
        <v>4156</v>
      </c>
      <c r="L30" s="7">
        <f t="shared" si="1"/>
        <v>0.66733470056163746</v>
      </c>
      <c r="M30" s="7">
        <f t="shared" si="2"/>
        <v>7.7040083764837926</v>
      </c>
      <c r="Q30" s="2">
        <v>48588</v>
      </c>
      <c r="R30" s="3">
        <f t="shared" si="7"/>
        <v>63.636363636363733</v>
      </c>
      <c r="S30" s="3">
        <f t="shared" si="8"/>
        <v>1.5909090909090935</v>
      </c>
      <c r="T30" s="3">
        <f t="shared" si="17"/>
        <v>2.2727272727272729</v>
      </c>
      <c r="U30" s="3">
        <f t="shared" si="12"/>
        <v>3.8636363636363664</v>
      </c>
      <c r="W30" s="4">
        <f t="shared" si="3"/>
        <v>4156</v>
      </c>
      <c r="X30" s="7">
        <f t="shared" si="4"/>
        <v>0.69796184206948686</v>
      </c>
      <c r="Y30" s="7">
        <f t="shared" si="5"/>
        <v>8.0575817101132987</v>
      </c>
      <c r="AC30" s="2">
        <v>48588</v>
      </c>
      <c r="AD30" s="3">
        <f t="shared" si="9"/>
        <v>63.636363636363733</v>
      </c>
      <c r="AE30" s="3">
        <f t="shared" si="10"/>
        <v>1.5909090909090935</v>
      </c>
      <c r="AF30" s="3">
        <f t="shared" si="6"/>
        <v>2.2727272727272729</v>
      </c>
      <c r="AG30" s="3">
        <f t="shared" si="13"/>
        <v>3.8636363636363664</v>
      </c>
    </row>
    <row r="31" spans="5:38" x14ac:dyDescent="0.2">
      <c r="E31" s="2">
        <v>48769</v>
      </c>
      <c r="F31" s="3">
        <f t="shared" si="14"/>
        <v>61.363636363636459</v>
      </c>
      <c r="G31" s="3">
        <f t="shared" si="18"/>
        <v>1.5340909090909116</v>
      </c>
      <c r="H31" s="3">
        <f t="shared" si="16"/>
        <v>2.2727272727272729</v>
      </c>
      <c r="I31" s="3">
        <f t="shared" si="11"/>
        <v>3.8068181818181843</v>
      </c>
      <c r="K31" s="4">
        <f t="shared" si="0"/>
        <v>4336</v>
      </c>
      <c r="L31" s="7">
        <f t="shared" si="1"/>
        <v>0.60936632281524394</v>
      </c>
      <c r="M31" s="7">
        <f t="shared" si="2"/>
        <v>7.3394788214636044</v>
      </c>
      <c r="Q31" s="2">
        <v>48769</v>
      </c>
      <c r="R31" s="3">
        <f t="shared" si="7"/>
        <v>61.363636363636459</v>
      </c>
      <c r="S31" s="3">
        <f t="shared" si="8"/>
        <v>1.5340909090909116</v>
      </c>
      <c r="T31" s="3">
        <f t="shared" si="17"/>
        <v>2.2727272727272729</v>
      </c>
      <c r="U31" s="3">
        <f t="shared" si="12"/>
        <v>3.8068181818181843</v>
      </c>
      <c r="W31" s="4">
        <f t="shared" si="3"/>
        <v>4336</v>
      </c>
      <c r="X31" s="7">
        <f t="shared" si="4"/>
        <v>0.63857286784712508</v>
      </c>
      <c r="Y31" s="7">
        <f t="shared" si="5"/>
        <v>7.6912554305142624</v>
      </c>
      <c r="AC31" s="2">
        <v>48769</v>
      </c>
      <c r="AD31" s="3">
        <f t="shared" si="9"/>
        <v>61.363636363636459</v>
      </c>
      <c r="AE31" s="3">
        <f t="shared" si="10"/>
        <v>1.5340909090909116</v>
      </c>
      <c r="AF31" s="3">
        <f t="shared" si="6"/>
        <v>2.2727272727272729</v>
      </c>
      <c r="AG31" s="3">
        <f t="shared" si="13"/>
        <v>3.8068181818181843</v>
      </c>
    </row>
    <row r="32" spans="5:38" x14ac:dyDescent="0.2">
      <c r="E32" s="2">
        <v>48953</v>
      </c>
      <c r="F32" s="3">
        <f t="shared" si="14"/>
        <v>59.090909090909186</v>
      </c>
      <c r="G32" s="3">
        <f t="shared" si="18"/>
        <v>1.4772727272727297</v>
      </c>
      <c r="H32" s="3">
        <f t="shared" si="16"/>
        <v>2.2727272727272729</v>
      </c>
      <c r="I32" s="3">
        <f t="shared" si="11"/>
        <v>3.7500000000000027</v>
      </c>
      <c r="K32" s="4">
        <f t="shared" si="0"/>
        <v>4516</v>
      </c>
      <c r="L32" s="7">
        <f t="shared" si="1"/>
        <v>0.55630944364918089</v>
      </c>
      <c r="M32" s="7">
        <f t="shared" si="2"/>
        <v>6.978592909776947</v>
      </c>
      <c r="Q32" s="2">
        <v>48953</v>
      </c>
      <c r="R32" s="3">
        <f t="shared" si="7"/>
        <v>59.090909090909186</v>
      </c>
      <c r="S32" s="3">
        <f t="shared" si="8"/>
        <v>1.4772727272727297</v>
      </c>
      <c r="T32" s="3">
        <f t="shared" si="17"/>
        <v>2.2727272727272729</v>
      </c>
      <c r="U32" s="3">
        <f t="shared" si="12"/>
        <v>3.7500000000000027</v>
      </c>
      <c r="W32" s="4">
        <f t="shared" si="3"/>
        <v>4516</v>
      </c>
      <c r="X32" s="7">
        <f t="shared" si="4"/>
        <v>0.58410710183858261</v>
      </c>
      <c r="Y32" s="7">
        <f t="shared" si="5"/>
        <v>7.3272990886195526</v>
      </c>
      <c r="AC32" s="2">
        <v>48953</v>
      </c>
      <c r="AD32" s="3">
        <f t="shared" si="9"/>
        <v>59.090909090909186</v>
      </c>
      <c r="AE32" s="3">
        <f t="shared" si="10"/>
        <v>1.4772727272727297</v>
      </c>
      <c r="AF32" s="3">
        <f t="shared" si="6"/>
        <v>2.2727272727272729</v>
      </c>
      <c r="AG32" s="3">
        <f t="shared" si="13"/>
        <v>3.7500000000000027</v>
      </c>
    </row>
    <row r="33" spans="5:33" x14ac:dyDescent="0.2">
      <c r="E33" s="2">
        <v>49134</v>
      </c>
      <c r="F33" s="3">
        <f t="shared" si="14"/>
        <v>56.818181818181912</v>
      </c>
      <c r="G33" s="3">
        <f t="shared" si="18"/>
        <v>1.4204545454545479</v>
      </c>
      <c r="H33" s="3">
        <f t="shared" si="16"/>
        <v>2.2727272727272729</v>
      </c>
      <c r="I33" s="3">
        <f t="shared" si="11"/>
        <v>3.693181818181821</v>
      </c>
      <c r="K33" s="4">
        <f t="shared" si="0"/>
        <v>4696</v>
      </c>
      <c r="L33" s="7">
        <f t="shared" si="1"/>
        <v>0.5077555792492815</v>
      </c>
      <c r="M33" s="7">
        <f t="shared" si="2"/>
        <v>6.6233894448739612</v>
      </c>
      <c r="Q33" s="2">
        <v>49134</v>
      </c>
      <c r="R33" s="3">
        <f t="shared" si="7"/>
        <v>56.818181818181912</v>
      </c>
      <c r="S33" s="3">
        <f t="shared" si="8"/>
        <v>1.4204545454545479</v>
      </c>
      <c r="T33" s="3">
        <f t="shared" si="17"/>
        <v>2.2727272727272729</v>
      </c>
      <c r="U33" s="3">
        <f t="shared" si="12"/>
        <v>3.693181818181821</v>
      </c>
      <c r="W33" s="4">
        <f t="shared" si="3"/>
        <v>4696</v>
      </c>
      <c r="X33" s="7">
        <f t="shared" si="4"/>
        <v>0.53416422649409068</v>
      </c>
      <c r="Y33" s="7">
        <f t="shared" si="5"/>
        <v>6.9678755767118048</v>
      </c>
      <c r="AC33" s="2">
        <v>49134</v>
      </c>
      <c r="AD33" s="3">
        <f t="shared" si="9"/>
        <v>56.818181818181912</v>
      </c>
      <c r="AE33" s="3">
        <f t="shared" si="10"/>
        <v>1.4204545454545479</v>
      </c>
      <c r="AF33" s="3">
        <f t="shared" si="6"/>
        <v>2.2727272727272729</v>
      </c>
      <c r="AG33" s="3">
        <f t="shared" si="13"/>
        <v>3.693181818181821</v>
      </c>
    </row>
    <row r="34" spans="5:33" x14ac:dyDescent="0.2">
      <c r="E34" s="2">
        <v>49318</v>
      </c>
      <c r="F34" s="3">
        <f t="shared" si="14"/>
        <v>54.545454545454639</v>
      </c>
      <c r="G34" s="3">
        <f t="shared" si="18"/>
        <v>1.363636363636366</v>
      </c>
      <c r="H34" s="3">
        <f t="shared" si="16"/>
        <v>2.2727272727272729</v>
      </c>
      <c r="I34" s="3">
        <f t="shared" si="11"/>
        <v>3.6363636363636389</v>
      </c>
      <c r="K34" s="4">
        <f t="shared" si="0"/>
        <v>4876</v>
      </c>
      <c r="L34" s="7">
        <f t="shared" si="1"/>
        <v>0.46332973442596126</v>
      </c>
      <c r="M34" s="7">
        <f t="shared" si="2"/>
        <v>6.2755438473916305</v>
      </c>
      <c r="Q34" s="2">
        <v>49318</v>
      </c>
      <c r="R34" s="3">
        <f t="shared" si="7"/>
        <v>54.545454545454639</v>
      </c>
      <c r="S34" s="3">
        <f t="shared" si="8"/>
        <v>1.363636363636366</v>
      </c>
      <c r="T34" s="3">
        <f t="shared" si="17"/>
        <v>2.2727272727272729</v>
      </c>
      <c r="U34" s="3">
        <f t="shared" si="12"/>
        <v>3.6363636363636389</v>
      </c>
      <c r="W34" s="4">
        <f t="shared" si="3"/>
        <v>4876</v>
      </c>
      <c r="X34" s="7">
        <f t="shared" si="4"/>
        <v>0.48837599458044628</v>
      </c>
      <c r="Y34" s="7">
        <f t="shared" si="5"/>
        <v>6.6147815265951557</v>
      </c>
      <c r="AC34" s="2">
        <v>49318</v>
      </c>
      <c r="AD34" s="3">
        <f t="shared" si="9"/>
        <v>54.545454545454639</v>
      </c>
      <c r="AE34" s="3">
        <f t="shared" si="10"/>
        <v>1.363636363636366</v>
      </c>
      <c r="AF34" s="3">
        <f t="shared" si="6"/>
        <v>2.2727272727272729</v>
      </c>
      <c r="AG34" s="3">
        <f t="shared" si="13"/>
        <v>3.6363636363636389</v>
      </c>
    </row>
    <row r="35" spans="5:33" x14ac:dyDescent="0.2">
      <c r="E35" s="2">
        <v>49499</v>
      </c>
      <c r="F35" s="3">
        <f t="shared" si="14"/>
        <v>52.272727272727366</v>
      </c>
      <c r="G35" s="3">
        <f t="shared" si="18"/>
        <v>1.3068181818181843</v>
      </c>
      <c r="H35" s="3">
        <f t="shared" si="16"/>
        <v>2.2727272727272729</v>
      </c>
      <c r="I35" s="3">
        <f t="shared" si="11"/>
        <v>3.5795454545454573</v>
      </c>
      <c r="K35" s="4">
        <f t="shared" si="0"/>
        <v>5056</v>
      </c>
      <c r="L35" s="7">
        <f t="shared" si="1"/>
        <v>0.42268768837146781</v>
      </c>
      <c r="M35" s="7">
        <f t="shared" si="2"/>
        <v>5.9364137566837254</v>
      </c>
      <c r="Q35" s="2">
        <v>49499</v>
      </c>
      <c r="R35" s="3">
        <f t="shared" si="7"/>
        <v>52.272727272727366</v>
      </c>
      <c r="S35" s="3">
        <f t="shared" si="8"/>
        <v>1.3068181818181843</v>
      </c>
      <c r="T35" s="3">
        <f t="shared" si="17"/>
        <v>2.2727272727272729</v>
      </c>
      <c r="U35" s="3">
        <f t="shared" si="12"/>
        <v>3.5795454545454573</v>
      </c>
      <c r="W35" s="4">
        <f t="shared" si="3"/>
        <v>5056</v>
      </c>
      <c r="X35" s="7">
        <f t="shared" si="4"/>
        <v>0.4464036901076619</v>
      </c>
      <c r="Y35" s="7">
        <f t="shared" si="5"/>
        <v>6.2694918255120511</v>
      </c>
      <c r="AC35" s="2">
        <v>49499</v>
      </c>
      <c r="AD35" s="3">
        <f t="shared" si="9"/>
        <v>52.272727272727366</v>
      </c>
      <c r="AE35" s="3">
        <f t="shared" si="10"/>
        <v>1.3068181818181843</v>
      </c>
      <c r="AF35" s="3">
        <f t="shared" si="6"/>
        <v>2.2727272727272729</v>
      </c>
      <c r="AG35" s="3">
        <f t="shared" si="13"/>
        <v>3.5795454545454573</v>
      </c>
    </row>
    <row r="36" spans="5:33" x14ac:dyDescent="0.2">
      <c r="E36" s="2">
        <v>49683</v>
      </c>
      <c r="F36" s="3">
        <f t="shared" si="14"/>
        <v>50.000000000000092</v>
      </c>
      <c r="G36" s="3">
        <f t="shared" si="18"/>
        <v>1.2500000000000024</v>
      </c>
      <c r="H36" s="3">
        <f t="shared" si="16"/>
        <v>2.2727272727272729</v>
      </c>
      <c r="I36" s="3">
        <f t="shared" si="11"/>
        <v>3.5227272727272751</v>
      </c>
      <c r="K36" s="4">
        <f t="shared" si="0"/>
        <v>5236</v>
      </c>
      <c r="L36" s="7">
        <f t="shared" si="1"/>
        <v>0.38551349836140358</v>
      </c>
      <c r="M36" s="7">
        <f t="shared" si="2"/>
        <v>5.607079659500859</v>
      </c>
      <c r="Q36" s="2">
        <v>49683</v>
      </c>
      <c r="R36" s="3">
        <f t="shared" si="7"/>
        <v>50.000000000000092</v>
      </c>
      <c r="S36" s="3">
        <f t="shared" si="8"/>
        <v>1.2500000000000024</v>
      </c>
      <c r="T36" s="3">
        <f t="shared" si="17"/>
        <v>2.2727272727272729</v>
      </c>
      <c r="U36" s="3">
        <f t="shared" si="12"/>
        <v>3.5227272727272751</v>
      </c>
      <c r="W36" s="4">
        <f t="shared" si="3"/>
        <v>5236</v>
      </c>
      <c r="X36" s="7">
        <f t="shared" si="4"/>
        <v>0.40793578835888755</v>
      </c>
      <c r="Y36" s="7">
        <f t="shared" si="5"/>
        <v>5.9331994106864867</v>
      </c>
      <c r="AC36" s="2">
        <v>49683</v>
      </c>
      <c r="AD36" s="3">
        <f t="shared" si="9"/>
        <v>50.000000000000092</v>
      </c>
      <c r="AE36" s="3">
        <f t="shared" si="10"/>
        <v>1.2500000000000024</v>
      </c>
      <c r="AF36" s="3">
        <f t="shared" si="6"/>
        <v>2.2727272727272729</v>
      </c>
      <c r="AG36" s="3">
        <f t="shared" si="13"/>
        <v>3.5227272727272751</v>
      </c>
    </row>
    <row r="37" spans="5:33" x14ac:dyDescent="0.2">
      <c r="E37" s="2">
        <v>49865</v>
      </c>
      <c r="F37" s="3">
        <f t="shared" si="14"/>
        <v>47.727272727272819</v>
      </c>
      <c r="G37" s="3">
        <f t="shared" si="18"/>
        <v>1.1931818181818206</v>
      </c>
      <c r="H37" s="3">
        <f t="shared" si="16"/>
        <v>2.2727272727272729</v>
      </c>
      <c r="I37" s="3">
        <f t="shared" si="11"/>
        <v>3.4659090909090935</v>
      </c>
      <c r="K37" s="4">
        <f t="shared" si="0"/>
        <v>5416</v>
      </c>
      <c r="L37" s="7">
        <f t="shared" si="1"/>
        <v>0.3515172040356408</v>
      </c>
      <c r="M37" s="7">
        <f t="shared" si="2"/>
        <v>5.2883810473806401</v>
      </c>
      <c r="Q37" s="2">
        <v>49865</v>
      </c>
      <c r="R37" s="3">
        <f t="shared" si="7"/>
        <v>47.727272727272819</v>
      </c>
      <c r="S37" s="3">
        <f t="shared" si="8"/>
        <v>1.1931818181818206</v>
      </c>
      <c r="T37" s="3">
        <f t="shared" si="17"/>
        <v>2.2727272727272729</v>
      </c>
      <c r="U37" s="3">
        <f t="shared" si="12"/>
        <v>3.4659090909090935</v>
      </c>
      <c r="W37" s="4">
        <f t="shared" si="3"/>
        <v>5416</v>
      </c>
      <c r="X37" s="7">
        <f t="shared" si="4"/>
        <v>0.37268579953455711</v>
      </c>
      <c r="Y37" s="7">
        <f t="shared" si="5"/>
        <v>5.6068508063310034</v>
      </c>
      <c r="AC37" s="2">
        <v>49865</v>
      </c>
      <c r="AD37" s="3">
        <f t="shared" si="9"/>
        <v>47.727272727272819</v>
      </c>
      <c r="AE37" s="3">
        <f t="shared" si="10"/>
        <v>1.1931818181818206</v>
      </c>
      <c r="AF37" s="3">
        <f t="shared" si="6"/>
        <v>2.2727272727272729</v>
      </c>
      <c r="AG37" s="3">
        <f t="shared" si="13"/>
        <v>3.4659090909090935</v>
      </c>
    </row>
    <row r="38" spans="5:33" x14ac:dyDescent="0.2">
      <c r="E38" s="2">
        <v>50049</v>
      </c>
      <c r="F38" s="3">
        <f t="shared" si="14"/>
        <v>45.454545454545546</v>
      </c>
      <c r="G38" s="3">
        <f t="shared" si="18"/>
        <v>1.1363636363636387</v>
      </c>
      <c r="H38" s="3">
        <f t="shared" si="16"/>
        <v>2.2727272727272729</v>
      </c>
      <c r="I38" s="3">
        <f t="shared" si="11"/>
        <v>3.4090909090909118</v>
      </c>
      <c r="K38" s="4">
        <f t="shared" si="0"/>
        <v>5596</v>
      </c>
      <c r="L38" s="7">
        <f t="shared" si="1"/>
        <v>0.32043271626826042</v>
      </c>
      <c r="M38" s="7">
        <f t="shared" si="2"/>
        <v>4.980948556214404</v>
      </c>
      <c r="Q38" s="2">
        <v>50049</v>
      </c>
      <c r="R38" s="3">
        <f t="shared" si="7"/>
        <v>45.454545454545546</v>
      </c>
      <c r="S38" s="3">
        <f t="shared" si="8"/>
        <v>1.1363636363636387</v>
      </c>
      <c r="T38" s="3">
        <f t="shared" si="17"/>
        <v>2.2727272727272729</v>
      </c>
      <c r="U38" s="3">
        <f t="shared" si="12"/>
        <v>3.4090909090909118</v>
      </c>
      <c r="W38" s="4">
        <f t="shared" si="3"/>
        <v>5596</v>
      </c>
      <c r="X38" s="7">
        <f t="shared" si="4"/>
        <v>0.34039028171860364</v>
      </c>
      <c r="Y38" s="7">
        <f t="shared" si="5"/>
        <v>5.2911778236036273</v>
      </c>
      <c r="AC38" s="2">
        <v>50049</v>
      </c>
      <c r="AD38" s="3">
        <f t="shared" si="9"/>
        <v>45.454545454545546</v>
      </c>
      <c r="AE38" s="3">
        <f t="shared" si="10"/>
        <v>1.1363636363636387</v>
      </c>
      <c r="AF38" s="3">
        <f t="shared" si="6"/>
        <v>2.2727272727272729</v>
      </c>
      <c r="AG38" s="3">
        <f t="shared" si="13"/>
        <v>3.4090909090909118</v>
      </c>
    </row>
    <row r="39" spans="5:33" x14ac:dyDescent="0.2">
      <c r="E39" s="2">
        <v>50230</v>
      </c>
      <c r="F39" s="3">
        <f t="shared" si="14"/>
        <v>43.181818181818272</v>
      </c>
      <c r="G39" s="3">
        <f t="shared" si="18"/>
        <v>1.0795454545454568</v>
      </c>
      <c r="H39" s="3">
        <f t="shared" si="16"/>
        <v>2.2727272727272729</v>
      </c>
      <c r="I39" s="3">
        <f t="shared" si="11"/>
        <v>3.3522727272727297</v>
      </c>
      <c r="K39" s="4">
        <f t="shared" si="0"/>
        <v>5776</v>
      </c>
      <c r="L39" s="7">
        <f t="shared" ref="L39:L57" si="19">I39/(1+$I$59)^(K39/360)</f>
        <v>0.29201587590249145</v>
      </c>
      <c r="M39" s="7">
        <f t="shared" si="2"/>
        <v>4.6852324978133071</v>
      </c>
      <c r="Q39" s="2">
        <v>50230</v>
      </c>
      <c r="R39" s="3">
        <f t="shared" si="7"/>
        <v>43.181818181818272</v>
      </c>
      <c r="S39" s="3">
        <f t="shared" si="8"/>
        <v>1.0795454545454568</v>
      </c>
      <c r="T39" s="3">
        <f t="shared" si="17"/>
        <v>2.2727272727272729</v>
      </c>
      <c r="U39" s="3">
        <f t="shared" si="12"/>
        <v>3.3522727272727297</v>
      </c>
      <c r="W39" s="4">
        <f t="shared" si="3"/>
        <v>5776</v>
      </c>
      <c r="X39" s="7">
        <f t="shared" ref="X39:X57" si="20">U39/(1+$U$59)^(W39/360)</f>
        <v>0.31080700997953481</v>
      </c>
      <c r="Y39" s="7">
        <f t="shared" si="5"/>
        <v>4.9867258045605363</v>
      </c>
      <c r="AC39" s="2">
        <v>50230</v>
      </c>
      <c r="AD39" s="3">
        <f t="shared" si="9"/>
        <v>43.181818181818272</v>
      </c>
      <c r="AE39" s="3">
        <f t="shared" si="10"/>
        <v>1.0795454545454568</v>
      </c>
      <c r="AF39" s="3">
        <f t="shared" ref="AF39:AF57" si="21">+T39</f>
        <v>2.2727272727272729</v>
      </c>
      <c r="AG39" s="3">
        <f t="shared" si="13"/>
        <v>3.3522727272727297</v>
      </c>
    </row>
    <row r="40" spans="5:33" x14ac:dyDescent="0.2">
      <c r="E40" s="2">
        <v>50414</v>
      </c>
      <c r="F40" s="3">
        <f t="shared" si="14"/>
        <v>40.909090909090999</v>
      </c>
      <c r="G40" s="3">
        <f t="shared" si="18"/>
        <v>1.0227272727272749</v>
      </c>
      <c r="H40" s="3">
        <f t="shared" si="16"/>
        <v>2.2727272727272729</v>
      </c>
      <c r="I40" s="3">
        <f t="shared" si="11"/>
        <v>3.2954545454545476</v>
      </c>
      <c r="K40" s="4">
        <f t="shared" si="0"/>
        <v>5956</v>
      </c>
      <c r="L40" s="7">
        <f t="shared" si="19"/>
        <v>0.26604266879323241</v>
      </c>
      <c r="M40" s="7">
        <f t="shared" si="2"/>
        <v>4.4015281537013671</v>
      </c>
      <c r="Q40" s="2">
        <v>50414</v>
      </c>
      <c r="R40" s="3">
        <f t="shared" si="7"/>
        <v>40.909090909090999</v>
      </c>
      <c r="S40" s="3">
        <f t="shared" si="8"/>
        <v>1.0227272727272749</v>
      </c>
      <c r="T40" s="3">
        <f t="shared" si="17"/>
        <v>2.2727272727272729</v>
      </c>
      <c r="U40" s="3">
        <f t="shared" si="12"/>
        <v>3.2954545454545476</v>
      </c>
      <c r="W40" s="4">
        <f t="shared" si="3"/>
        <v>5956</v>
      </c>
      <c r="X40" s="7">
        <f t="shared" si="20"/>
        <v>0.28371328943916968</v>
      </c>
      <c r="Y40" s="7">
        <f t="shared" si="5"/>
        <v>4.6938787552769297</v>
      </c>
      <c r="AC40" s="2">
        <v>50414</v>
      </c>
      <c r="AD40" s="3">
        <f t="shared" si="9"/>
        <v>40.909090909090999</v>
      </c>
      <c r="AE40" s="3">
        <f t="shared" ref="AE40:AE57" si="22">+S40</f>
        <v>1.0227272727272749</v>
      </c>
      <c r="AF40" s="3">
        <f t="shared" si="21"/>
        <v>2.2727272727272729</v>
      </c>
      <c r="AG40" s="3">
        <f t="shared" si="13"/>
        <v>3.2954545454545476</v>
      </c>
    </row>
    <row r="41" spans="5:33" x14ac:dyDescent="0.2">
      <c r="E41" s="2">
        <v>50595</v>
      </c>
      <c r="F41" s="3">
        <f t="shared" si="14"/>
        <v>38.636363636363726</v>
      </c>
      <c r="G41" s="3">
        <f t="shared" si="18"/>
        <v>0.96590909090909316</v>
      </c>
      <c r="H41" s="3">
        <f t="shared" si="16"/>
        <v>2.2727272727272729</v>
      </c>
      <c r="I41" s="3">
        <f t="shared" si="11"/>
        <v>3.238636363636366</v>
      </c>
      <c r="K41" s="4">
        <f t="shared" si="0"/>
        <v>6136</v>
      </c>
      <c r="L41" s="7">
        <f t="shared" si="19"/>
        <v>0.24230758467445218</v>
      </c>
      <c r="M41" s="7">
        <f t="shared" si="2"/>
        <v>4.1299981654512186</v>
      </c>
      <c r="Q41" s="2">
        <v>50595</v>
      </c>
      <c r="R41" s="3">
        <f t="shared" si="7"/>
        <v>38.636363636363726</v>
      </c>
      <c r="S41" s="3">
        <f t="shared" si="8"/>
        <v>0.96590909090909316</v>
      </c>
      <c r="T41" s="3">
        <f t="shared" si="17"/>
        <v>2.2727272727272729</v>
      </c>
      <c r="U41" s="3">
        <f t="shared" si="12"/>
        <v>3.238636363636366</v>
      </c>
      <c r="W41" s="4">
        <f t="shared" si="3"/>
        <v>6136</v>
      </c>
      <c r="X41" s="7">
        <f t="shared" si="20"/>
        <v>0.25890440108341184</v>
      </c>
      <c r="Y41" s="7">
        <f t="shared" si="5"/>
        <v>4.4128816806883755</v>
      </c>
      <c r="AC41" s="2">
        <v>50595</v>
      </c>
      <c r="AD41" s="3">
        <f t="shared" si="9"/>
        <v>38.636363636363726</v>
      </c>
      <c r="AE41" s="3">
        <f t="shared" si="22"/>
        <v>0.96590909090909316</v>
      </c>
      <c r="AF41" s="3">
        <f t="shared" si="21"/>
        <v>2.2727272727272729</v>
      </c>
      <c r="AG41" s="3">
        <f t="shared" si="13"/>
        <v>3.238636363636366</v>
      </c>
    </row>
    <row r="42" spans="5:33" x14ac:dyDescent="0.2">
      <c r="E42" s="2">
        <v>50779</v>
      </c>
      <c r="F42" s="3">
        <f t="shared" si="14"/>
        <v>36.363636363636452</v>
      </c>
      <c r="G42" s="3">
        <f t="shared" si="18"/>
        <v>0.90909090909091139</v>
      </c>
      <c r="H42" s="3">
        <f t="shared" si="16"/>
        <v>2.2727272727272729</v>
      </c>
      <c r="I42" s="3">
        <f t="shared" si="11"/>
        <v>3.1818181818181843</v>
      </c>
      <c r="K42" s="4">
        <f t="shared" si="0"/>
        <v>6316</v>
      </c>
      <c r="L42" s="7">
        <f t="shared" si="19"/>
        <v>0.22062210835877386</v>
      </c>
      <c r="M42" s="7">
        <f t="shared" si="2"/>
        <v>3.8706923233167103</v>
      </c>
      <c r="Q42" s="2">
        <v>50779</v>
      </c>
      <c r="R42" s="3">
        <f t="shared" si="7"/>
        <v>36.363636363636452</v>
      </c>
      <c r="S42" s="3">
        <f t="shared" si="8"/>
        <v>0.90909090909091139</v>
      </c>
      <c r="T42" s="3">
        <f t="shared" si="17"/>
        <v>2.2727272727272729</v>
      </c>
      <c r="U42" s="3">
        <f t="shared" si="12"/>
        <v>3.1818181818181843</v>
      </c>
      <c r="W42" s="4">
        <f t="shared" si="3"/>
        <v>6316</v>
      </c>
      <c r="X42" s="7">
        <f t="shared" si="20"/>
        <v>0.23619216995857462</v>
      </c>
      <c r="Y42" s="7">
        <f t="shared" si="5"/>
        <v>4.1438604040509928</v>
      </c>
      <c r="AC42" s="2">
        <v>50779</v>
      </c>
      <c r="AD42" s="3">
        <f t="shared" si="9"/>
        <v>36.363636363636452</v>
      </c>
      <c r="AE42" s="3">
        <f t="shared" si="22"/>
        <v>0.90909090909091139</v>
      </c>
      <c r="AF42" s="3">
        <f t="shared" si="21"/>
        <v>2.2727272727272729</v>
      </c>
      <c r="AG42" s="3">
        <f t="shared" si="13"/>
        <v>3.1818181818181843</v>
      </c>
    </row>
    <row r="43" spans="5:33" x14ac:dyDescent="0.2">
      <c r="E43" s="2">
        <v>50960</v>
      </c>
      <c r="F43" s="3">
        <f t="shared" si="14"/>
        <v>34.090909090909179</v>
      </c>
      <c r="G43" s="3">
        <f t="shared" si="18"/>
        <v>0.85227272727272951</v>
      </c>
      <c r="H43" s="3">
        <f t="shared" si="16"/>
        <v>2.2727272727272729</v>
      </c>
      <c r="I43" s="3">
        <f t="shared" si="11"/>
        <v>3.1250000000000027</v>
      </c>
      <c r="K43" s="4">
        <f t="shared" si="0"/>
        <v>6496</v>
      </c>
      <c r="L43" s="7">
        <f t="shared" si="19"/>
        <v>0.20081333268850152</v>
      </c>
      <c r="M43" s="7">
        <f t="shared" si="2"/>
        <v>3.6235650254014051</v>
      </c>
      <c r="Q43" s="2">
        <v>50960</v>
      </c>
      <c r="R43" s="3">
        <f t="shared" si="7"/>
        <v>34.090909090909179</v>
      </c>
      <c r="S43" s="3">
        <f t="shared" si="8"/>
        <v>0.85227272727272951</v>
      </c>
      <c r="T43" s="3">
        <f t="shared" si="17"/>
        <v>2.2727272727272729</v>
      </c>
      <c r="U43" s="3">
        <f t="shared" si="12"/>
        <v>3.1250000000000027</v>
      </c>
      <c r="W43" s="4">
        <f t="shared" si="3"/>
        <v>6496</v>
      </c>
      <c r="X43" s="7">
        <f t="shared" si="20"/>
        <v>0.21540364619902977</v>
      </c>
      <c r="Y43" s="7">
        <f t="shared" si="5"/>
        <v>3.8868391269691593</v>
      </c>
      <c r="AC43" s="2">
        <v>50960</v>
      </c>
      <c r="AD43" s="3">
        <f t="shared" si="9"/>
        <v>34.090909090909179</v>
      </c>
      <c r="AE43" s="3">
        <f t="shared" si="22"/>
        <v>0.85227272727272951</v>
      </c>
      <c r="AF43" s="3">
        <f t="shared" si="21"/>
        <v>2.2727272727272729</v>
      </c>
      <c r="AG43" s="3">
        <f t="shared" si="13"/>
        <v>3.1250000000000027</v>
      </c>
    </row>
    <row r="44" spans="5:33" x14ac:dyDescent="0.2">
      <c r="E44" s="2">
        <v>51144</v>
      </c>
      <c r="F44" s="3">
        <f t="shared" si="14"/>
        <v>31.818181818181905</v>
      </c>
      <c r="G44" s="3">
        <f t="shared" si="18"/>
        <v>0.79545454545454763</v>
      </c>
      <c r="H44" s="3">
        <f t="shared" si="16"/>
        <v>2.2727272727272729</v>
      </c>
      <c r="I44" s="3">
        <f t="shared" si="11"/>
        <v>3.0681818181818206</v>
      </c>
      <c r="K44" s="4">
        <f t="shared" si="0"/>
        <v>6676</v>
      </c>
      <c r="L44" s="7">
        <f t="shared" si="19"/>
        <v>0.18272268349736584</v>
      </c>
      <c r="M44" s="7">
        <f t="shared" si="2"/>
        <v>3.3884906528567065</v>
      </c>
      <c r="Q44" s="2">
        <v>51144</v>
      </c>
      <c r="R44" s="3">
        <f t="shared" si="7"/>
        <v>31.818181818181905</v>
      </c>
      <c r="S44" s="3">
        <f t="shared" si="8"/>
        <v>0.79545454545454763</v>
      </c>
      <c r="T44" s="3">
        <f t="shared" si="17"/>
        <v>2.2727272727272729</v>
      </c>
      <c r="U44" s="3">
        <f t="shared" si="12"/>
        <v>3.0681818181818206</v>
      </c>
      <c r="W44" s="4">
        <f t="shared" si="3"/>
        <v>6676</v>
      </c>
      <c r="X44" s="7">
        <f t="shared" si="20"/>
        <v>0.19637989007242845</v>
      </c>
      <c r="Y44" s="7">
        <f t="shared" si="5"/>
        <v>3.6417559614542565</v>
      </c>
      <c r="AC44" s="2">
        <v>51144</v>
      </c>
      <c r="AD44" s="3">
        <f t="shared" si="9"/>
        <v>31.818181818181905</v>
      </c>
      <c r="AE44" s="3">
        <f t="shared" si="22"/>
        <v>0.79545454545454763</v>
      </c>
      <c r="AF44" s="3">
        <f t="shared" si="21"/>
        <v>2.2727272727272729</v>
      </c>
      <c r="AG44" s="3">
        <f t="shared" si="13"/>
        <v>3.0681818181818206</v>
      </c>
    </row>
    <row r="45" spans="5:33" x14ac:dyDescent="0.2">
      <c r="E45" s="2">
        <v>51326</v>
      </c>
      <c r="F45" s="3">
        <f t="shared" si="14"/>
        <v>29.545454545454632</v>
      </c>
      <c r="G45" s="3">
        <f t="shared" si="18"/>
        <v>0.73863636363636587</v>
      </c>
      <c r="H45" s="3">
        <f t="shared" si="16"/>
        <v>2.2727272727272729</v>
      </c>
      <c r="I45" s="3">
        <f t="shared" si="11"/>
        <v>3.0113636363636389</v>
      </c>
      <c r="K45" s="4">
        <f t="shared" si="0"/>
        <v>6856</v>
      </c>
      <c r="L45" s="7">
        <f t="shared" si="19"/>
        <v>0.1662047476159958</v>
      </c>
      <c r="M45" s="7">
        <f t="shared" si="2"/>
        <v>3.1652770823757423</v>
      </c>
      <c r="Q45" s="2">
        <v>51326</v>
      </c>
      <c r="R45" s="3">
        <f t="shared" si="7"/>
        <v>29.545454545454632</v>
      </c>
      <c r="S45" s="3">
        <f t="shared" si="8"/>
        <v>0.73863636363636587</v>
      </c>
      <c r="T45" s="3">
        <f t="shared" si="17"/>
        <v>2.2727272727272729</v>
      </c>
      <c r="U45" s="3">
        <f t="shared" si="12"/>
        <v>3.0113636363636389</v>
      </c>
      <c r="W45" s="4">
        <f t="shared" si="3"/>
        <v>6856</v>
      </c>
      <c r="X45" s="7">
        <f t="shared" si="20"/>
        <v>0.17897485291219078</v>
      </c>
      <c r="Y45" s="7">
        <f t="shared" si="5"/>
        <v>3.4084766432388331</v>
      </c>
      <c r="AC45" s="2">
        <v>51326</v>
      </c>
      <c r="AD45" s="3">
        <f t="shared" si="9"/>
        <v>29.545454545454632</v>
      </c>
      <c r="AE45" s="3">
        <f t="shared" si="22"/>
        <v>0.73863636363636587</v>
      </c>
      <c r="AF45" s="3">
        <f t="shared" si="21"/>
        <v>2.2727272727272729</v>
      </c>
      <c r="AG45" s="3">
        <f t="shared" si="13"/>
        <v>3.0113636363636389</v>
      </c>
    </row>
    <row r="46" spans="5:33" x14ac:dyDescent="0.2">
      <c r="E46" s="2">
        <v>51510</v>
      </c>
      <c r="F46" s="3">
        <f t="shared" si="14"/>
        <v>27.272727272727359</v>
      </c>
      <c r="G46" s="3">
        <f t="shared" si="18"/>
        <v>0.68181818181818399</v>
      </c>
      <c r="H46" s="3">
        <f t="shared" si="16"/>
        <v>2.2727272727272729</v>
      </c>
      <c r="I46" s="3">
        <f t="shared" si="11"/>
        <v>2.9545454545454568</v>
      </c>
      <c r="K46" s="4">
        <f t="shared" si="0"/>
        <v>7036</v>
      </c>
      <c r="L46" s="7">
        <f t="shared" si="19"/>
        <v>0.15112619566676333</v>
      </c>
      <c r="M46" s="7">
        <f t="shared" si="2"/>
        <v>2.9536775353092968</v>
      </c>
      <c r="Q46" s="2">
        <v>51510</v>
      </c>
      <c r="R46" s="3">
        <f t="shared" si="7"/>
        <v>27.272727272727359</v>
      </c>
      <c r="S46" s="3">
        <f t="shared" si="8"/>
        <v>0.68181818181818399</v>
      </c>
      <c r="T46" s="3">
        <f t="shared" si="17"/>
        <v>2.2727272727272729</v>
      </c>
      <c r="U46" s="3">
        <f t="shared" si="12"/>
        <v>2.9545454545454568</v>
      </c>
      <c r="W46" s="4">
        <f t="shared" si="3"/>
        <v>7036</v>
      </c>
      <c r="X46" s="7">
        <f t="shared" si="20"/>
        <v>0.16305434643773778</v>
      </c>
      <c r="Y46" s="7">
        <f t="shared" si="5"/>
        <v>3.1868066153775638</v>
      </c>
      <c r="AC46" s="2">
        <v>51510</v>
      </c>
      <c r="AD46" s="3">
        <f t="shared" si="9"/>
        <v>27.272727272727359</v>
      </c>
      <c r="AE46" s="3">
        <f t="shared" si="22"/>
        <v>0.68181818181818399</v>
      </c>
      <c r="AF46" s="3">
        <f t="shared" si="21"/>
        <v>2.2727272727272729</v>
      </c>
      <c r="AG46" s="3">
        <f t="shared" si="13"/>
        <v>2.9545454545454568</v>
      </c>
    </row>
    <row r="47" spans="5:33" x14ac:dyDescent="0.2">
      <c r="E47" s="2">
        <v>51691</v>
      </c>
      <c r="F47" s="3">
        <f t="shared" si="14"/>
        <v>25.000000000000085</v>
      </c>
      <c r="G47" s="3">
        <f t="shared" si="18"/>
        <v>0.62500000000000222</v>
      </c>
      <c r="H47" s="3">
        <f t="shared" si="16"/>
        <v>2.2727272727272729</v>
      </c>
      <c r="I47" s="3">
        <f t="shared" si="11"/>
        <v>2.8977272727272751</v>
      </c>
      <c r="K47" s="4">
        <f t="shared" si="0"/>
        <v>7216</v>
      </c>
      <c r="L47" s="7">
        <f t="shared" si="19"/>
        <v>0.13736479205000951</v>
      </c>
      <c r="M47" s="7">
        <f t="shared" si="2"/>
        <v>2.7534009428690793</v>
      </c>
      <c r="Q47" s="2">
        <v>51691</v>
      </c>
      <c r="R47" s="3">
        <f t="shared" si="7"/>
        <v>25.000000000000085</v>
      </c>
      <c r="S47" s="3">
        <f t="shared" si="8"/>
        <v>0.62500000000000222</v>
      </c>
      <c r="T47" s="3">
        <f t="shared" si="17"/>
        <v>2.2727272727272729</v>
      </c>
      <c r="U47" s="3">
        <f t="shared" si="12"/>
        <v>2.8977272727272751</v>
      </c>
      <c r="W47" s="4">
        <f t="shared" si="3"/>
        <v>7216</v>
      </c>
      <c r="X47" s="7">
        <f t="shared" si="20"/>
        <v>0.14849509354508597</v>
      </c>
      <c r="Y47" s="7">
        <f t="shared" si="5"/>
        <v>2.9765016528370567</v>
      </c>
      <c r="AC47" s="2">
        <v>51691</v>
      </c>
      <c r="AD47" s="3">
        <f t="shared" si="9"/>
        <v>25.000000000000085</v>
      </c>
      <c r="AE47" s="3">
        <f t="shared" si="22"/>
        <v>0.62500000000000222</v>
      </c>
      <c r="AF47" s="3">
        <f t="shared" si="21"/>
        <v>2.2727272727272729</v>
      </c>
      <c r="AG47" s="3">
        <f t="shared" si="13"/>
        <v>2.8977272727272751</v>
      </c>
    </row>
    <row r="48" spans="5:33" x14ac:dyDescent="0.2">
      <c r="E48" s="2">
        <v>51875</v>
      </c>
      <c r="F48" s="3">
        <f t="shared" si="14"/>
        <v>22.727272727272812</v>
      </c>
      <c r="G48" s="3">
        <f t="shared" si="18"/>
        <v>0.56818181818182034</v>
      </c>
      <c r="H48" s="3">
        <f t="shared" si="16"/>
        <v>2.2727272727272729</v>
      </c>
      <c r="I48" s="3">
        <f t="shared" si="11"/>
        <v>2.8409090909090935</v>
      </c>
      <c r="K48" s="4">
        <f t="shared" si="0"/>
        <v>7396</v>
      </c>
      <c r="L48" s="7">
        <f t="shared" si="19"/>
        <v>0.12480848512814501</v>
      </c>
      <c r="M48" s="7">
        <f t="shared" si="2"/>
        <v>2.5641209889104455</v>
      </c>
      <c r="Q48" s="2">
        <v>51875</v>
      </c>
      <c r="R48" s="3">
        <f t="shared" si="7"/>
        <v>22.727272727272812</v>
      </c>
      <c r="S48" s="3">
        <f t="shared" si="8"/>
        <v>0.56818181818182034</v>
      </c>
      <c r="T48" s="3">
        <f t="shared" si="17"/>
        <v>2.2727272727272729</v>
      </c>
      <c r="U48" s="3">
        <f t="shared" si="12"/>
        <v>2.8409090909090935</v>
      </c>
      <c r="W48" s="4">
        <f t="shared" si="3"/>
        <v>7396</v>
      </c>
      <c r="X48" s="7">
        <f t="shared" si="20"/>
        <v>0.1351838541876689</v>
      </c>
      <c r="Y48" s="7">
        <f t="shared" si="5"/>
        <v>2.777277182144442</v>
      </c>
      <c r="AC48" s="2">
        <v>51875</v>
      </c>
      <c r="AD48" s="3">
        <f t="shared" si="9"/>
        <v>22.727272727272812</v>
      </c>
      <c r="AE48" s="3">
        <f t="shared" si="22"/>
        <v>0.56818181818182034</v>
      </c>
      <c r="AF48" s="3">
        <f t="shared" si="21"/>
        <v>2.2727272727272729</v>
      </c>
      <c r="AG48" s="3">
        <f t="shared" si="13"/>
        <v>2.8409090909090935</v>
      </c>
    </row>
    <row r="49" spans="5:33" x14ac:dyDescent="0.2">
      <c r="E49" s="2">
        <v>52056</v>
      </c>
      <c r="F49" s="3">
        <f t="shared" si="14"/>
        <v>20.454545454545539</v>
      </c>
      <c r="G49" s="3">
        <f t="shared" si="18"/>
        <v>0.51136363636363846</v>
      </c>
      <c r="H49" s="3">
        <f t="shared" si="16"/>
        <v>2.2727272727272729</v>
      </c>
      <c r="I49" s="3">
        <f t="shared" si="11"/>
        <v>2.7840909090909114</v>
      </c>
      <c r="K49" s="4">
        <f t="shared" si="0"/>
        <v>7576</v>
      </c>
      <c r="L49" s="7">
        <f t="shared" si="19"/>
        <v>0.11335457117082515</v>
      </c>
      <c r="M49" s="7">
        <f t="shared" si="2"/>
        <v>2.3854839755282535</v>
      </c>
      <c r="Q49" s="2">
        <v>52056</v>
      </c>
      <c r="R49" s="3">
        <f t="shared" si="7"/>
        <v>20.454545454545539</v>
      </c>
      <c r="S49" s="3">
        <f t="shared" si="8"/>
        <v>0.51136363636363846</v>
      </c>
      <c r="T49" s="3">
        <f t="shared" si="17"/>
        <v>2.2727272727272729</v>
      </c>
      <c r="U49" s="3">
        <f t="shared" si="12"/>
        <v>2.7840909090909114</v>
      </c>
      <c r="W49" s="4">
        <f t="shared" si="3"/>
        <v>7576</v>
      </c>
      <c r="X49" s="7">
        <f t="shared" si="20"/>
        <v>0.12301662046304168</v>
      </c>
      <c r="Y49" s="7">
        <f t="shared" si="5"/>
        <v>2.5888164350777885</v>
      </c>
      <c r="AC49" s="2">
        <v>52056</v>
      </c>
      <c r="AD49" s="3">
        <f t="shared" si="9"/>
        <v>20.454545454545539</v>
      </c>
      <c r="AE49" s="3">
        <f t="shared" si="22"/>
        <v>0.51136363636363846</v>
      </c>
      <c r="AF49" s="3">
        <f t="shared" si="21"/>
        <v>2.2727272727272729</v>
      </c>
      <c r="AG49" s="3">
        <f t="shared" si="13"/>
        <v>2.7840909090909114</v>
      </c>
    </row>
    <row r="50" spans="5:33" x14ac:dyDescent="0.2">
      <c r="E50" s="2">
        <v>52240</v>
      </c>
      <c r="F50" s="3">
        <f t="shared" si="14"/>
        <v>18.181818181818265</v>
      </c>
      <c r="G50" s="3">
        <f t="shared" si="18"/>
        <v>0.45454545454545664</v>
      </c>
      <c r="H50" s="3">
        <f t="shared" si="16"/>
        <v>2.2727272727272729</v>
      </c>
      <c r="I50" s="3">
        <f t="shared" si="11"/>
        <v>2.7272727272727297</v>
      </c>
      <c r="K50" s="4">
        <f t="shared" si="0"/>
        <v>7756</v>
      </c>
      <c r="L50" s="7">
        <f t="shared" si="19"/>
        <v>0.10290892613706389</v>
      </c>
      <c r="M50" s="7">
        <f t="shared" si="2"/>
        <v>2.2171156419974096</v>
      </c>
      <c r="Q50" s="2">
        <v>52240</v>
      </c>
      <c r="R50" s="3">
        <f t="shared" si="7"/>
        <v>18.181818181818265</v>
      </c>
      <c r="S50" s="3">
        <f t="shared" si="8"/>
        <v>0.45454545454545664</v>
      </c>
      <c r="T50" s="3">
        <f t="shared" si="17"/>
        <v>2.2727272727272729</v>
      </c>
      <c r="U50" s="3">
        <f t="shared" si="12"/>
        <v>2.7272727272727297</v>
      </c>
      <c r="W50" s="4">
        <f t="shared" si="3"/>
        <v>7756</v>
      </c>
      <c r="X50" s="7">
        <f t="shared" si="20"/>
        <v>0.1118978754786342</v>
      </c>
      <c r="Y50" s="7">
        <f t="shared" si="5"/>
        <v>2.4107775617007965</v>
      </c>
      <c r="AC50" s="2">
        <v>52240</v>
      </c>
      <c r="AD50" s="3">
        <f t="shared" si="9"/>
        <v>18.181818181818265</v>
      </c>
      <c r="AE50" s="3">
        <f t="shared" si="22"/>
        <v>0.45454545454545664</v>
      </c>
      <c r="AF50" s="3">
        <f t="shared" si="21"/>
        <v>2.2727272727272729</v>
      </c>
      <c r="AG50" s="3">
        <f t="shared" si="13"/>
        <v>2.7272727272727297</v>
      </c>
    </row>
    <row r="51" spans="5:33" x14ac:dyDescent="0.2">
      <c r="E51" s="2">
        <v>52421</v>
      </c>
      <c r="F51" s="3">
        <f t="shared" si="14"/>
        <v>15.909090909090992</v>
      </c>
      <c r="G51" s="3">
        <f t="shared" si="18"/>
        <v>0.39772727272727482</v>
      </c>
      <c r="H51" s="3">
        <f t="shared" si="16"/>
        <v>2.2727272727272729</v>
      </c>
      <c r="I51" s="3">
        <f t="shared" si="11"/>
        <v>2.6704545454545476</v>
      </c>
      <c r="K51" s="4">
        <f t="shared" si="0"/>
        <v>7936</v>
      </c>
      <c r="L51" s="7">
        <f t="shared" si="19"/>
        <v>9.3385299842257241E-2</v>
      </c>
      <c r="M51" s="7">
        <f t="shared" si="2"/>
        <v>2.0586270543004264</v>
      </c>
      <c r="Q51" s="2">
        <v>52421</v>
      </c>
      <c r="R51" s="3">
        <f t="shared" si="7"/>
        <v>15.909090909090992</v>
      </c>
      <c r="S51" s="3">
        <f t="shared" si="8"/>
        <v>0.39772727272727482</v>
      </c>
      <c r="T51" s="3">
        <f t="shared" si="17"/>
        <v>2.2727272727272729</v>
      </c>
      <c r="U51" s="3">
        <f t="shared" si="12"/>
        <v>2.6704545454545476</v>
      </c>
      <c r="W51" s="4">
        <f t="shared" si="3"/>
        <v>7936</v>
      </c>
      <c r="X51" s="7">
        <f t="shared" si="20"/>
        <v>0.10173991099189621</v>
      </c>
      <c r="Y51" s="7">
        <f t="shared" si="5"/>
        <v>2.2427998156435787</v>
      </c>
      <c r="AC51" s="2">
        <v>52421</v>
      </c>
      <c r="AD51" s="3">
        <f t="shared" si="9"/>
        <v>15.909090909090992</v>
      </c>
      <c r="AE51" s="3">
        <f t="shared" si="22"/>
        <v>0.39772727272727482</v>
      </c>
      <c r="AF51" s="3">
        <f t="shared" si="21"/>
        <v>2.2727272727272729</v>
      </c>
      <c r="AG51" s="3">
        <f t="shared" si="13"/>
        <v>2.6704545454545476</v>
      </c>
    </row>
    <row r="52" spans="5:33" x14ac:dyDescent="0.2">
      <c r="E52" s="2">
        <v>52605</v>
      </c>
      <c r="F52" s="3">
        <f t="shared" si="14"/>
        <v>13.636363636363718</v>
      </c>
      <c r="G52" s="3">
        <f t="shared" si="18"/>
        <v>0.34090909090909299</v>
      </c>
      <c r="H52" s="3">
        <f t="shared" si="16"/>
        <v>2.2727272727272729</v>
      </c>
      <c r="I52" s="3">
        <f t="shared" si="11"/>
        <v>2.613636363636366</v>
      </c>
      <c r="K52" s="4">
        <f t="shared" si="0"/>
        <v>8116</v>
      </c>
      <c r="L52" s="7">
        <f t="shared" si="19"/>
        <v>8.4704667492810928E-2</v>
      </c>
      <c r="M52" s="7">
        <f t="shared" si="2"/>
        <v>1.9096196704768154</v>
      </c>
      <c r="Q52" s="2">
        <v>52605</v>
      </c>
      <c r="R52" s="3">
        <f t="shared" si="7"/>
        <v>13.636363636363718</v>
      </c>
      <c r="S52" s="3">
        <f t="shared" si="8"/>
        <v>0.34090909090909299</v>
      </c>
      <c r="T52" s="3">
        <f t="shared" si="17"/>
        <v>2.2727272727272729</v>
      </c>
      <c r="U52" s="3">
        <f t="shared" si="12"/>
        <v>2.613636363636366</v>
      </c>
      <c r="W52" s="4">
        <f t="shared" si="3"/>
        <v>8116</v>
      </c>
      <c r="X52" s="7">
        <f t="shared" si="20"/>
        <v>9.2462199209728743E-2</v>
      </c>
      <c r="Y52" s="7">
        <f t="shared" si="5"/>
        <v>2.0845089132948846</v>
      </c>
      <c r="AC52" s="2">
        <v>52605</v>
      </c>
      <c r="AD52" s="3">
        <f t="shared" si="9"/>
        <v>13.636363636363718</v>
      </c>
      <c r="AE52" s="3">
        <f t="shared" si="22"/>
        <v>0.34090909090909299</v>
      </c>
      <c r="AF52" s="3">
        <f t="shared" si="21"/>
        <v>2.2727272727272729</v>
      </c>
      <c r="AG52" s="3">
        <f t="shared" si="13"/>
        <v>2.613636363636366</v>
      </c>
    </row>
    <row r="53" spans="5:33" x14ac:dyDescent="0.2">
      <c r="E53" s="2">
        <v>52787</v>
      </c>
      <c r="F53" s="3">
        <f t="shared" si="14"/>
        <v>11.363636363636445</v>
      </c>
      <c r="G53" s="3">
        <f t="shared" si="18"/>
        <v>0.28409090909091111</v>
      </c>
      <c r="H53" s="3">
        <f t="shared" si="16"/>
        <v>2.2727272727272729</v>
      </c>
      <c r="I53" s="3">
        <f t="shared" si="11"/>
        <v>2.5568181818181839</v>
      </c>
      <c r="K53" s="4">
        <f t="shared" si="0"/>
        <v>8296</v>
      </c>
      <c r="L53" s="7">
        <f t="shared" si="19"/>
        <v>7.6794633971360743E-2</v>
      </c>
      <c r="M53" s="7">
        <f t="shared" si="2"/>
        <v>1.7696896761844687</v>
      </c>
      <c r="Q53" s="2">
        <v>52787</v>
      </c>
      <c r="R53" s="3">
        <f t="shared" si="7"/>
        <v>11.363636363636445</v>
      </c>
      <c r="S53" s="3">
        <f t="shared" si="8"/>
        <v>0.28409090909091111</v>
      </c>
      <c r="T53" s="3">
        <f t="shared" si="17"/>
        <v>2.2727272727272729</v>
      </c>
      <c r="U53" s="3">
        <f t="shared" si="12"/>
        <v>2.5568181818181839</v>
      </c>
      <c r="W53" s="4">
        <f t="shared" si="3"/>
        <v>8296</v>
      </c>
      <c r="X53" s="7">
        <f t="shared" si="20"/>
        <v>8.3990814491533325E-2</v>
      </c>
      <c r="Y53" s="7">
        <f t="shared" si="5"/>
        <v>1.9355216583937791</v>
      </c>
      <c r="AC53" s="2">
        <v>52787</v>
      </c>
      <c r="AD53" s="3">
        <f t="shared" si="9"/>
        <v>11.363636363636445</v>
      </c>
      <c r="AE53" s="3">
        <f t="shared" si="22"/>
        <v>0.28409090909091111</v>
      </c>
      <c r="AF53" s="3">
        <f t="shared" si="21"/>
        <v>2.2727272727272729</v>
      </c>
      <c r="AG53" s="3">
        <f t="shared" si="13"/>
        <v>2.5568181818181839</v>
      </c>
    </row>
    <row r="54" spans="5:33" x14ac:dyDescent="0.2">
      <c r="E54" s="2">
        <v>52971</v>
      </c>
      <c r="F54" s="3">
        <f t="shared" si="14"/>
        <v>9.0909090909091717</v>
      </c>
      <c r="G54" s="3">
        <f t="shared" si="18"/>
        <v>0.22727272727272929</v>
      </c>
      <c r="H54" s="3">
        <f t="shared" si="16"/>
        <v>2.2727272727272729</v>
      </c>
      <c r="I54" s="3">
        <f t="shared" si="11"/>
        <v>2.5000000000000022</v>
      </c>
      <c r="K54" s="4">
        <f t="shared" si="0"/>
        <v>8476</v>
      </c>
      <c r="L54" s="7">
        <f t="shared" si="19"/>
        <v>6.9588886624145405E-2</v>
      </c>
      <c r="M54" s="7">
        <f t="shared" si="2"/>
        <v>1.6384316750729346</v>
      </c>
      <c r="Q54" s="2">
        <v>52971</v>
      </c>
      <c r="R54" s="3">
        <f t="shared" si="7"/>
        <v>9.0909090909091717</v>
      </c>
      <c r="S54" s="3">
        <f t="shared" si="8"/>
        <v>0.22727272727272929</v>
      </c>
      <c r="T54" s="3">
        <f t="shared" si="17"/>
        <v>2.2727272727272729</v>
      </c>
      <c r="U54" s="3">
        <f t="shared" si="12"/>
        <v>2.5000000000000022</v>
      </c>
      <c r="W54" s="4">
        <f t="shared" si="3"/>
        <v>8476</v>
      </c>
      <c r="X54" s="7">
        <f t="shared" si="20"/>
        <v>7.6257901031843101E-2</v>
      </c>
      <c r="Y54" s="7">
        <f t="shared" si="5"/>
        <v>1.7954499142941724</v>
      </c>
      <c r="AC54" s="2">
        <v>52971</v>
      </c>
      <c r="AD54" s="3">
        <f t="shared" si="9"/>
        <v>9.0909090909091717</v>
      </c>
      <c r="AE54" s="3">
        <f t="shared" si="22"/>
        <v>0.22727272727272929</v>
      </c>
      <c r="AF54" s="3">
        <f t="shared" si="21"/>
        <v>2.2727272727272729</v>
      </c>
      <c r="AG54" s="3">
        <f t="shared" si="13"/>
        <v>2.5000000000000022</v>
      </c>
    </row>
    <row r="55" spans="5:33" x14ac:dyDescent="0.2">
      <c r="E55" s="2">
        <v>53152</v>
      </c>
      <c r="F55" s="3">
        <f t="shared" si="14"/>
        <v>6.8181818181818983</v>
      </c>
      <c r="G55" s="3">
        <f t="shared" si="18"/>
        <v>0.17045454545454747</v>
      </c>
      <c r="H55" s="3">
        <f t="shared" si="16"/>
        <v>2.2727272727272729</v>
      </c>
      <c r="I55" s="3">
        <f t="shared" si="11"/>
        <v>2.4431818181818206</v>
      </c>
      <c r="K55" s="4">
        <f t="shared" si="0"/>
        <v>8656</v>
      </c>
      <c r="L55" s="7">
        <f t="shared" si="19"/>
        <v>6.3026692641441409E-2</v>
      </c>
      <c r="M55" s="7">
        <f t="shared" si="2"/>
        <v>1.5154418097342135</v>
      </c>
      <c r="Q55" s="2">
        <v>53152</v>
      </c>
      <c r="R55" s="3">
        <f t="shared" si="7"/>
        <v>6.8181818181818983</v>
      </c>
      <c r="S55" s="3">
        <f t="shared" si="8"/>
        <v>0.17045454545454747</v>
      </c>
      <c r="T55" s="3">
        <f t="shared" si="17"/>
        <v>2.2727272727272729</v>
      </c>
      <c r="U55" s="3">
        <f t="shared" si="12"/>
        <v>2.4431818181818206</v>
      </c>
      <c r="W55" s="4">
        <f t="shared" si="3"/>
        <v>8656</v>
      </c>
      <c r="X55" s="7">
        <f t="shared" si="20"/>
        <v>6.9201182904470152E-2</v>
      </c>
      <c r="Y55" s="7">
        <f t="shared" si="5"/>
        <v>1.6639039978363712</v>
      </c>
      <c r="AC55" s="2">
        <v>53152</v>
      </c>
      <c r="AD55" s="3">
        <f t="shared" si="9"/>
        <v>6.8181818181818983</v>
      </c>
      <c r="AE55" s="3">
        <f t="shared" si="22"/>
        <v>0.17045454545454747</v>
      </c>
      <c r="AF55" s="3">
        <f t="shared" si="21"/>
        <v>2.2727272727272729</v>
      </c>
      <c r="AG55" s="3">
        <f t="shared" si="13"/>
        <v>2.4431818181818206</v>
      </c>
    </row>
    <row r="56" spans="5:33" x14ac:dyDescent="0.2">
      <c r="E56" s="2">
        <v>53336</v>
      </c>
      <c r="F56" s="3">
        <f t="shared" si="14"/>
        <v>4.5454545454546249</v>
      </c>
      <c r="G56" s="3">
        <f t="shared" si="18"/>
        <v>0.11363636363636563</v>
      </c>
      <c r="H56" s="3">
        <f t="shared" si="16"/>
        <v>2.2727272727272729</v>
      </c>
      <c r="I56" s="3">
        <f t="shared" si="11"/>
        <v>2.3863636363636385</v>
      </c>
      <c r="K56" s="4">
        <f t="shared" si="0"/>
        <v>8836</v>
      </c>
      <c r="L56" s="7">
        <f t="shared" si="19"/>
        <v>5.7052437434400562E-2</v>
      </c>
      <c r="M56" s="7">
        <f t="shared" si="2"/>
        <v>1.4003203810287872</v>
      </c>
      <c r="Q56" s="2">
        <v>53336</v>
      </c>
      <c r="R56" s="3">
        <f t="shared" si="7"/>
        <v>4.5454545454546249</v>
      </c>
      <c r="S56" s="3">
        <f t="shared" si="8"/>
        <v>0.11363636363636563</v>
      </c>
      <c r="T56" s="3">
        <f t="shared" si="17"/>
        <v>2.2727272727272729</v>
      </c>
      <c r="U56" s="3">
        <f t="shared" si="12"/>
        <v>2.3863636363636385</v>
      </c>
      <c r="W56" s="4">
        <f t="shared" si="3"/>
        <v>8836</v>
      </c>
      <c r="X56" s="7">
        <f t="shared" si="20"/>
        <v>6.2763513132384305E-2</v>
      </c>
      <c r="Y56" s="7">
        <f t="shared" si="5"/>
        <v>1.5404955612159659</v>
      </c>
      <c r="AC56" s="2">
        <v>53336</v>
      </c>
      <c r="AD56" s="3">
        <f t="shared" si="9"/>
        <v>4.5454545454546249</v>
      </c>
      <c r="AE56" s="3">
        <f t="shared" si="22"/>
        <v>0.11363636363636563</v>
      </c>
      <c r="AF56" s="3">
        <f t="shared" si="21"/>
        <v>2.2727272727272729</v>
      </c>
      <c r="AG56" s="3">
        <f t="shared" si="13"/>
        <v>2.3863636363636385</v>
      </c>
    </row>
    <row r="57" spans="5:33" x14ac:dyDescent="0.2">
      <c r="E57" s="2">
        <v>53517</v>
      </c>
      <c r="F57" s="3">
        <f t="shared" si="14"/>
        <v>2.272727272727352</v>
      </c>
      <c r="G57" s="3">
        <f t="shared" si="18"/>
        <v>5.6818181818183801E-2</v>
      </c>
      <c r="H57" s="3">
        <f t="shared" si="16"/>
        <v>2.2727272727272729</v>
      </c>
      <c r="I57" s="3">
        <f t="shared" si="11"/>
        <v>2.3295454545454568</v>
      </c>
      <c r="K57" s="4">
        <f t="shared" si="0"/>
        <v>9016</v>
      </c>
      <c r="L57" s="7">
        <f t="shared" si="19"/>
        <v>5.1615200699265701E-2</v>
      </c>
      <c r="M57" s="7">
        <f t="shared" si="2"/>
        <v>1.2926740264016099</v>
      </c>
      <c r="Q57" s="2">
        <v>53517</v>
      </c>
      <c r="R57" s="3">
        <f t="shared" si="7"/>
        <v>2.272727272727352</v>
      </c>
      <c r="S57" s="3">
        <f t="shared" si="8"/>
        <v>5.6818181818183801E-2</v>
      </c>
      <c r="T57" s="3">
        <f t="shared" si="17"/>
        <v>2.2727272727272729</v>
      </c>
      <c r="U57" s="3">
        <f t="shared" si="12"/>
        <v>2.3295454545454568</v>
      </c>
      <c r="W57" s="4">
        <f t="shared" si="3"/>
        <v>9016</v>
      </c>
      <c r="X57" s="7">
        <f t="shared" si="20"/>
        <v>5.6892458707951843E-2</v>
      </c>
      <c r="Y57" s="7">
        <f t="shared" si="5"/>
        <v>1.4248400214191494</v>
      </c>
      <c r="AC57" s="2">
        <v>53517</v>
      </c>
      <c r="AD57" s="3">
        <f t="shared" si="9"/>
        <v>2.272727272727352</v>
      </c>
      <c r="AE57" s="3">
        <f t="shared" si="22"/>
        <v>5.6818181818183801E-2</v>
      </c>
      <c r="AF57" s="3">
        <f t="shared" si="21"/>
        <v>2.2727272727272729</v>
      </c>
      <c r="AG57" s="3">
        <f t="shared" si="13"/>
        <v>2.3295454545454568</v>
      </c>
    </row>
    <row r="58" spans="5:33" x14ac:dyDescent="0.2">
      <c r="L58" s="7">
        <f>SUM(L7:L57)</f>
        <v>35.063840958217178</v>
      </c>
      <c r="M58" s="7">
        <f>SUM(M7:M57)</f>
        <v>269.60134870342404</v>
      </c>
      <c r="X58" s="7">
        <f>SUM(X7:X57)</f>
        <v>36.133958560351005</v>
      </c>
      <c r="Y58" s="7">
        <f>SUM(Y7:Y57)</f>
        <v>281.12025506705851</v>
      </c>
    </row>
    <row r="59" spans="5:33" ht="15" x14ac:dyDescent="0.25">
      <c r="H59" s="6" t="s">
        <v>5</v>
      </c>
      <c r="I59" s="5">
        <f>XIRR(I6:I57,E6:E57)</f>
        <v>0.16429303288459784</v>
      </c>
      <c r="T59" s="6" t="s">
        <v>5</v>
      </c>
      <c r="U59" s="5">
        <f>XIRR(U6:U57,Q6:Q57)</f>
        <v>0.15977626442909246</v>
      </c>
    </row>
    <row r="60" spans="5:33" ht="15" x14ac:dyDescent="0.25">
      <c r="H60" s="6" t="s">
        <v>8</v>
      </c>
      <c r="I60" s="3">
        <f>M60/(1+(I59/2))</f>
        <v>7.105203268937764</v>
      </c>
      <c r="L60" s="4" t="s">
        <v>7</v>
      </c>
      <c r="M60" s="3">
        <f>M58/L58</f>
        <v>7.6888709660954362</v>
      </c>
      <c r="T60" s="6" t="s">
        <v>8</v>
      </c>
      <c r="U60" s="3">
        <f>Y60/(1+(U59/2))</f>
        <v>7.2044001676840024</v>
      </c>
      <c r="X60" s="4" t="s">
        <v>7</v>
      </c>
      <c r="Y60" s="3">
        <f>Y58/X58</f>
        <v>7.7799462408064404</v>
      </c>
      <c r="AF60" s="6"/>
      <c r="AG60" s="5"/>
    </row>
    <row r="61" spans="5:33" ht="15" x14ac:dyDescent="0.25">
      <c r="AF61" s="6"/>
      <c r="AG61" s="3"/>
    </row>
  </sheetData>
  <mergeCells count="3">
    <mergeCell ref="E3:M3"/>
    <mergeCell ref="Q3:Y3"/>
    <mergeCell ref="AC3:AH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4:W49"/>
  <sheetViews>
    <sheetView showGridLines="0" zoomScaleNormal="100" workbookViewId="0">
      <selection activeCell="W39" sqref="W39"/>
    </sheetView>
  </sheetViews>
  <sheetFormatPr baseColWidth="10" defaultRowHeight="15" x14ac:dyDescent="0.25"/>
  <cols>
    <col min="2" max="2" width="7.28515625" style="13" customWidth="1"/>
    <col min="3" max="3" width="6.85546875" style="13" bestFit="1" customWidth="1"/>
    <col min="4" max="4" width="7.7109375" style="13" bestFit="1" customWidth="1"/>
    <col min="5" max="5" width="10.5703125" style="13" customWidth="1"/>
    <col min="6" max="6" width="7.28515625" customWidth="1"/>
    <col min="7" max="7" width="6.85546875" bestFit="1" customWidth="1"/>
    <col min="8" max="8" width="7.7109375" bestFit="1" customWidth="1"/>
    <col min="9" max="9" width="9.5703125" bestFit="1" customWidth="1"/>
    <col min="10" max="10" width="8.5703125" bestFit="1" customWidth="1"/>
    <col min="11" max="11" width="9.140625" bestFit="1" customWidth="1"/>
    <col min="15" max="15" width="14" customWidth="1"/>
    <col min="19" max="19" width="18.28515625" bestFit="1" customWidth="1"/>
  </cols>
  <sheetData>
    <row r="4" spans="2:9" x14ac:dyDescent="0.25">
      <c r="B4" s="154" t="s">
        <v>179</v>
      </c>
      <c r="C4"/>
      <c r="D4"/>
      <c r="E4"/>
    </row>
    <row r="5" spans="2:9" ht="15.75" x14ac:dyDescent="0.25">
      <c r="B5" s="280" t="s">
        <v>181</v>
      </c>
      <c r="C5" s="280"/>
      <c r="D5" s="280"/>
      <c r="E5" s="280"/>
      <c r="F5" s="280"/>
      <c r="G5" s="280"/>
      <c r="H5" s="280"/>
      <c r="I5" s="280"/>
    </row>
    <row r="6" spans="2:9" x14ac:dyDescent="0.25">
      <c r="B6" s="329" t="s">
        <v>178</v>
      </c>
      <c r="C6" s="329"/>
      <c r="D6" s="329"/>
      <c r="E6" s="329"/>
      <c r="F6" s="329"/>
      <c r="G6" s="329"/>
      <c r="H6" s="329"/>
      <c r="I6" s="329"/>
    </row>
    <row r="7" spans="2:9" x14ac:dyDescent="0.25">
      <c r="B7" s="330" t="s">
        <v>176</v>
      </c>
      <c r="C7" s="331"/>
      <c r="D7" s="331"/>
      <c r="E7" s="330"/>
      <c r="F7" s="332" t="s">
        <v>177</v>
      </c>
      <c r="G7" s="330"/>
      <c r="H7" s="330"/>
      <c r="I7" s="330"/>
    </row>
    <row r="8" spans="2:9" x14ac:dyDescent="0.25">
      <c r="B8" s="181" t="s">
        <v>31</v>
      </c>
      <c r="C8" s="185">
        <v>44560</v>
      </c>
      <c r="D8" s="185">
        <v>44241</v>
      </c>
      <c r="E8" s="181" t="s">
        <v>111</v>
      </c>
      <c r="F8" s="182" t="s">
        <v>31</v>
      </c>
      <c r="G8" s="185">
        <v>44560</v>
      </c>
      <c r="H8" s="185">
        <v>44241</v>
      </c>
      <c r="I8" s="181" t="s">
        <v>111</v>
      </c>
    </row>
    <row r="9" spans="2:9" x14ac:dyDescent="0.25">
      <c r="B9" s="178" t="s">
        <v>20</v>
      </c>
      <c r="C9" s="179">
        <v>42.35</v>
      </c>
      <c r="D9" s="11">
        <f>+Monitor!D8</f>
        <v>39.21</v>
      </c>
      <c r="E9" s="12">
        <f t="shared" ref="E9:E13" si="0">(D9-C9)/C9</f>
        <v>-7.4144037780401434E-2</v>
      </c>
      <c r="F9" s="183" t="s">
        <v>25</v>
      </c>
      <c r="G9" s="179">
        <v>44.9</v>
      </c>
      <c r="H9" s="11">
        <f>+Monitor!D14</f>
        <v>43.2</v>
      </c>
      <c r="I9" s="12">
        <f t="shared" ref="I9:I14" si="1">(H9-G9)/G9</f>
        <v>-3.78619153674832E-2</v>
      </c>
    </row>
    <row r="10" spans="2:9" x14ac:dyDescent="0.25">
      <c r="B10" s="178" t="s">
        <v>15</v>
      </c>
      <c r="C10" s="11">
        <v>40.94</v>
      </c>
      <c r="D10" s="11">
        <f>+Monitor!D9</f>
        <v>37.299999999999997</v>
      </c>
      <c r="E10" s="12">
        <f t="shared" si="0"/>
        <v>-8.8910600879335638E-2</v>
      </c>
      <c r="F10" s="183" t="s">
        <v>26</v>
      </c>
      <c r="G10" s="11">
        <v>41.59</v>
      </c>
      <c r="H10" s="11">
        <f>+Monitor!D15</f>
        <v>39.71</v>
      </c>
      <c r="I10" s="12">
        <f t="shared" si="1"/>
        <v>-4.5203173839865413E-2</v>
      </c>
    </row>
    <row r="11" spans="2:9" x14ac:dyDescent="0.25">
      <c r="B11" s="178" t="s">
        <v>16</v>
      </c>
      <c r="C11" s="11">
        <v>36.5</v>
      </c>
      <c r="D11" s="11">
        <f>+Monitor!D10</f>
        <v>33.81</v>
      </c>
      <c r="E11" s="12">
        <f t="shared" si="0"/>
        <v>-7.3698630136986243E-2</v>
      </c>
      <c r="F11" s="183" t="s">
        <v>27</v>
      </c>
      <c r="G11" s="11">
        <v>37.1</v>
      </c>
      <c r="H11" s="11">
        <f>+Monitor!D16</f>
        <v>35.25</v>
      </c>
      <c r="I11" s="12">
        <f t="shared" si="1"/>
        <v>-4.9865229110512166E-2</v>
      </c>
    </row>
    <row r="12" spans="2:9" x14ac:dyDescent="0.25">
      <c r="B12" s="178" t="s">
        <v>17</v>
      </c>
      <c r="C12" s="11">
        <v>38.200000000000003</v>
      </c>
      <c r="D12" s="11">
        <f>+Monitor!D11</f>
        <v>37.9</v>
      </c>
      <c r="E12" s="12">
        <f t="shared" si="0"/>
        <v>-7.8534031413613672E-3</v>
      </c>
      <c r="F12" s="183" t="s">
        <v>28</v>
      </c>
      <c r="G12" s="11">
        <v>41.6</v>
      </c>
      <c r="H12" s="11">
        <f>+Monitor!D17</f>
        <v>41.75</v>
      </c>
      <c r="I12" s="12">
        <f t="shared" si="1"/>
        <v>3.6057692307691963E-3</v>
      </c>
    </row>
    <row r="13" spans="2:9" x14ac:dyDescent="0.25">
      <c r="B13" s="178" t="s">
        <v>21</v>
      </c>
      <c r="C13" s="11">
        <v>35.9</v>
      </c>
      <c r="D13" s="11">
        <f>+Monitor!D12</f>
        <v>36.9</v>
      </c>
      <c r="E13" s="12">
        <f t="shared" si="0"/>
        <v>2.7855153203342621E-2</v>
      </c>
      <c r="F13" s="183" t="s">
        <v>29</v>
      </c>
      <c r="G13" s="11">
        <v>38.979999999999997</v>
      </c>
      <c r="H13" s="11">
        <f>+Monitor!D18</f>
        <v>39.19</v>
      </c>
      <c r="I13" s="12">
        <f t="shared" si="1"/>
        <v>5.3873781426372726E-3</v>
      </c>
    </row>
    <row r="14" spans="2:9" x14ac:dyDescent="0.25">
      <c r="F14" s="183" t="s">
        <v>30</v>
      </c>
      <c r="G14" s="179">
        <v>37.700000000000003</v>
      </c>
      <c r="H14" s="11">
        <f>+Monitor!D19</f>
        <v>36.1</v>
      </c>
      <c r="I14" s="12">
        <f t="shared" si="1"/>
        <v>-4.24403183023873E-2</v>
      </c>
    </row>
    <row r="15" spans="2:9" ht="6" customHeight="1" x14ac:dyDescent="0.25">
      <c r="F15" s="13"/>
      <c r="G15" s="13"/>
      <c r="H15" s="13"/>
      <c r="I15" s="51"/>
    </row>
    <row r="16" spans="2:9" x14ac:dyDescent="0.25">
      <c r="B16" s="15" t="s">
        <v>44</v>
      </c>
      <c r="C16" s="15"/>
      <c r="D16" s="15"/>
      <c r="E16" s="180">
        <f>AVERAGE(E9:E13)</f>
        <v>-4.3350303746948413E-2</v>
      </c>
      <c r="F16" s="15"/>
      <c r="G16" s="15"/>
      <c r="H16" s="15"/>
      <c r="I16" s="180">
        <f>AVERAGE(I9:I14)</f>
        <v>-2.7729581541140271E-2</v>
      </c>
    </row>
    <row r="17" spans="2:23" x14ac:dyDescent="0.25">
      <c r="S17" s="154" t="s">
        <v>41</v>
      </c>
    </row>
    <row r="18" spans="2:23" ht="15.75" x14ac:dyDescent="0.25">
      <c r="B18" s="309" t="s">
        <v>40</v>
      </c>
      <c r="C18" s="309"/>
      <c r="D18" s="309"/>
      <c r="E18" s="309"/>
      <c r="F18" s="309"/>
      <c r="G18" s="309"/>
      <c r="H18" s="309"/>
      <c r="I18" s="309"/>
      <c r="S18" s="280" t="s">
        <v>112</v>
      </c>
      <c r="T18" s="280"/>
      <c r="U18" s="280"/>
      <c r="V18" s="280"/>
      <c r="W18" s="280"/>
    </row>
    <row r="19" spans="2:23" x14ac:dyDescent="0.25">
      <c r="S19" s="303" t="s">
        <v>113</v>
      </c>
      <c r="T19" s="303"/>
      <c r="U19" s="303"/>
      <c r="V19" s="303"/>
      <c r="W19" s="303"/>
    </row>
    <row r="20" spans="2:23" ht="28.5" x14ac:dyDescent="0.25">
      <c r="S20" s="126" t="s">
        <v>114</v>
      </c>
      <c r="T20" s="127">
        <v>44089</v>
      </c>
      <c r="U20" s="129" t="s">
        <v>115</v>
      </c>
      <c r="V20" s="126" t="s">
        <v>116</v>
      </c>
      <c r="W20" s="126" t="s">
        <v>117</v>
      </c>
    </row>
    <row r="21" spans="2:23" ht="15.75" x14ac:dyDescent="0.25">
      <c r="B21" s="280" t="s">
        <v>182</v>
      </c>
      <c r="C21" s="280"/>
      <c r="D21" s="280"/>
      <c r="E21" s="280"/>
      <c r="F21" s="280"/>
      <c r="G21" s="280"/>
      <c r="H21" s="280"/>
      <c r="I21" s="280"/>
      <c r="S21" s="125" t="s">
        <v>118</v>
      </c>
      <c r="T21" s="50">
        <v>17379</v>
      </c>
      <c r="U21" s="130">
        <v>15779</v>
      </c>
      <c r="V21" s="50">
        <f>U21-T21</f>
        <v>-1600</v>
      </c>
      <c r="W21" s="51">
        <f>V21/T21</f>
        <v>-9.2065136083779267E-2</v>
      </c>
    </row>
    <row r="22" spans="2:23" x14ac:dyDescent="0.25">
      <c r="B22" s="329" t="s">
        <v>178</v>
      </c>
      <c r="C22" s="329"/>
      <c r="D22" s="329"/>
      <c r="E22" s="329"/>
      <c r="F22" s="329"/>
      <c r="G22" s="329"/>
      <c r="H22" s="329"/>
      <c r="I22" s="329"/>
      <c r="S22" s="125" t="s">
        <v>119</v>
      </c>
      <c r="T22" s="50">
        <v>42494.6</v>
      </c>
      <c r="U22" s="130">
        <v>39823</v>
      </c>
      <c r="V22" s="50">
        <f>U22-T22</f>
        <v>-2671.5999999999985</v>
      </c>
      <c r="W22" s="51">
        <f>V22/T22</f>
        <v>-6.2869164552672538E-2</v>
      </c>
    </row>
    <row r="23" spans="2:23" x14ac:dyDescent="0.25">
      <c r="B23" s="330" t="s">
        <v>176</v>
      </c>
      <c r="C23" s="331"/>
      <c r="D23" s="331"/>
      <c r="E23" s="330"/>
      <c r="F23" s="332" t="s">
        <v>177</v>
      </c>
      <c r="G23" s="330"/>
      <c r="H23" s="330"/>
      <c r="I23" s="330"/>
      <c r="S23" s="125" t="s">
        <v>120</v>
      </c>
      <c r="T23" s="128">
        <v>129.9</v>
      </c>
      <c r="U23" s="131">
        <v>148.80000000000001</v>
      </c>
      <c r="V23" s="128">
        <f>U23-T23</f>
        <v>18.900000000000006</v>
      </c>
      <c r="W23" s="51">
        <f>V23/T23</f>
        <v>0.14549653579676677</v>
      </c>
    </row>
    <row r="24" spans="2:23" x14ac:dyDescent="0.25">
      <c r="B24" s="181" t="s">
        <v>31</v>
      </c>
      <c r="C24" s="185">
        <v>44232</v>
      </c>
      <c r="D24" s="185">
        <v>44239</v>
      </c>
      <c r="E24" s="181" t="s">
        <v>111</v>
      </c>
      <c r="F24" s="182" t="s">
        <v>31</v>
      </c>
      <c r="G24" s="185">
        <v>44232</v>
      </c>
      <c r="H24" s="185">
        <v>44239</v>
      </c>
      <c r="I24" s="181" t="s">
        <v>111</v>
      </c>
      <c r="S24" s="125" t="s">
        <v>123</v>
      </c>
      <c r="T24" s="128">
        <v>75.19</v>
      </c>
      <c r="U24" s="131">
        <v>90.86</v>
      </c>
      <c r="V24" s="128">
        <f>U24-T24</f>
        <v>15.670000000000002</v>
      </c>
      <c r="W24" s="51">
        <f>V24/T24</f>
        <v>0.20840537305492754</v>
      </c>
    </row>
    <row r="25" spans="2:23" x14ac:dyDescent="0.25">
      <c r="B25" s="178" t="s">
        <v>20</v>
      </c>
      <c r="C25" s="179">
        <v>39.479999999999997</v>
      </c>
      <c r="D25" s="11">
        <f>+Monitor!D8</f>
        <v>39.21</v>
      </c>
      <c r="E25" s="12">
        <f t="shared" ref="E25:E29" si="2">(D25-C25)/C25</f>
        <v>-6.8389057750758873E-3</v>
      </c>
      <c r="F25" s="183" t="s">
        <v>25</v>
      </c>
      <c r="G25" s="179">
        <v>43.52</v>
      </c>
      <c r="H25" s="11">
        <f>+Monitor!D14</f>
        <v>43.2</v>
      </c>
      <c r="I25" s="12">
        <f t="shared" ref="I25:I30" si="3">(H25-G25)/G25</f>
        <v>-7.3529411764705942E-3</v>
      </c>
      <c r="S25" s="125" t="s">
        <v>121</v>
      </c>
      <c r="T25" s="51">
        <f>T23/T24-1</f>
        <v>0.72762335416943746</v>
      </c>
      <c r="U25" s="132">
        <f>U23/U24-1</f>
        <v>0.63768434954875652</v>
      </c>
      <c r="V25" s="128" t="s">
        <v>48</v>
      </c>
      <c r="W25" s="51" t="s">
        <v>185</v>
      </c>
    </row>
    <row r="26" spans="2:23" x14ac:dyDescent="0.25">
      <c r="B26" s="178" t="s">
        <v>15</v>
      </c>
      <c r="C26" s="11">
        <v>37.619999999999997</v>
      </c>
      <c r="D26" s="11">
        <f>+Monitor!D9</f>
        <v>37.299999999999997</v>
      </c>
      <c r="E26" s="12">
        <f t="shared" si="2"/>
        <v>-8.5061137692716716E-3</v>
      </c>
      <c r="F26" s="183" t="s">
        <v>26</v>
      </c>
      <c r="G26" s="11">
        <v>39.979999999999997</v>
      </c>
      <c r="H26" s="11">
        <f>+Monitor!D15</f>
        <v>39.71</v>
      </c>
      <c r="I26" s="12">
        <f t="shared" si="3"/>
        <v>-6.7533766883440729E-3</v>
      </c>
      <c r="S26" s="125" t="s">
        <v>122</v>
      </c>
      <c r="T26" s="128">
        <v>48.5</v>
      </c>
      <c r="U26" s="131">
        <v>33.799999999999997</v>
      </c>
      <c r="V26" s="128">
        <f>U26-T26</f>
        <v>-14.700000000000003</v>
      </c>
      <c r="W26" s="51">
        <f>V26/T26</f>
        <v>-0.30309278350515467</v>
      </c>
    </row>
    <row r="27" spans="2:23" x14ac:dyDescent="0.25">
      <c r="B27" s="178" t="s">
        <v>16</v>
      </c>
      <c r="C27" s="11">
        <v>34.11</v>
      </c>
      <c r="D27" s="11">
        <f>+Monitor!D10</f>
        <v>33.81</v>
      </c>
      <c r="E27" s="12">
        <f t="shared" si="2"/>
        <v>-8.7950747581353617E-3</v>
      </c>
      <c r="F27" s="183" t="s">
        <v>27</v>
      </c>
      <c r="G27" s="11">
        <v>35.549999999999997</v>
      </c>
      <c r="H27" s="11">
        <f>+Monitor!D16</f>
        <v>35.25</v>
      </c>
      <c r="I27" s="12">
        <f t="shared" si="3"/>
        <v>-8.4388185654007651E-3</v>
      </c>
    </row>
    <row r="28" spans="2:23" x14ac:dyDescent="0.25">
      <c r="B28" s="178" t="s">
        <v>17</v>
      </c>
      <c r="C28" s="11">
        <v>36</v>
      </c>
      <c r="D28" s="11">
        <f>+Monitor!D11</f>
        <v>37.9</v>
      </c>
      <c r="E28" s="12">
        <f t="shared" si="2"/>
        <v>5.2777777777777736E-2</v>
      </c>
      <c r="F28" s="183" t="s">
        <v>28</v>
      </c>
      <c r="G28" s="11">
        <v>40.75</v>
      </c>
      <c r="H28" s="11">
        <f>+Monitor!D17</f>
        <v>41.75</v>
      </c>
      <c r="I28" s="12">
        <f t="shared" si="3"/>
        <v>2.4539877300613498E-2</v>
      </c>
      <c r="S28" s="285" t="s">
        <v>187</v>
      </c>
      <c r="T28" s="285"/>
      <c r="U28" s="285"/>
      <c r="V28" s="285"/>
      <c r="W28" s="285"/>
    </row>
    <row r="29" spans="2:23" x14ac:dyDescent="0.25">
      <c r="B29" s="178" t="s">
        <v>21</v>
      </c>
      <c r="C29" s="11">
        <v>33.75</v>
      </c>
      <c r="D29" s="11">
        <f>+Monitor!D12</f>
        <v>36.9</v>
      </c>
      <c r="E29" s="12">
        <f t="shared" si="2"/>
        <v>9.3333333333333296E-2</v>
      </c>
      <c r="F29" s="183" t="s">
        <v>29</v>
      </c>
      <c r="G29" s="11">
        <v>37.4</v>
      </c>
      <c r="H29" s="11">
        <f>+Monitor!D18</f>
        <v>39.19</v>
      </c>
      <c r="I29" s="12">
        <f t="shared" si="3"/>
        <v>4.7860962566844897E-2</v>
      </c>
      <c r="S29" s="285" t="s">
        <v>186</v>
      </c>
      <c r="T29" s="285"/>
      <c r="U29" s="285"/>
      <c r="V29" s="285"/>
      <c r="W29" s="285"/>
    </row>
    <row r="30" spans="2:23" x14ac:dyDescent="0.25">
      <c r="F30" s="183" t="s">
        <v>30</v>
      </c>
      <c r="G30" s="179">
        <v>35.9</v>
      </c>
      <c r="H30" s="11">
        <f>+Monitor!D19</f>
        <v>36.1</v>
      </c>
      <c r="I30" s="12">
        <f t="shared" si="3"/>
        <v>5.5710306406686035E-3</v>
      </c>
    </row>
    <row r="31" spans="2:23" x14ac:dyDescent="0.25">
      <c r="F31" s="13"/>
      <c r="G31" s="13"/>
      <c r="H31" s="13"/>
      <c r="I31" s="51"/>
    </row>
    <row r="32" spans="2:23" x14ac:dyDescent="0.25">
      <c r="B32" s="15" t="s">
        <v>44</v>
      </c>
      <c r="C32" s="15"/>
      <c r="D32" s="15"/>
      <c r="E32" s="180">
        <f>AVERAGE(E25:E29)</f>
        <v>2.4394203361725621E-2</v>
      </c>
      <c r="F32" s="15"/>
      <c r="G32" s="15"/>
      <c r="H32" s="15"/>
      <c r="I32" s="180">
        <f>AVERAGE(I25:I30)</f>
        <v>9.2377890129852619E-3</v>
      </c>
      <c r="N32" s="13"/>
      <c r="O32" s="13"/>
      <c r="P32" s="13"/>
      <c r="Q32" s="13"/>
      <c r="R32" s="13"/>
    </row>
    <row r="33" spans="14:19" x14ac:dyDescent="0.25">
      <c r="N33" s="13"/>
      <c r="O33" s="13"/>
      <c r="P33" s="13"/>
      <c r="Q33" s="13"/>
      <c r="R33" s="13"/>
    </row>
    <row r="34" spans="14:19" x14ac:dyDescent="0.25">
      <c r="N34" s="13"/>
      <c r="O34" s="13"/>
      <c r="P34" s="13"/>
      <c r="Q34" s="13"/>
      <c r="R34" s="13"/>
    </row>
    <row r="35" spans="14:19" x14ac:dyDescent="0.25">
      <c r="N35" s="13"/>
      <c r="O35" s="143" t="s">
        <v>145</v>
      </c>
      <c r="P35" s="13"/>
      <c r="Q35" s="13"/>
      <c r="R35" s="13"/>
    </row>
    <row r="36" spans="14:19" x14ac:dyDescent="0.25">
      <c r="N36" s="13"/>
      <c r="O36" s="297" t="s">
        <v>138</v>
      </c>
      <c r="P36" s="297"/>
      <c r="Q36" s="297"/>
      <c r="R36" s="13"/>
    </row>
    <row r="37" spans="14:19" x14ac:dyDescent="0.25">
      <c r="N37" s="13"/>
      <c r="O37" s="303" t="s">
        <v>143</v>
      </c>
      <c r="P37" s="303"/>
      <c r="Q37" s="303"/>
      <c r="R37" s="140"/>
      <c r="S37" s="140"/>
    </row>
    <row r="38" spans="14:19" x14ac:dyDescent="0.25">
      <c r="N38" s="13"/>
      <c r="O38" s="49" t="s">
        <v>31</v>
      </c>
      <c r="P38" s="139" t="s">
        <v>21</v>
      </c>
      <c r="Q38" s="139" t="s">
        <v>16</v>
      </c>
      <c r="R38" s="13"/>
    </row>
    <row r="39" spans="14:19" x14ac:dyDescent="0.25">
      <c r="N39" s="13"/>
      <c r="O39" s="49" t="s">
        <v>139</v>
      </c>
      <c r="P39" s="139">
        <v>35.799999999999997</v>
      </c>
      <c r="Q39" s="139">
        <v>37.67</v>
      </c>
      <c r="R39" s="13"/>
    </row>
    <row r="40" spans="14:19" x14ac:dyDescent="0.25">
      <c r="N40" s="13"/>
      <c r="O40" s="49" t="s">
        <v>24</v>
      </c>
      <c r="P40" s="51">
        <v>0.3579428285759913</v>
      </c>
      <c r="Q40" s="51">
        <v>0.37663984224741887</v>
      </c>
      <c r="R40" s="13"/>
    </row>
    <row r="41" spans="14:19" x14ac:dyDescent="0.25">
      <c r="N41" s="13"/>
      <c r="O41" s="49" t="s">
        <v>5</v>
      </c>
      <c r="P41" s="51">
        <v>0.14688637852668765</v>
      </c>
      <c r="Q41" s="51">
        <v>0.14166529774665834</v>
      </c>
      <c r="R41" s="13"/>
    </row>
    <row r="42" spans="14:19" x14ac:dyDescent="0.25">
      <c r="N42" s="13"/>
      <c r="O42" s="49" t="s">
        <v>141</v>
      </c>
      <c r="P42" s="139">
        <v>6.09</v>
      </c>
      <c r="Q42" s="139">
        <v>2.71</v>
      </c>
      <c r="R42" s="13"/>
    </row>
    <row r="43" spans="14:19" x14ac:dyDescent="0.25">
      <c r="N43" s="13"/>
      <c r="O43" s="49" t="s">
        <v>140</v>
      </c>
      <c r="P43" s="142">
        <v>46753</v>
      </c>
      <c r="Q43" s="142">
        <v>47849</v>
      </c>
      <c r="R43" s="13"/>
    </row>
    <row r="44" spans="14:19" ht="4.5" customHeight="1" x14ac:dyDescent="0.25">
      <c r="N44" s="13"/>
      <c r="O44" s="13"/>
      <c r="P44" s="13"/>
      <c r="Q44" s="13"/>
      <c r="R44" s="13"/>
    </row>
    <row r="45" spans="14:19" x14ac:dyDescent="0.25">
      <c r="N45" s="13"/>
      <c r="O45" s="285" t="s">
        <v>142</v>
      </c>
      <c r="P45" s="285"/>
      <c r="Q45" s="285"/>
      <c r="R45" s="25"/>
      <c r="S45" s="25"/>
    </row>
    <row r="46" spans="14:19" x14ac:dyDescent="0.25">
      <c r="N46" s="13"/>
      <c r="O46" s="285" t="s">
        <v>40</v>
      </c>
      <c r="P46" s="285"/>
      <c r="Q46" s="285"/>
      <c r="R46" s="25"/>
      <c r="S46" s="25"/>
    </row>
    <row r="47" spans="14:19" x14ac:dyDescent="0.25">
      <c r="N47" s="13"/>
      <c r="O47" s="13"/>
      <c r="P47" s="13"/>
      <c r="Q47" s="13"/>
      <c r="R47" s="13"/>
    </row>
    <row r="48" spans="14:19" x14ac:dyDescent="0.25">
      <c r="N48" s="13"/>
      <c r="O48" s="13"/>
      <c r="P48" s="13"/>
      <c r="Q48" s="13"/>
      <c r="R48" s="13"/>
    </row>
    <row r="49" spans="14:18" x14ac:dyDescent="0.25">
      <c r="N49" s="13"/>
      <c r="O49" s="13"/>
      <c r="P49" s="13"/>
      <c r="Q49" s="13"/>
      <c r="R49" s="13"/>
    </row>
  </sheetData>
  <mergeCells count="17">
    <mergeCell ref="B18:I18"/>
    <mergeCell ref="S28:W28"/>
    <mergeCell ref="S29:W29"/>
    <mergeCell ref="B5:I5"/>
    <mergeCell ref="B6:I6"/>
    <mergeCell ref="B7:E7"/>
    <mergeCell ref="F7:I7"/>
    <mergeCell ref="B21:I21"/>
    <mergeCell ref="B22:I22"/>
    <mergeCell ref="B23:E23"/>
    <mergeCell ref="F23:I23"/>
    <mergeCell ref="O45:Q45"/>
    <mergeCell ref="O46:Q46"/>
    <mergeCell ref="O37:Q37"/>
    <mergeCell ref="S18:W18"/>
    <mergeCell ref="S19:W19"/>
    <mergeCell ref="O36:Q36"/>
  </mergeCells>
  <conditionalFormatting sqref="W21:W24 W2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{DA529EA8-2D00-4010-B8AC-390FDD7A4DAC}</x14:id>
        </ext>
      </extLst>
    </cfRule>
  </conditionalFormatting>
  <conditionalFormatting sqref="E9:E1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{3CC6406F-6236-4F0C-9932-0C377F6F99FE}</x14:id>
        </ext>
      </extLst>
    </cfRule>
  </conditionalFormatting>
  <conditionalFormatting sqref="I9:I1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{EC797DA2-81F2-424A-9EC8-655864181FE6}</x14:id>
        </ext>
      </extLst>
    </cfRule>
  </conditionalFormatting>
  <conditionalFormatting sqref="E25:E2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{898E3077-5C36-4702-A950-39C3DB977780}</x14:id>
        </ext>
      </extLst>
    </cfRule>
  </conditionalFormatting>
  <conditionalFormatting sqref="I25:I3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{A9060E38-7356-47DE-A4F9-9C14921169DA}</x14:id>
        </ext>
      </extLst>
    </cfRule>
  </conditionalFormatting>
  <conditionalFormatting sqref="W21:W2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{10951507-86E1-46A5-8AB7-078EE2AB687C}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529EA8-2D00-4010-B8AC-390FDD7A4DA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W21:W24 W26</xm:sqref>
        </x14:conditionalFormatting>
        <x14:conditionalFormatting xmlns:xm="http://schemas.microsoft.com/office/excel/2006/main">
          <x14:cfRule type="dataBar" id="{3CC6406F-6236-4F0C-9932-0C377F6F99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E9:E13</xm:sqref>
        </x14:conditionalFormatting>
        <x14:conditionalFormatting xmlns:xm="http://schemas.microsoft.com/office/excel/2006/main">
          <x14:cfRule type="dataBar" id="{EC797DA2-81F2-424A-9EC8-655864181F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I9:I15</xm:sqref>
        </x14:conditionalFormatting>
        <x14:conditionalFormatting xmlns:xm="http://schemas.microsoft.com/office/excel/2006/main">
          <x14:cfRule type="dataBar" id="{898E3077-5C36-4702-A950-39C3DB9777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E25:E29</xm:sqref>
        </x14:conditionalFormatting>
        <x14:conditionalFormatting xmlns:xm="http://schemas.microsoft.com/office/excel/2006/main">
          <x14:cfRule type="dataBar" id="{A9060E38-7356-47DE-A4F9-9C14921169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I25:I31</xm:sqref>
        </x14:conditionalFormatting>
        <x14:conditionalFormatting xmlns:xm="http://schemas.microsoft.com/office/excel/2006/main">
          <x14:cfRule type="dataBar" id="{10951507-86E1-46A5-8AB7-078EE2AB6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W21:W26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A53"/>
  <sheetViews>
    <sheetView showGridLines="0" topLeftCell="A11" zoomScaleNormal="100" workbookViewId="0">
      <selection activeCell="Q19" sqref="A19:Q20"/>
    </sheetView>
  </sheetViews>
  <sheetFormatPr baseColWidth="10" defaultRowHeight="15" x14ac:dyDescent="0.25"/>
  <cols>
    <col min="21" max="21" width="14.7109375" customWidth="1"/>
    <col min="22" max="22" width="8.5703125" bestFit="1" customWidth="1"/>
    <col min="23" max="23" width="13.5703125" bestFit="1" customWidth="1"/>
    <col min="24" max="24" width="8.7109375" customWidth="1"/>
  </cols>
  <sheetData>
    <row r="3" spans="1:15" s="4" customFormat="1" ht="15.75" x14ac:dyDescent="0.25">
      <c r="B3" s="272" t="s">
        <v>88</v>
      </c>
      <c r="C3" s="272"/>
      <c r="D3" s="272"/>
      <c r="E3" s="272"/>
      <c r="F3" s="272"/>
      <c r="G3" s="272"/>
      <c r="H3" s="272"/>
      <c r="I3" s="97"/>
      <c r="J3" s="296" t="s">
        <v>89</v>
      </c>
      <c r="K3" s="296"/>
      <c r="L3" s="296"/>
      <c r="M3" s="296"/>
      <c r="N3" s="296"/>
      <c r="O3" s="296"/>
    </row>
    <row r="4" spans="1:15" s="4" customFormat="1" ht="30" x14ac:dyDescent="0.2">
      <c r="B4" s="72" t="s">
        <v>31</v>
      </c>
      <c r="C4" s="72" t="s">
        <v>19</v>
      </c>
      <c r="D4" s="72" t="s">
        <v>81</v>
      </c>
      <c r="E4" s="72" t="s">
        <v>82</v>
      </c>
      <c r="F4" s="72" t="s">
        <v>83</v>
      </c>
      <c r="G4" s="72" t="s">
        <v>84</v>
      </c>
      <c r="H4" s="72" t="s">
        <v>90</v>
      </c>
      <c r="I4" s="96"/>
      <c r="J4" s="72" t="s">
        <v>31</v>
      </c>
      <c r="K4" s="72" t="s">
        <v>18</v>
      </c>
      <c r="L4" s="62" t="s">
        <v>5</v>
      </c>
      <c r="M4" s="62" t="s">
        <v>22</v>
      </c>
      <c r="N4" s="62" t="s">
        <v>23</v>
      </c>
      <c r="O4" s="62" t="s">
        <v>24</v>
      </c>
    </row>
    <row r="5" spans="1:15" s="4" customFormat="1" ht="14.25" x14ac:dyDescent="0.2">
      <c r="A5" s="55"/>
      <c r="B5" s="112" t="s">
        <v>52</v>
      </c>
      <c r="C5" s="112"/>
      <c r="D5" s="76"/>
      <c r="E5" s="76"/>
      <c r="F5" s="76"/>
      <c r="G5" s="76"/>
      <c r="H5" s="76"/>
      <c r="I5" s="97"/>
      <c r="J5" s="112" t="s">
        <v>100</v>
      </c>
      <c r="K5" s="112"/>
      <c r="L5" s="112"/>
      <c r="M5" s="112"/>
      <c r="N5" s="112"/>
      <c r="O5" s="76"/>
    </row>
    <row r="6" spans="1:15" s="4" customFormat="1" ht="14.25" x14ac:dyDescent="0.2">
      <c r="A6" s="55"/>
      <c r="B6" s="43" t="s">
        <v>20</v>
      </c>
      <c r="C6" s="93">
        <f>+Monitor!C8</f>
        <v>6300</v>
      </c>
      <c r="D6" s="66" t="s">
        <v>48</v>
      </c>
      <c r="E6" s="39" t="s">
        <v>48</v>
      </c>
      <c r="F6" s="3">
        <f>F7</f>
        <v>145.37917581077787</v>
      </c>
      <c r="I6" s="97"/>
      <c r="J6" s="43" t="str">
        <f>B6</f>
        <v>AL29</v>
      </c>
      <c r="K6" s="8" t="e">
        <f>C6/Monitor!#REF!</f>
        <v>#REF!</v>
      </c>
      <c r="L6" s="94" t="e">
        <f>'AL29'!U25</f>
        <v>#REF!</v>
      </c>
      <c r="M6" s="66" t="e">
        <f>'AL29'!U26</f>
        <v>#REF!</v>
      </c>
      <c r="N6" s="39">
        <f>Monitor!E8</f>
        <v>100.80277777777778</v>
      </c>
      <c r="O6" s="41" t="e">
        <f>K6/N6</f>
        <v>#REF!</v>
      </c>
    </row>
    <row r="7" spans="1:15" s="4" customFormat="1" ht="14.25" customHeight="1" x14ac:dyDescent="0.2">
      <c r="A7" s="55"/>
      <c r="B7" s="43" t="s">
        <v>15</v>
      </c>
      <c r="C7" s="93">
        <f>+Monitor!C9</f>
        <v>5962</v>
      </c>
      <c r="D7" s="57">
        <v>41.01</v>
      </c>
      <c r="E7" s="34">
        <f>C7/D7</f>
        <v>145.37917581077787</v>
      </c>
      <c r="F7" s="3">
        <f>E7</f>
        <v>145.37917581077787</v>
      </c>
      <c r="I7" s="97"/>
      <c r="J7" s="43" t="str">
        <f>B7</f>
        <v>AL30</v>
      </c>
      <c r="K7" s="8" t="e">
        <f>C7/Monitor!#REF!</f>
        <v>#REF!</v>
      </c>
      <c r="L7" s="94" t="e">
        <f>'AL30'!U27</f>
        <v>#REF!</v>
      </c>
      <c r="M7" s="66" t="e">
        <f>'AL30'!U28</f>
        <v>#REF!</v>
      </c>
      <c r="N7" s="39">
        <f>Monitor!E9</f>
        <v>100.10034722222223</v>
      </c>
      <c r="O7" s="41" t="e">
        <f>K7/N7</f>
        <v>#REF!</v>
      </c>
    </row>
    <row r="8" spans="1:15" s="4" customFormat="1" x14ac:dyDescent="0.2">
      <c r="A8" s="55"/>
      <c r="B8" s="43" t="s">
        <v>16</v>
      </c>
      <c r="C8" s="93">
        <f>+Monitor!C10</f>
        <v>5440</v>
      </c>
      <c r="D8" s="39" t="s">
        <v>48</v>
      </c>
      <c r="E8" s="39" t="s">
        <v>48</v>
      </c>
      <c r="F8" s="3">
        <f>F7</f>
        <v>145.37917581077787</v>
      </c>
      <c r="I8" s="98"/>
      <c r="J8" s="43" t="str">
        <f>B8</f>
        <v>AL35</v>
      </c>
      <c r="K8" s="8" t="e">
        <f>C8/Monitor!#REF!</f>
        <v>#REF!</v>
      </c>
      <c r="L8" s="94" t="e">
        <f>+'AL35'!U39</f>
        <v>#REF!</v>
      </c>
      <c r="M8" s="66" t="e">
        <f>+'AL35'!U40</f>
        <v>#REF!</v>
      </c>
      <c r="N8" s="39">
        <f>Monitor!E10</f>
        <v>100.10034722222223</v>
      </c>
      <c r="O8" s="41" t="e">
        <f>K8/N8</f>
        <v>#REF!</v>
      </c>
    </row>
    <row r="9" spans="1:15" s="4" customFormat="1" ht="14.25" x14ac:dyDescent="0.2">
      <c r="A9" s="55"/>
      <c r="B9" s="43" t="s">
        <v>17</v>
      </c>
      <c r="C9" s="93">
        <f>+Monitor!C11</f>
        <v>6050</v>
      </c>
      <c r="D9" s="39" t="s">
        <v>48</v>
      </c>
      <c r="E9" s="39" t="s">
        <v>48</v>
      </c>
      <c r="F9" s="3">
        <f>F8</f>
        <v>145.37917581077787</v>
      </c>
      <c r="I9" s="96"/>
      <c r="J9" s="43" t="str">
        <f>B9</f>
        <v>AE38</v>
      </c>
      <c r="K9" s="8" t="e">
        <f>C9/Monitor!#REF!</f>
        <v>#REF!</v>
      </c>
      <c r="L9" s="94" t="e">
        <f>+'AE38'!U42</f>
        <v>#REF!</v>
      </c>
      <c r="M9" s="66" t="e">
        <f>+'AE38'!U43</f>
        <v>#REF!</v>
      </c>
      <c r="N9" s="39">
        <f>Monitor!E11</f>
        <v>100.10034722222223</v>
      </c>
      <c r="O9" s="41" t="e">
        <f>K9/N9</f>
        <v>#REF!</v>
      </c>
    </row>
    <row r="10" spans="1:15" s="4" customFormat="1" ht="14.25" customHeight="1" x14ac:dyDescent="0.2">
      <c r="A10" s="55"/>
      <c r="B10" s="68" t="s">
        <v>21</v>
      </c>
      <c r="C10" s="93">
        <f>+Monitor!C12</f>
        <v>5920</v>
      </c>
      <c r="D10" s="39" t="s">
        <v>48</v>
      </c>
      <c r="E10" s="39" t="s">
        <v>48</v>
      </c>
      <c r="F10" s="3">
        <f>F9</f>
        <v>145.37917581077787</v>
      </c>
      <c r="I10" s="96"/>
      <c r="J10" s="68" t="str">
        <f>B10</f>
        <v>AL41</v>
      </c>
      <c r="K10" s="8" t="e">
        <f>C10/Monitor!#REF!</f>
        <v>#REF!</v>
      </c>
      <c r="L10" s="94" t="e">
        <f>'AL41'!U49</f>
        <v>#REF!</v>
      </c>
      <c r="M10" s="66" t="e">
        <f>'AL41'!U50</f>
        <v>#REF!</v>
      </c>
      <c r="N10" s="39">
        <f>Monitor!E12</f>
        <v>100.10034722222223</v>
      </c>
      <c r="O10" s="41" t="e">
        <f>K10/N10</f>
        <v>#REF!</v>
      </c>
    </row>
    <row r="11" spans="1:15" s="4" customFormat="1" ht="14.25" x14ac:dyDescent="0.2">
      <c r="A11" s="55"/>
      <c r="B11" s="112" t="s">
        <v>53</v>
      </c>
      <c r="C11" s="112"/>
      <c r="D11" s="76"/>
      <c r="E11" s="76"/>
      <c r="F11" s="76"/>
      <c r="G11" s="76"/>
      <c r="H11" s="76"/>
      <c r="I11" s="96"/>
      <c r="J11" s="112" t="s">
        <v>99</v>
      </c>
      <c r="K11" s="112"/>
      <c r="L11" s="112"/>
      <c r="M11" s="112"/>
      <c r="N11" s="76"/>
      <c r="O11" s="76"/>
    </row>
    <row r="12" spans="1:15" s="4" customFormat="1" ht="14.25" x14ac:dyDescent="0.2">
      <c r="A12" s="55"/>
      <c r="B12" s="43" t="s">
        <v>25</v>
      </c>
      <c r="C12" s="93">
        <f>+Monitor!C14</f>
        <v>6930</v>
      </c>
      <c r="D12" s="39" t="s">
        <v>48</v>
      </c>
      <c r="E12" s="39" t="s">
        <v>48</v>
      </c>
      <c r="F12" s="3">
        <f t="shared" ref="F12:F17" si="0">$E$7</f>
        <v>145.37917581077787</v>
      </c>
      <c r="I12" s="96"/>
      <c r="J12" s="43" t="s">
        <v>25</v>
      </c>
      <c r="K12" s="8" t="e">
        <f>C12/Monitor!#REF!</f>
        <v>#REF!</v>
      </c>
      <c r="L12" s="94" t="e">
        <f>'GD29'!AG25</f>
        <v>#REF!</v>
      </c>
      <c r="M12" s="66" t="e">
        <f>'GD29'!AG26</f>
        <v>#REF!</v>
      </c>
      <c r="N12" s="66">
        <f>+Monitor!E14</f>
        <v>100.80277777777778</v>
      </c>
      <c r="O12" s="101" t="e">
        <f t="shared" ref="O12:O17" si="1">K12/N12</f>
        <v>#REF!</v>
      </c>
    </row>
    <row r="13" spans="1:15" s="4" customFormat="1" ht="14.25" x14ac:dyDescent="0.2">
      <c r="A13" s="55"/>
      <c r="B13" s="43" t="s">
        <v>26</v>
      </c>
      <c r="C13" s="93">
        <f>+Monitor!C15</f>
        <v>6385.5</v>
      </c>
      <c r="D13" s="57">
        <v>44.5</v>
      </c>
      <c r="E13" s="34">
        <f>C13/D13</f>
        <v>143.49438202247191</v>
      </c>
      <c r="F13" s="3">
        <f t="shared" si="0"/>
        <v>145.37917581077787</v>
      </c>
      <c r="G13" s="3">
        <f>F13-E13</f>
        <v>1.8847937883059558</v>
      </c>
      <c r="H13" s="5">
        <f>G13/E13</f>
        <v>1.3134965716015195E-2</v>
      </c>
      <c r="I13" s="99"/>
      <c r="J13" s="43" t="s">
        <v>26</v>
      </c>
      <c r="K13" s="8" t="e">
        <f>C13/Monitor!#REF!</f>
        <v>#REF!</v>
      </c>
      <c r="L13" s="94" t="e">
        <f>'GD30'!AG26</f>
        <v>#REF!</v>
      </c>
      <c r="M13" s="66" t="e">
        <f>'GD30'!AG27</f>
        <v>#REF!</v>
      </c>
      <c r="N13" s="66">
        <f>+Monitor!E15</f>
        <v>100.10034722222223</v>
      </c>
      <c r="O13" s="101" t="e">
        <f t="shared" si="1"/>
        <v>#REF!</v>
      </c>
    </row>
    <row r="14" spans="1:15" s="4" customFormat="1" ht="14.25" x14ac:dyDescent="0.2">
      <c r="A14" s="55"/>
      <c r="B14" s="43" t="s">
        <v>27</v>
      </c>
      <c r="C14" s="93">
        <f>+Monitor!C16</f>
        <v>5683</v>
      </c>
      <c r="D14" s="57">
        <v>38.9</v>
      </c>
      <c r="E14" s="34">
        <f>C14/D14</f>
        <v>146.09254498714654</v>
      </c>
      <c r="F14" s="3">
        <f t="shared" si="0"/>
        <v>145.37917581077787</v>
      </c>
      <c r="G14" s="3">
        <f>F14-E14</f>
        <v>-0.7133691763686727</v>
      </c>
      <c r="H14" s="5">
        <f>G14/E14</f>
        <v>-4.8829950661167278E-3</v>
      </c>
      <c r="I14" s="96"/>
      <c r="J14" s="43" t="s">
        <v>27</v>
      </c>
      <c r="K14" s="8" t="e">
        <f>C14/Monitor!#REF!</f>
        <v>#REF!</v>
      </c>
      <c r="L14" s="94" t="e">
        <f>'GD35'!AG38</f>
        <v>#REF!</v>
      </c>
      <c r="M14" s="66" t="e">
        <f>'GD35'!AG39</f>
        <v>#REF!</v>
      </c>
      <c r="N14" s="66">
        <f>+Monitor!E16</f>
        <v>100.10034722222223</v>
      </c>
      <c r="O14" s="101" t="e">
        <f t="shared" si="1"/>
        <v>#REF!</v>
      </c>
    </row>
    <row r="15" spans="1:15" s="4" customFormat="1" ht="14.25" x14ac:dyDescent="0.2">
      <c r="A15" s="55"/>
      <c r="B15" s="43" t="s">
        <v>28</v>
      </c>
      <c r="C15" s="93">
        <f>+Monitor!C17</f>
        <v>6600</v>
      </c>
      <c r="D15" s="39" t="s">
        <v>48</v>
      </c>
      <c r="E15" s="39" t="s">
        <v>48</v>
      </c>
      <c r="F15" s="3">
        <f t="shared" si="0"/>
        <v>145.37917581077787</v>
      </c>
      <c r="G15" s="3"/>
      <c r="I15" s="97"/>
      <c r="J15" s="43" t="s">
        <v>28</v>
      </c>
      <c r="K15" s="8" t="e">
        <f>C15/Monitor!#REF!</f>
        <v>#REF!</v>
      </c>
      <c r="L15" s="94" t="e">
        <f>'GD38'!AG42</f>
        <v>#REF!</v>
      </c>
      <c r="M15" s="66" t="e">
        <f>'GD38'!AG43</f>
        <v>#REF!</v>
      </c>
      <c r="N15" s="66">
        <f>+Monitor!E17</f>
        <v>100.10034722222223</v>
      </c>
      <c r="O15" s="101" t="e">
        <f t="shared" si="1"/>
        <v>#REF!</v>
      </c>
    </row>
    <row r="16" spans="1:15" s="4" customFormat="1" ht="14.25" x14ac:dyDescent="0.2">
      <c r="B16" s="68" t="s">
        <v>29</v>
      </c>
      <c r="C16" s="93">
        <f>+Monitor!C18</f>
        <v>6370</v>
      </c>
      <c r="D16" s="39" t="s">
        <v>48</v>
      </c>
      <c r="E16" s="39" t="s">
        <v>48</v>
      </c>
      <c r="F16" s="3">
        <f t="shared" si="0"/>
        <v>145.37917581077787</v>
      </c>
      <c r="G16" s="3"/>
      <c r="I16" s="95"/>
      <c r="J16" s="68" t="s">
        <v>29</v>
      </c>
      <c r="K16" s="8" t="e">
        <f>C16/Monitor!#REF!</f>
        <v>#REF!</v>
      </c>
      <c r="L16" s="94" t="e">
        <f>'GD41'!AG49</f>
        <v>#REF!</v>
      </c>
      <c r="M16" s="66" t="e">
        <f>'GD41'!AG50</f>
        <v>#REF!</v>
      </c>
      <c r="N16" s="66">
        <f>+Monitor!E18</f>
        <v>100.10034722222223</v>
      </c>
      <c r="O16" s="101" t="e">
        <f t="shared" si="1"/>
        <v>#REF!</v>
      </c>
    </row>
    <row r="17" spans="2:19" s="4" customFormat="1" ht="14.25" x14ac:dyDescent="0.2">
      <c r="B17" s="68" t="s">
        <v>30</v>
      </c>
      <c r="C17" s="93">
        <f>+Monitor!C19</f>
        <v>5830</v>
      </c>
      <c r="D17" s="39" t="s">
        <v>48</v>
      </c>
      <c r="E17" s="39" t="s">
        <v>48</v>
      </c>
      <c r="F17" s="3">
        <f t="shared" si="0"/>
        <v>145.37917581077787</v>
      </c>
      <c r="G17" s="3"/>
      <c r="I17" s="95"/>
      <c r="J17" s="68" t="s">
        <v>30</v>
      </c>
      <c r="K17" s="8" t="e">
        <f>C17/Monitor!#REF!</f>
        <v>#REF!</v>
      </c>
      <c r="L17" s="94">
        <f>'GD46'!AG60</f>
        <v>0</v>
      </c>
      <c r="M17" s="66">
        <f>'GD46'!AG61</f>
        <v>0</v>
      </c>
      <c r="N17" s="66">
        <f>+Monitor!E19</f>
        <v>100.10034722222223</v>
      </c>
      <c r="O17" s="101" t="e">
        <f t="shared" si="1"/>
        <v>#REF!</v>
      </c>
    </row>
    <row r="18" spans="2:19" s="4" customFormat="1" x14ac:dyDescent="0.2">
      <c r="H18" s="65"/>
      <c r="I18" s="95"/>
      <c r="J18" s="95"/>
      <c r="K18" s="95"/>
      <c r="M18" s="19"/>
      <c r="N18" s="67"/>
      <c r="O18" s="75"/>
    </row>
    <row r="27" spans="2:19" ht="15.75" x14ac:dyDescent="0.25">
      <c r="K27" s="296" t="s">
        <v>98</v>
      </c>
      <c r="L27" s="296"/>
      <c r="M27" s="296"/>
      <c r="N27" s="296"/>
      <c r="O27" s="296"/>
      <c r="P27" s="296"/>
    </row>
    <row r="28" spans="2:19" ht="15.75" x14ac:dyDescent="0.25">
      <c r="K28" s="113"/>
      <c r="L28" s="113"/>
      <c r="M28" s="113"/>
      <c r="N28" s="113"/>
      <c r="O28" s="113"/>
      <c r="P28" s="113"/>
    </row>
    <row r="29" spans="2:19" x14ac:dyDescent="0.25">
      <c r="K29" s="72" t="s">
        <v>31</v>
      </c>
      <c r="L29" s="72" t="s">
        <v>97</v>
      </c>
      <c r="M29" s="62" t="s">
        <v>5</v>
      </c>
      <c r="N29" s="62" t="s">
        <v>22</v>
      </c>
      <c r="O29" s="62" t="s">
        <v>23</v>
      </c>
      <c r="P29" s="62" t="s">
        <v>24</v>
      </c>
    </row>
    <row r="30" spans="2:19" x14ac:dyDescent="0.25">
      <c r="K30" s="107" t="s">
        <v>25</v>
      </c>
      <c r="L30" s="16">
        <f>41.6+Monitor!E14-100</f>
        <v>42.402777777777771</v>
      </c>
      <c r="M30" s="42">
        <f>'GD29'!I24</f>
        <v>0.18690800070762634</v>
      </c>
      <c r="N30" s="39">
        <f>+'GD29'!I25</f>
        <v>4.6843081466609666</v>
      </c>
      <c r="O30" s="39">
        <f>+'GD29'!C10</f>
        <v>100.80277777777778</v>
      </c>
      <c r="P30" s="108">
        <f t="shared" ref="P30:P35" si="2">L30/O30</f>
        <v>0.42065088594339878</v>
      </c>
      <c r="R30" s="150">
        <f>+Monitor!D14</f>
        <v>43.2</v>
      </c>
      <c r="S30" s="153">
        <f>R30/L30-1</f>
        <v>1.880117916803159E-2</v>
      </c>
    </row>
    <row r="31" spans="2:19" x14ac:dyDescent="0.25">
      <c r="K31" s="107" t="s">
        <v>26</v>
      </c>
      <c r="L31" s="16">
        <f>38.99+Monitor!E15-100</f>
        <v>39.090347222222221</v>
      </c>
      <c r="M31" s="42">
        <f>'GD30'!I26</f>
        <v>0.18646262288093568</v>
      </c>
      <c r="N31" s="39">
        <f>+'GD30'!I27</f>
        <v>5.005790321664862</v>
      </c>
      <c r="O31" s="39">
        <f>+'GD30'!C10</f>
        <v>100.10034722222223</v>
      </c>
      <c r="P31" s="108">
        <f t="shared" si="2"/>
        <v>0.39051160467447593</v>
      </c>
      <c r="R31" s="150">
        <f>+Monitor!D15</f>
        <v>39.71</v>
      </c>
      <c r="S31" s="153">
        <f t="shared" ref="S31:S35" si="3">R31/L31-1</f>
        <v>1.585181053151441E-2</v>
      </c>
    </row>
    <row r="32" spans="2:19" x14ac:dyDescent="0.25">
      <c r="K32" s="107" t="s">
        <v>27</v>
      </c>
      <c r="L32" s="16">
        <f>34.6+Monitor!E16-100</f>
        <v>34.700347222222234</v>
      </c>
      <c r="M32" s="42">
        <f>'GD35'!I38</f>
        <v>0.16454918980598451</v>
      </c>
      <c r="N32" s="39">
        <f>'GD35'!I39</f>
        <v>7.8635851474132616</v>
      </c>
      <c r="O32" s="39">
        <f>+'GD35'!C12</f>
        <v>100.10034722222223</v>
      </c>
      <c r="P32" s="108">
        <f t="shared" si="2"/>
        <v>0.34665561294395564</v>
      </c>
      <c r="R32" s="150">
        <f>+Monitor!D16</f>
        <v>35.25</v>
      </c>
      <c r="S32" s="153">
        <f t="shared" si="3"/>
        <v>1.5839979186887287E-2</v>
      </c>
    </row>
    <row r="33" spans="11:26" x14ac:dyDescent="0.25">
      <c r="K33" s="107" t="s">
        <v>28</v>
      </c>
      <c r="L33" s="16">
        <f>40.58+Monitor!E17-100</f>
        <v>40.680347222222224</v>
      </c>
      <c r="M33" s="42">
        <f>'GD38'!I42</f>
        <v>0.16641734242439271</v>
      </c>
      <c r="N33" s="39">
        <f>'GD38'!I43</f>
        <v>6.7448866566014685</v>
      </c>
      <c r="O33" s="39">
        <f>+'GD38'!C11</f>
        <v>100.10034722222223</v>
      </c>
      <c r="P33" s="108">
        <f t="shared" si="2"/>
        <v>0.40639566546070088</v>
      </c>
      <c r="R33" s="150">
        <f>+Monitor!D17</f>
        <v>41.75</v>
      </c>
      <c r="S33" s="153">
        <f t="shared" si="3"/>
        <v>2.629409163925378E-2</v>
      </c>
    </row>
    <row r="34" spans="11:26" x14ac:dyDescent="0.25">
      <c r="K34" s="109" t="s">
        <v>29</v>
      </c>
      <c r="L34" s="16">
        <f>38.32+Monitor!E18-100</f>
        <v>38.420347222222233</v>
      </c>
      <c r="M34" s="42">
        <f>'GD41'!I49</f>
        <v>0.14996939301490786</v>
      </c>
      <c r="N34" s="39">
        <f>'GD41'!I50</f>
        <v>7.6370877464180777</v>
      </c>
      <c r="O34" s="39">
        <f>+'GD41'!C11</f>
        <v>100.10034722222223</v>
      </c>
      <c r="P34" s="108">
        <f t="shared" si="2"/>
        <v>0.38381832119851966</v>
      </c>
      <c r="R34" s="150">
        <f>+Monitor!D18</f>
        <v>39.19</v>
      </c>
      <c r="S34" s="153">
        <f t="shared" si="3"/>
        <v>2.0032426394434033E-2</v>
      </c>
    </row>
    <row r="35" spans="11:26" x14ac:dyDescent="0.25">
      <c r="K35" s="109" t="s">
        <v>30</v>
      </c>
      <c r="L35" s="16">
        <f>34.93+Monitor!E19-100</f>
        <v>35.030347222222218</v>
      </c>
      <c r="M35" s="42">
        <f>'GD46'!I59</f>
        <v>0.16429303288459784</v>
      </c>
      <c r="N35" s="39">
        <f>'GD46'!I60</f>
        <v>7.105203268937764</v>
      </c>
      <c r="O35" s="39">
        <f>+'GD46'!C11</f>
        <v>100.10034722222223</v>
      </c>
      <c r="P35" s="108">
        <f t="shared" si="2"/>
        <v>0.34995230480524747</v>
      </c>
      <c r="R35" s="150">
        <f>+Monitor!D19</f>
        <v>36.1</v>
      </c>
      <c r="S35" s="153">
        <f t="shared" si="3"/>
        <v>3.0535032124923589E-2</v>
      </c>
    </row>
    <row r="37" spans="11:26" x14ac:dyDescent="0.25">
      <c r="T37" s="13"/>
      <c r="U37" s="13"/>
      <c r="V37" s="13"/>
      <c r="W37" s="13"/>
      <c r="X37" s="13"/>
      <c r="Y37" s="13"/>
      <c r="Z37" s="13"/>
    </row>
    <row r="38" spans="11:26" x14ac:dyDescent="0.25">
      <c r="T38" s="13"/>
      <c r="U38" s="27" t="s">
        <v>49</v>
      </c>
      <c r="V38" s="13"/>
      <c r="W38" s="13"/>
      <c r="X38" s="13"/>
      <c r="Y38" s="13"/>
      <c r="Z38" s="13"/>
    </row>
    <row r="39" spans="11:26" x14ac:dyDescent="0.25">
      <c r="T39" s="13"/>
      <c r="U39" s="297" t="s">
        <v>213</v>
      </c>
      <c r="V39" s="297"/>
      <c r="W39" s="297"/>
      <c r="X39" s="297"/>
      <c r="Y39" s="297"/>
      <c r="Z39" s="13"/>
    </row>
    <row r="40" spans="11:26" x14ac:dyDescent="0.25">
      <c r="T40" s="13"/>
      <c r="U40" s="298" t="s">
        <v>214</v>
      </c>
      <c r="V40" s="298"/>
      <c r="W40" s="298"/>
      <c r="X40" s="298"/>
      <c r="Y40" s="298"/>
      <c r="Z40" s="13"/>
    </row>
    <row r="41" spans="11:26" x14ac:dyDescent="0.25">
      <c r="T41" s="13"/>
      <c r="U41" s="292" t="s">
        <v>192</v>
      </c>
      <c r="V41" s="293"/>
      <c r="W41" s="293" t="s">
        <v>193</v>
      </c>
      <c r="X41" s="294"/>
      <c r="Y41" s="295" t="s">
        <v>212</v>
      </c>
      <c r="Z41" s="13"/>
    </row>
    <row r="42" spans="11:26" x14ac:dyDescent="0.25">
      <c r="T42" s="13"/>
      <c r="U42" s="250" t="s">
        <v>211</v>
      </c>
      <c r="V42" s="251" t="s">
        <v>210</v>
      </c>
      <c r="W42" s="250" t="s">
        <v>211</v>
      </c>
      <c r="X42" s="255" t="s">
        <v>210</v>
      </c>
      <c r="Y42" s="295"/>
      <c r="Z42" s="13"/>
    </row>
    <row r="43" spans="11:26" x14ac:dyDescent="0.25">
      <c r="T43" s="13"/>
      <c r="U43" s="252" t="s">
        <v>200</v>
      </c>
      <c r="V43" s="253">
        <f>+L30-L31</f>
        <v>3.3124305555555509</v>
      </c>
      <c r="W43" s="252" t="s">
        <v>201</v>
      </c>
      <c r="X43" s="253">
        <f>+Monitor!D8-Monitor!D9</f>
        <v>1.9100000000000037</v>
      </c>
      <c r="Y43" s="256">
        <f>V43-X43</f>
        <v>1.4024305555555472</v>
      </c>
      <c r="Z43" s="13"/>
    </row>
    <row r="44" spans="11:26" x14ac:dyDescent="0.25">
      <c r="T44" s="13"/>
      <c r="U44" s="252" t="s">
        <v>202</v>
      </c>
      <c r="V44" s="253">
        <f>+L31-L32</f>
        <v>4.3899999999999864</v>
      </c>
      <c r="W44" s="252" t="s">
        <v>203</v>
      </c>
      <c r="X44" s="253">
        <f>Monitor!D9-Monitor!D10</f>
        <v>3.4899999999999949</v>
      </c>
      <c r="Y44" s="256">
        <f t="shared" ref="Y44:Y47" si="4">V44-X44</f>
        <v>0.89999999999999147</v>
      </c>
      <c r="Z44" s="13"/>
    </row>
    <row r="45" spans="11:26" x14ac:dyDescent="0.25">
      <c r="T45" s="13"/>
      <c r="U45" s="252" t="s">
        <v>204</v>
      </c>
      <c r="V45" s="253">
        <f>+L33-L31</f>
        <v>1.5900000000000034</v>
      </c>
      <c r="W45" s="252" t="s">
        <v>205</v>
      </c>
      <c r="X45" s="253">
        <f>Monitor!D11-Monitor!D9</f>
        <v>0.60000000000000142</v>
      </c>
      <c r="Y45" s="256">
        <f t="shared" si="4"/>
        <v>0.99000000000000199</v>
      </c>
      <c r="Z45" s="13"/>
    </row>
    <row r="46" spans="11:26" x14ac:dyDescent="0.25">
      <c r="T46" s="13"/>
      <c r="U46" s="252" t="s">
        <v>206</v>
      </c>
      <c r="V46" s="253">
        <f>L33-L34</f>
        <v>2.2599999999999909</v>
      </c>
      <c r="W46" s="252" t="s">
        <v>207</v>
      </c>
      <c r="X46" s="253">
        <f>Monitor!D11-Monitor!D12</f>
        <v>1</v>
      </c>
      <c r="Y46" s="256">
        <f t="shared" si="4"/>
        <v>1.2599999999999909</v>
      </c>
      <c r="Z46" s="13"/>
    </row>
    <row r="47" spans="11:26" x14ac:dyDescent="0.25">
      <c r="T47" s="13"/>
      <c r="U47" s="252" t="s">
        <v>208</v>
      </c>
      <c r="V47" s="253">
        <f>L34-L32</f>
        <v>3.7199999999999989</v>
      </c>
      <c r="W47" s="252" t="s">
        <v>209</v>
      </c>
      <c r="X47" s="253">
        <f>Monitor!D12-Monitor!D10</f>
        <v>3.0899999999999963</v>
      </c>
      <c r="Y47" s="256">
        <f t="shared" si="4"/>
        <v>0.63000000000000256</v>
      </c>
      <c r="Z47" s="13"/>
    </row>
    <row r="48" spans="11:26" ht="5.25" customHeight="1" x14ac:dyDescent="0.25">
      <c r="T48" s="13"/>
      <c r="U48" s="254"/>
      <c r="V48" s="116"/>
      <c r="W48" s="254"/>
      <c r="X48" s="116"/>
      <c r="Y48" s="48"/>
      <c r="Z48" s="13"/>
    </row>
    <row r="49" spans="12:27" x14ac:dyDescent="0.25">
      <c r="T49" s="13"/>
      <c r="U49" s="285" t="s">
        <v>215</v>
      </c>
      <c r="V49" s="285"/>
      <c r="W49" s="285"/>
      <c r="X49" s="285"/>
      <c r="Y49" s="285"/>
      <c r="Z49" s="25"/>
      <c r="AA49" s="25"/>
    </row>
    <row r="50" spans="12:27" x14ac:dyDescent="0.25">
      <c r="T50" s="13"/>
      <c r="U50" s="13"/>
      <c r="V50" s="13"/>
      <c r="W50" s="13"/>
      <c r="X50" s="13"/>
      <c r="Y50" s="13"/>
      <c r="Z50" s="13"/>
    </row>
    <row r="51" spans="12:27" x14ac:dyDescent="0.25">
      <c r="T51" s="13"/>
      <c r="U51" s="13"/>
      <c r="V51" s="13"/>
      <c r="W51" s="13"/>
      <c r="X51" s="13"/>
      <c r="Y51" s="13"/>
      <c r="Z51" s="13"/>
    </row>
    <row r="53" spans="12:27" x14ac:dyDescent="0.25">
      <c r="L53">
        <f>L31/L32</f>
        <v>1.1265117023724942</v>
      </c>
    </row>
  </sheetData>
  <mergeCells count="9">
    <mergeCell ref="U49:Y49"/>
    <mergeCell ref="U41:V41"/>
    <mergeCell ref="W41:X41"/>
    <mergeCell ref="Y41:Y42"/>
    <mergeCell ref="B3:H3"/>
    <mergeCell ref="J3:O3"/>
    <mergeCell ref="K27:P27"/>
    <mergeCell ref="U39:Y39"/>
    <mergeCell ref="U40:Y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DA232"/>
  <sheetViews>
    <sheetView workbookViewId="0">
      <pane xSplit="1" ySplit="2" topLeftCell="B164" activePane="bottomRight" state="frozen"/>
      <selection pane="topRight" activeCell="B1" sqref="B1"/>
      <selection pane="bottomLeft" activeCell="A3" sqref="A3"/>
      <selection pane="bottomRight" activeCell="A191" sqref="A191:XFD191"/>
    </sheetView>
  </sheetViews>
  <sheetFormatPr baseColWidth="10" defaultRowHeight="14.25" x14ac:dyDescent="0.2"/>
  <cols>
    <col min="1" max="3" width="11.42578125" style="4"/>
    <col min="4" max="4" width="13.28515625" style="4" customWidth="1"/>
    <col min="5" max="5" width="12.85546875" style="4" customWidth="1"/>
    <col min="6" max="7" width="11.42578125" style="4"/>
    <col min="8" max="9" width="13.140625" style="4" bestFit="1" customWidth="1"/>
    <col min="10" max="11" width="11.42578125" style="4"/>
    <col min="12" max="12" width="13.140625" style="4" bestFit="1" customWidth="1"/>
    <col min="13" max="13" width="14.28515625" style="4" customWidth="1"/>
    <col min="14" max="15" width="11.42578125" style="4"/>
    <col min="16" max="17" width="13" style="4" customWidth="1"/>
    <col min="18" max="19" width="11.42578125" style="4"/>
    <col min="20" max="20" width="13.140625" style="4" bestFit="1" customWidth="1"/>
    <col min="21" max="21" width="13" style="4" customWidth="1"/>
    <col min="22" max="22" width="11.42578125" style="4"/>
    <col min="23" max="23" width="10.28515625" style="4" customWidth="1"/>
    <col min="24" max="25" width="13.140625" style="4" bestFit="1" customWidth="1"/>
    <col min="26" max="26" width="11.42578125" style="4"/>
    <col min="27" max="27" width="10.42578125" style="4" customWidth="1"/>
    <col min="28" max="29" width="13.140625" style="4" bestFit="1" customWidth="1"/>
    <col min="30" max="31" width="11.42578125" style="4"/>
    <col min="32" max="33" width="13.140625" style="4" bestFit="1" customWidth="1"/>
    <col min="34" max="35" width="11.42578125" style="4"/>
    <col min="36" max="37" width="13.140625" style="4" bestFit="1" customWidth="1"/>
    <col min="38" max="39" width="11.42578125" style="4"/>
    <col min="40" max="41" width="13.140625" style="4" bestFit="1" customWidth="1"/>
    <col min="42" max="43" width="11.42578125" style="4"/>
    <col min="44" max="45" width="13.140625" style="4" bestFit="1" customWidth="1"/>
    <col min="46" max="16384" width="11.42578125" style="4"/>
  </cols>
  <sheetData>
    <row r="1" spans="1:16329" ht="15" x14ac:dyDescent="0.25">
      <c r="A1" s="6"/>
      <c r="B1" s="299" t="s">
        <v>20</v>
      </c>
      <c r="C1" s="300"/>
      <c r="D1" s="300"/>
      <c r="E1" s="300"/>
      <c r="F1" s="299" t="s">
        <v>15</v>
      </c>
      <c r="G1" s="300"/>
      <c r="H1" s="300"/>
      <c r="I1" s="300"/>
      <c r="J1" s="299" t="s">
        <v>16</v>
      </c>
      <c r="K1" s="300"/>
      <c r="L1" s="300"/>
      <c r="M1" s="300"/>
      <c r="N1" s="299" t="s">
        <v>17</v>
      </c>
      <c r="O1" s="300"/>
      <c r="P1" s="300"/>
      <c r="Q1" s="300"/>
      <c r="R1" s="299" t="s">
        <v>21</v>
      </c>
      <c r="S1" s="300"/>
      <c r="T1" s="300"/>
      <c r="U1" s="300"/>
      <c r="V1" s="299" t="s">
        <v>25</v>
      </c>
      <c r="W1" s="300"/>
      <c r="X1" s="300"/>
      <c r="Y1" s="301"/>
      <c r="Z1" s="299" t="s">
        <v>26</v>
      </c>
      <c r="AA1" s="300"/>
      <c r="AB1" s="300"/>
      <c r="AC1" s="301"/>
      <c r="AD1" s="299" t="s">
        <v>27</v>
      </c>
      <c r="AE1" s="300"/>
      <c r="AF1" s="300"/>
      <c r="AG1" s="300"/>
      <c r="AH1" s="299" t="s">
        <v>28</v>
      </c>
      <c r="AI1" s="300"/>
      <c r="AJ1" s="300"/>
      <c r="AK1" s="300"/>
      <c r="AL1" s="299" t="s">
        <v>29</v>
      </c>
      <c r="AM1" s="300"/>
      <c r="AN1" s="300"/>
      <c r="AO1" s="300"/>
      <c r="AP1" s="299" t="s">
        <v>30</v>
      </c>
      <c r="AQ1" s="300"/>
      <c r="AR1" s="300"/>
      <c r="AS1" s="300"/>
    </row>
    <row r="2" spans="1:16329" s="17" customFormat="1" ht="38.25" customHeight="1" thickBot="1" x14ac:dyDescent="0.25">
      <c r="A2" s="20" t="s">
        <v>0</v>
      </c>
      <c r="B2" s="21" t="s">
        <v>19</v>
      </c>
      <c r="C2" s="22" t="s">
        <v>18</v>
      </c>
      <c r="D2" s="22" t="s">
        <v>34</v>
      </c>
      <c r="E2" s="22" t="s">
        <v>148</v>
      </c>
      <c r="F2" s="21" t="s">
        <v>19</v>
      </c>
      <c r="G2" s="22" t="s">
        <v>18</v>
      </c>
      <c r="H2" s="22" t="s">
        <v>34</v>
      </c>
      <c r="I2" s="22" t="s">
        <v>148</v>
      </c>
      <c r="J2" s="21" t="s">
        <v>19</v>
      </c>
      <c r="K2" s="22" t="s">
        <v>18</v>
      </c>
      <c r="L2" s="22" t="s">
        <v>34</v>
      </c>
      <c r="M2" s="22" t="s">
        <v>148</v>
      </c>
      <c r="N2" s="21" t="s">
        <v>19</v>
      </c>
      <c r="O2" s="22" t="s">
        <v>18</v>
      </c>
      <c r="P2" s="22" t="s">
        <v>34</v>
      </c>
      <c r="Q2" s="22" t="s">
        <v>148</v>
      </c>
      <c r="R2" s="21" t="s">
        <v>19</v>
      </c>
      <c r="S2" s="22" t="s">
        <v>18</v>
      </c>
      <c r="T2" s="22" t="s">
        <v>34</v>
      </c>
      <c r="U2" s="22" t="s">
        <v>148</v>
      </c>
      <c r="V2" s="21" t="s">
        <v>19</v>
      </c>
      <c r="W2" s="22" t="s">
        <v>18</v>
      </c>
      <c r="X2" s="22" t="s">
        <v>34</v>
      </c>
      <c r="Y2" s="22" t="s">
        <v>148</v>
      </c>
      <c r="Z2" s="21" t="s">
        <v>19</v>
      </c>
      <c r="AA2" s="22" t="s">
        <v>18</v>
      </c>
      <c r="AB2" s="22" t="s">
        <v>34</v>
      </c>
      <c r="AC2" s="22" t="s">
        <v>148</v>
      </c>
      <c r="AD2" s="21" t="s">
        <v>19</v>
      </c>
      <c r="AE2" s="22" t="s">
        <v>18</v>
      </c>
      <c r="AF2" s="22" t="s">
        <v>34</v>
      </c>
      <c r="AG2" s="22" t="s">
        <v>148</v>
      </c>
      <c r="AH2" s="21" t="s">
        <v>19</v>
      </c>
      <c r="AI2" s="22" t="s">
        <v>18</v>
      </c>
      <c r="AJ2" s="22" t="s">
        <v>34</v>
      </c>
      <c r="AK2" s="22" t="s">
        <v>148</v>
      </c>
      <c r="AL2" s="21" t="s">
        <v>19</v>
      </c>
      <c r="AM2" s="22" t="s">
        <v>18</v>
      </c>
      <c r="AN2" s="22" t="s">
        <v>34</v>
      </c>
      <c r="AO2" s="22" t="s">
        <v>148</v>
      </c>
      <c r="AP2" s="21" t="s">
        <v>19</v>
      </c>
      <c r="AQ2" s="22" t="s">
        <v>18</v>
      </c>
      <c r="AR2" s="22" t="s">
        <v>34</v>
      </c>
      <c r="AS2" s="22" t="s">
        <v>148</v>
      </c>
    </row>
    <row r="3" spans="1:16329" x14ac:dyDescent="0.2">
      <c r="A3" s="33">
        <v>44081</v>
      </c>
      <c r="B3" s="145">
        <v>6346.5</v>
      </c>
      <c r="C3" s="148"/>
      <c r="D3" s="146">
        <v>340481</v>
      </c>
      <c r="E3" s="147"/>
      <c r="F3" s="32">
        <v>6270</v>
      </c>
      <c r="G3" s="18"/>
      <c r="H3" s="28">
        <v>3693179</v>
      </c>
      <c r="I3" s="147"/>
      <c r="J3" s="32">
        <v>5680</v>
      </c>
      <c r="K3" s="19"/>
      <c r="L3" s="28">
        <v>820048</v>
      </c>
      <c r="M3" s="147"/>
      <c r="N3" s="32">
        <v>6150</v>
      </c>
      <c r="O3" s="18">
        <v>0</v>
      </c>
      <c r="P3" s="28">
        <v>754000</v>
      </c>
      <c r="Q3" s="147"/>
      <c r="R3" s="32">
        <v>5489</v>
      </c>
      <c r="S3" s="19"/>
      <c r="T3" s="28">
        <v>413011</v>
      </c>
      <c r="U3" s="147"/>
      <c r="V3" s="32"/>
      <c r="W3" s="18"/>
      <c r="Y3" s="147"/>
      <c r="Z3" s="32"/>
      <c r="AA3" s="18"/>
      <c r="AB3" s="28"/>
      <c r="AC3" s="29"/>
      <c r="AD3" s="32"/>
      <c r="AE3" s="18"/>
      <c r="AF3" s="28"/>
      <c r="AG3" s="29"/>
      <c r="AH3" s="32"/>
      <c r="AI3" s="18"/>
      <c r="AJ3" s="28"/>
      <c r="AK3" s="29"/>
      <c r="AL3" s="32"/>
      <c r="AM3" s="18"/>
      <c r="AN3" s="28"/>
      <c r="AO3" s="29"/>
      <c r="AP3" s="32"/>
      <c r="AQ3" s="18"/>
      <c r="AR3" s="28"/>
      <c r="AS3" s="29"/>
    </row>
    <row r="4" spans="1:16329" x14ac:dyDescent="0.2">
      <c r="A4" s="35">
        <v>44082</v>
      </c>
      <c r="B4" s="123">
        <v>6377</v>
      </c>
      <c r="C4" s="149"/>
      <c r="D4" s="28">
        <v>1987555</v>
      </c>
      <c r="E4" s="29"/>
      <c r="F4" s="32">
        <v>6320</v>
      </c>
      <c r="G4" s="18"/>
      <c r="H4" s="28">
        <v>13314126</v>
      </c>
      <c r="I4" s="29"/>
      <c r="J4" s="32">
        <v>5720</v>
      </c>
      <c r="K4" s="19"/>
      <c r="L4" s="28">
        <v>2580839</v>
      </c>
      <c r="M4" s="29"/>
      <c r="N4" s="32">
        <v>6190</v>
      </c>
      <c r="O4" s="18">
        <v>0</v>
      </c>
      <c r="P4" s="28">
        <v>1274988</v>
      </c>
      <c r="Q4" s="29"/>
      <c r="R4" s="32">
        <v>5520</v>
      </c>
      <c r="S4" s="19"/>
      <c r="T4" s="28">
        <v>383192</v>
      </c>
      <c r="U4" s="29"/>
      <c r="V4" s="32">
        <v>6450</v>
      </c>
      <c r="W4" s="18"/>
      <c r="X4" s="28">
        <v>10440</v>
      </c>
      <c r="Y4" s="29"/>
      <c r="Z4" s="32">
        <v>6325</v>
      </c>
      <c r="AA4" s="18"/>
      <c r="AB4" s="28">
        <v>1477770</v>
      </c>
      <c r="AC4" s="29"/>
      <c r="AD4" s="32">
        <v>5739.5</v>
      </c>
      <c r="AE4" s="18"/>
      <c r="AF4" s="28">
        <v>34590</v>
      </c>
      <c r="AG4" s="29"/>
      <c r="AH4" s="32"/>
      <c r="AI4" s="18"/>
      <c r="AJ4" s="28"/>
      <c r="AK4" s="29"/>
      <c r="AL4" s="32">
        <v>6000</v>
      </c>
      <c r="AM4" s="18"/>
      <c r="AN4" s="28">
        <v>16362</v>
      </c>
      <c r="AO4" s="29"/>
      <c r="AP4" s="32"/>
      <c r="AQ4" s="18"/>
      <c r="AR4" s="28"/>
      <c r="AS4" s="29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  <c r="ARI4" s="2"/>
      <c r="ARJ4" s="2"/>
      <c r="ARK4" s="2"/>
      <c r="ARL4" s="2"/>
      <c r="ARM4" s="2"/>
      <c r="ARN4" s="2"/>
      <c r="ARO4" s="2"/>
      <c r="ARP4" s="2"/>
      <c r="ARQ4" s="2"/>
      <c r="ARR4" s="2"/>
      <c r="ARS4" s="2"/>
      <c r="ART4" s="2"/>
      <c r="ARU4" s="2"/>
      <c r="ARV4" s="2"/>
      <c r="ARW4" s="2"/>
      <c r="ARX4" s="2"/>
      <c r="ARY4" s="2"/>
      <c r="ARZ4" s="2"/>
      <c r="ASA4" s="2"/>
      <c r="ASB4" s="2"/>
      <c r="ASC4" s="2"/>
      <c r="ASD4" s="2"/>
      <c r="ASE4" s="2"/>
      <c r="ASF4" s="2"/>
      <c r="ASG4" s="2"/>
      <c r="ASH4" s="2"/>
      <c r="ASI4" s="2"/>
      <c r="ASJ4" s="2"/>
      <c r="ASK4" s="2"/>
      <c r="ASL4" s="2"/>
      <c r="ASM4" s="2"/>
      <c r="ASN4" s="2"/>
      <c r="ASO4" s="2"/>
      <c r="ASP4" s="2"/>
      <c r="ASQ4" s="2"/>
      <c r="ASR4" s="2"/>
      <c r="ASS4" s="2"/>
      <c r="AST4" s="2"/>
      <c r="ASU4" s="2"/>
      <c r="ASV4" s="2"/>
      <c r="ASW4" s="2"/>
      <c r="ASX4" s="2"/>
      <c r="ASY4" s="2"/>
      <c r="ASZ4" s="2"/>
      <c r="ATA4" s="2"/>
      <c r="ATB4" s="2"/>
      <c r="ATC4" s="2"/>
      <c r="ATD4" s="2"/>
      <c r="ATE4" s="2"/>
      <c r="ATF4" s="2"/>
      <c r="ATG4" s="2"/>
      <c r="ATH4" s="2"/>
      <c r="ATI4" s="2"/>
      <c r="ATJ4" s="2"/>
      <c r="ATK4" s="2"/>
      <c r="ATL4" s="2"/>
      <c r="ATM4" s="2"/>
      <c r="ATN4" s="2"/>
      <c r="ATO4" s="2"/>
      <c r="ATP4" s="2"/>
      <c r="ATQ4" s="2"/>
      <c r="ATR4" s="2"/>
      <c r="ATS4" s="2"/>
      <c r="ATT4" s="2"/>
      <c r="ATU4" s="2"/>
      <c r="ATV4" s="2"/>
      <c r="ATW4" s="2"/>
      <c r="ATX4" s="2"/>
      <c r="ATY4" s="2"/>
      <c r="ATZ4" s="2"/>
      <c r="AUA4" s="2"/>
      <c r="AUB4" s="2"/>
      <c r="AUC4" s="2"/>
      <c r="AUD4" s="2"/>
      <c r="AUE4" s="2"/>
      <c r="AUF4" s="2"/>
      <c r="AUG4" s="2"/>
      <c r="AUH4" s="2"/>
      <c r="AUI4" s="2"/>
      <c r="AUJ4" s="2"/>
      <c r="AUK4" s="2"/>
      <c r="AUL4" s="2"/>
      <c r="AUM4" s="2"/>
      <c r="AUN4" s="2"/>
      <c r="AUO4" s="2"/>
      <c r="AUP4" s="2"/>
      <c r="AUQ4" s="2"/>
      <c r="AUR4" s="2"/>
      <c r="AUS4" s="2"/>
      <c r="AUT4" s="2"/>
      <c r="AUU4" s="2"/>
      <c r="AUV4" s="2"/>
      <c r="AUW4" s="2"/>
      <c r="AUX4" s="2"/>
      <c r="AUY4" s="2"/>
      <c r="AUZ4" s="2"/>
      <c r="AVA4" s="2"/>
      <c r="AVB4" s="2"/>
      <c r="AVC4" s="2"/>
      <c r="AVD4" s="2"/>
      <c r="AVE4" s="2"/>
      <c r="AVF4" s="2"/>
      <c r="AVG4" s="2"/>
      <c r="AVH4" s="2"/>
      <c r="AVI4" s="2"/>
      <c r="AVJ4" s="2"/>
      <c r="AVK4" s="2"/>
      <c r="AVL4" s="2"/>
      <c r="AVM4" s="2"/>
      <c r="AVN4" s="2"/>
      <c r="AVO4" s="2"/>
      <c r="AVP4" s="2"/>
      <c r="AVQ4" s="2"/>
      <c r="AVR4" s="2"/>
      <c r="AVS4" s="2"/>
      <c r="AVT4" s="2"/>
      <c r="AVU4" s="2"/>
      <c r="AVV4" s="2"/>
      <c r="AVW4" s="2"/>
      <c r="AVX4" s="2"/>
      <c r="AVY4" s="2"/>
      <c r="AVZ4" s="2"/>
      <c r="AWA4" s="2"/>
      <c r="AWB4" s="2"/>
      <c r="AWC4" s="2"/>
      <c r="AWD4" s="2"/>
      <c r="AWE4" s="2"/>
      <c r="AWF4" s="2"/>
      <c r="AWG4" s="2"/>
      <c r="AWH4" s="2"/>
      <c r="AWI4" s="2"/>
      <c r="AWJ4" s="2"/>
      <c r="AWK4" s="2"/>
      <c r="AWL4" s="2"/>
      <c r="AWM4" s="2"/>
      <c r="AWN4" s="2"/>
      <c r="AWO4" s="2"/>
      <c r="AWP4" s="2"/>
      <c r="AWQ4" s="2"/>
      <c r="AWR4" s="2"/>
      <c r="AWS4" s="2"/>
      <c r="AWT4" s="2"/>
      <c r="AWU4" s="2"/>
      <c r="AWV4" s="2"/>
      <c r="AWW4" s="2"/>
      <c r="AWX4" s="2"/>
      <c r="AWY4" s="2"/>
      <c r="AWZ4" s="2"/>
      <c r="AXA4" s="2"/>
      <c r="AXB4" s="2"/>
      <c r="AXC4" s="2"/>
      <c r="AXD4" s="2"/>
      <c r="AXE4" s="2"/>
      <c r="AXF4" s="2"/>
      <c r="AXG4" s="2"/>
      <c r="AXH4" s="2"/>
      <c r="AXI4" s="2"/>
      <c r="AXJ4" s="2"/>
      <c r="AXK4" s="2"/>
      <c r="AXL4" s="2"/>
      <c r="AXM4" s="2"/>
      <c r="AXN4" s="2"/>
      <c r="AXO4" s="2"/>
      <c r="AXP4" s="2"/>
      <c r="AXQ4" s="2"/>
      <c r="AXR4" s="2"/>
      <c r="AXS4" s="2"/>
      <c r="AXT4" s="2"/>
      <c r="AXU4" s="2"/>
      <c r="AXV4" s="2"/>
      <c r="AXW4" s="2"/>
      <c r="AXX4" s="2"/>
      <c r="AXY4" s="2"/>
      <c r="AXZ4" s="2"/>
      <c r="AYA4" s="2"/>
      <c r="AYB4" s="2"/>
      <c r="AYC4" s="2"/>
      <c r="AYD4" s="2"/>
      <c r="AYE4" s="2"/>
      <c r="AYF4" s="2"/>
      <c r="AYG4" s="2"/>
      <c r="AYH4" s="2"/>
      <c r="AYI4" s="2"/>
      <c r="AYJ4" s="2"/>
      <c r="AYK4" s="2"/>
      <c r="AYL4" s="2"/>
      <c r="AYM4" s="2"/>
      <c r="AYN4" s="2"/>
      <c r="AYO4" s="2"/>
      <c r="AYP4" s="2"/>
      <c r="AYQ4" s="2"/>
      <c r="AYR4" s="2"/>
      <c r="AYS4" s="2"/>
      <c r="AYT4" s="2"/>
      <c r="AYU4" s="2"/>
      <c r="AYV4" s="2"/>
      <c r="AYW4" s="2"/>
      <c r="AYX4" s="2"/>
      <c r="AYY4" s="2"/>
      <c r="AYZ4" s="2"/>
      <c r="AZA4" s="2"/>
      <c r="AZB4" s="2"/>
      <c r="AZC4" s="2"/>
      <c r="AZD4" s="2"/>
      <c r="AZE4" s="2"/>
      <c r="AZF4" s="2"/>
      <c r="AZG4" s="2"/>
      <c r="AZH4" s="2"/>
      <c r="AZI4" s="2"/>
      <c r="AZJ4" s="2"/>
      <c r="AZK4" s="2"/>
      <c r="AZL4" s="2"/>
      <c r="AZM4" s="2"/>
      <c r="AZN4" s="2"/>
      <c r="AZO4" s="2"/>
      <c r="AZP4" s="2"/>
      <c r="AZQ4" s="2"/>
      <c r="AZR4" s="2"/>
      <c r="AZS4" s="2"/>
      <c r="AZT4" s="2"/>
      <c r="AZU4" s="2"/>
      <c r="AZV4" s="2"/>
      <c r="AZW4" s="2"/>
      <c r="AZX4" s="2"/>
      <c r="AZY4" s="2"/>
      <c r="AZZ4" s="2"/>
      <c r="BAA4" s="2"/>
      <c r="BAB4" s="2"/>
      <c r="BAC4" s="2"/>
      <c r="BAD4" s="2"/>
      <c r="BAE4" s="2"/>
      <c r="BAF4" s="2"/>
      <c r="BAG4" s="2"/>
      <c r="BAH4" s="2"/>
      <c r="BAI4" s="2"/>
      <c r="BAJ4" s="2"/>
      <c r="BAK4" s="2"/>
      <c r="BAL4" s="2"/>
      <c r="BAM4" s="2"/>
      <c r="BAN4" s="2"/>
      <c r="BAO4" s="2"/>
      <c r="BAP4" s="2"/>
      <c r="BAQ4" s="2"/>
      <c r="BAR4" s="2"/>
      <c r="BAS4" s="2"/>
      <c r="BAT4" s="2"/>
      <c r="BAU4" s="2"/>
      <c r="BAV4" s="2"/>
      <c r="BAW4" s="2"/>
      <c r="BAX4" s="2"/>
      <c r="BAY4" s="2"/>
      <c r="BAZ4" s="2"/>
      <c r="BBA4" s="2"/>
      <c r="BBB4" s="2"/>
      <c r="BBC4" s="2"/>
      <c r="BBD4" s="2"/>
      <c r="BBE4" s="2"/>
      <c r="BBF4" s="2"/>
      <c r="BBG4" s="2"/>
      <c r="BBH4" s="2"/>
      <c r="BBI4" s="2"/>
      <c r="BBJ4" s="2"/>
      <c r="BBK4" s="2"/>
      <c r="BBL4" s="2"/>
      <c r="BBM4" s="2"/>
      <c r="BBN4" s="2"/>
      <c r="BBO4" s="2"/>
      <c r="BBP4" s="2"/>
      <c r="BBQ4" s="2"/>
      <c r="BBR4" s="2"/>
      <c r="BBS4" s="2"/>
      <c r="BBT4" s="2"/>
      <c r="BBU4" s="2"/>
      <c r="BBV4" s="2"/>
      <c r="BBW4" s="2"/>
      <c r="BBX4" s="2"/>
      <c r="BBY4" s="2"/>
      <c r="BBZ4" s="2"/>
      <c r="BCA4" s="2"/>
      <c r="BCB4" s="2"/>
      <c r="BCC4" s="2"/>
      <c r="BCD4" s="2"/>
      <c r="BCE4" s="2"/>
      <c r="BCF4" s="2"/>
      <c r="BCG4" s="2"/>
      <c r="BCH4" s="2"/>
      <c r="BCI4" s="2"/>
      <c r="BCJ4" s="2"/>
      <c r="BCK4" s="2"/>
      <c r="BCL4" s="2"/>
      <c r="BCM4" s="2"/>
      <c r="BCN4" s="2"/>
      <c r="BCO4" s="2"/>
      <c r="BCP4" s="2"/>
      <c r="BCQ4" s="2"/>
      <c r="BCR4" s="2"/>
      <c r="BCS4" s="2"/>
      <c r="BCT4" s="2"/>
      <c r="BCU4" s="2"/>
      <c r="BCV4" s="2"/>
      <c r="BCW4" s="2"/>
      <c r="BCX4" s="2"/>
      <c r="BCY4" s="2"/>
      <c r="BCZ4" s="2"/>
      <c r="BDA4" s="2"/>
      <c r="BDB4" s="2"/>
      <c r="BDC4" s="2"/>
      <c r="BDD4" s="2"/>
      <c r="BDE4" s="2"/>
      <c r="BDF4" s="2"/>
      <c r="BDG4" s="2"/>
      <c r="BDH4" s="2"/>
      <c r="BDI4" s="2"/>
      <c r="BDJ4" s="2"/>
      <c r="BDK4" s="2"/>
      <c r="BDL4" s="2"/>
      <c r="BDM4" s="2"/>
      <c r="BDN4" s="2"/>
      <c r="BDO4" s="2"/>
      <c r="BDP4" s="2"/>
      <c r="BDQ4" s="2"/>
      <c r="BDR4" s="2"/>
      <c r="BDS4" s="2"/>
      <c r="BDT4" s="2"/>
      <c r="BDU4" s="2"/>
      <c r="BDV4" s="2"/>
      <c r="BDW4" s="2"/>
      <c r="BDX4" s="2"/>
      <c r="BDY4" s="2"/>
      <c r="BDZ4" s="2"/>
      <c r="BEA4" s="2"/>
      <c r="BEB4" s="2"/>
      <c r="BEC4" s="2"/>
      <c r="BED4" s="2"/>
      <c r="BEE4" s="2"/>
      <c r="BEF4" s="2"/>
      <c r="BEG4" s="2"/>
      <c r="BEH4" s="2"/>
      <c r="BEI4" s="2"/>
      <c r="BEJ4" s="2"/>
      <c r="BEK4" s="2"/>
      <c r="BEL4" s="2"/>
      <c r="BEM4" s="2"/>
      <c r="BEN4" s="2"/>
      <c r="BEO4" s="2"/>
      <c r="BEP4" s="2"/>
      <c r="BEQ4" s="2"/>
      <c r="BER4" s="2"/>
      <c r="BES4" s="2"/>
      <c r="BET4" s="2"/>
      <c r="BEU4" s="2"/>
      <c r="BEV4" s="2"/>
      <c r="BEW4" s="2"/>
      <c r="BEX4" s="2"/>
      <c r="BEY4" s="2"/>
      <c r="BEZ4" s="2"/>
      <c r="BFA4" s="2"/>
      <c r="BFB4" s="2"/>
      <c r="BFC4" s="2"/>
      <c r="BFD4" s="2"/>
      <c r="BFE4" s="2"/>
      <c r="BFF4" s="2"/>
      <c r="BFG4" s="2"/>
      <c r="BFH4" s="2"/>
      <c r="BFI4" s="2"/>
      <c r="BFJ4" s="2"/>
      <c r="BFK4" s="2"/>
      <c r="BFL4" s="2"/>
      <c r="BFM4" s="2"/>
      <c r="BFN4" s="2"/>
      <c r="BFO4" s="2"/>
      <c r="BFP4" s="2"/>
      <c r="BFQ4" s="2"/>
      <c r="BFR4" s="2"/>
      <c r="BFS4" s="2"/>
      <c r="BFT4" s="2"/>
      <c r="BFU4" s="2"/>
      <c r="BFV4" s="2"/>
      <c r="BFW4" s="2"/>
      <c r="BFX4" s="2"/>
      <c r="BFY4" s="2"/>
      <c r="BFZ4" s="2"/>
      <c r="BGA4" s="2"/>
      <c r="BGB4" s="2"/>
      <c r="BGC4" s="2"/>
      <c r="BGD4" s="2"/>
      <c r="BGE4" s="2"/>
      <c r="BGF4" s="2"/>
      <c r="BGG4" s="2"/>
      <c r="BGH4" s="2"/>
      <c r="BGI4" s="2"/>
      <c r="BGJ4" s="2"/>
      <c r="BGK4" s="2"/>
      <c r="BGL4" s="2"/>
      <c r="BGM4" s="2"/>
      <c r="BGN4" s="2"/>
      <c r="BGO4" s="2"/>
      <c r="BGP4" s="2"/>
      <c r="BGQ4" s="2"/>
      <c r="BGR4" s="2"/>
      <c r="BGS4" s="2"/>
      <c r="BGT4" s="2"/>
      <c r="BGU4" s="2"/>
      <c r="BGV4" s="2"/>
      <c r="BGW4" s="2"/>
      <c r="BGX4" s="2"/>
      <c r="BGY4" s="2"/>
      <c r="BGZ4" s="2"/>
      <c r="BHA4" s="2"/>
      <c r="BHB4" s="2"/>
      <c r="BHC4" s="2"/>
      <c r="BHD4" s="2"/>
      <c r="BHE4" s="2"/>
      <c r="BHF4" s="2"/>
      <c r="BHG4" s="2"/>
      <c r="BHH4" s="2"/>
      <c r="BHI4" s="2"/>
      <c r="BHJ4" s="2"/>
      <c r="BHK4" s="2"/>
      <c r="BHL4" s="2"/>
      <c r="BHM4" s="2"/>
      <c r="BHN4" s="2"/>
      <c r="BHO4" s="2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2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2"/>
      <c r="BJU4" s="2"/>
      <c r="BJV4" s="2"/>
      <c r="BJW4" s="2"/>
      <c r="BJX4" s="2"/>
      <c r="BJY4" s="2"/>
      <c r="BJZ4" s="2"/>
      <c r="BKA4" s="2"/>
      <c r="BKB4" s="2"/>
      <c r="BKC4" s="2"/>
      <c r="BKD4" s="2"/>
      <c r="BKE4" s="2"/>
      <c r="BKF4" s="2"/>
      <c r="BKG4" s="2"/>
      <c r="BKH4" s="2"/>
      <c r="BKI4" s="2"/>
      <c r="BKJ4" s="2"/>
      <c r="BKK4" s="2"/>
      <c r="BKL4" s="2"/>
      <c r="BKM4" s="2"/>
      <c r="BKN4" s="2"/>
      <c r="BKO4" s="2"/>
      <c r="BKP4" s="2"/>
      <c r="BKQ4" s="2"/>
      <c r="BKR4" s="2"/>
      <c r="BKS4" s="2"/>
      <c r="BKT4" s="2"/>
      <c r="BKU4" s="2"/>
      <c r="BKV4" s="2"/>
      <c r="BKW4" s="2"/>
      <c r="BKX4" s="2"/>
      <c r="BKY4" s="2"/>
      <c r="BKZ4" s="2"/>
      <c r="BLA4" s="2"/>
      <c r="BLB4" s="2"/>
      <c r="BLC4" s="2"/>
      <c r="BLD4" s="2"/>
      <c r="BLE4" s="2"/>
      <c r="BLF4" s="2"/>
      <c r="BLG4" s="2"/>
      <c r="BLH4" s="2"/>
      <c r="BLI4" s="2"/>
      <c r="BLJ4" s="2"/>
      <c r="BLK4" s="2"/>
      <c r="BLL4" s="2"/>
      <c r="BLM4" s="2"/>
      <c r="BLN4" s="2"/>
      <c r="BLO4" s="2"/>
      <c r="BLP4" s="2"/>
      <c r="BLQ4" s="2"/>
      <c r="BLR4" s="2"/>
      <c r="BLS4" s="2"/>
      <c r="BLT4" s="2"/>
      <c r="BLU4" s="2"/>
      <c r="BLV4" s="2"/>
      <c r="BLW4" s="2"/>
      <c r="BLX4" s="2"/>
      <c r="BLY4" s="2"/>
      <c r="BLZ4" s="2"/>
      <c r="BMA4" s="2"/>
      <c r="BMB4" s="2"/>
      <c r="BMC4" s="2"/>
      <c r="BMD4" s="2"/>
      <c r="BME4" s="2"/>
      <c r="BMF4" s="2"/>
      <c r="BMG4" s="2"/>
      <c r="BMH4" s="2"/>
      <c r="BMI4" s="2"/>
      <c r="BMJ4" s="2"/>
      <c r="BMK4" s="2"/>
      <c r="BML4" s="2"/>
      <c r="BMM4" s="2"/>
      <c r="BMN4" s="2"/>
      <c r="BMO4" s="2"/>
      <c r="BMP4" s="2"/>
      <c r="BMQ4" s="2"/>
      <c r="BMR4" s="2"/>
      <c r="BMS4" s="2"/>
      <c r="BMT4" s="2"/>
      <c r="BMU4" s="2"/>
      <c r="BMV4" s="2"/>
      <c r="BMW4" s="2"/>
      <c r="BMX4" s="2"/>
      <c r="BMY4" s="2"/>
      <c r="BMZ4" s="2"/>
      <c r="BNA4" s="2"/>
      <c r="BNB4" s="2"/>
      <c r="BNC4" s="2"/>
      <c r="BND4" s="2"/>
      <c r="BNE4" s="2"/>
      <c r="BNF4" s="2"/>
      <c r="BNG4" s="2"/>
      <c r="BNH4" s="2"/>
      <c r="BNI4" s="2"/>
      <c r="BNJ4" s="2"/>
      <c r="BNK4" s="2"/>
      <c r="BNL4" s="2"/>
      <c r="BNM4" s="2"/>
      <c r="BNN4" s="2"/>
      <c r="BNO4" s="2"/>
      <c r="BNP4" s="2"/>
      <c r="BNQ4" s="2"/>
      <c r="BNR4" s="2"/>
      <c r="BNS4" s="2"/>
      <c r="BNT4" s="2"/>
      <c r="BNU4" s="2"/>
      <c r="BNV4" s="2"/>
      <c r="BNW4" s="2"/>
      <c r="BNX4" s="2"/>
      <c r="BNY4" s="2"/>
      <c r="BNZ4" s="2"/>
      <c r="BOA4" s="2"/>
      <c r="BOB4" s="2"/>
      <c r="BOC4" s="2"/>
      <c r="BOD4" s="2"/>
      <c r="BOE4" s="2"/>
      <c r="BOF4" s="2"/>
      <c r="BOG4" s="2"/>
      <c r="BOH4" s="2"/>
      <c r="BOI4" s="2"/>
      <c r="BOJ4" s="2"/>
      <c r="BOK4" s="2"/>
      <c r="BOL4" s="2"/>
      <c r="BOM4" s="2"/>
      <c r="BON4" s="2"/>
      <c r="BOO4" s="2"/>
      <c r="BOP4" s="2"/>
      <c r="BOQ4" s="2"/>
      <c r="BOR4" s="2"/>
      <c r="BOS4" s="2"/>
      <c r="BOT4" s="2"/>
      <c r="BOU4" s="2"/>
      <c r="BOV4" s="2"/>
      <c r="BOW4" s="2"/>
      <c r="BOX4" s="2"/>
      <c r="BOY4" s="2"/>
      <c r="BOZ4" s="2"/>
      <c r="BPA4" s="2"/>
      <c r="BPB4" s="2"/>
      <c r="BPC4" s="2"/>
      <c r="BPD4" s="2"/>
      <c r="BPE4" s="2"/>
      <c r="BPF4" s="2"/>
      <c r="BPG4" s="2"/>
      <c r="BPH4" s="2"/>
      <c r="BPI4" s="2"/>
      <c r="BPJ4" s="2"/>
      <c r="BPK4" s="2"/>
      <c r="BPL4" s="2"/>
      <c r="BPM4" s="2"/>
      <c r="BPN4" s="2"/>
      <c r="BPO4" s="2"/>
      <c r="BPP4" s="2"/>
      <c r="BPQ4" s="2"/>
      <c r="BPR4" s="2"/>
      <c r="BPS4" s="2"/>
      <c r="BPT4" s="2"/>
      <c r="BPU4" s="2"/>
      <c r="BPV4" s="2"/>
      <c r="BPW4" s="2"/>
      <c r="BPX4" s="2"/>
      <c r="BPY4" s="2"/>
      <c r="BPZ4" s="2"/>
      <c r="BQA4" s="2"/>
      <c r="BQB4" s="2"/>
      <c r="BQC4" s="2"/>
      <c r="BQD4" s="2"/>
      <c r="BQE4" s="2"/>
      <c r="BQF4" s="2"/>
      <c r="BQG4" s="2"/>
      <c r="BQH4" s="2"/>
      <c r="BQI4" s="2"/>
      <c r="BQJ4" s="2"/>
      <c r="BQK4" s="2"/>
      <c r="BQL4" s="2"/>
      <c r="BQM4" s="2"/>
      <c r="BQN4" s="2"/>
      <c r="BQO4" s="2"/>
      <c r="BQP4" s="2"/>
      <c r="BQQ4" s="2"/>
      <c r="BQR4" s="2"/>
      <c r="BQS4" s="2"/>
      <c r="BQT4" s="2"/>
      <c r="BQU4" s="2"/>
      <c r="BQV4" s="2"/>
      <c r="BQW4" s="2"/>
      <c r="BQX4" s="2"/>
      <c r="BQY4" s="2"/>
      <c r="BQZ4" s="2"/>
      <c r="BRA4" s="2"/>
      <c r="BRB4" s="2"/>
      <c r="BRC4" s="2"/>
      <c r="BRD4" s="2"/>
      <c r="BRE4" s="2"/>
      <c r="BRF4" s="2"/>
      <c r="BRG4" s="2"/>
      <c r="BRH4" s="2"/>
      <c r="BRI4" s="2"/>
      <c r="BRJ4" s="2"/>
      <c r="BRK4" s="2"/>
      <c r="BRL4" s="2"/>
      <c r="BRM4" s="2"/>
      <c r="BRN4" s="2"/>
      <c r="BRO4" s="2"/>
      <c r="BRP4" s="2"/>
      <c r="BRQ4" s="2"/>
      <c r="BRR4" s="2"/>
      <c r="BRS4" s="2"/>
      <c r="BRT4" s="2"/>
      <c r="BRU4" s="2"/>
      <c r="BRV4" s="2"/>
      <c r="BRW4" s="2"/>
      <c r="BRX4" s="2"/>
      <c r="BRY4" s="2"/>
      <c r="BRZ4" s="2"/>
      <c r="BSA4" s="2"/>
      <c r="BSB4" s="2"/>
      <c r="BSC4" s="2"/>
      <c r="BSD4" s="2"/>
      <c r="BSE4" s="2"/>
      <c r="BSF4" s="2"/>
      <c r="BSG4" s="2"/>
      <c r="BSH4" s="2"/>
      <c r="BSI4" s="2"/>
      <c r="BSJ4" s="2"/>
      <c r="BSK4" s="2"/>
      <c r="BSL4" s="2"/>
      <c r="BSM4" s="2"/>
      <c r="BSN4" s="2"/>
      <c r="BSO4" s="2"/>
      <c r="BSP4" s="2"/>
      <c r="BSQ4" s="2"/>
      <c r="BSR4" s="2"/>
      <c r="BSS4" s="2"/>
      <c r="BST4" s="2"/>
      <c r="BSU4" s="2"/>
      <c r="BSV4" s="2"/>
      <c r="BSW4" s="2"/>
      <c r="BSX4" s="2"/>
      <c r="BSY4" s="2"/>
      <c r="BSZ4" s="2"/>
      <c r="BTA4" s="2"/>
      <c r="BTB4" s="2"/>
      <c r="BTC4" s="2"/>
      <c r="BTD4" s="2"/>
      <c r="BTE4" s="2"/>
      <c r="BTF4" s="2"/>
      <c r="BTG4" s="2"/>
      <c r="BTH4" s="2"/>
      <c r="BTI4" s="2"/>
      <c r="BTJ4" s="2"/>
      <c r="BTK4" s="2"/>
      <c r="BTL4" s="2"/>
      <c r="BTM4" s="2"/>
      <c r="BTN4" s="2"/>
      <c r="BTO4" s="2"/>
      <c r="BTP4" s="2"/>
      <c r="BTQ4" s="2"/>
      <c r="BTR4" s="2"/>
      <c r="BTS4" s="2"/>
      <c r="BTT4" s="2"/>
      <c r="BTU4" s="2"/>
      <c r="BTV4" s="2"/>
      <c r="BTW4" s="2"/>
      <c r="BTX4" s="2"/>
      <c r="BTY4" s="2"/>
      <c r="BTZ4" s="2"/>
      <c r="BUA4" s="2"/>
      <c r="BUB4" s="2"/>
      <c r="BUC4" s="2"/>
      <c r="BUD4" s="2"/>
      <c r="BUE4" s="2"/>
      <c r="BUF4" s="2"/>
      <c r="BUG4" s="2"/>
      <c r="BUH4" s="2"/>
      <c r="BUI4" s="2"/>
      <c r="BUJ4" s="2"/>
      <c r="BUK4" s="2"/>
      <c r="BUL4" s="2"/>
      <c r="BUM4" s="2"/>
      <c r="BUN4" s="2"/>
      <c r="BUO4" s="2"/>
      <c r="BUP4" s="2"/>
      <c r="BUQ4" s="2"/>
      <c r="BUR4" s="2"/>
      <c r="BUS4" s="2"/>
      <c r="BUT4" s="2"/>
      <c r="BUU4" s="2"/>
      <c r="BUV4" s="2"/>
      <c r="BUW4" s="2"/>
      <c r="BUX4" s="2"/>
      <c r="BUY4" s="2"/>
      <c r="BUZ4" s="2"/>
      <c r="BVA4" s="2"/>
      <c r="BVB4" s="2"/>
      <c r="BVC4" s="2"/>
      <c r="BVD4" s="2"/>
      <c r="BVE4" s="2"/>
      <c r="BVF4" s="2"/>
      <c r="BVG4" s="2"/>
      <c r="BVH4" s="2"/>
      <c r="BVI4" s="2"/>
      <c r="BVJ4" s="2"/>
      <c r="BVK4" s="2"/>
      <c r="BVL4" s="2"/>
      <c r="BVM4" s="2"/>
      <c r="BVN4" s="2"/>
      <c r="BVO4" s="2"/>
      <c r="BVP4" s="2"/>
      <c r="BVQ4" s="2"/>
      <c r="BVR4" s="2"/>
      <c r="BVS4" s="2"/>
      <c r="BVT4" s="2"/>
      <c r="BVU4" s="2"/>
      <c r="BVV4" s="2"/>
      <c r="BVW4" s="2"/>
      <c r="BVX4" s="2"/>
      <c r="BVY4" s="2"/>
      <c r="BVZ4" s="2"/>
      <c r="BWA4" s="2"/>
      <c r="BWB4" s="2"/>
      <c r="BWC4" s="2"/>
      <c r="BWD4" s="2"/>
      <c r="BWE4" s="2"/>
      <c r="BWF4" s="2"/>
      <c r="BWG4" s="2"/>
      <c r="BWH4" s="2"/>
      <c r="BWI4" s="2"/>
      <c r="BWJ4" s="2"/>
      <c r="BWK4" s="2"/>
      <c r="BWL4" s="2"/>
      <c r="BWM4" s="2"/>
      <c r="BWN4" s="2"/>
      <c r="BWO4" s="2"/>
      <c r="BWP4" s="2"/>
      <c r="BWQ4" s="2"/>
      <c r="BWR4" s="2"/>
      <c r="BWS4" s="2"/>
      <c r="BWT4" s="2"/>
      <c r="BWU4" s="2"/>
      <c r="BWV4" s="2"/>
      <c r="BWW4" s="2"/>
      <c r="BWX4" s="2"/>
      <c r="BWY4" s="2"/>
      <c r="BWZ4" s="2"/>
      <c r="BXA4" s="2"/>
      <c r="BXB4" s="2"/>
      <c r="BXC4" s="2"/>
      <c r="BXD4" s="2"/>
      <c r="BXE4" s="2"/>
      <c r="BXF4" s="2"/>
      <c r="BXG4" s="2"/>
      <c r="BXH4" s="2"/>
      <c r="BXI4" s="2"/>
      <c r="BXJ4" s="2"/>
      <c r="BXK4" s="2"/>
      <c r="BXL4" s="2"/>
      <c r="BXM4" s="2"/>
      <c r="BXN4" s="2"/>
      <c r="BXO4" s="2"/>
      <c r="BXP4" s="2"/>
      <c r="BXQ4" s="2"/>
      <c r="BXR4" s="2"/>
      <c r="BXS4" s="2"/>
      <c r="BXT4" s="2"/>
      <c r="BXU4" s="2"/>
      <c r="BXV4" s="2"/>
      <c r="BXW4" s="2"/>
      <c r="BXX4" s="2"/>
      <c r="BXY4" s="2"/>
      <c r="BXZ4" s="2"/>
      <c r="BYA4" s="2"/>
      <c r="BYB4" s="2"/>
      <c r="BYC4" s="2"/>
      <c r="BYD4" s="2"/>
      <c r="BYE4" s="2"/>
      <c r="BYF4" s="2"/>
      <c r="BYG4" s="2"/>
      <c r="BYH4" s="2"/>
      <c r="BYI4" s="2"/>
      <c r="BYJ4" s="2"/>
      <c r="BYK4" s="2"/>
      <c r="BYL4" s="2"/>
      <c r="BYM4" s="2"/>
      <c r="BYN4" s="2"/>
      <c r="BYO4" s="2"/>
      <c r="BYP4" s="2"/>
      <c r="BYQ4" s="2"/>
      <c r="BYR4" s="2"/>
      <c r="BYS4" s="2"/>
      <c r="BYT4" s="2"/>
      <c r="BYU4" s="2"/>
      <c r="BYV4" s="2"/>
      <c r="BYW4" s="2"/>
      <c r="BYX4" s="2"/>
      <c r="BYY4" s="2"/>
      <c r="BYZ4" s="2"/>
      <c r="BZA4" s="2"/>
      <c r="BZB4" s="2"/>
      <c r="BZC4" s="2"/>
      <c r="BZD4" s="2"/>
      <c r="BZE4" s="2"/>
      <c r="BZF4" s="2"/>
      <c r="BZG4" s="2"/>
      <c r="BZH4" s="2"/>
      <c r="BZI4" s="2"/>
      <c r="BZJ4" s="2"/>
      <c r="BZK4" s="2"/>
      <c r="BZL4" s="2"/>
      <c r="BZM4" s="2"/>
      <c r="BZN4" s="2"/>
      <c r="BZO4" s="2"/>
      <c r="BZP4" s="2"/>
      <c r="BZQ4" s="2"/>
      <c r="BZR4" s="2"/>
      <c r="BZS4" s="2"/>
      <c r="BZT4" s="2"/>
      <c r="BZU4" s="2"/>
      <c r="BZV4" s="2"/>
      <c r="BZW4" s="2"/>
      <c r="BZX4" s="2"/>
      <c r="BZY4" s="2"/>
      <c r="BZZ4" s="2"/>
      <c r="CAA4" s="2"/>
      <c r="CAB4" s="2"/>
      <c r="CAC4" s="2"/>
      <c r="CAD4" s="2"/>
      <c r="CAE4" s="2"/>
      <c r="CAF4" s="2"/>
      <c r="CAG4" s="2"/>
      <c r="CAH4" s="2"/>
      <c r="CAI4" s="2"/>
      <c r="CAJ4" s="2"/>
      <c r="CAK4" s="2"/>
      <c r="CAL4" s="2"/>
      <c r="CAM4" s="2"/>
      <c r="CAN4" s="2"/>
      <c r="CAO4" s="2"/>
      <c r="CAP4" s="2"/>
      <c r="CAQ4" s="2"/>
      <c r="CAR4" s="2"/>
      <c r="CAS4" s="2"/>
      <c r="CAT4" s="2"/>
      <c r="CAU4" s="2"/>
      <c r="CAV4" s="2"/>
      <c r="CAW4" s="2"/>
      <c r="CAX4" s="2"/>
      <c r="CAY4" s="2"/>
      <c r="CAZ4" s="2"/>
      <c r="CBA4" s="2"/>
      <c r="CBB4" s="2"/>
      <c r="CBC4" s="2"/>
      <c r="CBD4" s="2"/>
      <c r="CBE4" s="2"/>
      <c r="CBF4" s="2"/>
      <c r="CBG4" s="2"/>
      <c r="CBH4" s="2"/>
      <c r="CBI4" s="2"/>
      <c r="CBJ4" s="2"/>
      <c r="CBK4" s="2"/>
      <c r="CBL4" s="2"/>
      <c r="CBM4" s="2"/>
      <c r="CBN4" s="2"/>
      <c r="CBO4" s="2"/>
      <c r="CBP4" s="2"/>
      <c r="CBQ4" s="2"/>
      <c r="CBR4" s="2"/>
      <c r="CBS4" s="2"/>
      <c r="CBT4" s="2"/>
      <c r="CBU4" s="2"/>
      <c r="CBV4" s="2"/>
      <c r="CBW4" s="2"/>
      <c r="CBX4" s="2"/>
      <c r="CBY4" s="2"/>
      <c r="CBZ4" s="2"/>
      <c r="CCA4" s="2"/>
      <c r="CCB4" s="2"/>
      <c r="CCC4" s="2"/>
      <c r="CCD4" s="2"/>
      <c r="CCE4" s="2"/>
      <c r="CCF4" s="2"/>
      <c r="CCG4" s="2"/>
      <c r="CCH4" s="2"/>
      <c r="CCI4" s="2"/>
      <c r="CCJ4" s="2"/>
      <c r="CCK4" s="2"/>
      <c r="CCL4" s="2"/>
      <c r="CCM4" s="2"/>
      <c r="CCN4" s="2"/>
      <c r="CCO4" s="2"/>
      <c r="CCP4" s="2"/>
      <c r="CCQ4" s="2"/>
      <c r="CCR4" s="2"/>
      <c r="CCS4" s="2"/>
      <c r="CCT4" s="2"/>
      <c r="CCU4" s="2"/>
      <c r="CCV4" s="2"/>
      <c r="CCW4" s="2"/>
      <c r="CCX4" s="2"/>
      <c r="CCY4" s="2"/>
      <c r="CCZ4" s="2"/>
      <c r="CDA4" s="2"/>
      <c r="CDB4" s="2"/>
      <c r="CDC4" s="2"/>
      <c r="CDD4" s="2"/>
      <c r="CDE4" s="2"/>
      <c r="CDF4" s="2"/>
      <c r="CDG4" s="2"/>
      <c r="CDH4" s="2"/>
      <c r="CDI4" s="2"/>
      <c r="CDJ4" s="2"/>
      <c r="CDK4" s="2"/>
      <c r="CDL4" s="2"/>
      <c r="CDM4" s="2"/>
      <c r="CDN4" s="2"/>
      <c r="CDO4" s="2"/>
      <c r="CDP4" s="2"/>
      <c r="CDQ4" s="2"/>
      <c r="CDR4" s="2"/>
      <c r="CDS4" s="2"/>
      <c r="CDT4" s="2"/>
      <c r="CDU4" s="2"/>
      <c r="CDV4" s="2"/>
      <c r="CDW4" s="2"/>
      <c r="CDX4" s="2"/>
      <c r="CDY4" s="2"/>
      <c r="CDZ4" s="2"/>
      <c r="CEA4" s="2"/>
      <c r="CEB4" s="2"/>
      <c r="CEC4" s="2"/>
      <c r="CED4" s="2"/>
      <c r="CEE4" s="2"/>
      <c r="CEF4" s="2"/>
      <c r="CEG4" s="2"/>
      <c r="CEH4" s="2"/>
      <c r="CEI4" s="2"/>
      <c r="CEJ4" s="2"/>
      <c r="CEK4" s="2"/>
      <c r="CEL4" s="2"/>
      <c r="CEM4" s="2"/>
      <c r="CEN4" s="2"/>
      <c r="CEO4" s="2"/>
      <c r="CEP4" s="2"/>
      <c r="CEQ4" s="2"/>
      <c r="CER4" s="2"/>
      <c r="CES4" s="2"/>
      <c r="CET4" s="2"/>
      <c r="CEU4" s="2"/>
      <c r="CEV4" s="2"/>
      <c r="CEW4" s="2"/>
      <c r="CEX4" s="2"/>
      <c r="CEY4" s="2"/>
      <c r="CEZ4" s="2"/>
      <c r="CFA4" s="2"/>
      <c r="CFB4" s="2"/>
      <c r="CFC4" s="2"/>
      <c r="CFD4" s="2"/>
      <c r="CFE4" s="2"/>
      <c r="CFF4" s="2"/>
      <c r="CFG4" s="2"/>
      <c r="CFH4" s="2"/>
      <c r="CFI4" s="2"/>
      <c r="CFJ4" s="2"/>
      <c r="CFK4" s="2"/>
      <c r="CFL4" s="2"/>
      <c r="CFM4" s="2"/>
      <c r="CFN4" s="2"/>
      <c r="CFO4" s="2"/>
      <c r="CFP4" s="2"/>
      <c r="CFQ4" s="2"/>
      <c r="CFR4" s="2"/>
      <c r="CFS4" s="2"/>
      <c r="CFT4" s="2"/>
      <c r="CFU4" s="2"/>
      <c r="CFV4" s="2"/>
      <c r="CFW4" s="2"/>
      <c r="CFX4" s="2"/>
      <c r="CFY4" s="2"/>
      <c r="CFZ4" s="2"/>
      <c r="CGA4" s="2"/>
      <c r="CGB4" s="2"/>
      <c r="CGC4" s="2"/>
      <c r="CGD4" s="2"/>
      <c r="CGE4" s="2"/>
      <c r="CGF4" s="2"/>
      <c r="CGG4" s="2"/>
      <c r="CGH4" s="2"/>
      <c r="CGI4" s="2"/>
      <c r="CGJ4" s="2"/>
      <c r="CGK4" s="2"/>
      <c r="CGL4" s="2"/>
      <c r="CGM4" s="2"/>
      <c r="CGN4" s="2"/>
      <c r="CGO4" s="2"/>
      <c r="CGP4" s="2"/>
      <c r="CGQ4" s="2"/>
      <c r="CGR4" s="2"/>
      <c r="CGS4" s="2"/>
      <c r="CGT4" s="2"/>
      <c r="CGU4" s="2"/>
      <c r="CGV4" s="2"/>
      <c r="CGW4" s="2"/>
      <c r="CGX4" s="2"/>
      <c r="CGY4" s="2"/>
      <c r="CGZ4" s="2"/>
      <c r="CHA4" s="2"/>
      <c r="CHB4" s="2"/>
      <c r="CHC4" s="2"/>
      <c r="CHD4" s="2"/>
      <c r="CHE4" s="2"/>
      <c r="CHF4" s="2"/>
      <c r="CHG4" s="2"/>
      <c r="CHH4" s="2"/>
      <c r="CHI4" s="2"/>
      <c r="CHJ4" s="2"/>
      <c r="CHK4" s="2"/>
      <c r="CHL4" s="2"/>
      <c r="CHM4" s="2"/>
      <c r="CHN4" s="2"/>
      <c r="CHO4" s="2"/>
      <c r="CHP4" s="2"/>
      <c r="CHQ4" s="2"/>
      <c r="CHR4" s="2"/>
      <c r="CHS4" s="2"/>
      <c r="CHT4" s="2"/>
      <c r="CHU4" s="2"/>
      <c r="CHV4" s="2"/>
      <c r="CHW4" s="2"/>
      <c r="CHX4" s="2"/>
      <c r="CHY4" s="2"/>
      <c r="CHZ4" s="2"/>
      <c r="CIA4" s="2"/>
      <c r="CIB4" s="2"/>
      <c r="CIC4" s="2"/>
      <c r="CID4" s="2"/>
      <c r="CIE4" s="2"/>
      <c r="CIF4" s="2"/>
      <c r="CIG4" s="2"/>
      <c r="CIH4" s="2"/>
      <c r="CII4" s="2"/>
      <c r="CIJ4" s="2"/>
      <c r="CIK4" s="2"/>
      <c r="CIL4" s="2"/>
      <c r="CIM4" s="2"/>
      <c r="CIN4" s="2"/>
      <c r="CIO4" s="2"/>
      <c r="CIP4" s="2"/>
      <c r="CIQ4" s="2"/>
      <c r="CIR4" s="2"/>
      <c r="CIS4" s="2"/>
      <c r="CIT4" s="2"/>
      <c r="CIU4" s="2"/>
      <c r="CIV4" s="2"/>
      <c r="CIW4" s="2"/>
      <c r="CIX4" s="2"/>
      <c r="CIY4" s="2"/>
      <c r="CIZ4" s="2"/>
      <c r="CJA4" s="2"/>
      <c r="CJB4" s="2"/>
      <c r="CJC4" s="2"/>
      <c r="CJD4" s="2"/>
      <c r="CJE4" s="2"/>
      <c r="CJF4" s="2"/>
      <c r="CJG4" s="2"/>
      <c r="CJH4" s="2"/>
      <c r="CJI4" s="2"/>
      <c r="CJJ4" s="2"/>
      <c r="CJK4" s="2"/>
      <c r="CJL4" s="2"/>
      <c r="CJM4" s="2"/>
      <c r="CJN4" s="2"/>
      <c r="CJO4" s="2"/>
      <c r="CJP4" s="2"/>
      <c r="CJQ4" s="2"/>
      <c r="CJR4" s="2"/>
      <c r="CJS4" s="2"/>
      <c r="CJT4" s="2"/>
      <c r="CJU4" s="2"/>
      <c r="CJV4" s="2"/>
      <c r="CJW4" s="2"/>
      <c r="CJX4" s="2"/>
      <c r="CJY4" s="2"/>
      <c r="CJZ4" s="2"/>
      <c r="CKA4" s="2"/>
      <c r="CKB4" s="2"/>
      <c r="CKC4" s="2"/>
      <c r="CKD4" s="2"/>
      <c r="CKE4" s="2"/>
      <c r="CKF4" s="2"/>
      <c r="CKG4" s="2"/>
      <c r="CKH4" s="2"/>
      <c r="CKI4" s="2"/>
      <c r="CKJ4" s="2"/>
      <c r="CKK4" s="2"/>
      <c r="CKL4" s="2"/>
      <c r="CKM4" s="2"/>
      <c r="CKN4" s="2"/>
      <c r="CKO4" s="2"/>
      <c r="CKP4" s="2"/>
      <c r="CKQ4" s="2"/>
      <c r="CKR4" s="2"/>
      <c r="CKS4" s="2"/>
      <c r="CKT4" s="2"/>
      <c r="CKU4" s="2"/>
      <c r="CKV4" s="2"/>
      <c r="CKW4" s="2"/>
      <c r="CKX4" s="2"/>
      <c r="CKY4" s="2"/>
      <c r="CKZ4" s="2"/>
      <c r="CLA4" s="2"/>
      <c r="CLB4" s="2"/>
      <c r="CLC4" s="2"/>
      <c r="CLD4" s="2"/>
      <c r="CLE4" s="2"/>
      <c r="CLF4" s="2"/>
      <c r="CLG4" s="2"/>
      <c r="CLH4" s="2"/>
      <c r="CLI4" s="2"/>
      <c r="CLJ4" s="2"/>
      <c r="CLK4" s="2"/>
      <c r="CLL4" s="2"/>
      <c r="CLM4" s="2"/>
      <c r="CLN4" s="2"/>
      <c r="CLO4" s="2"/>
      <c r="CLP4" s="2"/>
      <c r="CLQ4" s="2"/>
      <c r="CLR4" s="2"/>
      <c r="CLS4" s="2"/>
      <c r="CLT4" s="2"/>
      <c r="CLU4" s="2"/>
      <c r="CLV4" s="2"/>
      <c r="CLW4" s="2"/>
      <c r="CLX4" s="2"/>
      <c r="CLY4" s="2"/>
      <c r="CLZ4" s="2"/>
      <c r="CMA4" s="2"/>
      <c r="CMB4" s="2"/>
      <c r="CMC4" s="2"/>
      <c r="CMD4" s="2"/>
      <c r="CME4" s="2"/>
      <c r="CMF4" s="2"/>
      <c r="CMG4" s="2"/>
      <c r="CMH4" s="2"/>
      <c r="CMI4" s="2"/>
      <c r="CMJ4" s="2"/>
      <c r="CMK4" s="2"/>
      <c r="CML4" s="2"/>
      <c r="CMM4" s="2"/>
      <c r="CMN4" s="2"/>
      <c r="CMO4" s="2"/>
      <c r="CMP4" s="2"/>
      <c r="CMQ4" s="2"/>
      <c r="CMR4" s="2"/>
      <c r="CMS4" s="2"/>
      <c r="CMT4" s="2"/>
      <c r="CMU4" s="2"/>
      <c r="CMV4" s="2"/>
      <c r="CMW4" s="2"/>
      <c r="CMX4" s="2"/>
      <c r="CMY4" s="2"/>
      <c r="CMZ4" s="2"/>
      <c r="CNA4" s="2"/>
      <c r="CNB4" s="2"/>
      <c r="CNC4" s="2"/>
      <c r="CND4" s="2"/>
      <c r="CNE4" s="2"/>
      <c r="CNF4" s="2"/>
      <c r="CNG4" s="2"/>
      <c r="CNH4" s="2"/>
      <c r="CNI4" s="2"/>
      <c r="CNJ4" s="2"/>
      <c r="CNK4" s="2"/>
      <c r="CNL4" s="2"/>
      <c r="CNM4" s="2"/>
      <c r="CNN4" s="2"/>
      <c r="CNO4" s="2"/>
      <c r="CNP4" s="2"/>
      <c r="CNQ4" s="2"/>
      <c r="CNR4" s="2"/>
      <c r="CNS4" s="2"/>
      <c r="CNT4" s="2"/>
      <c r="CNU4" s="2"/>
      <c r="CNV4" s="2"/>
      <c r="CNW4" s="2"/>
      <c r="CNX4" s="2"/>
      <c r="CNY4" s="2"/>
      <c r="CNZ4" s="2"/>
      <c r="COA4" s="2"/>
      <c r="COB4" s="2"/>
      <c r="COC4" s="2"/>
      <c r="COD4" s="2"/>
      <c r="COE4" s="2"/>
      <c r="COF4" s="2"/>
      <c r="COG4" s="2"/>
      <c r="COH4" s="2"/>
      <c r="COI4" s="2"/>
      <c r="COJ4" s="2"/>
      <c r="COK4" s="2"/>
      <c r="COL4" s="2"/>
      <c r="COM4" s="2"/>
      <c r="CON4" s="2"/>
      <c r="COO4" s="2"/>
      <c r="COP4" s="2"/>
      <c r="COQ4" s="2"/>
      <c r="COR4" s="2"/>
      <c r="COS4" s="2"/>
      <c r="COT4" s="2"/>
      <c r="COU4" s="2"/>
      <c r="COV4" s="2"/>
      <c r="COW4" s="2"/>
      <c r="COX4" s="2"/>
      <c r="COY4" s="2"/>
      <c r="COZ4" s="2"/>
      <c r="CPA4" s="2"/>
      <c r="CPB4" s="2"/>
      <c r="CPC4" s="2"/>
      <c r="CPD4" s="2"/>
      <c r="CPE4" s="2"/>
      <c r="CPF4" s="2"/>
      <c r="CPG4" s="2"/>
      <c r="CPH4" s="2"/>
      <c r="CPI4" s="2"/>
      <c r="CPJ4" s="2"/>
      <c r="CPK4" s="2"/>
      <c r="CPL4" s="2"/>
      <c r="CPM4" s="2"/>
      <c r="CPN4" s="2"/>
      <c r="CPO4" s="2"/>
      <c r="CPP4" s="2"/>
      <c r="CPQ4" s="2"/>
      <c r="CPR4" s="2"/>
      <c r="CPS4" s="2"/>
      <c r="CPT4" s="2"/>
      <c r="CPU4" s="2"/>
      <c r="CPV4" s="2"/>
      <c r="CPW4" s="2"/>
      <c r="CPX4" s="2"/>
      <c r="CPY4" s="2"/>
      <c r="CPZ4" s="2"/>
      <c r="CQA4" s="2"/>
      <c r="CQB4" s="2"/>
      <c r="CQC4" s="2"/>
      <c r="CQD4" s="2"/>
      <c r="CQE4" s="2"/>
      <c r="CQF4" s="2"/>
      <c r="CQG4" s="2"/>
      <c r="CQH4" s="2"/>
      <c r="CQI4" s="2"/>
      <c r="CQJ4" s="2"/>
      <c r="CQK4" s="2"/>
      <c r="CQL4" s="2"/>
      <c r="CQM4" s="2"/>
      <c r="CQN4" s="2"/>
      <c r="CQO4" s="2"/>
      <c r="CQP4" s="2"/>
      <c r="CQQ4" s="2"/>
      <c r="CQR4" s="2"/>
      <c r="CQS4" s="2"/>
      <c r="CQT4" s="2"/>
      <c r="CQU4" s="2"/>
      <c r="CQV4" s="2"/>
      <c r="CQW4" s="2"/>
      <c r="CQX4" s="2"/>
      <c r="CQY4" s="2"/>
      <c r="CQZ4" s="2"/>
      <c r="CRA4" s="2"/>
      <c r="CRB4" s="2"/>
      <c r="CRC4" s="2"/>
      <c r="CRD4" s="2"/>
      <c r="CRE4" s="2"/>
      <c r="CRF4" s="2"/>
      <c r="CRG4" s="2"/>
      <c r="CRH4" s="2"/>
      <c r="CRI4" s="2"/>
      <c r="CRJ4" s="2"/>
      <c r="CRK4" s="2"/>
      <c r="CRL4" s="2"/>
      <c r="CRM4" s="2"/>
      <c r="CRN4" s="2"/>
      <c r="CRO4" s="2"/>
      <c r="CRP4" s="2"/>
      <c r="CRQ4" s="2"/>
      <c r="CRR4" s="2"/>
      <c r="CRS4" s="2"/>
      <c r="CRT4" s="2"/>
      <c r="CRU4" s="2"/>
      <c r="CRV4" s="2"/>
      <c r="CRW4" s="2"/>
      <c r="CRX4" s="2"/>
      <c r="CRY4" s="2"/>
      <c r="CRZ4" s="2"/>
      <c r="CSA4" s="2"/>
      <c r="CSB4" s="2"/>
      <c r="CSC4" s="2"/>
      <c r="CSD4" s="2"/>
      <c r="CSE4" s="2"/>
      <c r="CSF4" s="2"/>
      <c r="CSG4" s="2"/>
      <c r="CSH4" s="2"/>
      <c r="CSI4" s="2"/>
      <c r="CSJ4" s="2"/>
      <c r="CSK4" s="2"/>
      <c r="CSL4" s="2"/>
      <c r="CSM4" s="2"/>
      <c r="CSN4" s="2"/>
      <c r="CSO4" s="2"/>
      <c r="CSP4" s="2"/>
      <c r="CSQ4" s="2"/>
      <c r="CSR4" s="2"/>
      <c r="CSS4" s="2"/>
      <c r="CST4" s="2"/>
      <c r="CSU4" s="2"/>
      <c r="CSV4" s="2"/>
      <c r="CSW4" s="2"/>
      <c r="CSX4" s="2"/>
      <c r="CSY4" s="2"/>
      <c r="CSZ4" s="2"/>
      <c r="CTA4" s="2"/>
      <c r="CTB4" s="2"/>
      <c r="CTC4" s="2"/>
      <c r="CTD4" s="2"/>
      <c r="CTE4" s="2"/>
      <c r="CTF4" s="2"/>
      <c r="CTG4" s="2"/>
      <c r="CTH4" s="2"/>
      <c r="CTI4" s="2"/>
      <c r="CTJ4" s="2"/>
      <c r="CTK4" s="2"/>
      <c r="CTL4" s="2"/>
      <c r="CTM4" s="2"/>
      <c r="CTN4" s="2"/>
      <c r="CTO4" s="2"/>
      <c r="CTP4" s="2"/>
      <c r="CTQ4" s="2"/>
      <c r="CTR4" s="2"/>
      <c r="CTS4" s="2"/>
      <c r="CTT4" s="2"/>
      <c r="CTU4" s="2"/>
      <c r="CTV4" s="2"/>
      <c r="CTW4" s="2"/>
      <c r="CTX4" s="2"/>
      <c r="CTY4" s="2"/>
      <c r="CTZ4" s="2"/>
      <c r="CUA4" s="2"/>
      <c r="CUB4" s="2"/>
      <c r="CUC4" s="2"/>
      <c r="CUD4" s="2"/>
      <c r="CUE4" s="2"/>
      <c r="CUF4" s="2"/>
      <c r="CUG4" s="2"/>
      <c r="CUH4" s="2"/>
      <c r="CUI4" s="2"/>
      <c r="CUJ4" s="2"/>
      <c r="CUK4" s="2"/>
      <c r="CUL4" s="2"/>
      <c r="CUM4" s="2"/>
      <c r="CUN4" s="2"/>
      <c r="CUO4" s="2"/>
      <c r="CUP4" s="2"/>
      <c r="CUQ4" s="2"/>
      <c r="CUR4" s="2"/>
      <c r="CUS4" s="2"/>
      <c r="CUT4" s="2"/>
      <c r="CUU4" s="2"/>
      <c r="CUV4" s="2"/>
      <c r="CUW4" s="2"/>
      <c r="CUX4" s="2"/>
      <c r="CUY4" s="2"/>
      <c r="CUZ4" s="2"/>
      <c r="CVA4" s="2"/>
      <c r="CVB4" s="2"/>
      <c r="CVC4" s="2"/>
      <c r="CVD4" s="2"/>
      <c r="CVE4" s="2"/>
      <c r="CVF4" s="2"/>
      <c r="CVG4" s="2"/>
      <c r="CVH4" s="2"/>
      <c r="CVI4" s="2"/>
      <c r="CVJ4" s="2"/>
      <c r="CVK4" s="2"/>
      <c r="CVL4" s="2"/>
      <c r="CVM4" s="2"/>
      <c r="CVN4" s="2"/>
      <c r="CVO4" s="2"/>
      <c r="CVP4" s="2"/>
      <c r="CVQ4" s="2"/>
      <c r="CVR4" s="2"/>
      <c r="CVS4" s="2"/>
      <c r="CVT4" s="2"/>
      <c r="CVU4" s="2"/>
      <c r="CVV4" s="2"/>
      <c r="CVW4" s="2"/>
      <c r="CVX4" s="2"/>
      <c r="CVY4" s="2"/>
      <c r="CVZ4" s="2"/>
      <c r="CWA4" s="2"/>
      <c r="CWB4" s="2"/>
      <c r="CWC4" s="2"/>
      <c r="CWD4" s="2"/>
      <c r="CWE4" s="2"/>
      <c r="CWF4" s="2"/>
      <c r="CWG4" s="2"/>
      <c r="CWH4" s="2"/>
      <c r="CWI4" s="2"/>
      <c r="CWJ4" s="2"/>
      <c r="CWK4" s="2"/>
      <c r="CWL4" s="2"/>
      <c r="CWM4" s="2"/>
      <c r="CWN4" s="2"/>
      <c r="CWO4" s="2"/>
      <c r="CWP4" s="2"/>
      <c r="CWQ4" s="2"/>
      <c r="CWR4" s="2"/>
      <c r="CWS4" s="2"/>
      <c r="CWT4" s="2"/>
      <c r="CWU4" s="2"/>
      <c r="CWV4" s="2"/>
      <c r="CWW4" s="2"/>
      <c r="CWX4" s="2"/>
      <c r="CWY4" s="2"/>
      <c r="CWZ4" s="2"/>
      <c r="CXA4" s="2"/>
      <c r="CXB4" s="2"/>
      <c r="CXC4" s="2"/>
      <c r="CXD4" s="2"/>
      <c r="CXE4" s="2"/>
      <c r="CXF4" s="2"/>
      <c r="CXG4" s="2"/>
      <c r="CXH4" s="2"/>
      <c r="CXI4" s="2"/>
      <c r="CXJ4" s="2"/>
      <c r="CXK4" s="2"/>
      <c r="CXL4" s="2"/>
      <c r="CXM4" s="2"/>
      <c r="CXN4" s="2"/>
      <c r="CXO4" s="2"/>
      <c r="CXP4" s="2"/>
      <c r="CXQ4" s="2"/>
      <c r="CXR4" s="2"/>
      <c r="CXS4" s="2"/>
      <c r="CXT4" s="2"/>
      <c r="CXU4" s="2"/>
      <c r="CXV4" s="2"/>
      <c r="CXW4" s="2"/>
      <c r="CXX4" s="2"/>
      <c r="CXY4" s="2"/>
      <c r="CXZ4" s="2"/>
      <c r="CYA4" s="2"/>
      <c r="CYB4" s="2"/>
      <c r="CYC4" s="2"/>
      <c r="CYD4" s="2"/>
      <c r="CYE4" s="2"/>
      <c r="CYF4" s="2"/>
      <c r="CYG4" s="2"/>
      <c r="CYH4" s="2"/>
      <c r="CYI4" s="2"/>
      <c r="CYJ4" s="2"/>
      <c r="CYK4" s="2"/>
      <c r="CYL4" s="2"/>
      <c r="CYM4" s="2"/>
      <c r="CYN4" s="2"/>
      <c r="CYO4" s="2"/>
      <c r="CYP4" s="2"/>
      <c r="CYQ4" s="2"/>
      <c r="CYR4" s="2"/>
      <c r="CYS4" s="2"/>
      <c r="CYT4" s="2"/>
      <c r="CYU4" s="2"/>
      <c r="CYV4" s="2"/>
      <c r="CYW4" s="2"/>
      <c r="CYX4" s="2"/>
      <c r="CYY4" s="2"/>
      <c r="CYZ4" s="2"/>
      <c r="CZA4" s="2"/>
      <c r="CZB4" s="2"/>
      <c r="CZC4" s="2"/>
      <c r="CZD4" s="2"/>
      <c r="CZE4" s="2"/>
      <c r="CZF4" s="2"/>
      <c r="CZG4" s="2"/>
      <c r="CZH4" s="2"/>
      <c r="CZI4" s="2"/>
      <c r="CZJ4" s="2"/>
      <c r="CZK4" s="2"/>
      <c r="CZL4" s="2"/>
      <c r="CZM4" s="2"/>
      <c r="CZN4" s="2"/>
      <c r="CZO4" s="2"/>
      <c r="CZP4" s="2"/>
      <c r="CZQ4" s="2"/>
      <c r="CZR4" s="2"/>
      <c r="CZS4" s="2"/>
      <c r="CZT4" s="2"/>
      <c r="CZU4" s="2"/>
      <c r="CZV4" s="2"/>
      <c r="CZW4" s="2"/>
      <c r="CZX4" s="2"/>
      <c r="CZY4" s="2"/>
      <c r="CZZ4" s="2"/>
      <c r="DAA4" s="2"/>
      <c r="DAB4" s="2"/>
      <c r="DAC4" s="2"/>
      <c r="DAD4" s="2"/>
      <c r="DAE4" s="2"/>
      <c r="DAF4" s="2"/>
      <c r="DAG4" s="2"/>
      <c r="DAH4" s="2"/>
      <c r="DAI4" s="2"/>
      <c r="DAJ4" s="2"/>
      <c r="DAK4" s="2"/>
      <c r="DAL4" s="2"/>
      <c r="DAM4" s="2"/>
      <c r="DAN4" s="2"/>
      <c r="DAO4" s="2"/>
      <c r="DAP4" s="2"/>
      <c r="DAQ4" s="2"/>
      <c r="DAR4" s="2"/>
      <c r="DAS4" s="2"/>
      <c r="DAT4" s="2"/>
      <c r="DAU4" s="2"/>
      <c r="DAV4" s="2"/>
      <c r="DAW4" s="2"/>
      <c r="DAX4" s="2"/>
      <c r="DAY4" s="2"/>
      <c r="DAZ4" s="2"/>
      <c r="DBA4" s="2"/>
      <c r="DBB4" s="2"/>
      <c r="DBC4" s="2"/>
      <c r="DBD4" s="2"/>
      <c r="DBE4" s="2"/>
      <c r="DBF4" s="2"/>
      <c r="DBG4" s="2"/>
      <c r="DBH4" s="2"/>
      <c r="DBI4" s="2"/>
      <c r="DBJ4" s="2"/>
      <c r="DBK4" s="2"/>
      <c r="DBL4" s="2"/>
      <c r="DBM4" s="2"/>
      <c r="DBN4" s="2"/>
      <c r="DBO4" s="2"/>
      <c r="DBP4" s="2"/>
      <c r="DBQ4" s="2"/>
      <c r="DBR4" s="2"/>
      <c r="DBS4" s="2"/>
      <c r="DBT4" s="2"/>
      <c r="DBU4" s="2"/>
      <c r="DBV4" s="2"/>
      <c r="DBW4" s="2"/>
      <c r="DBX4" s="2"/>
      <c r="DBY4" s="2"/>
      <c r="DBZ4" s="2"/>
      <c r="DCA4" s="2"/>
      <c r="DCB4" s="2"/>
      <c r="DCC4" s="2"/>
      <c r="DCD4" s="2"/>
      <c r="DCE4" s="2"/>
      <c r="DCF4" s="2"/>
      <c r="DCG4" s="2"/>
      <c r="DCH4" s="2"/>
      <c r="DCI4" s="2"/>
      <c r="DCJ4" s="2"/>
      <c r="DCK4" s="2"/>
      <c r="DCL4" s="2"/>
      <c r="DCM4" s="2"/>
      <c r="DCN4" s="2"/>
      <c r="DCO4" s="2"/>
      <c r="DCP4" s="2"/>
      <c r="DCQ4" s="2"/>
      <c r="DCR4" s="2"/>
      <c r="DCS4" s="2"/>
      <c r="DCT4" s="2"/>
      <c r="DCU4" s="2"/>
      <c r="DCV4" s="2"/>
      <c r="DCW4" s="2"/>
      <c r="DCX4" s="2"/>
      <c r="DCY4" s="2"/>
      <c r="DCZ4" s="2"/>
      <c r="DDA4" s="2"/>
      <c r="DDB4" s="2"/>
      <c r="DDC4" s="2"/>
      <c r="DDD4" s="2"/>
      <c r="DDE4" s="2"/>
      <c r="DDF4" s="2"/>
      <c r="DDG4" s="2"/>
      <c r="DDH4" s="2"/>
      <c r="DDI4" s="2"/>
      <c r="DDJ4" s="2"/>
      <c r="DDK4" s="2"/>
      <c r="DDL4" s="2"/>
      <c r="DDM4" s="2"/>
      <c r="DDN4" s="2"/>
      <c r="DDO4" s="2"/>
      <c r="DDP4" s="2"/>
      <c r="DDQ4" s="2"/>
      <c r="DDR4" s="2"/>
      <c r="DDS4" s="2"/>
      <c r="DDT4" s="2"/>
      <c r="DDU4" s="2"/>
      <c r="DDV4" s="2"/>
      <c r="DDW4" s="2"/>
      <c r="DDX4" s="2"/>
      <c r="DDY4" s="2"/>
      <c r="DDZ4" s="2"/>
      <c r="DEA4" s="2"/>
      <c r="DEB4" s="2"/>
      <c r="DEC4" s="2"/>
      <c r="DED4" s="2"/>
      <c r="DEE4" s="2"/>
      <c r="DEF4" s="2"/>
      <c r="DEG4" s="2"/>
      <c r="DEH4" s="2"/>
      <c r="DEI4" s="2"/>
      <c r="DEJ4" s="2"/>
      <c r="DEK4" s="2"/>
      <c r="DEL4" s="2"/>
      <c r="DEM4" s="2"/>
      <c r="DEN4" s="2"/>
      <c r="DEO4" s="2"/>
      <c r="DEP4" s="2"/>
      <c r="DEQ4" s="2"/>
      <c r="DER4" s="2"/>
      <c r="DES4" s="2"/>
      <c r="DET4" s="2"/>
      <c r="DEU4" s="2"/>
      <c r="DEV4" s="2"/>
      <c r="DEW4" s="2"/>
      <c r="DEX4" s="2"/>
      <c r="DEY4" s="2"/>
      <c r="DEZ4" s="2"/>
      <c r="DFA4" s="2"/>
      <c r="DFB4" s="2"/>
      <c r="DFC4" s="2"/>
      <c r="DFD4" s="2"/>
      <c r="DFE4" s="2"/>
      <c r="DFF4" s="2"/>
      <c r="DFG4" s="2"/>
      <c r="DFH4" s="2"/>
      <c r="DFI4" s="2"/>
      <c r="DFJ4" s="2"/>
      <c r="DFK4" s="2"/>
      <c r="DFL4" s="2"/>
      <c r="DFM4" s="2"/>
      <c r="DFN4" s="2"/>
      <c r="DFO4" s="2"/>
      <c r="DFP4" s="2"/>
      <c r="DFQ4" s="2"/>
      <c r="DFR4" s="2"/>
      <c r="DFS4" s="2"/>
      <c r="DFT4" s="2"/>
      <c r="DFU4" s="2"/>
      <c r="DFV4" s="2"/>
      <c r="DFW4" s="2"/>
      <c r="DFX4" s="2"/>
      <c r="DFY4" s="2"/>
      <c r="DFZ4" s="2"/>
      <c r="DGA4" s="2"/>
      <c r="DGB4" s="2"/>
      <c r="DGC4" s="2"/>
      <c r="DGD4" s="2"/>
      <c r="DGE4" s="2"/>
      <c r="DGF4" s="2"/>
      <c r="DGG4" s="2"/>
      <c r="DGH4" s="2"/>
      <c r="DGI4" s="2"/>
      <c r="DGJ4" s="2"/>
      <c r="DGK4" s="2"/>
      <c r="DGL4" s="2"/>
      <c r="DGM4" s="2"/>
      <c r="DGN4" s="2"/>
      <c r="DGO4" s="2"/>
      <c r="DGP4" s="2"/>
      <c r="DGQ4" s="2"/>
      <c r="DGR4" s="2"/>
      <c r="DGS4" s="2"/>
      <c r="DGT4" s="2"/>
      <c r="DGU4" s="2"/>
      <c r="DGV4" s="2"/>
      <c r="DGW4" s="2"/>
      <c r="DGX4" s="2"/>
      <c r="DGY4" s="2"/>
      <c r="DGZ4" s="2"/>
      <c r="DHA4" s="2"/>
      <c r="DHB4" s="2"/>
      <c r="DHC4" s="2"/>
      <c r="DHD4" s="2"/>
      <c r="DHE4" s="2"/>
      <c r="DHF4" s="2"/>
      <c r="DHG4" s="2"/>
      <c r="DHH4" s="2"/>
      <c r="DHI4" s="2"/>
      <c r="DHJ4" s="2"/>
      <c r="DHK4" s="2"/>
      <c r="DHL4" s="2"/>
      <c r="DHM4" s="2"/>
      <c r="DHN4" s="2"/>
      <c r="DHO4" s="2"/>
      <c r="DHP4" s="2"/>
      <c r="DHQ4" s="2"/>
      <c r="DHR4" s="2"/>
      <c r="DHS4" s="2"/>
      <c r="DHT4" s="2"/>
      <c r="DHU4" s="2"/>
      <c r="DHV4" s="2"/>
      <c r="DHW4" s="2"/>
      <c r="DHX4" s="2"/>
      <c r="DHY4" s="2"/>
      <c r="DHZ4" s="2"/>
      <c r="DIA4" s="2"/>
      <c r="DIB4" s="2"/>
      <c r="DIC4" s="2"/>
      <c r="DID4" s="2"/>
      <c r="DIE4" s="2"/>
      <c r="DIF4" s="2"/>
      <c r="DIG4" s="2"/>
      <c r="DIH4" s="2"/>
      <c r="DII4" s="2"/>
      <c r="DIJ4" s="2"/>
      <c r="DIK4" s="2"/>
      <c r="DIL4" s="2"/>
      <c r="DIM4" s="2"/>
      <c r="DIN4" s="2"/>
      <c r="DIO4" s="2"/>
      <c r="DIP4" s="2"/>
      <c r="DIQ4" s="2"/>
      <c r="DIR4" s="2"/>
      <c r="DIS4" s="2"/>
      <c r="DIT4" s="2"/>
      <c r="DIU4" s="2"/>
      <c r="DIV4" s="2"/>
      <c r="DIW4" s="2"/>
      <c r="DIX4" s="2"/>
      <c r="DIY4" s="2"/>
      <c r="DIZ4" s="2"/>
      <c r="DJA4" s="2"/>
      <c r="DJB4" s="2"/>
      <c r="DJC4" s="2"/>
      <c r="DJD4" s="2"/>
      <c r="DJE4" s="2"/>
      <c r="DJF4" s="2"/>
      <c r="DJG4" s="2"/>
      <c r="DJH4" s="2"/>
      <c r="DJI4" s="2"/>
      <c r="DJJ4" s="2"/>
      <c r="DJK4" s="2"/>
      <c r="DJL4" s="2"/>
      <c r="DJM4" s="2"/>
      <c r="DJN4" s="2"/>
      <c r="DJO4" s="2"/>
      <c r="DJP4" s="2"/>
      <c r="DJQ4" s="2"/>
      <c r="DJR4" s="2"/>
      <c r="DJS4" s="2"/>
      <c r="DJT4" s="2"/>
      <c r="DJU4" s="2"/>
      <c r="DJV4" s="2"/>
      <c r="DJW4" s="2"/>
      <c r="DJX4" s="2"/>
      <c r="DJY4" s="2"/>
      <c r="DJZ4" s="2"/>
      <c r="DKA4" s="2"/>
      <c r="DKB4" s="2"/>
      <c r="DKC4" s="2"/>
      <c r="DKD4" s="2"/>
      <c r="DKE4" s="2"/>
      <c r="DKF4" s="2"/>
      <c r="DKG4" s="2"/>
      <c r="DKH4" s="2"/>
      <c r="DKI4" s="2"/>
      <c r="DKJ4" s="2"/>
      <c r="DKK4" s="2"/>
      <c r="DKL4" s="2"/>
      <c r="DKM4" s="2"/>
      <c r="DKN4" s="2"/>
      <c r="DKO4" s="2"/>
      <c r="DKP4" s="2"/>
      <c r="DKQ4" s="2"/>
      <c r="DKR4" s="2"/>
      <c r="DKS4" s="2"/>
      <c r="DKT4" s="2"/>
      <c r="DKU4" s="2"/>
      <c r="DKV4" s="2"/>
      <c r="DKW4" s="2"/>
      <c r="DKX4" s="2"/>
      <c r="DKY4" s="2"/>
      <c r="DKZ4" s="2"/>
      <c r="DLA4" s="2"/>
      <c r="DLB4" s="2"/>
      <c r="DLC4" s="2"/>
      <c r="DLD4" s="2"/>
      <c r="DLE4" s="2"/>
      <c r="DLF4" s="2"/>
      <c r="DLG4" s="2"/>
      <c r="DLH4" s="2"/>
      <c r="DLI4" s="2"/>
      <c r="DLJ4" s="2"/>
      <c r="DLK4" s="2"/>
      <c r="DLL4" s="2"/>
      <c r="DLM4" s="2"/>
      <c r="DLN4" s="2"/>
      <c r="DLO4" s="2"/>
      <c r="DLP4" s="2"/>
      <c r="DLQ4" s="2"/>
      <c r="DLR4" s="2"/>
      <c r="DLS4" s="2"/>
      <c r="DLT4" s="2"/>
      <c r="DLU4" s="2"/>
      <c r="DLV4" s="2"/>
      <c r="DLW4" s="2"/>
      <c r="DLX4" s="2"/>
      <c r="DLY4" s="2"/>
      <c r="DLZ4" s="2"/>
      <c r="DMA4" s="2"/>
      <c r="DMB4" s="2"/>
      <c r="DMC4" s="2"/>
      <c r="DMD4" s="2"/>
      <c r="DME4" s="2"/>
      <c r="DMF4" s="2"/>
      <c r="DMG4" s="2"/>
      <c r="DMH4" s="2"/>
      <c r="DMI4" s="2"/>
      <c r="DMJ4" s="2"/>
      <c r="DMK4" s="2"/>
      <c r="DML4" s="2"/>
      <c r="DMM4" s="2"/>
      <c r="DMN4" s="2"/>
      <c r="DMO4" s="2"/>
      <c r="DMP4" s="2"/>
      <c r="DMQ4" s="2"/>
      <c r="DMR4" s="2"/>
      <c r="DMS4" s="2"/>
      <c r="DMT4" s="2"/>
      <c r="DMU4" s="2"/>
      <c r="DMV4" s="2"/>
      <c r="DMW4" s="2"/>
      <c r="DMX4" s="2"/>
      <c r="DMY4" s="2"/>
      <c r="DMZ4" s="2"/>
      <c r="DNA4" s="2"/>
      <c r="DNB4" s="2"/>
      <c r="DNC4" s="2"/>
      <c r="DND4" s="2"/>
      <c r="DNE4" s="2"/>
      <c r="DNF4" s="2"/>
      <c r="DNG4" s="2"/>
      <c r="DNH4" s="2"/>
      <c r="DNI4" s="2"/>
      <c r="DNJ4" s="2"/>
      <c r="DNK4" s="2"/>
      <c r="DNL4" s="2"/>
      <c r="DNM4" s="2"/>
      <c r="DNN4" s="2"/>
      <c r="DNO4" s="2"/>
      <c r="DNP4" s="2"/>
      <c r="DNQ4" s="2"/>
      <c r="DNR4" s="2"/>
      <c r="DNS4" s="2"/>
      <c r="DNT4" s="2"/>
      <c r="DNU4" s="2"/>
      <c r="DNV4" s="2"/>
      <c r="DNW4" s="2"/>
      <c r="DNX4" s="2"/>
      <c r="DNY4" s="2"/>
      <c r="DNZ4" s="2"/>
      <c r="DOA4" s="2"/>
      <c r="DOB4" s="2"/>
      <c r="DOC4" s="2"/>
      <c r="DOD4" s="2"/>
      <c r="DOE4" s="2"/>
      <c r="DOF4" s="2"/>
      <c r="DOG4" s="2"/>
      <c r="DOH4" s="2"/>
      <c r="DOI4" s="2"/>
      <c r="DOJ4" s="2"/>
      <c r="DOK4" s="2"/>
      <c r="DOL4" s="2"/>
      <c r="DOM4" s="2"/>
      <c r="DON4" s="2"/>
      <c r="DOO4" s="2"/>
      <c r="DOP4" s="2"/>
      <c r="DOQ4" s="2"/>
      <c r="DOR4" s="2"/>
      <c r="DOS4" s="2"/>
      <c r="DOT4" s="2"/>
      <c r="DOU4" s="2"/>
      <c r="DOV4" s="2"/>
      <c r="DOW4" s="2"/>
      <c r="DOX4" s="2"/>
      <c r="DOY4" s="2"/>
      <c r="DOZ4" s="2"/>
      <c r="DPA4" s="2"/>
      <c r="DPB4" s="2"/>
      <c r="DPC4" s="2"/>
      <c r="DPD4" s="2"/>
      <c r="DPE4" s="2"/>
      <c r="DPF4" s="2"/>
      <c r="DPG4" s="2"/>
      <c r="DPH4" s="2"/>
      <c r="DPI4" s="2"/>
      <c r="DPJ4" s="2"/>
      <c r="DPK4" s="2"/>
      <c r="DPL4" s="2"/>
      <c r="DPM4" s="2"/>
      <c r="DPN4" s="2"/>
      <c r="DPO4" s="2"/>
      <c r="DPP4" s="2"/>
      <c r="DPQ4" s="2"/>
      <c r="DPR4" s="2"/>
      <c r="DPS4" s="2"/>
      <c r="DPT4" s="2"/>
      <c r="DPU4" s="2"/>
      <c r="DPV4" s="2"/>
      <c r="DPW4" s="2"/>
      <c r="DPX4" s="2"/>
      <c r="DPY4" s="2"/>
      <c r="DPZ4" s="2"/>
      <c r="DQA4" s="2"/>
      <c r="DQB4" s="2"/>
      <c r="DQC4" s="2"/>
      <c r="DQD4" s="2"/>
      <c r="DQE4" s="2"/>
      <c r="DQF4" s="2"/>
      <c r="DQG4" s="2"/>
      <c r="DQH4" s="2"/>
      <c r="DQI4" s="2"/>
      <c r="DQJ4" s="2"/>
      <c r="DQK4" s="2"/>
      <c r="DQL4" s="2"/>
      <c r="DQM4" s="2"/>
      <c r="DQN4" s="2"/>
      <c r="DQO4" s="2"/>
      <c r="DQP4" s="2"/>
      <c r="DQQ4" s="2"/>
      <c r="DQR4" s="2"/>
      <c r="DQS4" s="2"/>
      <c r="DQT4" s="2"/>
      <c r="DQU4" s="2"/>
      <c r="DQV4" s="2"/>
      <c r="DQW4" s="2"/>
      <c r="DQX4" s="2"/>
      <c r="DQY4" s="2"/>
      <c r="DQZ4" s="2"/>
      <c r="DRA4" s="2"/>
      <c r="DRB4" s="2"/>
      <c r="DRC4" s="2"/>
      <c r="DRD4" s="2"/>
      <c r="DRE4" s="2"/>
      <c r="DRF4" s="2"/>
      <c r="DRG4" s="2"/>
      <c r="DRH4" s="2"/>
      <c r="DRI4" s="2"/>
      <c r="DRJ4" s="2"/>
      <c r="DRK4" s="2"/>
      <c r="DRL4" s="2"/>
      <c r="DRM4" s="2"/>
      <c r="DRN4" s="2"/>
      <c r="DRO4" s="2"/>
      <c r="DRP4" s="2"/>
      <c r="DRQ4" s="2"/>
      <c r="DRR4" s="2"/>
      <c r="DRS4" s="2"/>
      <c r="DRT4" s="2"/>
      <c r="DRU4" s="2"/>
      <c r="DRV4" s="2"/>
      <c r="DRW4" s="2"/>
      <c r="DRX4" s="2"/>
      <c r="DRY4" s="2"/>
      <c r="DRZ4" s="2"/>
      <c r="DSA4" s="2"/>
      <c r="DSB4" s="2"/>
      <c r="DSC4" s="2"/>
      <c r="DSD4" s="2"/>
      <c r="DSE4" s="2"/>
      <c r="DSF4" s="2"/>
      <c r="DSG4" s="2"/>
      <c r="DSH4" s="2"/>
      <c r="DSI4" s="2"/>
      <c r="DSJ4" s="2"/>
      <c r="DSK4" s="2"/>
      <c r="DSL4" s="2"/>
      <c r="DSM4" s="2"/>
      <c r="DSN4" s="2"/>
      <c r="DSO4" s="2"/>
      <c r="DSP4" s="2"/>
      <c r="DSQ4" s="2"/>
      <c r="DSR4" s="2"/>
      <c r="DSS4" s="2"/>
      <c r="DST4" s="2"/>
      <c r="DSU4" s="2"/>
      <c r="DSV4" s="2"/>
      <c r="DSW4" s="2"/>
      <c r="DSX4" s="2"/>
      <c r="DSY4" s="2"/>
      <c r="DSZ4" s="2"/>
      <c r="DTA4" s="2"/>
      <c r="DTB4" s="2"/>
      <c r="DTC4" s="2"/>
      <c r="DTD4" s="2"/>
      <c r="DTE4" s="2"/>
      <c r="DTF4" s="2"/>
      <c r="DTG4" s="2"/>
      <c r="DTH4" s="2"/>
      <c r="DTI4" s="2"/>
      <c r="DTJ4" s="2"/>
      <c r="DTK4" s="2"/>
      <c r="DTL4" s="2"/>
      <c r="DTM4" s="2"/>
      <c r="DTN4" s="2"/>
      <c r="DTO4" s="2"/>
      <c r="DTP4" s="2"/>
      <c r="DTQ4" s="2"/>
      <c r="DTR4" s="2"/>
      <c r="DTS4" s="2"/>
      <c r="DTT4" s="2"/>
      <c r="DTU4" s="2"/>
      <c r="DTV4" s="2"/>
      <c r="DTW4" s="2"/>
      <c r="DTX4" s="2"/>
      <c r="DTY4" s="2"/>
      <c r="DTZ4" s="2"/>
      <c r="DUA4" s="2"/>
      <c r="DUB4" s="2"/>
      <c r="DUC4" s="2"/>
      <c r="DUD4" s="2"/>
      <c r="DUE4" s="2"/>
      <c r="DUF4" s="2"/>
      <c r="DUG4" s="2"/>
      <c r="DUH4" s="2"/>
      <c r="DUI4" s="2"/>
      <c r="DUJ4" s="2"/>
      <c r="DUK4" s="2"/>
      <c r="DUL4" s="2"/>
      <c r="DUM4" s="2"/>
      <c r="DUN4" s="2"/>
      <c r="DUO4" s="2"/>
      <c r="DUP4" s="2"/>
      <c r="DUQ4" s="2"/>
      <c r="DUR4" s="2"/>
      <c r="DUS4" s="2"/>
      <c r="DUT4" s="2"/>
      <c r="DUU4" s="2"/>
      <c r="DUV4" s="2"/>
      <c r="DUW4" s="2"/>
      <c r="DUX4" s="2"/>
      <c r="DUY4" s="2"/>
      <c r="DUZ4" s="2"/>
      <c r="DVA4" s="2"/>
      <c r="DVB4" s="2"/>
      <c r="DVC4" s="2"/>
      <c r="DVD4" s="2"/>
      <c r="DVE4" s="2"/>
      <c r="DVF4" s="2"/>
      <c r="DVG4" s="2"/>
      <c r="DVH4" s="2"/>
      <c r="DVI4" s="2"/>
      <c r="DVJ4" s="2"/>
      <c r="DVK4" s="2"/>
      <c r="DVL4" s="2"/>
      <c r="DVM4" s="2"/>
      <c r="DVN4" s="2"/>
      <c r="DVO4" s="2"/>
      <c r="DVP4" s="2"/>
      <c r="DVQ4" s="2"/>
      <c r="DVR4" s="2"/>
      <c r="DVS4" s="2"/>
      <c r="DVT4" s="2"/>
      <c r="DVU4" s="2"/>
      <c r="DVV4" s="2"/>
      <c r="DVW4" s="2"/>
      <c r="DVX4" s="2"/>
      <c r="DVY4" s="2"/>
      <c r="DVZ4" s="2"/>
      <c r="DWA4" s="2"/>
      <c r="DWB4" s="2"/>
      <c r="DWC4" s="2"/>
      <c r="DWD4" s="2"/>
      <c r="DWE4" s="2"/>
      <c r="DWF4" s="2"/>
      <c r="DWG4" s="2"/>
      <c r="DWH4" s="2"/>
      <c r="DWI4" s="2"/>
      <c r="DWJ4" s="2"/>
      <c r="DWK4" s="2"/>
      <c r="DWL4" s="2"/>
      <c r="DWM4" s="2"/>
      <c r="DWN4" s="2"/>
      <c r="DWO4" s="2"/>
      <c r="DWP4" s="2"/>
      <c r="DWQ4" s="2"/>
      <c r="DWR4" s="2"/>
      <c r="DWS4" s="2"/>
      <c r="DWT4" s="2"/>
      <c r="DWU4" s="2"/>
      <c r="DWV4" s="2"/>
      <c r="DWW4" s="2"/>
      <c r="DWX4" s="2"/>
      <c r="DWY4" s="2"/>
      <c r="DWZ4" s="2"/>
      <c r="DXA4" s="2"/>
      <c r="DXB4" s="2"/>
      <c r="DXC4" s="2"/>
      <c r="DXD4" s="2"/>
      <c r="DXE4" s="2"/>
      <c r="DXF4" s="2"/>
      <c r="DXG4" s="2"/>
      <c r="DXH4" s="2"/>
      <c r="DXI4" s="2"/>
      <c r="DXJ4" s="2"/>
      <c r="DXK4" s="2"/>
      <c r="DXL4" s="2"/>
      <c r="DXM4" s="2"/>
      <c r="DXN4" s="2"/>
      <c r="DXO4" s="2"/>
      <c r="DXP4" s="2"/>
      <c r="DXQ4" s="2"/>
      <c r="DXR4" s="2"/>
      <c r="DXS4" s="2"/>
      <c r="DXT4" s="2"/>
      <c r="DXU4" s="2"/>
      <c r="DXV4" s="2"/>
      <c r="DXW4" s="2"/>
      <c r="DXX4" s="2"/>
      <c r="DXY4" s="2"/>
      <c r="DXZ4" s="2"/>
      <c r="DYA4" s="2"/>
      <c r="DYB4" s="2"/>
      <c r="DYC4" s="2"/>
      <c r="DYD4" s="2"/>
      <c r="DYE4" s="2"/>
      <c r="DYF4" s="2"/>
      <c r="DYG4" s="2"/>
      <c r="DYH4" s="2"/>
      <c r="DYI4" s="2"/>
      <c r="DYJ4" s="2"/>
      <c r="DYK4" s="2"/>
      <c r="DYL4" s="2"/>
      <c r="DYM4" s="2"/>
      <c r="DYN4" s="2"/>
      <c r="DYO4" s="2"/>
      <c r="DYP4" s="2"/>
      <c r="DYQ4" s="2"/>
      <c r="DYR4" s="2"/>
      <c r="DYS4" s="2"/>
      <c r="DYT4" s="2"/>
      <c r="DYU4" s="2"/>
      <c r="DYV4" s="2"/>
      <c r="DYW4" s="2"/>
      <c r="DYX4" s="2"/>
      <c r="DYY4" s="2"/>
      <c r="DYZ4" s="2"/>
      <c r="DZA4" s="2"/>
      <c r="DZB4" s="2"/>
      <c r="DZC4" s="2"/>
      <c r="DZD4" s="2"/>
      <c r="DZE4" s="2"/>
      <c r="DZF4" s="2"/>
      <c r="DZG4" s="2"/>
      <c r="DZH4" s="2"/>
      <c r="DZI4" s="2"/>
      <c r="DZJ4" s="2"/>
      <c r="DZK4" s="2"/>
      <c r="DZL4" s="2"/>
      <c r="DZM4" s="2"/>
      <c r="DZN4" s="2"/>
      <c r="DZO4" s="2"/>
      <c r="DZP4" s="2"/>
      <c r="DZQ4" s="2"/>
      <c r="DZR4" s="2"/>
      <c r="DZS4" s="2"/>
      <c r="DZT4" s="2"/>
      <c r="DZU4" s="2"/>
      <c r="DZV4" s="2"/>
      <c r="DZW4" s="2"/>
      <c r="DZX4" s="2"/>
      <c r="DZY4" s="2"/>
      <c r="DZZ4" s="2"/>
      <c r="EAA4" s="2"/>
      <c r="EAB4" s="2"/>
      <c r="EAC4" s="2"/>
      <c r="EAD4" s="2"/>
      <c r="EAE4" s="2"/>
      <c r="EAF4" s="2"/>
      <c r="EAG4" s="2"/>
      <c r="EAH4" s="2"/>
      <c r="EAI4" s="2"/>
      <c r="EAJ4" s="2"/>
      <c r="EAK4" s="2"/>
      <c r="EAL4" s="2"/>
      <c r="EAM4" s="2"/>
      <c r="EAN4" s="2"/>
      <c r="EAO4" s="2"/>
      <c r="EAP4" s="2"/>
      <c r="EAQ4" s="2"/>
      <c r="EAR4" s="2"/>
      <c r="EAS4" s="2"/>
      <c r="EAT4" s="2"/>
      <c r="EAU4" s="2"/>
      <c r="EAV4" s="2"/>
      <c r="EAW4" s="2"/>
      <c r="EAX4" s="2"/>
      <c r="EAY4" s="2"/>
      <c r="EAZ4" s="2"/>
      <c r="EBA4" s="2"/>
      <c r="EBB4" s="2"/>
      <c r="EBC4" s="2"/>
      <c r="EBD4" s="2"/>
      <c r="EBE4" s="2"/>
      <c r="EBF4" s="2"/>
      <c r="EBG4" s="2"/>
      <c r="EBH4" s="2"/>
      <c r="EBI4" s="2"/>
      <c r="EBJ4" s="2"/>
      <c r="EBK4" s="2"/>
      <c r="EBL4" s="2"/>
      <c r="EBM4" s="2"/>
      <c r="EBN4" s="2"/>
      <c r="EBO4" s="2"/>
      <c r="EBP4" s="2"/>
      <c r="EBQ4" s="2"/>
      <c r="EBR4" s="2"/>
      <c r="EBS4" s="2"/>
      <c r="EBT4" s="2"/>
      <c r="EBU4" s="2"/>
      <c r="EBV4" s="2"/>
      <c r="EBW4" s="2"/>
      <c r="EBX4" s="2"/>
      <c r="EBY4" s="2"/>
      <c r="EBZ4" s="2"/>
      <c r="ECA4" s="2"/>
      <c r="ECB4" s="2"/>
      <c r="ECC4" s="2"/>
      <c r="ECD4" s="2"/>
      <c r="ECE4" s="2"/>
      <c r="ECF4" s="2"/>
      <c r="ECG4" s="2"/>
      <c r="ECH4" s="2"/>
      <c r="ECI4" s="2"/>
      <c r="ECJ4" s="2"/>
      <c r="ECK4" s="2"/>
      <c r="ECL4" s="2"/>
      <c r="ECM4" s="2"/>
      <c r="ECN4" s="2"/>
      <c r="ECO4" s="2"/>
      <c r="ECP4" s="2"/>
      <c r="ECQ4" s="2"/>
      <c r="ECR4" s="2"/>
      <c r="ECS4" s="2"/>
      <c r="ECT4" s="2"/>
      <c r="ECU4" s="2"/>
      <c r="ECV4" s="2"/>
      <c r="ECW4" s="2"/>
      <c r="ECX4" s="2"/>
      <c r="ECY4" s="2"/>
      <c r="ECZ4" s="2"/>
      <c r="EDA4" s="2"/>
      <c r="EDB4" s="2"/>
      <c r="EDC4" s="2"/>
      <c r="EDD4" s="2"/>
      <c r="EDE4" s="2"/>
      <c r="EDF4" s="2"/>
      <c r="EDG4" s="2"/>
      <c r="EDH4" s="2"/>
      <c r="EDI4" s="2"/>
      <c r="EDJ4" s="2"/>
      <c r="EDK4" s="2"/>
      <c r="EDL4" s="2"/>
      <c r="EDM4" s="2"/>
      <c r="EDN4" s="2"/>
      <c r="EDO4" s="2"/>
      <c r="EDP4" s="2"/>
      <c r="EDQ4" s="2"/>
      <c r="EDR4" s="2"/>
      <c r="EDS4" s="2"/>
      <c r="EDT4" s="2"/>
      <c r="EDU4" s="2"/>
      <c r="EDV4" s="2"/>
      <c r="EDW4" s="2"/>
      <c r="EDX4" s="2"/>
      <c r="EDY4" s="2"/>
      <c r="EDZ4" s="2"/>
      <c r="EEA4" s="2"/>
      <c r="EEB4" s="2"/>
      <c r="EEC4" s="2"/>
      <c r="EED4" s="2"/>
      <c r="EEE4" s="2"/>
      <c r="EEF4" s="2"/>
      <c r="EEG4" s="2"/>
      <c r="EEH4" s="2"/>
      <c r="EEI4" s="2"/>
      <c r="EEJ4" s="2"/>
      <c r="EEK4" s="2"/>
      <c r="EEL4" s="2"/>
      <c r="EEM4" s="2"/>
      <c r="EEN4" s="2"/>
      <c r="EEO4" s="2"/>
      <c r="EEP4" s="2"/>
      <c r="EEQ4" s="2"/>
      <c r="EER4" s="2"/>
      <c r="EES4" s="2"/>
      <c r="EET4" s="2"/>
      <c r="EEU4" s="2"/>
      <c r="EEV4" s="2"/>
      <c r="EEW4" s="2"/>
      <c r="EEX4" s="2"/>
      <c r="EEY4" s="2"/>
      <c r="EEZ4" s="2"/>
      <c r="EFA4" s="2"/>
      <c r="EFB4" s="2"/>
      <c r="EFC4" s="2"/>
      <c r="EFD4" s="2"/>
      <c r="EFE4" s="2"/>
      <c r="EFF4" s="2"/>
      <c r="EFG4" s="2"/>
      <c r="EFH4" s="2"/>
      <c r="EFI4" s="2"/>
      <c r="EFJ4" s="2"/>
      <c r="EFK4" s="2"/>
      <c r="EFL4" s="2"/>
      <c r="EFM4" s="2"/>
      <c r="EFN4" s="2"/>
      <c r="EFO4" s="2"/>
      <c r="EFP4" s="2"/>
      <c r="EFQ4" s="2"/>
      <c r="EFR4" s="2"/>
      <c r="EFS4" s="2"/>
      <c r="EFT4" s="2"/>
      <c r="EFU4" s="2"/>
      <c r="EFV4" s="2"/>
      <c r="EFW4" s="2"/>
      <c r="EFX4" s="2"/>
      <c r="EFY4" s="2"/>
      <c r="EFZ4" s="2"/>
      <c r="EGA4" s="2"/>
      <c r="EGB4" s="2"/>
      <c r="EGC4" s="2"/>
      <c r="EGD4" s="2"/>
      <c r="EGE4" s="2"/>
      <c r="EGF4" s="2"/>
      <c r="EGG4" s="2"/>
      <c r="EGH4" s="2"/>
      <c r="EGI4" s="2"/>
      <c r="EGJ4" s="2"/>
      <c r="EGK4" s="2"/>
      <c r="EGL4" s="2"/>
      <c r="EGM4" s="2"/>
      <c r="EGN4" s="2"/>
      <c r="EGO4" s="2"/>
      <c r="EGP4" s="2"/>
      <c r="EGQ4" s="2"/>
      <c r="EGR4" s="2"/>
      <c r="EGS4" s="2"/>
      <c r="EGT4" s="2"/>
      <c r="EGU4" s="2"/>
      <c r="EGV4" s="2"/>
      <c r="EGW4" s="2"/>
      <c r="EGX4" s="2"/>
      <c r="EGY4" s="2"/>
      <c r="EGZ4" s="2"/>
      <c r="EHA4" s="2"/>
      <c r="EHB4" s="2"/>
      <c r="EHC4" s="2"/>
      <c r="EHD4" s="2"/>
      <c r="EHE4" s="2"/>
      <c r="EHF4" s="2"/>
      <c r="EHG4" s="2"/>
      <c r="EHH4" s="2"/>
      <c r="EHI4" s="2"/>
      <c r="EHJ4" s="2"/>
      <c r="EHK4" s="2"/>
      <c r="EHL4" s="2"/>
      <c r="EHM4" s="2"/>
      <c r="EHN4" s="2"/>
      <c r="EHO4" s="2"/>
      <c r="EHP4" s="2"/>
      <c r="EHQ4" s="2"/>
      <c r="EHR4" s="2"/>
      <c r="EHS4" s="2"/>
      <c r="EHT4" s="2"/>
      <c r="EHU4" s="2"/>
      <c r="EHV4" s="2"/>
      <c r="EHW4" s="2"/>
      <c r="EHX4" s="2"/>
      <c r="EHY4" s="2"/>
      <c r="EHZ4" s="2"/>
      <c r="EIA4" s="2"/>
      <c r="EIB4" s="2"/>
      <c r="EIC4" s="2"/>
      <c r="EID4" s="2"/>
      <c r="EIE4" s="2"/>
      <c r="EIF4" s="2"/>
      <c r="EIG4" s="2"/>
      <c r="EIH4" s="2"/>
      <c r="EII4" s="2"/>
      <c r="EIJ4" s="2"/>
      <c r="EIK4" s="2"/>
      <c r="EIL4" s="2"/>
      <c r="EIM4" s="2"/>
      <c r="EIN4" s="2"/>
      <c r="EIO4" s="2"/>
      <c r="EIP4" s="2"/>
      <c r="EIQ4" s="2"/>
      <c r="EIR4" s="2"/>
      <c r="EIS4" s="2"/>
      <c r="EIT4" s="2"/>
      <c r="EIU4" s="2"/>
      <c r="EIV4" s="2"/>
      <c r="EIW4" s="2"/>
      <c r="EIX4" s="2"/>
      <c r="EIY4" s="2"/>
      <c r="EIZ4" s="2"/>
      <c r="EJA4" s="2"/>
      <c r="EJB4" s="2"/>
      <c r="EJC4" s="2"/>
      <c r="EJD4" s="2"/>
      <c r="EJE4" s="2"/>
      <c r="EJF4" s="2"/>
      <c r="EJG4" s="2"/>
      <c r="EJH4" s="2"/>
      <c r="EJI4" s="2"/>
      <c r="EJJ4" s="2"/>
      <c r="EJK4" s="2"/>
      <c r="EJL4" s="2"/>
      <c r="EJM4" s="2"/>
      <c r="EJN4" s="2"/>
      <c r="EJO4" s="2"/>
      <c r="EJP4" s="2"/>
      <c r="EJQ4" s="2"/>
      <c r="EJR4" s="2"/>
      <c r="EJS4" s="2"/>
      <c r="EJT4" s="2"/>
      <c r="EJU4" s="2"/>
      <c r="EJV4" s="2"/>
      <c r="EJW4" s="2"/>
      <c r="EJX4" s="2"/>
      <c r="EJY4" s="2"/>
      <c r="EJZ4" s="2"/>
      <c r="EKA4" s="2"/>
      <c r="EKB4" s="2"/>
      <c r="EKC4" s="2"/>
      <c r="EKD4" s="2"/>
      <c r="EKE4" s="2"/>
      <c r="EKF4" s="2"/>
      <c r="EKG4" s="2"/>
      <c r="EKH4" s="2"/>
      <c r="EKI4" s="2"/>
      <c r="EKJ4" s="2"/>
      <c r="EKK4" s="2"/>
      <c r="EKL4" s="2"/>
      <c r="EKM4" s="2"/>
      <c r="EKN4" s="2"/>
      <c r="EKO4" s="2"/>
      <c r="EKP4" s="2"/>
      <c r="EKQ4" s="2"/>
      <c r="EKR4" s="2"/>
      <c r="EKS4" s="2"/>
      <c r="EKT4" s="2"/>
      <c r="EKU4" s="2"/>
      <c r="EKV4" s="2"/>
      <c r="EKW4" s="2"/>
      <c r="EKX4" s="2"/>
      <c r="EKY4" s="2"/>
      <c r="EKZ4" s="2"/>
      <c r="ELA4" s="2"/>
      <c r="ELB4" s="2"/>
      <c r="ELC4" s="2"/>
      <c r="ELD4" s="2"/>
      <c r="ELE4" s="2"/>
      <c r="ELF4" s="2"/>
      <c r="ELG4" s="2"/>
      <c r="ELH4" s="2"/>
      <c r="ELI4" s="2"/>
      <c r="ELJ4" s="2"/>
      <c r="ELK4" s="2"/>
      <c r="ELL4" s="2"/>
      <c r="ELM4" s="2"/>
      <c r="ELN4" s="2"/>
      <c r="ELO4" s="2"/>
      <c r="ELP4" s="2"/>
      <c r="ELQ4" s="2"/>
      <c r="ELR4" s="2"/>
      <c r="ELS4" s="2"/>
      <c r="ELT4" s="2"/>
      <c r="ELU4" s="2"/>
      <c r="ELV4" s="2"/>
      <c r="ELW4" s="2"/>
      <c r="ELX4" s="2"/>
      <c r="ELY4" s="2"/>
      <c r="ELZ4" s="2"/>
      <c r="EMA4" s="2"/>
      <c r="EMB4" s="2"/>
      <c r="EMC4" s="2"/>
      <c r="EMD4" s="2"/>
      <c r="EME4" s="2"/>
      <c r="EMF4" s="2"/>
      <c r="EMG4" s="2"/>
      <c r="EMH4" s="2"/>
      <c r="EMI4" s="2"/>
      <c r="EMJ4" s="2"/>
      <c r="EMK4" s="2"/>
      <c r="EML4" s="2"/>
      <c r="EMM4" s="2"/>
      <c r="EMN4" s="2"/>
      <c r="EMO4" s="2"/>
      <c r="EMP4" s="2"/>
      <c r="EMQ4" s="2"/>
      <c r="EMR4" s="2"/>
      <c r="EMS4" s="2"/>
      <c r="EMT4" s="2"/>
      <c r="EMU4" s="2"/>
      <c r="EMV4" s="2"/>
      <c r="EMW4" s="2"/>
      <c r="EMX4" s="2"/>
      <c r="EMY4" s="2"/>
      <c r="EMZ4" s="2"/>
      <c r="ENA4" s="2"/>
      <c r="ENB4" s="2"/>
      <c r="ENC4" s="2"/>
      <c r="END4" s="2"/>
      <c r="ENE4" s="2"/>
      <c r="ENF4" s="2"/>
      <c r="ENG4" s="2"/>
      <c r="ENH4" s="2"/>
      <c r="ENI4" s="2"/>
      <c r="ENJ4" s="2"/>
      <c r="ENK4" s="2"/>
      <c r="ENL4" s="2"/>
      <c r="ENM4" s="2"/>
      <c r="ENN4" s="2"/>
      <c r="ENO4" s="2"/>
      <c r="ENP4" s="2"/>
      <c r="ENQ4" s="2"/>
      <c r="ENR4" s="2"/>
      <c r="ENS4" s="2"/>
      <c r="ENT4" s="2"/>
      <c r="ENU4" s="2"/>
      <c r="ENV4" s="2"/>
      <c r="ENW4" s="2"/>
      <c r="ENX4" s="2"/>
      <c r="ENY4" s="2"/>
      <c r="ENZ4" s="2"/>
      <c r="EOA4" s="2"/>
      <c r="EOB4" s="2"/>
      <c r="EOC4" s="2"/>
      <c r="EOD4" s="2"/>
      <c r="EOE4" s="2"/>
      <c r="EOF4" s="2"/>
      <c r="EOG4" s="2"/>
      <c r="EOH4" s="2"/>
      <c r="EOI4" s="2"/>
      <c r="EOJ4" s="2"/>
      <c r="EOK4" s="2"/>
      <c r="EOL4" s="2"/>
      <c r="EOM4" s="2"/>
      <c r="EON4" s="2"/>
      <c r="EOO4" s="2"/>
      <c r="EOP4" s="2"/>
      <c r="EOQ4" s="2"/>
      <c r="EOR4" s="2"/>
      <c r="EOS4" s="2"/>
      <c r="EOT4" s="2"/>
      <c r="EOU4" s="2"/>
      <c r="EOV4" s="2"/>
      <c r="EOW4" s="2"/>
      <c r="EOX4" s="2"/>
      <c r="EOY4" s="2"/>
      <c r="EOZ4" s="2"/>
      <c r="EPA4" s="2"/>
      <c r="EPB4" s="2"/>
      <c r="EPC4" s="2"/>
      <c r="EPD4" s="2"/>
      <c r="EPE4" s="2"/>
      <c r="EPF4" s="2"/>
      <c r="EPG4" s="2"/>
      <c r="EPH4" s="2"/>
      <c r="EPI4" s="2"/>
      <c r="EPJ4" s="2"/>
      <c r="EPK4" s="2"/>
      <c r="EPL4" s="2"/>
      <c r="EPM4" s="2"/>
      <c r="EPN4" s="2"/>
      <c r="EPO4" s="2"/>
      <c r="EPP4" s="2"/>
      <c r="EPQ4" s="2"/>
      <c r="EPR4" s="2"/>
      <c r="EPS4" s="2"/>
      <c r="EPT4" s="2"/>
      <c r="EPU4" s="2"/>
      <c r="EPV4" s="2"/>
      <c r="EPW4" s="2"/>
      <c r="EPX4" s="2"/>
      <c r="EPY4" s="2"/>
      <c r="EPZ4" s="2"/>
      <c r="EQA4" s="2"/>
      <c r="EQB4" s="2"/>
      <c r="EQC4" s="2"/>
      <c r="EQD4" s="2"/>
      <c r="EQE4" s="2"/>
      <c r="EQF4" s="2"/>
      <c r="EQG4" s="2"/>
      <c r="EQH4" s="2"/>
      <c r="EQI4" s="2"/>
      <c r="EQJ4" s="2"/>
      <c r="EQK4" s="2"/>
      <c r="EQL4" s="2"/>
      <c r="EQM4" s="2"/>
      <c r="EQN4" s="2"/>
      <c r="EQO4" s="2"/>
      <c r="EQP4" s="2"/>
      <c r="EQQ4" s="2"/>
      <c r="EQR4" s="2"/>
      <c r="EQS4" s="2"/>
      <c r="EQT4" s="2"/>
      <c r="EQU4" s="2"/>
      <c r="EQV4" s="2"/>
      <c r="EQW4" s="2"/>
      <c r="EQX4" s="2"/>
      <c r="EQY4" s="2"/>
      <c r="EQZ4" s="2"/>
      <c r="ERA4" s="2"/>
      <c r="ERB4" s="2"/>
      <c r="ERC4" s="2"/>
      <c r="ERD4" s="2"/>
      <c r="ERE4" s="2"/>
      <c r="ERF4" s="2"/>
      <c r="ERG4" s="2"/>
      <c r="ERH4" s="2"/>
      <c r="ERI4" s="2"/>
      <c r="ERJ4" s="2"/>
      <c r="ERK4" s="2"/>
      <c r="ERL4" s="2"/>
      <c r="ERM4" s="2"/>
      <c r="ERN4" s="2"/>
      <c r="ERO4" s="2"/>
      <c r="ERP4" s="2"/>
      <c r="ERQ4" s="2"/>
      <c r="ERR4" s="2"/>
      <c r="ERS4" s="2"/>
      <c r="ERT4" s="2"/>
      <c r="ERU4" s="2"/>
      <c r="ERV4" s="2"/>
      <c r="ERW4" s="2"/>
      <c r="ERX4" s="2"/>
      <c r="ERY4" s="2"/>
      <c r="ERZ4" s="2"/>
      <c r="ESA4" s="2"/>
      <c r="ESB4" s="2"/>
      <c r="ESC4" s="2"/>
      <c r="ESD4" s="2"/>
      <c r="ESE4" s="2"/>
      <c r="ESF4" s="2"/>
      <c r="ESG4" s="2"/>
      <c r="ESH4" s="2"/>
      <c r="ESI4" s="2"/>
      <c r="ESJ4" s="2"/>
      <c r="ESK4" s="2"/>
      <c r="ESL4" s="2"/>
      <c r="ESM4" s="2"/>
      <c r="ESN4" s="2"/>
      <c r="ESO4" s="2"/>
      <c r="ESP4" s="2"/>
      <c r="ESQ4" s="2"/>
      <c r="ESR4" s="2"/>
      <c r="ESS4" s="2"/>
      <c r="EST4" s="2"/>
      <c r="ESU4" s="2"/>
      <c r="ESV4" s="2"/>
      <c r="ESW4" s="2"/>
      <c r="ESX4" s="2"/>
      <c r="ESY4" s="2"/>
      <c r="ESZ4" s="2"/>
      <c r="ETA4" s="2"/>
      <c r="ETB4" s="2"/>
      <c r="ETC4" s="2"/>
      <c r="ETD4" s="2"/>
      <c r="ETE4" s="2"/>
      <c r="ETF4" s="2"/>
      <c r="ETG4" s="2"/>
      <c r="ETH4" s="2"/>
      <c r="ETI4" s="2"/>
      <c r="ETJ4" s="2"/>
      <c r="ETK4" s="2"/>
      <c r="ETL4" s="2"/>
      <c r="ETM4" s="2"/>
      <c r="ETN4" s="2"/>
      <c r="ETO4" s="2"/>
      <c r="ETP4" s="2"/>
      <c r="ETQ4" s="2"/>
      <c r="ETR4" s="2"/>
      <c r="ETS4" s="2"/>
      <c r="ETT4" s="2"/>
      <c r="ETU4" s="2"/>
      <c r="ETV4" s="2"/>
      <c r="ETW4" s="2"/>
      <c r="ETX4" s="2"/>
      <c r="ETY4" s="2"/>
      <c r="ETZ4" s="2"/>
      <c r="EUA4" s="2"/>
      <c r="EUB4" s="2"/>
      <c r="EUC4" s="2"/>
      <c r="EUD4" s="2"/>
      <c r="EUE4" s="2"/>
      <c r="EUF4" s="2"/>
      <c r="EUG4" s="2"/>
      <c r="EUH4" s="2"/>
      <c r="EUI4" s="2"/>
      <c r="EUJ4" s="2"/>
      <c r="EUK4" s="2"/>
      <c r="EUL4" s="2"/>
      <c r="EUM4" s="2"/>
      <c r="EUN4" s="2"/>
      <c r="EUO4" s="2"/>
      <c r="EUP4" s="2"/>
      <c r="EUQ4" s="2"/>
      <c r="EUR4" s="2"/>
      <c r="EUS4" s="2"/>
      <c r="EUT4" s="2"/>
      <c r="EUU4" s="2"/>
      <c r="EUV4" s="2"/>
      <c r="EUW4" s="2"/>
      <c r="EUX4" s="2"/>
      <c r="EUY4" s="2"/>
      <c r="EUZ4" s="2"/>
      <c r="EVA4" s="2"/>
      <c r="EVB4" s="2"/>
      <c r="EVC4" s="2"/>
      <c r="EVD4" s="2"/>
      <c r="EVE4" s="2"/>
      <c r="EVF4" s="2"/>
      <c r="EVG4" s="2"/>
      <c r="EVH4" s="2"/>
      <c r="EVI4" s="2"/>
      <c r="EVJ4" s="2"/>
      <c r="EVK4" s="2"/>
      <c r="EVL4" s="2"/>
      <c r="EVM4" s="2"/>
      <c r="EVN4" s="2"/>
      <c r="EVO4" s="2"/>
      <c r="EVP4" s="2"/>
      <c r="EVQ4" s="2"/>
      <c r="EVR4" s="2"/>
      <c r="EVS4" s="2"/>
      <c r="EVT4" s="2"/>
      <c r="EVU4" s="2"/>
      <c r="EVV4" s="2"/>
      <c r="EVW4" s="2"/>
      <c r="EVX4" s="2"/>
      <c r="EVY4" s="2"/>
      <c r="EVZ4" s="2"/>
      <c r="EWA4" s="2"/>
      <c r="EWB4" s="2"/>
      <c r="EWC4" s="2"/>
      <c r="EWD4" s="2"/>
      <c r="EWE4" s="2"/>
      <c r="EWF4" s="2"/>
      <c r="EWG4" s="2"/>
      <c r="EWH4" s="2"/>
      <c r="EWI4" s="2"/>
      <c r="EWJ4" s="2"/>
      <c r="EWK4" s="2"/>
      <c r="EWL4" s="2"/>
      <c r="EWM4" s="2"/>
      <c r="EWN4" s="2"/>
      <c r="EWO4" s="2"/>
      <c r="EWP4" s="2"/>
      <c r="EWQ4" s="2"/>
      <c r="EWR4" s="2"/>
      <c r="EWS4" s="2"/>
      <c r="EWT4" s="2"/>
      <c r="EWU4" s="2"/>
      <c r="EWV4" s="2"/>
      <c r="EWW4" s="2"/>
      <c r="EWX4" s="2"/>
      <c r="EWY4" s="2"/>
      <c r="EWZ4" s="2"/>
      <c r="EXA4" s="2"/>
      <c r="EXB4" s="2"/>
      <c r="EXC4" s="2"/>
      <c r="EXD4" s="2"/>
      <c r="EXE4" s="2"/>
      <c r="EXF4" s="2"/>
      <c r="EXG4" s="2"/>
      <c r="EXH4" s="2"/>
      <c r="EXI4" s="2"/>
      <c r="EXJ4" s="2"/>
      <c r="EXK4" s="2"/>
      <c r="EXL4" s="2"/>
      <c r="EXM4" s="2"/>
      <c r="EXN4" s="2"/>
      <c r="EXO4" s="2"/>
      <c r="EXP4" s="2"/>
      <c r="EXQ4" s="2"/>
      <c r="EXR4" s="2"/>
      <c r="EXS4" s="2"/>
      <c r="EXT4" s="2"/>
      <c r="EXU4" s="2"/>
      <c r="EXV4" s="2"/>
      <c r="EXW4" s="2"/>
      <c r="EXX4" s="2"/>
      <c r="EXY4" s="2"/>
      <c r="EXZ4" s="2"/>
      <c r="EYA4" s="2"/>
      <c r="EYB4" s="2"/>
      <c r="EYC4" s="2"/>
      <c r="EYD4" s="2"/>
      <c r="EYE4" s="2"/>
      <c r="EYF4" s="2"/>
      <c r="EYG4" s="2"/>
      <c r="EYH4" s="2"/>
      <c r="EYI4" s="2"/>
      <c r="EYJ4" s="2"/>
      <c r="EYK4" s="2"/>
      <c r="EYL4" s="2"/>
      <c r="EYM4" s="2"/>
      <c r="EYN4" s="2"/>
      <c r="EYO4" s="2"/>
      <c r="EYP4" s="2"/>
      <c r="EYQ4" s="2"/>
      <c r="EYR4" s="2"/>
      <c r="EYS4" s="2"/>
      <c r="EYT4" s="2"/>
      <c r="EYU4" s="2"/>
      <c r="EYV4" s="2"/>
      <c r="EYW4" s="2"/>
      <c r="EYX4" s="2"/>
      <c r="EYY4" s="2"/>
      <c r="EYZ4" s="2"/>
      <c r="EZA4" s="2"/>
      <c r="EZB4" s="2"/>
      <c r="EZC4" s="2"/>
      <c r="EZD4" s="2"/>
      <c r="EZE4" s="2"/>
      <c r="EZF4" s="2"/>
      <c r="EZG4" s="2"/>
      <c r="EZH4" s="2"/>
      <c r="EZI4" s="2"/>
      <c r="EZJ4" s="2"/>
      <c r="EZK4" s="2"/>
      <c r="EZL4" s="2"/>
      <c r="EZM4" s="2"/>
      <c r="EZN4" s="2"/>
      <c r="EZO4" s="2"/>
      <c r="EZP4" s="2"/>
      <c r="EZQ4" s="2"/>
      <c r="EZR4" s="2"/>
      <c r="EZS4" s="2"/>
      <c r="EZT4" s="2"/>
      <c r="EZU4" s="2"/>
      <c r="EZV4" s="2"/>
      <c r="EZW4" s="2"/>
      <c r="EZX4" s="2"/>
      <c r="EZY4" s="2"/>
      <c r="EZZ4" s="2"/>
      <c r="FAA4" s="2"/>
      <c r="FAB4" s="2"/>
      <c r="FAC4" s="2"/>
      <c r="FAD4" s="2"/>
      <c r="FAE4" s="2"/>
      <c r="FAF4" s="2"/>
      <c r="FAG4" s="2"/>
      <c r="FAH4" s="2"/>
      <c r="FAI4" s="2"/>
      <c r="FAJ4" s="2"/>
      <c r="FAK4" s="2"/>
      <c r="FAL4" s="2"/>
      <c r="FAM4" s="2"/>
      <c r="FAN4" s="2"/>
      <c r="FAO4" s="2"/>
      <c r="FAP4" s="2"/>
      <c r="FAQ4" s="2"/>
      <c r="FAR4" s="2"/>
      <c r="FAS4" s="2"/>
      <c r="FAT4" s="2"/>
      <c r="FAU4" s="2"/>
      <c r="FAV4" s="2"/>
      <c r="FAW4" s="2"/>
      <c r="FAX4" s="2"/>
      <c r="FAY4" s="2"/>
      <c r="FAZ4" s="2"/>
      <c r="FBA4" s="2"/>
      <c r="FBB4" s="2"/>
      <c r="FBC4" s="2"/>
      <c r="FBD4" s="2"/>
      <c r="FBE4" s="2"/>
      <c r="FBF4" s="2"/>
      <c r="FBG4" s="2"/>
      <c r="FBH4" s="2"/>
      <c r="FBI4" s="2"/>
      <c r="FBJ4" s="2"/>
      <c r="FBK4" s="2"/>
      <c r="FBL4" s="2"/>
      <c r="FBM4" s="2"/>
      <c r="FBN4" s="2"/>
      <c r="FBO4" s="2"/>
      <c r="FBP4" s="2"/>
      <c r="FBQ4" s="2"/>
      <c r="FBR4" s="2"/>
      <c r="FBS4" s="2"/>
      <c r="FBT4" s="2"/>
      <c r="FBU4" s="2"/>
      <c r="FBV4" s="2"/>
      <c r="FBW4" s="2"/>
      <c r="FBX4" s="2"/>
      <c r="FBY4" s="2"/>
      <c r="FBZ4" s="2"/>
      <c r="FCA4" s="2"/>
      <c r="FCB4" s="2"/>
      <c r="FCC4" s="2"/>
      <c r="FCD4" s="2"/>
      <c r="FCE4" s="2"/>
      <c r="FCF4" s="2"/>
      <c r="FCG4" s="2"/>
      <c r="FCH4" s="2"/>
      <c r="FCI4" s="2"/>
      <c r="FCJ4" s="2"/>
      <c r="FCK4" s="2"/>
      <c r="FCL4" s="2"/>
      <c r="FCM4" s="2"/>
      <c r="FCN4" s="2"/>
      <c r="FCO4" s="2"/>
      <c r="FCP4" s="2"/>
      <c r="FCQ4" s="2"/>
      <c r="FCR4" s="2"/>
      <c r="FCS4" s="2"/>
      <c r="FCT4" s="2"/>
      <c r="FCU4" s="2"/>
      <c r="FCV4" s="2"/>
      <c r="FCW4" s="2"/>
      <c r="FCX4" s="2"/>
      <c r="FCY4" s="2"/>
      <c r="FCZ4" s="2"/>
      <c r="FDA4" s="2"/>
      <c r="FDB4" s="2"/>
      <c r="FDC4" s="2"/>
      <c r="FDD4" s="2"/>
      <c r="FDE4" s="2"/>
      <c r="FDF4" s="2"/>
      <c r="FDG4" s="2"/>
      <c r="FDH4" s="2"/>
      <c r="FDI4" s="2"/>
      <c r="FDJ4" s="2"/>
      <c r="FDK4" s="2"/>
      <c r="FDL4" s="2"/>
      <c r="FDM4" s="2"/>
      <c r="FDN4" s="2"/>
      <c r="FDO4" s="2"/>
      <c r="FDP4" s="2"/>
      <c r="FDQ4" s="2"/>
      <c r="FDR4" s="2"/>
      <c r="FDS4" s="2"/>
      <c r="FDT4" s="2"/>
      <c r="FDU4" s="2"/>
      <c r="FDV4" s="2"/>
      <c r="FDW4" s="2"/>
      <c r="FDX4" s="2"/>
      <c r="FDY4" s="2"/>
      <c r="FDZ4" s="2"/>
      <c r="FEA4" s="2"/>
      <c r="FEB4" s="2"/>
      <c r="FEC4" s="2"/>
      <c r="FED4" s="2"/>
      <c r="FEE4" s="2"/>
      <c r="FEF4" s="2"/>
      <c r="FEG4" s="2"/>
      <c r="FEH4" s="2"/>
      <c r="FEI4" s="2"/>
      <c r="FEJ4" s="2"/>
      <c r="FEK4" s="2"/>
      <c r="FEL4" s="2"/>
      <c r="FEM4" s="2"/>
      <c r="FEN4" s="2"/>
      <c r="FEO4" s="2"/>
      <c r="FEP4" s="2"/>
      <c r="FEQ4" s="2"/>
      <c r="FER4" s="2"/>
      <c r="FES4" s="2"/>
      <c r="FET4" s="2"/>
      <c r="FEU4" s="2"/>
      <c r="FEV4" s="2"/>
      <c r="FEW4" s="2"/>
      <c r="FEX4" s="2"/>
      <c r="FEY4" s="2"/>
      <c r="FEZ4" s="2"/>
      <c r="FFA4" s="2"/>
      <c r="FFB4" s="2"/>
      <c r="FFC4" s="2"/>
      <c r="FFD4" s="2"/>
      <c r="FFE4" s="2"/>
      <c r="FFF4" s="2"/>
      <c r="FFG4" s="2"/>
      <c r="FFH4" s="2"/>
      <c r="FFI4" s="2"/>
      <c r="FFJ4" s="2"/>
      <c r="FFK4" s="2"/>
      <c r="FFL4" s="2"/>
      <c r="FFM4" s="2"/>
      <c r="FFN4" s="2"/>
      <c r="FFO4" s="2"/>
      <c r="FFP4" s="2"/>
      <c r="FFQ4" s="2"/>
      <c r="FFR4" s="2"/>
      <c r="FFS4" s="2"/>
      <c r="FFT4" s="2"/>
      <c r="FFU4" s="2"/>
      <c r="FFV4" s="2"/>
      <c r="FFW4" s="2"/>
      <c r="FFX4" s="2"/>
      <c r="FFY4" s="2"/>
      <c r="FFZ4" s="2"/>
      <c r="FGA4" s="2"/>
      <c r="FGB4" s="2"/>
      <c r="FGC4" s="2"/>
      <c r="FGD4" s="2"/>
      <c r="FGE4" s="2"/>
      <c r="FGF4" s="2"/>
      <c r="FGG4" s="2"/>
      <c r="FGH4" s="2"/>
      <c r="FGI4" s="2"/>
      <c r="FGJ4" s="2"/>
      <c r="FGK4" s="2"/>
      <c r="FGL4" s="2"/>
      <c r="FGM4" s="2"/>
      <c r="FGN4" s="2"/>
      <c r="FGO4" s="2"/>
      <c r="FGP4" s="2"/>
      <c r="FGQ4" s="2"/>
      <c r="FGR4" s="2"/>
      <c r="FGS4" s="2"/>
      <c r="FGT4" s="2"/>
      <c r="FGU4" s="2"/>
      <c r="FGV4" s="2"/>
      <c r="FGW4" s="2"/>
      <c r="FGX4" s="2"/>
      <c r="FGY4" s="2"/>
      <c r="FGZ4" s="2"/>
      <c r="FHA4" s="2"/>
      <c r="FHB4" s="2"/>
      <c r="FHC4" s="2"/>
      <c r="FHD4" s="2"/>
      <c r="FHE4" s="2"/>
      <c r="FHF4" s="2"/>
      <c r="FHG4" s="2"/>
      <c r="FHH4" s="2"/>
      <c r="FHI4" s="2"/>
      <c r="FHJ4" s="2"/>
      <c r="FHK4" s="2"/>
      <c r="FHL4" s="2"/>
      <c r="FHM4" s="2"/>
      <c r="FHN4" s="2"/>
      <c r="FHO4" s="2"/>
      <c r="FHP4" s="2"/>
      <c r="FHQ4" s="2"/>
      <c r="FHR4" s="2"/>
      <c r="FHS4" s="2"/>
      <c r="FHT4" s="2"/>
      <c r="FHU4" s="2"/>
      <c r="FHV4" s="2"/>
      <c r="FHW4" s="2"/>
      <c r="FHX4" s="2"/>
      <c r="FHY4" s="2"/>
      <c r="FHZ4" s="2"/>
      <c r="FIA4" s="2"/>
      <c r="FIB4" s="2"/>
      <c r="FIC4" s="2"/>
      <c r="FID4" s="2"/>
      <c r="FIE4" s="2"/>
      <c r="FIF4" s="2"/>
      <c r="FIG4" s="2"/>
      <c r="FIH4" s="2"/>
      <c r="FII4" s="2"/>
      <c r="FIJ4" s="2"/>
      <c r="FIK4" s="2"/>
      <c r="FIL4" s="2"/>
      <c r="FIM4" s="2"/>
      <c r="FIN4" s="2"/>
      <c r="FIO4" s="2"/>
      <c r="FIP4" s="2"/>
      <c r="FIQ4" s="2"/>
      <c r="FIR4" s="2"/>
      <c r="FIS4" s="2"/>
      <c r="FIT4" s="2"/>
      <c r="FIU4" s="2"/>
      <c r="FIV4" s="2"/>
      <c r="FIW4" s="2"/>
      <c r="FIX4" s="2"/>
      <c r="FIY4" s="2"/>
      <c r="FIZ4" s="2"/>
      <c r="FJA4" s="2"/>
      <c r="FJB4" s="2"/>
      <c r="FJC4" s="2"/>
      <c r="FJD4" s="2"/>
      <c r="FJE4" s="2"/>
      <c r="FJF4" s="2"/>
      <c r="FJG4" s="2"/>
      <c r="FJH4" s="2"/>
      <c r="FJI4" s="2"/>
      <c r="FJJ4" s="2"/>
      <c r="FJK4" s="2"/>
      <c r="FJL4" s="2"/>
      <c r="FJM4" s="2"/>
      <c r="FJN4" s="2"/>
      <c r="FJO4" s="2"/>
      <c r="FJP4" s="2"/>
      <c r="FJQ4" s="2"/>
      <c r="FJR4" s="2"/>
      <c r="FJS4" s="2"/>
      <c r="FJT4" s="2"/>
      <c r="FJU4" s="2"/>
      <c r="FJV4" s="2"/>
      <c r="FJW4" s="2"/>
      <c r="FJX4" s="2"/>
      <c r="FJY4" s="2"/>
      <c r="FJZ4" s="2"/>
      <c r="FKA4" s="2"/>
      <c r="FKB4" s="2"/>
      <c r="FKC4" s="2"/>
      <c r="FKD4" s="2"/>
      <c r="FKE4" s="2"/>
      <c r="FKF4" s="2"/>
      <c r="FKG4" s="2"/>
      <c r="FKH4" s="2"/>
      <c r="FKI4" s="2"/>
      <c r="FKJ4" s="2"/>
      <c r="FKK4" s="2"/>
      <c r="FKL4" s="2"/>
      <c r="FKM4" s="2"/>
      <c r="FKN4" s="2"/>
      <c r="FKO4" s="2"/>
      <c r="FKP4" s="2"/>
      <c r="FKQ4" s="2"/>
      <c r="FKR4" s="2"/>
      <c r="FKS4" s="2"/>
      <c r="FKT4" s="2"/>
      <c r="FKU4" s="2"/>
      <c r="FKV4" s="2"/>
      <c r="FKW4" s="2"/>
      <c r="FKX4" s="2"/>
      <c r="FKY4" s="2"/>
      <c r="FKZ4" s="2"/>
      <c r="FLA4" s="2"/>
      <c r="FLB4" s="2"/>
      <c r="FLC4" s="2"/>
      <c r="FLD4" s="2"/>
      <c r="FLE4" s="2"/>
      <c r="FLF4" s="2"/>
      <c r="FLG4" s="2"/>
      <c r="FLH4" s="2"/>
      <c r="FLI4" s="2"/>
      <c r="FLJ4" s="2"/>
      <c r="FLK4" s="2"/>
      <c r="FLL4" s="2"/>
      <c r="FLM4" s="2"/>
      <c r="FLN4" s="2"/>
      <c r="FLO4" s="2"/>
      <c r="FLP4" s="2"/>
      <c r="FLQ4" s="2"/>
      <c r="FLR4" s="2"/>
      <c r="FLS4" s="2"/>
      <c r="FLT4" s="2"/>
      <c r="FLU4" s="2"/>
      <c r="FLV4" s="2"/>
      <c r="FLW4" s="2"/>
      <c r="FLX4" s="2"/>
      <c r="FLY4" s="2"/>
      <c r="FLZ4" s="2"/>
      <c r="FMA4" s="2"/>
      <c r="FMB4" s="2"/>
      <c r="FMC4" s="2"/>
      <c r="FMD4" s="2"/>
      <c r="FME4" s="2"/>
      <c r="FMF4" s="2"/>
      <c r="FMG4" s="2"/>
      <c r="FMH4" s="2"/>
      <c r="FMI4" s="2"/>
      <c r="FMJ4" s="2"/>
      <c r="FMK4" s="2"/>
      <c r="FML4" s="2"/>
      <c r="FMM4" s="2"/>
      <c r="FMN4" s="2"/>
      <c r="FMO4" s="2"/>
      <c r="FMP4" s="2"/>
      <c r="FMQ4" s="2"/>
      <c r="FMR4" s="2"/>
      <c r="FMS4" s="2"/>
      <c r="FMT4" s="2"/>
      <c r="FMU4" s="2"/>
      <c r="FMV4" s="2"/>
      <c r="FMW4" s="2"/>
      <c r="FMX4" s="2"/>
      <c r="FMY4" s="2"/>
      <c r="FMZ4" s="2"/>
      <c r="FNA4" s="2"/>
      <c r="FNB4" s="2"/>
      <c r="FNC4" s="2"/>
      <c r="FND4" s="2"/>
      <c r="FNE4" s="2"/>
      <c r="FNF4" s="2"/>
      <c r="FNG4" s="2"/>
      <c r="FNH4" s="2"/>
      <c r="FNI4" s="2"/>
      <c r="FNJ4" s="2"/>
      <c r="FNK4" s="2"/>
      <c r="FNL4" s="2"/>
      <c r="FNM4" s="2"/>
      <c r="FNN4" s="2"/>
      <c r="FNO4" s="2"/>
      <c r="FNP4" s="2"/>
      <c r="FNQ4" s="2"/>
      <c r="FNR4" s="2"/>
      <c r="FNS4" s="2"/>
      <c r="FNT4" s="2"/>
      <c r="FNU4" s="2"/>
      <c r="FNV4" s="2"/>
      <c r="FNW4" s="2"/>
      <c r="FNX4" s="2"/>
      <c r="FNY4" s="2"/>
      <c r="FNZ4" s="2"/>
      <c r="FOA4" s="2"/>
      <c r="FOB4" s="2"/>
      <c r="FOC4" s="2"/>
      <c r="FOD4" s="2"/>
      <c r="FOE4" s="2"/>
      <c r="FOF4" s="2"/>
      <c r="FOG4" s="2"/>
      <c r="FOH4" s="2"/>
      <c r="FOI4" s="2"/>
      <c r="FOJ4" s="2"/>
      <c r="FOK4" s="2"/>
      <c r="FOL4" s="2"/>
      <c r="FOM4" s="2"/>
      <c r="FON4" s="2"/>
      <c r="FOO4" s="2"/>
      <c r="FOP4" s="2"/>
      <c r="FOQ4" s="2"/>
      <c r="FOR4" s="2"/>
      <c r="FOS4" s="2"/>
      <c r="FOT4" s="2"/>
      <c r="FOU4" s="2"/>
      <c r="FOV4" s="2"/>
      <c r="FOW4" s="2"/>
      <c r="FOX4" s="2"/>
      <c r="FOY4" s="2"/>
      <c r="FOZ4" s="2"/>
      <c r="FPA4" s="2"/>
      <c r="FPB4" s="2"/>
      <c r="FPC4" s="2"/>
      <c r="FPD4" s="2"/>
      <c r="FPE4" s="2"/>
      <c r="FPF4" s="2"/>
      <c r="FPG4" s="2"/>
      <c r="FPH4" s="2"/>
      <c r="FPI4" s="2"/>
      <c r="FPJ4" s="2"/>
      <c r="FPK4" s="2"/>
      <c r="FPL4" s="2"/>
      <c r="FPM4" s="2"/>
      <c r="FPN4" s="2"/>
      <c r="FPO4" s="2"/>
      <c r="FPP4" s="2"/>
      <c r="FPQ4" s="2"/>
      <c r="FPR4" s="2"/>
      <c r="FPS4" s="2"/>
      <c r="FPT4" s="2"/>
      <c r="FPU4" s="2"/>
      <c r="FPV4" s="2"/>
      <c r="FPW4" s="2"/>
      <c r="FPX4" s="2"/>
      <c r="FPY4" s="2"/>
      <c r="FPZ4" s="2"/>
      <c r="FQA4" s="2"/>
      <c r="FQB4" s="2"/>
      <c r="FQC4" s="2"/>
      <c r="FQD4" s="2"/>
      <c r="FQE4" s="2"/>
      <c r="FQF4" s="2"/>
      <c r="FQG4" s="2"/>
      <c r="FQH4" s="2"/>
      <c r="FQI4" s="2"/>
      <c r="FQJ4" s="2"/>
      <c r="FQK4" s="2"/>
      <c r="FQL4" s="2"/>
      <c r="FQM4" s="2"/>
      <c r="FQN4" s="2"/>
      <c r="FQO4" s="2"/>
      <c r="FQP4" s="2"/>
      <c r="FQQ4" s="2"/>
      <c r="FQR4" s="2"/>
      <c r="FQS4" s="2"/>
      <c r="FQT4" s="2"/>
      <c r="FQU4" s="2"/>
      <c r="FQV4" s="2"/>
      <c r="FQW4" s="2"/>
      <c r="FQX4" s="2"/>
      <c r="FQY4" s="2"/>
      <c r="FQZ4" s="2"/>
      <c r="FRA4" s="2"/>
      <c r="FRB4" s="2"/>
      <c r="FRC4" s="2"/>
      <c r="FRD4" s="2"/>
      <c r="FRE4" s="2"/>
      <c r="FRF4" s="2"/>
      <c r="FRG4" s="2"/>
      <c r="FRH4" s="2"/>
      <c r="FRI4" s="2"/>
      <c r="FRJ4" s="2"/>
      <c r="FRK4" s="2"/>
      <c r="FRL4" s="2"/>
      <c r="FRM4" s="2"/>
      <c r="FRN4" s="2"/>
      <c r="FRO4" s="2"/>
      <c r="FRP4" s="2"/>
      <c r="FRQ4" s="2"/>
      <c r="FRR4" s="2"/>
      <c r="FRS4" s="2"/>
      <c r="FRT4" s="2"/>
      <c r="FRU4" s="2"/>
      <c r="FRV4" s="2"/>
      <c r="FRW4" s="2"/>
      <c r="FRX4" s="2"/>
      <c r="FRY4" s="2"/>
      <c r="FRZ4" s="2"/>
      <c r="FSA4" s="2"/>
      <c r="FSB4" s="2"/>
      <c r="FSC4" s="2"/>
      <c r="FSD4" s="2"/>
      <c r="FSE4" s="2"/>
      <c r="FSF4" s="2"/>
      <c r="FSG4" s="2"/>
      <c r="FSH4" s="2"/>
      <c r="FSI4" s="2"/>
      <c r="FSJ4" s="2"/>
      <c r="FSK4" s="2"/>
      <c r="FSL4" s="2"/>
      <c r="FSM4" s="2"/>
      <c r="FSN4" s="2"/>
      <c r="FSO4" s="2"/>
      <c r="FSP4" s="2"/>
      <c r="FSQ4" s="2"/>
      <c r="FSR4" s="2"/>
      <c r="FSS4" s="2"/>
      <c r="FST4" s="2"/>
      <c r="FSU4" s="2"/>
      <c r="FSV4" s="2"/>
      <c r="FSW4" s="2"/>
      <c r="FSX4" s="2"/>
      <c r="FSY4" s="2"/>
      <c r="FSZ4" s="2"/>
      <c r="FTA4" s="2"/>
      <c r="FTB4" s="2"/>
      <c r="FTC4" s="2"/>
      <c r="FTD4" s="2"/>
      <c r="FTE4" s="2"/>
      <c r="FTF4" s="2"/>
      <c r="FTG4" s="2"/>
      <c r="FTH4" s="2"/>
      <c r="FTI4" s="2"/>
      <c r="FTJ4" s="2"/>
      <c r="FTK4" s="2"/>
      <c r="FTL4" s="2"/>
      <c r="FTM4" s="2"/>
      <c r="FTN4" s="2"/>
      <c r="FTO4" s="2"/>
      <c r="FTP4" s="2"/>
      <c r="FTQ4" s="2"/>
      <c r="FTR4" s="2"/>
      <c r="FTS4" s="2"/>
      <c r="FTT4" s="2"/>
      <c r="FTU4" s="2"/>
      <c r="FTV4" s="2"/>
      <c r="FTW4" s="2"/>
      <c r="FTX4" s="2"/>
      <c r="FTY4" s="2"/>
      <c r="FTZ4" s="2"/>
      <c r="FUA4" s="2"/>
      <c r="FUB4" s="2"/>
      <c r="FUC4" s="2"/>
      <c r="FUD4" s="2"/>
      <c r="FUE4" s="2"/>
      <c r="FUF4" s="2"/>
      <c r="FUG4" s="2"/>
      <c r="FUH4" s="2"/>
      <c r="FUI4" s="2"/>
      <c r="FUJ4" s="2"/>
      <c r="FUK4" s="2"/>
      <c r="FUL4" s="2"/>
      <c r="FUM4" s="2"/>
      <c r="FUN4" s="2"/>
      <c r="FUO4" s="2"/>
      <c r="FUP4" s="2"/>
      <c r="FUQ4" s="2"/>
      <c r="FUR4" s="2"/>
      <c r="FUS4" s="2"/>
      <c r="FUT4" s="2"/>
      <c r="FUU4" s="2"/>
      <c r="FUV4" s="2"/>
      <c r="FUW4" s="2"/>
      <c r="FUX4" s="2"/>
      <c r="FUY4" s="2"/>
      <c r="FUZ4" s="2"/>
      <c r="FVA4" s="2"/>
      <c r="FVB4" s="2"/>
      <c r="FVC4" s="2"/>
      <c r="FVD4" s="2"/>
      <c r="FVE4" s="2"/>
      <c r="FVF4" s="2"/>
      <c r="FVG4" s="2"/>
      <c r="FVH4" s="2"/>
      <c r="FVI4" s="2"/>
      <c r="FVJ4" s="2"/>
      <c r="FVK4" s="2"/>
      <c r="FVL4" s="2"/>
      <c r="FVM4" s="2"/>
      <c r="FVN4" s="2"/>
      <c r="FVO4" s="2"/>
      <c r="FVP4" s="2"/>
      <c r="FVQ4" s="2"/>
      <c r="FVR4" s="2"/>
      <c r="FVS4" s="2"/>
      <c r="FVT4" s="2"/>
      <c r="FVU4" s="2"/>
      <c r="FVV4" s="2"/>
      <c r="FVW4" s="2"/>
      <c r="FVX4" s="2"/>
      <c r="FVY4" s="2"/>
      <c r="FVZ4" s="2"/>
      <c r="FWA4" s="2"/>
      <c r="FWB4" s="2"/>
      <c r="FWC4" s="2"/>
      <c r="FWD4" s="2"/>
      <c r="FWE4" s="2"/>
      <c r="FWF4" s="2"/>
      <c r="FWG4" s="2"/>
      <c r="FWH4" s="2"/>
      <c r="FWI4" s="2"/>
      <c r="FWJ4" s="2"/>
      <c r="FWK4" s="2"/>
      <c r="FWL4" s="2"/>
      <c r="FWM4" s="2"/>
      <c r="FWN4" s="2"/>
      <c r="FWO4" s="2"/>
      <c r="FWP4" s="2"/>
      <c r="FWQ4" s="2"/>
      <c r="FWR4" s="2"/>
      <c r="FWS4" s="2"/>
      <c r="FWT4" s="2"/>
      <c r="FWU4" s="2"/>
      <c r="FWV4" s="2"/>
      <c r="FWW4" s="2"/>
      <c r="FWX4" s="2"/>
      <c r="FWY4" s="2"/>
      <c r="FWZ4" s="2"/>
      <c r="FXA4" s="2"/>
      <c r="FXB4" s="2"/>
      <c r="FXC4" s="2"/>
      <c r="FXD4" s="2"/>
      <c r="FXE4" s="2"/>
      <c r="FXF4" s="2"/>
      <c r="FXG4" s="2"/>
      <c r="FXH4" s="2"/>
      <c r="FXI4" s="2"/>
      <c r="FXJ4" s="2"/>
      <c r="FXK4" s="2"/>
      <c r="FXL4" s="2"/>
      <c r="FXM4" s="2"/>
      <c r="FXN4" s="2"/>
      <c r="FXO4" s="2"/>
      <c r="FXP4" s="2"/>
      <c r="FXQ4" s="2"/>
      <c r="FXR4" s="2"/>
      <c r="FXS4" s="2"/>
      <c r="FXT4" s="2"/>
      <c r="FXU4" s="2"/>
      <c r="FXV4" s="2"/>
      <c r="FXW4" s="2"/>
      <c r="FXX4" s="2"/>
      <c r="FXY4" s="2"/>
      <c r="FXZ4" s="2"/>
      <c r="FYA4" s="2"/>
      <c r="FYB4" s="2"/>
      <c r="FYC4" s="2"/>
      <c r="FYD4" s="2"/>
      <c r="FYE4" s="2"/>
      <c r="FYF4" s="2"/>
      <c r="FYG4" s="2"/>
      <c r="FYH4" s="2"/>
      <c r="FYI4" s="2"/>
      <c r="FYJ4" s="2"/>
      <c r="FYK4" s="2"/>
      <c r="FYL4" s="2"/>
      <c r="FYM4" s="2"/>
      <c r="FYN4" s="2"/>
      <c r="FYO4" s="2"/>
      <c r="FYP4" s="2"/>
      <c r="FYQ4" s="2"/>
      <c r="FYR4" s="2"/>
      <c r="FYS4" s="2"/>
      <c r="FYT4" s="2"/>
      <c r="FYU4" s="2"/>
      <c r="FYV4" s="2"/>
      <c r="FYW4" s="2"/>
      <c r="FYX4" s="2"/>
      <c r="FYY4" s="2"/>
      <c r="FYZ4" s="2"/>
      <c r="FZA4" s="2"/>
      <c r="FZB4" s="2"/>
      <c r="FZC4" s="2"/>
      <c r="FZD4" s="2"/>
      <c r="FZE4" s="2"/>
      <c r="FZF4" s="2"/>
      <c r="FZG4" s="2"/>
      <c r="FZH4" s="2"/>
      <c r="FZI4" s="2"/>
      <c r="FZJ4" s="2"/>
      <c r="FZK4" s="2"/>
      <c r="FZL4" s="2"/>
      <c r="FZM4" s="2"/>
      <c r="FZN4" s="2"/>
      <c r="FZO4" s="2"/>
      <c r="FZP4" s="2"/>
      <c r="FZQ4" s="2"/>
      <c r="FZR4" s="2"/>
      <c r="FZS4" s="2"/>
      <c r="FZT4" s="2"/>
      <c r="FZU4" s="2"/>
      <c r="FZV4" s="2"/>
      <c r="FZW4" s="2"/>
      <c r="FZX4" s="2"/>
      <c r="FZY4" s="2"/>
      <c r="FZZ4" s="2"/>
      <c r="GAA4" s="2"/>
      <c r="GAB4" s="2"/>
      <c r="GAC4" s="2"/>
      <c r="GAD4" s="2"/>
      <c r="GAE4" s="2"/>
      <c r="GAF4" s="2"/>
      <c r="GAG4" s="2"/>
      <c r="GAH4" s="2"/>
      <c r="GAI4" s="2"/>
      <c r="GAJ4" s="2"/>
      <c r="GAK4" s="2"/>
      <c r="GAL4" s="2"/>
      <c r="GAM4" s="2"/>
      <c r="GAN4" s="2"/>
      <c r="GAO4" s="2"/>
      <c r="GAP4" s="2"/>
      <c r="GAQ4" s="2"/>
      <c r="GAR4" s="2"/>
      <c r="GAS4" s="2"/>
      <c r="GAT4" s="2"/>
      <c r="GAU4" s="2"/>
      <c r="GAV4" s="2"/>
      <c r="GAW4" s="2"/>
      <c r="GAX4" s="2"/>
      <c r="GAY4" s="2"/>
      <c r="GAZ4" s="2"/>
      <c r="GBA4" s="2"/>
      <c r="GBB4" s="2"/>
      <c r="GBC4" s="2"/>
      <c r="GBD4" s="2"/>
      <c r="GBE4" s="2"/>
      <c r="GBF4" s="2"/>
      <c r="GBG4" s="2"/>
      <c r="GBH4" s="2"/>
      <c r="GBI4" s="2"/>
      <c r="GBJ4" s="2"/>
      <c r="GBK4" s="2"/>
      <c r="GBL4" s="2"/>
      <c r="GBM4" s="2"/>
      <c r="GBN4" s="2"/>
      <c r="GBO4" s="2"/>
      <c r="GBP4" s="2"/>
      <c r="GBQ4" s="2"/>
      <c r="GBR4" s="2"/>
      <c r="GBS4" s="2"/>
      <c r="GBT4" s="2"/>
      <c r="GBU4" s="2"/>
      <c r="GBV4" s="2"/>
      <c r="GBW4" s="2"/>
      <c r="GBX4" s="2"/>
      <c r="GBY4" s="2"/>
      <c r="GBZ4" s="2"/>
      <c r="GCA4" s="2"/>
      <c r="GCB4" s="2"/>
      <c r="GCC4" s="2"/>
      <c r="GCD4" s="2"/>
      <c r="GCE4" s="2"/>
      <c r="GCF4" s="2"/>
      <c r="GCG4" s="2"/>
      <c r="GCH4" s="2"/>
      <c r="GCI4" s="2"/>
      <c r="GCJ4" s="2"/>
      <c r="GCK4" s="2"/>
      <c r="GCL4" s="2"/>
      <c r="GCM4" s="2"/>
      <c r="GCN4" s="2"/>
      <c r="GCO4" s="2"/>
      <c r="GCP4" s="2"/>
      <c r="GCQ4" s="2"/>
      <c r="GCR4" s="2"/>
      <c r="GCS4" s="2"/>
      <c r="GCT4" s="2"/>
      <c r="GCU4" s="2"/>
      <c r="GCV4" s="2"/>
      <c r="GCW4" s="2"/>
      <c r="GCX4" s="2"/>
      <c r="GCY4" s="2"/>
      <c r="GCZ4" s="2"/>
      <c r="GDA4" s="2"/>
      <c r="GDB4" s="2"/>
      <c r="GDC4" s="2"/>
      <c r="GDD4" s="2"/>
      <c r="GDE4" s="2"/>
      <c r="GDF4" s="2"/>
      <c r="GDG4" s="2"/>
      <c r="GDH4" s="2"/>
      <c r="GDI4" s="2"/>
      <c r="GDJ4" s="2"/>
      <c r="GDK4" s="2"/>
      <c r="GDL4" s="2"/>
      <c r="GDM4" s="2"/>
      <c r="GDN4" s="2"/>
      <c r="GDO4" s="2"/>
      <c r="GDP4" s="2"/>
      <c r="GDQ4" s="2"/>
      <c r="GDR4" s="2"/>
      <c r="GDS4" s="2"/>
      <c r="GDT4" s="2"/>
      <c r="GDU4" s="2"/>
      <c r="GDV4" s="2"/>
      <c r="GDW4" s="2"/>
      <c r="GDX4" s="2"/>
      <c r="GDY4" s="2"/>
      <c r="GDZ4" s="2"/>
      <c r="GEA4" s="2"/>
      <c r="GEB4" s="2"/>
      <c r="GEC4" s="2"/>
      <c r="GED4" s="2"/>
      <c r="GEE4" s="2"/>
      <c r="GEF4" s="2"/>
      <c r="GEG4" s="2"/>
      <c r="GEH4" s="2"/>
      <c r="GEI4" s="2"/>
      <c r="GEJ4" s="2"/>
      <c r="GEK4" s="2"/>
      <c r="GEL4" s="2"/>
      <c r="GEM4" s="2"/>
      <c r="GEN4" s="2"/>
      <c r="GEO4" s="2"/>
      <c r="GEP4" s="2"/>
      <c r="GEQ4" s="2"/>
      <c r="GER4" s="2"/>
      <c r="GES4" s="2"/>
      <c r="GET4" s="2"/>
      <c r="GEU4" s="2"/>
      <c r="GEV4" s="2"/>
      <c r="GEW4" s="2"/>
      <c r="GEX4" s="2"/>
      <c r="GEY4" s="2"/>
      <c r="GEZ4" s="2"/>
      <c r="GFA4" s="2"/>
      <c r="GFB4" s="2"/>
      <c r="GFC4" s="2"/>
      <c r="GFD4" s="2"/>
      <c r="GFE4" s="2"/>
      <c r="GFF4" s="2"/>
      <c r="GFG4" s="2"/>
      <c r="GFH4" s="2"/>
      <c r="GFI4" s="2"/>
      <c r="GFJ4" s="2"/>
      <c r="GFK4" s="2"/>
      <c r="GFL4" s="2"/>
      <c r="GFM4" s="2"/>
      <c r="GFN4" s="2"/>
      <c r="GFO4" s="2"/>
      <c r="GFP4" s="2"/>
      <c r="GFQ4" s="2"/>
      <c r="GFR4" s="2"/>
      <c r="GFS4" s="2"/>
      <c r="GFT4" s="2"/>
      <c r="GFU4" s="2"/>
      <c r="GFV4" s="2"/>
      <c r="GFW4" s="2"/>
      <c r="GFX4" s="2"/>
      <c r="GFY4" s="2"/>
      <c r="GFZ4" s="2"/>
      <c r="GGA4" s="2"/>
      <c r="GGB4" s="2"/>
      <c r="GGC4" s="2"/>
      <c r="GGD4" s="2"/>
      <c r="GGE4" s="2"/>
      <c r="GGF4" s="2"/>
      <c r="GGG4" s="2"/>
      <c r="GGH4" s="2"/>
      <c r="GGI4" s="2"/>
      <c r="GGJ4" s="2"/>
      <c r="GGK4" s="2"/>
      <c r="GGL4" s="2"/>
      <c r="GGM4" s="2"/>
      <c r="GGN4" s="2"/>
      <c r="GGO4" s="2"/>
      <c r="GGP4" s="2"/>
      <c r="GGQ4" s="2"/>
      <c r="GGR4" s="2"/>
      <c r="GGS4" s="2"/>
      <c r="GGT4" s="2"/>
      <c r="GGU4" s="2"/>
      <c r="GGV4" s="2"/>
      <c r="GGW4" s="2"/>
      <c r="GGX4" s="2"/>
      <c r="GGY4" s="2"/>
      <c r="GGZ4" s="2"/>
      <c r="GHA4" s="2"/>
      <c r="GHB4" s="2"/>
      <c r="GHC4" s="2"/>
      <c r="GHD4" s="2"/>
      <c r="GHE4" s="2"/>
      <c r="GHF4" s="2"/>
      <c r="GHG4" s="2"/>
      <c r="GHH4" s="2"/>
      <c r="GHI4" s="2"/>
      <c r="GHJ4" s="2"/>
      <c r="GHK4" s="2"/>
      <c r="GHL4" s="2"/>
      <c r="GHM4" s="2"/>
      <c r="GHN4" s="2"/>
      <c r="GHO4" s="2"/>
      <c r="GHP4" s="2"/>
      <c r="GHQ4" s="2"/>
      <c r="GHR4" s="2"/>
      <c r="GHS4" s="2"/>
      <c r="GHT4" s="2"/>
      <c r="GHU4" s="2"/>
      <c r="GHV4" s="2"/>
      <c r="GHW4" s="2"/>
      <c r="GHX4" s="2"/>
      <c r="GHY4" s="2"/>
      <c r="GHZ4" s="2"/>
      <c r="GIA4" s="2"/>
      <c r="GIB4" s="2"/>
      <c r="GIC4" s="2"/>
      <c r="GID4" s="2"/>
      <c r="GIE4" s="2"/>
      <c r="GIF4" s="2"/>
      <c r="GIG4" s="2"/>
      <c r="GIH4" s="2"/>
      <c r="GII4" s="2"/>
      <c r="GIJ4" s="2"/>
      <c r="GIK4" s="2"/>
      <c r="GIL4" s="2"/>
      <c r="GIM4" s="2"/>
      <c r="GIN4" s="2"/>
      <c r="GIO4" s="2"/>
      <c r="GIP4" s="2"/>
      <c r="GIQ4" s="2"/>
      <c r="GIR4" s="2"/>
      <c r="GIS4" s="2"/>
      <c r="GIT4" s="2"/>
      <c r="GIU4" s="2"/>
      <c r="GIV4" s="2"/>
      <c r="GIW4" s="2"/>
      <c r="GIX4" s="2"/>
      <c r="GIY4" s="2"/>
      <c r="GIZ4" s="2"/>
      <c r="GJA4" s="2"/>
      <c r="GJB4" s="2"/>
      <c r="GJC4" s="2"/>
      <c r="GJD4" s="2"/>
      <c r="GJE4" s="2"/>
      <c r="GJF4" s="2"/>
      <c r="GJG4" s="2"/>
      <c r="GJH4" s="2"/>
      <c r="GJI4" s="2"/>
      <c r="GJJ4" s="2"/>
      <c r="GJK4" s="2"/>
      <c r="GJL4" s="2"/>
      <c r="GJM4" s="2"/>
      <c r="GJN4" s="2"/>
      <c r="GJO4" s="2"/>
      <c r="GJP4" s="2"/>
      <c r="GJQ4" s="2"/>
      <c r="GJR4" s="2"/>
      <c r="GJS4" s="2"/>
      <c r="GJT4" s="2"/>
      <c r="GJU4" s="2"/>
      <c r="GJV4" s="2"/>
      <c r="GJW4" s="2"/>
      <c r="GJX4" s="2"/>
      <c r="GJY4" s="2"/>
      <c r="GJZ4" s="2"/>
      <c r="GKA4" s="2"/>
      <c r="GKB4" s="2"/>
      <c r="GKC4" s="2"/>
      <c r="GKD4" s="2"/>
      <c r="GKE4" s="2"/>
      <c r="GKF4" s="2"/>
      <c r="GKG4" s="2"/>
      <c r="GKH4" s="2"/>
      <c r="GKI4" s="2"/>
      <c r="GKJ4" s="2"/>
      <c r="GKK4" s="2"/>
      <c r="GKL4" s="2"/>
      <c r="GKM4" s="2"/>
      <c r="GKN4" s="2"/>
      <c r="GKO4" s="2"/>
      <c r="GKP4" s="2"/>
      <c r="GKQ4" s="2"/>
      <c r="GKR4" s="2"/>
      <c r="GKS4" s="2"/>
      <c r="GKT4" s="2"/>
      <c r="GKU4" s="2"/>
      <c r="GKV4" s="2"/>
      <c r="GKW4" s="2"/>
      <c r="GKX4" s="2"/>
      <c r="GKY4" s="2"/>
      <c r="GKZ4" s="2"/>
      <c r="GLA4" s="2"/>
      <c r="GLB4" s="2"/>
      <c r="GLC4" s="2"/>
      <c r="GLD4" s="2"/>
      <c r="GLE4" s="2"/>
      <c r="GLF4" s="2"/>
      <c r="GLG4" s="2"/>
      <c r="GLH4" s="2"/>
      <c r="GLI4" s="2"/>
      <c r="GLJ4" s="2"/>
      <c r="GLK4" s="2"/>
      <c r="GLL4" s="2"/>
      <c r="GLM4" s="2"/>
      <c r="GLN4" s="2"/>
      <c r="GLO4" s="2"/>
      <c r="GLP4" s="2"/>
      <c r="GLQ4" s="2"/>
      <c r="GLR4" s="2"/>
      <c r="GLS4" s="2"/>
      <c r="GLT4" s="2"/>
      <c r="GLU4" s="2"/>
      <c r="GLV4" s="2"/>
      <c r="GLW4" s="2"/>
      <c r="GLX4" s="2"/>
      <c r="GLY4" s="2"/>
      <c r="GLZ4" s="2"/>
      <c r="GMA4" s="2"/>
      <c r="GMB4" s="2"/>
      <c r="GMC4" s="2"/>
      <c r="GMD4" s="2"/>
      <c r="GME4" s="2"/>
      <c r="GMF4" s="2"/>
      <c r="GMG4" s="2"/>
      <c r="GMH4" s="2"/>
      <c r="GMI4" s="2"/>
      <c r="GMJ4" s="2"/>
      <c r="GMK4" s="2"/>
      <c r="GML4" s="2"/>
      <c r="GMM4" s="2"/>
      <c r="GMN4" s="2"/>
      <c r="GMO4" s="2"/>
      <c r="GMP4" s="2"/>
      <c r="GMQ4" s="2"/>
      <c r="GMR4" s="2"/>
      <c r="GMS4" s="2"/>
      <c r="GMT4" s="2"/>
      <c r="GMU4" s="2"/>
      <c r="GMV4" s="2"/>
      <c r="GMW4" s="2"/>
      <c r="GMX4" s="2"/>
      <c r="GMY4" s="2"/>
      <c r="GMZ4" s="2"/>
      <c r="GNA4" s="2"/>
      <c r="GNB4" s="2"/>
      <c r="GNC4" s="2"/>
      <c r="GND4" s="2"/>
      <c r="GNE4" s="2"/>
      <c r="GNF4" s="2"/>
      <c r="GNG4" s="2"/>
      <c r="GNH4" s="2"/>
      <c r="GNI4" s="2"/>
      <c r="GNJ4" s="2"/>
      <c r="GNK4" s="2"/>
      <c r="GNL4" s="2"/>
      <c r="GNM4" s="2"/>
      <c r="GNN4" s="2"/>
      <c r="GNO4" s="2"/>
      <c r="GNP4" s="2"/>
      <c r="GNQ4" s="2"/>
      <c r="GNR4" s="2"/>
      <c r="GNS4" s="2"/>
      <c r="GNT4" s="2"/>
      <c r="GNU4" s="2"/>
      <c r="GNV4" s="2"/>
      <c r="GNW4" s="2"/>
      <c r="GNX4" s="2"/>
      <c r="GNY4" s="2"/>
      <c r="GNZ4" s="2"/>
      <c r="GOA4" s="2"/>
      <c r="GOB4" s="2"/>
      <c r="GOC4" s="2"/>
      <c r="GOD4" s="2"/>
      <c r="GOE4" s="2"/>
      <c r="GOF4" s="2"/>
      <c r="GOG4" s="2"/>
      <c r="GOH4" s="2"/>
      <c r="GOI4" s="2"/>
      <c r="GOJ4" s="2"/>
      <c r="GOK4" s="2"/>
      <c r="GOL4" s="2"/>
      <c r="GOM4" s="2"/>
      <c r="GON4" s="2"/>
      <c r="GOO4" s="2"/>
      <c r="GOP4" s="2"/>
      <c r="GOQ4" s="2"/>
      <c r="GOR4" s="2"/>
      <c r="GOS4" s="2"/>
      <c r="GOT4" s="2"/>
      <c r="GOU4" s="2"/>
      <c r="GOV4" s="2"/>
      <c r="GOW4" s="2"/>
      <c r="GOX4" s="2"/>
      <c r="GOY4" s="2"/>
      <c r="GOZ4" s="2"/>
      <c r="GPA4" s="2"/>
      <c r="GPB4" s="2"/>
      <c r="GPC4" s="2"/>
      <c r="GPD4" s="2"/>
      <c r="GPE4" s="2"/>
      <c r="GPF4" s="2"/>
      <c r="GPG4" s="2"/>
      <c r="GPH4" s="2"/>
      <c r="GPI4" s="2"/>
      <c r="GPJ4" s="2"/>
      <c r="GPK4" s="2"/>
      <c r="GPL4" s="2"/>
      <c r="GPM4" s="2"/>
      <c r="GPN4" s="2"/>
      <c r="GPO4" s="2"/>
      <c r="GPP4" s="2"/>
      <c r="GPQ4" s="2"/>
      <c r="GPR4" s="2"/>
      <c r="GPS4" s="2"/>
      <c r="GPT4" s="2"/>
      <c r="GPU4" s="2"/>
      <c r="GPV4" s="2"/>
      <c r="GPW4" s="2"/>
      <c r="GPX4" s="2"/>
      <c r="GPY4" s="2"/>
      <c r="GPZ4" s="2"/>
      <c r="GQA4" s="2"/>
      <c r="GQB4" s="2"/>
      <c r="GQC4" s="2"/>
      <c r="GQD4" s="2"/>
      <c r="GQE4" s="2"/>
      <c r="GQF4" s="2"/>
      <c r="GQG4" s="2"/>
      <c r="GQH4" s="2"/>
      <c r="GQI4" s="2"/>
      <c r="GQJ4" s="2"/>
      <c r="GQK4" s="2"/>
      <c r="GQL4" s="2"/>
      <c r="GQM4" s="2"/>
      <c r="GQN4" s="2"/>
      <c r="GQO4" s="2"/>
      <c r="GQP4" s="2"/>
      <c r="GQQ4" s="2"/>
      <c r="GQR4" s="2"/>
      <c r="GQS4" s="2"/>
      <c r="GQT4" s="2"/>
      <c r="GQU4" s="2"/>
      <c r="GQV4" s="2"/>
      <c r="GQW4" s="2"/>
      <c r="GQX4" s="2"/>
      <c r="GQY4" s="2"/>
      <c r="GQZ4" s="2"/>
      <c r="GRA4" s="2"/>
      <c r="GRB4" s="2"/>
      <c r="GRC4" s="2"/>
      <c r="GRD4" s="2"/>
      <c r="GRE4" s="2"/>
      <c r="GRF4" s="2"/>
      <c r="GRG4" s="2"/>
      <c r="GRH4" s="2"/>
      <c r="GRI4" s="2"/>
      <c r="GRJ4" s="2"/>
      <c r="GRK4" s="2"/>
      <c r="GRL4" s="2"/>
      <c r="GRM4" s="2"/>
      <c r="GRN4" s="2"/>
      <c r="GRO4" s="2"/>
      <c r="GRP4" s="2"/>
      <c r="GRQ4" s="2"/>
      <c r="GRR4" s="2"/>
      <c r="GRS4" s="2"/>
      <c r="GRT4" s="2"/>
      <c r="GRU4" s="2"/>
      <c r="GRV4" s="2"/>
      <c r="GRW4" s="2"/>
      <c r="GRX4" s="2"/>
      <c r="GRY4" s="2"/>
      <c r="GRZ4" s="2"/>
      <c r="GSA4" s="2"/>
      <c r="GSB4" s="2"/>
      <c r="GSC4" s="2"/>
      <c r="GSD4" s="2"/>
      <c r="GSE4" s="2"/>
      <c r="GSF4" s="2"/>
      <c r="GSG4" s="2"/>
      <c r="GSH4" s="2"/>
      <c r="GSI4" s="2"/>
      <c r="GSJ4" s="2"/>
      <c r="GSK4" s="2"/>
      <c r="GSL4" s="2"/>
      <c r="GSM4" s="2"/>
      <c r="GSN4" s="2"/>
      <c r="GSO4" s="2"/>
      <c r="GSP4" s="2"/>
      <c r="GSQ4" s="2"/>
      <c r="GSR4" s="2"/>
      <c r="GSS4" s="2"/>
      <c r="GST4" s="2"/>
      <c r="GSU4" s="2"/>
      <c r="GSV4" s="2"/>
      <c r="GSW4" s="2"/>
      <c r="GSX4" s="2"/>
      <c r="GSY4" s="2"/>
      <c r="GSZ4" s="2"/>
      <c r="GTA4" s="2"/>
      <c r="GTB4" s="2"/>
      <c r="GTC4" s="2"/>
      <c r="GTD4" s="2"/>
      <c r="GTE4" s="2"/>
      <c r="GTF4" s="2"/>
      <c r="GTG4" s="2"/>
      <c r="GTH4" s="2"/>
      <c r="GTI4" s="2"/>
      <c r="GTJ4" s="2"/>
      <c r="GTK4" s="2"/>
      <c r="GTL4" s="2"/>
      <c r="GTM4" s="2"/>
      <c r="GTN4" s="2"/>
      <c r="GTO4" s="2"/>
      <c r="GTP4" s="2"/>
      <c r="GTQ4" s="2"/>
      <c r="GTR4" s="2"/>
      <c r="GTS4" s="2"/>
      <c r="GTT4" s="2"/>
      <c r="GTU4" s="2"/>
      <c r="GTV4" s="2"/>
      <c r="GTW4" s="2"/>
      <c r="GTX4" s="2"/>
      <c r="GTY4" s="2"/>
      <c r="GTZ4" s="2"/>
      <c r="GUA4" s="2"/>
      <c r="GUB4" s="2"/>
      <c r="GUC4" s="2"/>
      <c r="GUD4" s="2"/>
      <c r="GUE4" s="2"/>
      <c r="GUF4" s="2"/>
      <c r="GUG4" s="2"/>
      <c r="GUH4" s="2"/>
      <c r="GUI4" s="2"/>
      <c r="GUJ4" s="2"/>
      <c r="GUK4" s="2"/>
      <c r="GUL4" s="2"/>
      <c r="GUM4" s="2"/>
      <c r="GUN4" s="2"/>
      <c r="GUO4" s="2"/>
      <c r="GUP4" s="2"/>
      <c r="GUQ4" s="2"/>
      <c r="GUR4" s="2"/>
      <c r="GUS4" s="2"/>
      <c r="GUT4" s="2"/>
      <c r="GUU4" s="2"/>
      <c r="GUV4" s="2"/>
      <c r="GUW4" s="2"/>
      <c r="GUX4" s="2"/>
      <c r="GUY4" s="2"/>
      <c r="GUZ4" s="2"/>
      <c r="GVA4" s="2"/>
      <c r="GVB4" s="2"/>
      <c r="GVC4" s="2"/>
      <c r="GVD4" s="2"/>
      <c r="GVE4" s="2"/>
      <c r="GVF4" s="2"/>
      <c r="GVG4" s="2"/>
      <c r="GVH4" s="2"/>
      <c r="GVI4" s="2"/>
      <c r="GVJ4" s="2"/>
      <c r="GVK4" s="2"/>
      <c r="GVL4" s="2"/>
      <c r="GVM4" s="2"/>
      <c r="GVN4" s="2"/>
      <c r="GVO4" s="2"/>
      <c r="GVP4" s="2"/>
      <c r="GVQ4" s="2"/>
      <c r="GVR4" s="2"/>
      <c r="GVS4" s="2"/>
      <c r="GVT4" s="2"/>
      <c r="GVU4" s="2"/>
      <c r="GVV4" s="2"/>
      <c r="GVW4" s="2"/>
      <c r="GVX4" s="2"/>
      <c r="GVY4" s="2"/>
      <c r="GVZ4" s="2"/>
      <c r="GWA4" s="2"/>
      <c r="GWB4" s="2"/>
      <c r="GWC4" s="2"/>
      <c r="GWD4" s="2"/>
      <c r="GWE4" s="2"/>
      <c r="GWF4" s="2"/>
      <c r="GWG4" s="2"/>
      <c r="GWH4" s="2"/>
      <c r="GWI4" s="2"/>
      <c r="GWJ4" s="2"/>
      <c r="GWK4" s="2"/>
      <c r="GWL4" s="2"/>
      <c r="GWM4" s="2"/>
      <c r="GWN4" s="2"/>
      <c r="GWO4" s="2"/>
      <c r="GWP4" s="2"/>
      <c r="GWQ4" s="2"/>
      <c r="GWR4" s="2"/>
      <c r="GWS4" s="2"/>
      <c r="GWT4" s="2"/>
      <c r="GWU4" s="2"/>
      <c r="GWV4" s="2"/>
      <c r="GWW4" s="2"/>
      <c r="GWX4" s="2"/>
      <c r="GWY4" s="2"/>
      <c r="GWZ4" s="2"/>
      <c r="GXA4" s="2"/>
      <c r="GXB4" s="2"/>
      <c r="GXC4" s="2"/>
      <c r="GXD4" s="2"/>
      <c r="GXE4" s="2"/>
      <c r="GXF4" s="2"/>
      <c r="GXG4" s="2"/>
      <c r="GXH4" s="2"/>
      <c r="GXI4" s="2"/>
      <c r="GXJ4" s="2"/>
      <c r="GXK4" s="2"/>
      <c r="GXL4" s="2"/>
      <c r="GXM4" s="2"/>
      <c r="GXN4" s="2"/>
      <c r="GXO4" s="2"/>
      <c r="GXP4" s="2"/>
      <c r="GXQ4" s="2"/>
      <c r="GXR4" s="2"/>
      <c r="GXS4" s="2"/>
      <c r="GXT4" s="2"/>
      <c r="GXU4" s="2"/>
      <c r="GXV4" s="2"/>
      <c r="GXW4" s="2"/>
      <c r="GXX4" s="2"/>
      <c r="GXY4" s="2"/>
      <c r="GXZ4" s="2"/>
      <c r="GYA4" s="2"/>
      <c r="GYB4" s="2"/>
      <c r="GYC4" s="2"/>
      <c r="GYD4" s="2"/>
      <c r="GYE4" s="2"/>
      <c r="GYF4" s="2"/>
      <c r="GYG4" s="2"/>
      <c r="GYH4" s="2"/>
      <c r="GYI4" s="2"/>
      <c r="GYJ4" s="2"/>
      <c r="GYK4" s="2"/>
      <c r="GYL4" s="2"/>
      <c r="GYM4" s="2"/>
      <c r="GYN4" s="2"/>
      <c r="GYO4" s="2"/>
      <c r="GYP4" s="2"/>
      <c r="GYQ4" s="2"/>
      <c r="GYR4" s="2"/>
      <c r="GYS4" s="2"/>
      <c r="GYT4" s="2"/>
      <c r="GYU4" s="2"/>
      <c r="GYV4" s="2"/>
      <c r="GYW4" s="2"/>
      <c r="GYX4" s="2"/>
      <c r="GYY4" s="2"/>
      <c r="GYZ4" s="2"/>
      <c r="GZA4" s="2"/>
      <c r="GZB4" s="2"/>
      <c r="GZC4" s="2"/>
      <c r="GZD4" s="2"/>
      <c r="GZE4" s="2"/>
      <c r="GZF4" s="2"/>
      <c r="GZG4" s="2"/>
      <c r="GZH4" s="2"/>
      <c r="GZI4" s="2"/>
      <c r="GZJ4" s="2"/>
      <c r="GZK4" s="2"/>
      <c r="GZL4" s="2"/>
      <c r="GZM4" s="2"/>
      <c r="GZN4" s="2"/>
      <c r="GZO4" s="2"/>
      <c r="GZP4" s="2"/>
      <c r="GZQ4" s="2"/>
      <c r="GZR4" s="2"/>
      <c r="GZS4" s="2"/>
      <c r="GZT4" s="2"/>
      <c r="GZU4" s="2"/>
      <c r="GZV4" s="2"/>
      <c r="GZW4" s="2"/>
      <c r="GZX4" s="2"/>
      <c r="GZY4" s="2"/>
      <c r="GZZ4" s="2"/>
      <c r="HAA4" s="2"/>
      <c r="HAB4" s="2"/>
      <c r="HAC4" s="2"/>
      <c r="HAD4" s="2"/>
      <c r="HAE4" s="2"/>
      <c r="HAF4" s="2"/>
      <c r="HAG4" s="2"/>
      <c r="HAH4" s="2"/>
      <c r="HAI4" s="2"/>
      <c r="HAJ4" s="2"/>
      <c r="HAK4" s="2"/>
      <c r="HAL4" s="2"/>
      <c r="HAM4" s="2"/>
      <c r="HAN4" s="2"/>
      <c r="HAO4" s="2"/>
      <c r="HAP4" s="2"/>
      <c r="HAQ4" s="2"/>
      <c r="HAR4" s="2"/>
      <c r="HAS4" s="2"/>
      <c r="HAT4" s="2"/>
      <c r="HAU4" s="2"/>
      <c r="HAV4" s="2"/>
      <c r="HAW4" s="2"/>
      <c r="HAX4" s="2"/>
      <c r="HAY4" s="2"/>
      <c r="HAZ4" s="2"/>
      <c r="HBA4" s="2"/>
      <c r="HBB4" s="2"/>
      <c r="HBC4" s="2"/>
      <c r="HBD4" s="2"/>
      <c r="HBE4" s="2"/>
      <c r="HBF4" s="2"/>
      <c r="HBG4" s="2"/>
      <c r="HBH4" s="2"/>
      <c r="HBI4" s="2"/>
      <c r="HBJ4" s="2"/>
      <c r="HBK4" s="2"/>
      <c r="HBL4" s="2"/>
      <c r="HBM4" s="2"/>
      <c r="HBN4" s="2"/>
      <c r="HBO4" s="2"/>
      <c r="HBP4" s="2"/>
      <c r="HBQ4" s="2"/>
      <c r="HBR4" s="2"/>
      <c r="HBS4" s="2"/>
      <c r="HBT4" s="2"/>
      <c r="HBU4" s="2"/>
      <c r="HBV4" s="2"/>
      <c r="HBW4" s="2"/>
      <c r="HBX4" s="2"/>
      <c r="HBY4" s="2"/>
      <c r="HBZ4" s="2"/>
      <c r="HCA4" s="2"/>
      <c r="HCB4" s="2"/>
      <c r="HCC4" s="2"/>
      <c r="HCD4" s="2"/>
      <c r="HCE4" s="2"/>
      <c r="HCF4" s="2"/>
      <c r="HCG4" s="2"/>
      <c r="HCH4" s="2"/>
      <c r="HCI4" s="2"/>
      <c r="HCJ4" s="2"/>
      <c r="HCK4" s="2"/>
      <c r="HCL4" s="2"/>
      <c r="HCM4" s="2"/>
      <c r="HCN4" s="2"/>
      <c r="HCO4" s="2"/>
      <c r="HCP4" s="2"/>
      <c r="HCQ4" s="2"/>
      <c r="HCR4" s="2"/>
      <c r="HCS4" s="2"/>
      <c r="HCT4" s="2"/>
      <c r="HCU4" s="2"/>
      <c r="HCV4" s="2"/>
      <c r="HCW4" s="2"/>
      <c r="HCX4" s="2"/>
      <c r="HCY4" s="2"/>
      <c r="HCZ4" s="2"/>
      <c r="HDA4" s="2"/>
      <c r="HDB4" s="2"/>
      <c r="HDC4" s="2"/>
      <c r="HDD4" s="2"/>
      <c r="HDE4" s="2"/>
      <c r="HDF4" s="2"/>
      <c r="HDG4" s="2"/>
      <c r="HDH4" s="2"/>
      <c r="HDI4" s="2"/>
      <c r="HDJ4" s="2"/>
      <c r="HDK4" s="2"/>
      <c r="HDL4" s="2"/>
      <c r="HDM4" s="2"/>
      <c r="HDN4" s="2"/>
      <c r="HDO4" s="2"/>
      <c r="HDP4" s="2"/>
      <c r="HDQ4" s="2"/>
      <c r="HDR4" s="2"/>
      <c r="HDS4" s="2"/>
      <c r="HDT4" s="2"/>
      <c r="HDU4" s="2"/>
      <c r="HDV4" s="2"/>
      <c r="HDW4" s="2"/>
      <c r="HDX4" s="2"/>
      <c r="HDY4" s="2"/>
      <c r="HDZ4" s="2"/>
      <c r="HEA4" s="2"/>
      <c r="HEB4" s="2"/>
      <c r="HEC4" s="2"/>
      <c r="HED4" s="2"/>
      <c r="HEE4" s="2"/>
      <c r="HEF4" s="2"/>
      <c r="HEG4" s="2"/>
      <c r="HEH4" s="2"/>
      <c r="HEI4" s="2"/>
      <c r="HEJ4" s="2"/>
      <c r="HEK4" s="2"/>
      <c r="HEL4" s="2"/>
      <c r="HEM4" s="2"/>
      <c r="HEN4" s="2"/>
      <c r="HEO4" s="2"/>
      <c r="HEP4" s="2"/>
      <c r="HEQ4" s="2"/>
      <c r="HER4" s="2"/>
      <c r="HES4" s="2"/>
      <c r="HET4" s="2"/>
      <c r="HEU4" s="2"/>
      <c r="HEV4" s="2"/>
      <c r="HEW4" s="2"/>
      <c r="HEX4" s="2"/>
      <c r="HEY4" s="2"/>
      <c r="HEZ4" s="2"/>
      <c r="HFA4" s="2"/>
      <c r="HFB4" s="2"/>
      <c r="HFC4" s="2"/>
      <c r="HFD4" s="2"/>
      <c r="HFE4" s="2"/>
      <c r="HFF4" s="2"/>
      <c r="HFG4" s="2"/>
      <c r="HFH4" s="2"/>
      <c r="HFI4" s="2"/>
      <c r="HFJ4" s="2"/>
      <c r="HFK4" s="2"/>
      <c r="HFL4" s="2"/>
      <c r="HFM4" s="2"/>
      <c r="HFN4" s="2"/>
      <c r="HFO4" s="2"/>
      <c r="HFP4" s="2"/>
      <c r="HFQ4" s="2"/>
      <c r="HFR4" s="2"/>
      <c r="HFS4" s="2"/>
      <c r="HFT4" s="2"/>
      <c r="HFU4" s="2"/>
      <c r="HFV4" s="2"/>
      <c r="HFW4" s="2"/>
      <c r="HFX4" s="2"/>
      <c r="HFY4" s="2"/>
      <c r="HFZ4" s="2"/>
      <c r="HGA4" s="2"/>
      <c r="HGB4" s="2"/>
      <c r="HGC4" s="2"/>
      <c r="HGD4" s="2"/>
      <c r="HGE4" s="2"/>
      <c r="HGF4" s="2"/>
      <c r="HGG4" s="2"/>
      <c r="HGH4" s="2"/>
      <c r="HGI4" s="2"/>
      <c r="HGJ4" s="2"/>
      <c r="HGK4" s="2"/>
      <c r="HGL4" s="2"/>
      <c r="HGM4" s="2"/>
      <c r="HGN4" s="2"/>
      <c r="HGO4" s="2"/>
      <c r="HGP4" s="2"/>
      <c r="HGQ4" s="2"/>
      <c r="HGR4" s="2"/>
      <c r="HGS4" s="2"/>
      <c r="HGT4" s="2"/>
      <c r="HGU4" s="2"/>
      <c r="HGV4" s="2"/>
      <c r="HGW4" s="2"/>
      <c r="HGX4" s="2"/>
      <c r="HGY4" s="2"/>
      <c r="HGZ4" s="2"/>
      <c r="HHA4" s="2"/>
      <c r="HHB4" s="2"/>
      <c r="HHC4" s="2"/>
      <c r="HHD4" s="2"/>
      <c r="HHE4" s="2"/>
      <c r="HHF4" s="2"/>
      <c r="HHG4" s="2"/>
      <c r="HHH4" s="2"/>
      <c r="HHI4" s="2"/>
      <c r="HHJ4" s="2"/>
      <c r="HHK4" s="2"/>
      <c r="HHL4" s="2"/>
      <c r="HHM4" s="2"/>
      <c r="HHN4" s="2"/>
      <c r="HHO4" s="2"/>
      <c r="HHP4" s="2"/>
      <c r="HHQ4" s="2"/>
      <c r="HHR4" s="2"/>
      <c r="HHS4" s="2"/>
      <c r="HHT4" s="2"/>
      <c r="HHU4" s="2"/>
      <c r="HHV4" s="2"/>
      <c r="HHW4" s="2"/>
      <c r="HHX4" s="2"/>
      <c r="HHY4" s="2"/>
      <c r="HHZ4" s="2"/>
      <c r="HIA4" s="2"/>
      <c r="HIB4" s="2"/>
      <c r="HIC4" s="2"/>
      <c r="HID4" s="2"/>
      <c r="HIE4" s="2"/>
      <c r="HIF4" s="2"/>
      <c r="HIG4" s="2"/>
      <c r="HIH4" s="2"/>
      <c r="HII4" s="2"/>
      <c r="HIJ4" s="2"/>
      <c r="HIK4" s="2"/>
      <c r="HIL4" s="2"/>
      <c r="HIM4" s="2"/>
      <c r="HIN4" s="2"/>
      <c r="HIO4" s="2"/>
      <c r="HIP4" s="2"/>
      <c r="HIQ4" s="2"/>
      <c r="HIR4" s="2"/>
      <c r="HIS4" s="2"/>
      <c r="HIT4" s="2"/>
      <c r="HIU4" s="2"/>
      <c r="HIV4" s="2"/>
      <c r="HIW4" s="2"/>
      <c r="HIX4" s="2"/>
      <c r="HIY4" s="2"/>
      <c r="HIZ4" s="2"/>
      <c r="HJA4" s="2"/>
      <c r="HJB4" s="2"/>
      <c r="HJC4" s="2"/>
      <c r="HJD4" s="2"/>
      <c r="HJE4" s="2"/>
      <c r="HJF4" s="2"/>
      <c r="HJG4" s="2"/>
      <c r="HJH4" s="2"/>
      <c r="HJI4" s="2"/>
      <c r="HJJ4" s="2"/>
      <c r="HJK4" s="2"/>
      <c r="HJL4" s="2"/>
      <c r="HJM4" s="2"/>
      <c r="HJN4" s="2"/>
      <c r="HJO4" s="2"/>
      <c r="HJP4" s="2"/>
      <c r="HJQ4" s="2"/>
      <c r="HJR4" s="2"/>
      <c r="HJS4" s="2"/>
      <c r="HJT4" s="2"/>
      <c r="HJU4" s="2"/>
      <c r="HJV4" s="2"/>
      <c r="HJW4" s="2"/>
      <c r="HJX4" s="2"/>
      <c r="HJY4" s="2"/>
      <c r="HJZ4" s="2"/>
      <c r="HKA4" s="2"/>
      <c r="HKB4" s="2"/>
      <c r="HKC4" s="2"/>
      <c r="HKD4" s="2"/>
      <c r="HKE4" s="2"/>
      <c r="HKF4" s="2"/>
      <c r="HKG4" s="2"/>
      <c r="HKH4" s="2"/>
      <c r="HKI4" s="2"/>
      <c r="HKJ4" s="2"/>
      <c r="HKK4" s="2"/>
      <c r="HKL4" s="2"/>
      <c r="HKM4" s="2"/>
      <c r="HKN4" s="2"/>
      <c r="HKO4" s="2"/>
      <c r="HKP4" s="2"/>
      <c r="HKQ4" s="2"/>
      <c r="HKR4" s="2"/>
      <c r="HKS4" s="2"/>
      <c r="HKT4" s="2"/>
      <c r="HKU4" s="2"/>
      <c r="HKV4" s="2"/>
      <c r="HKW4" s="2"/>
      <c r="HKX4" s="2"/>
      <c r="HKY4" s="2"/>
      <c r="HKZ4" s="2"/>
      <c r="HLA4" s="2"/>
      <c r="HLB4" s="2"/>
      <c r="HLC4" s="2"/>
      <c r="HLD4" s="2"/>
      <c r="HLE4" s="2"/>
      <c r="HLF4" s="2"/>
      <c r="HLG4" s="2"/>
      <c r="HLH4" s="2"/>
      <c r="HLI4" s="2"/>
      <c r="HLJ4" s="2"/>
      <c r="HLK4" s="2"/>
      <c r="HLL4" s="2"/>
      <c r="HLM4" s="2"/>
      <c r="HLN4" s="2"/>
      <c r="HLO4" s="2"/>
      <c r="HLP4" s="2"/>
      <c r="HLQ4" s="2"/>
      <c r="HLR4" s="2"/>
      <c r="HLS4" s="2"/>
      <c r="HLT4" s="2"/>
      <c r="HLU4" s="2"/>
      <c r="HLV4" s="2"/>
      <c r="HLW4" s="2"/>
      <c r="HLX4" s="2"/>
      <c r="HLY4" s="2"/>
      <c r="HLZ4" s="2"/>
      <c r="HMA4" s="2"/>
      <c r="HMB4" s="2"/>
      <c r="HMC4" s="2"/>
      <c r="HMD4" s="2"/>
      <c r="HME4" s="2"/>
      <c r="HMF4" s="2"/>
      <c r="HMG4" s="2"/>
      <c r="HMH4" s="2"/>
      <c r="HMI4" s="2"/>
      <c r="HMJ4" s="2"/>
      <c r="HMK4" s="2"/>
      <c r="HML4" s="2"/>
      <c r="HMM4" s="2"/>
      <c r="HMN4" s="2"/>
      <c r="HMO4" s="2"/>
      <c r="HMP4" s="2"/>
      <c r="HMQ4" s="2"/>
      <c r="HMR4" s="2"/>
      <c r="HMS4" s="2"/>
      <c r="HMT4" s="2"/>
      <c r="HMU4" s="2"/>
      <c r="HMV4" s="2"/>
      <c r="HMW4" s="2"/>
      <c r="HMX4" s="2"/>
      <c r="HMY4" s="2"/>
      <c r="HMZ4" s="2"/>
      <c r="HNA4" s="2"/>
      <c r="HNB4" s="2"/>
      <c r="HNC4" s="2"/>
      <c r="HND4" s="2"/>
      <c r="HNE4" s="2"/>
      <c r="HNF4" s="2"/>
      <c r="HNG4" s="2"/>
      <c r="HNH4" s="2"/>
      <c r="HNI4" s="2"/>
      <c r="HNJ4" s="2"/>
      <c r="HNK4" s="2"/>
      <c r="HNL4" s="2"/>
      <c r="HNM4" s="2"/>
      <c r="HNN4" s="2"/>
      <c r="HNO4" s="2"/>
      <c r="HNP4" s="2"/>
      <c r="HNQ4" s="2"/>
      <c r="HNR4" s="2"/>
      <c r="HNS4" s="2"/>
      <c r="HNT4" s="2"/>
      <c r="HNU4" s="2"/>
      <c r="HNV4" s="2"/>
      <c r="HNW4" s="2"/>
      <c r="HNX4" s="2"/>
      <c r="HNY4" s="2"/>
      <c r="HNZ4" s="2"/>
      <c r="HOA4" s="2"/>
      <c r="HOB4" s="2"/>
      <c r="HOC4" s="2"/>
      <c r="HOD4" s="2"/>
      <c r="HOE4" s="2"/>
      <c r="HOF4" s="2"/>
      <c r="HOG4" s="2"/>
      <c r="HOH4" s="2"/>
      <c r="HOI4" s="2"/>
      <c r="HOJ4" s="2"/>
      <c r="HOK4" s="2"/>
      <c r="HOL4" s="2"/>
      <c r="HOM4" s="2"/>
      <c r="HON4" s="2"/>
      <c r="HOO4" s="2"/>
      <c r="HOP4" s="2"/>
      <c r="HOQ4" s="2"/>
      <c r="HOR4" s="2"/>
      <c r="HOS4" s="2"/>
      <c r="HOT4" s="2"/>
      <c r="HOU4" s="2"/>
      <c r="HOV4" s="2"/>
      <c r="HOW4" s="2"/>
      <c r="HOX4" s="2"/>
      <c r="HOY4" s="2"/>
      <c r="HOZ4" s="2"/>
      <c r="HPA4" s="2"/>
      <c r="HPB4" s="2"/>
      <c r="HPC4" s="2"/>
      <c r="HPD4" s="2"/>
      <c r="HPE4" s="2"/>
      <c r="HPF4" s="2"/>
      <c r="HPG4" s="2"/>
      <c r="HPH4" s="2"/>
      <c r="HPI4" s="2"/>
      <c r="HPJ4" s="2"/>
      <c r="HPK4" s="2"/>
      <c r="HPL4" s="2"/>
      <c r="HPM4" s="2"/>
      <c r="HPN4" s="2"/>
      <c r="HPO4" s="2"/>
      <c r="HPP4" s="2"/>
      <c r="HPQ4" s="2"/>
      <c r="HPR4" s="2"/>
      <c r="HPS4" s="2"/>
      <c r="HPT4" s="2"/>
      <c r="HPU4" s="2"/>
      <c r="HPV4" s="2"/>
      <c r="HPW4" s="2"/>
      <c r="HPX4" s="2"/>
      <c r="HPY4" s="2"/>
      <c r="HPZ4" s="2"/>
      <c r="HQA4" s="2"/>
      <c r="HQB4" s="2"/>
      <c r="HQC4" s="2"/>
      <c r="HQD4" s="2"/>
      <c r="HQE4" s="2"/>
      <c r="HQF4" s="2"/>
      <c r="HQG4" s="2"/>
      <c r="HQH4" s="2"/>
      <c r="HQI4" s="2"/>
      <c r="HQJ4" s="2"/>
      <c r="HQK4" s="2"/>
      <c r="HQL4" s="2"/>
      <c r="HQM4" s="2"/>
      <c r="HQN4" s="2"/>
      <c r="HQO4" s="2"/>
      <c r="HQP4" s="2"/>
      <c r="HQQ4" s="2"/>
      <c r="HQR4" s="2"/>
      <c r="HQS4" s="2"/>
      <c r="HQT4" s="2"/>
      <c r="HQU4" s="2"/>
      <c r="HQV4" s="2"/>
      <c r="HQW4" s="2"/>
      <c r="HQX4" s="2"/>
      <c r="HQY4" s="2"/>
      <c r="HQZ4" s="2"/>
      <c r="HRA4" s="2"/>
      <c r="HRB4" s="2"/>
      <c r="HRC4" s="2"/>
      <c r="HRD4" s="2"/>
      <c r="HRE4" s="2"/>
      <c r="HRF4" s="2"/>
      <c r="HRG4" s="2"/>
      <c r="HRH4" s="2"/>
      <c r="HRI4" s="2"/>
      <c r="HRJ4" s="2"/>
      <c r="HRK4" s="2"/>
      <c r="HRL4" s="2"/>
      <c r="HRM4" s="2"/>
      <c r="HRN4" s="2"/>
      <c r="HRO4" s="2"/>
      <c r="HRP4" s="2"/>
      <c r="HRQ4" s="2"/>
      <c r="HRR4" s="2"/>
      <c r="HRS4" s="2"/>
      <c r="HRT4" s="2"/>
      <c r="HRU4" s="2"/>
      <c r="HRV4" s="2"/>
      <c r="HRW4" s="2"/>
      <c r="HRX4" s="2"/>
      <c r="HRY4" s="2"/>
      <c r="HRZ4" s="2"/>
      <c r="HSA4" s="2"/>
      <c r="HSB4" s="2"/>
      <c r="HSC4" s="2"/>
      <c r="HSD4" s="2"/>
      <c r="HSE4" s="2"/>
      <c r="HSF4" s="2"/>
      <c r="HSG4" s="2"/>
      <c r="HSH4" s="2"/>
      <c r="HSI4" s="2"/>
      <c r="HSJ4" s="2"/>
      <c r="HSK4" s="2"/>
      <c r="HSL4" s="2"/>
      <c r="HSM4" s="2"/>
      <c r="HSN4" s="2"/>
      <c r="HSO4" s="2"/>
      <c r="HSP4" s="2"/>
      <c r="HSQ4" s="2"/>
      <c r="HSR4" s="2"/>
      <c r="HSS4" s="2"/>
      <c r="HST4" s="2"/>
      <c r="HSU4" s="2"/>
      <c r="HSV4" s="2"/>
      <c r="HSW4" s="2"/>
      <c r="HSX4" s="2"/>
      <c r="HSY4" s="2"/>
      <c r="HSZ4" s="2"/>
      <c r="HTA4" s="2"/>
      <c r="HTB4" s="2"/>
      <c r="HTC4" s="2"/>
      <c r="HTD4" s="2"/>
      <c r="HTE4" s="2"/>
      <c r="HTF4" s="2"/>
      <c r="HTG4" s="2"/>
      <c r="HTH4" s="2"/>
      <c r="HTI4" s="2"/>
      <c r="HTJ4" s="2"/>
      <c r="HTK4" s="2"/>
      <c r="HTL4" s="2"/>
      <c r="HTM4" s="2"/>
      <c r="HTN4" s="2"/>
      <c r="HTO4" s="2"/>
      <c r="HTP4" s="2"/>
      <c r="HTQ4" s="2"/>
      <c r="HTR4" s="2"/>
      <c r="HTS4" s="2"/>
      <c r="HTT4" s="2"/>
      <c r="HTU4" s="2"/>
      <c r="HTV4" s="2"/>
      <c r="HTW4" s="2"/>
      <c r="HTX4" s="2"/>
      <c r="HTY4" s="2"/>
      <c r="HTZ4" s="2"/>
      <c r="HUA4" s="2"/>
      <c r="HUB4" s="2"/>
      <c r="HUC4" s="2"/>
      <c r="HUD4" s="2"/>
      <c r="HUE4" s="2"/>
      <c r="HUF4" s="2"/>
      <c r="HUG4" s="2"/>
      <c r="HUH4" s="2"/>
      <c r="HUI4" s="2"/>
      <c r="HUJ4" s="2"/>
      <c r="HUK4" s="2"/>
      <c r="HUL4" s="2"/>
      <c r="HUM4" s="2"/>
      <c r="HUN4" s="2"/>
      <c r="HUO4" s="2"/>
      <c r="HUP4" s="2"/>
      <c r="HUQ4" s="2"/>
      <c r="HUR4" s="2"/>
      <c r="HUS4" s="2"/>
      <c r="HUT4" s="2"/>
      <c r="HUU4" s="2"/>
      <c r="HUV4" s="2"/>
      <c r="HUW4" s="2"/>
      <c r="HUX4" s="2"/>
      <c r="HUY4" s="2"/>
      <c r="HUZ4" s="2"/>
      <c r="HVA4" s="2"/>
      <c r="HVB4" s="2"/>
      <c r="HVC4" s="2"/>
      <c r="HVD4" s="2"/>
      <c r="HVE4" s="2"/>
      <c r="HVF4" s="2"/>
      <c r="HVG4" s="2"/>
      <c r="HVH4" s="2"/>
      <c r="HVI4" s="2"/>
      <c r="HVJ4" s="2"/>
      <c r="HVK4" s="2"/>
      <c r="HVL4" s="2"/>
      <c r="HVM4" s="2"/>
      <c r="HVN4" s="2"/>
      <c r="HVO4" s="2"/>
      <c r="HVP4" s="2"/>
      <c r="HVQ4" s="2"/>
      <c r="HVR4" s="2"/>
      <c r="HVS4" s="2"/>
      <c r="HVT4" s="2"/>
      <c r="HVU4" s="2"/>
      <c r="HVV4" s="2"/>
      <c r="HVW4" s="2"/>
      <c r="HVX4" s="2"/>
      <c r="HVY4" s="2"/>
      <c r="HVZ4" s="2"/>
      <c r="HWA4" s="2"/>
      <c r="HWB4" s="2"/>
      <c r="HWC4" s="2"/>
      <c r="HWD4" s="2"/>
      <c r="HWE4" s="2"/>
      <c r="HWF4" s="2"/>
      <c r="HWG4" s="2"/>
      <c r="HWH4" s="2"/>
      <c r="HWI4" s="2"/>
      <c r="HWJ4" s="2"/>
      <c r="HWK4" s="2"/>
      <c r="HWL4" s="2"/>
      <c r="HWM4" s="2"/>
      <c r="HWN4" s="2"/>
      <c r="HWO4" s="2"/>
      <c r="HWP4" s="2"/>
      <c r="HWQ4" s="2"/>
      <c r="HWR4" s="2"/>
      <c r="HWS4" s="2"/>
      <c r="HWT4" s="2"/>
      <c r="HWU4" s="2"/>
      <c r="HWV4" s="2"/>
      <c r="HWW4" s="2"/>
      <c r="HWX4" s="2"/>
      <c r="HWY4" s="2"/>
      <c r="HWZ4" s="2"/>
      <c r="HXA4" s="2"/>
      <c r="HXB4" s="2"/>
      <c r="HXC4" s="2"/>
      <c r="HXD4" s="2"/>
      <c r="HXE4" s="2"/>
      <c r="HXF4" s="2"/>
      <c r="HXG4" s="2"/>
      <c r="HXH4" s="2"/>
      <c r="HXI4" s="2"/>
      <c r="HXJ4" s="2"/>
      <c r="HXK4" s="2"/>
      <c r="HXL4" s="2"/>
      <c r="HXM4" s="2"/>
      <c r="HXN4" s="2"/>
      <c r="HXO4" s="2"/>
      <c r="HXP4" s="2"/>
      <c r="HXQ4" s="2"/>
      <c r="HXR4" s="2"/>
      <c r="HXS4" s="2"/>
      <c r="HXT4" s="2"/>
      <c r="HXU4" s="2"/>
      <c r="HXV4" s="2"/>
      <c r="HXW4" s="2"/>
      <c r="HXX4" s="2"/>
      <c r="HXY4" s="2"/>
      <c r="HXZ4" s="2"/>
      <c r="HYA4" s="2"/>
      <c r="HYB4" s="2"/>
      <c r="HYC4" s="2"/>
      <c r="HYD4" s="2"/>
      <c r="HYE4" s="2"/>
      <c r="HYF4" s="2"/>
      <c r="HYG4" s="2"/>
      <c r="HYH4" s="2"/>
      <c r="HYI4" s="2"/>
      <c r="HYJ4" s="2"/>
      <c r="HYK4" s="2"/>
      <c r="HYL4" s="2"/>
      <c r="HYM4" s="2"/>
      <c r="HYN4" s="2"/>
      <c r="HYO4" s="2"/>
      <c r="HYP4" s="2"/>
      <c r="HYQ4" s="2"/>
      <c r="HYR4" s="2"/>
      <c r="HYS4" s="2"/>
      <c r="HYT4" s="2"/>
      <c r="HYU4" s="2"/>
      <c r="HYV4" s="2"/>
      <c r="HYW4" s="2"/>
      <c r="HYX4" s="2"/>
      <c r="HYY4" s="2"/>
      <c r="HYZ4" s="2"/>
      <c r="HZA4" s="2"/>
      <c r="HZB4" s="2"/>
      <c r="HZC4" s="2"/>
      <c r="HZD4" s="2"/>
      <c r="HZE4" s="2"/>
      <c r="HZF4" s="2"/>
      <c r="HZG4" s="2"/>
      <c r="HZH4" s="2"/>
      <c r="HZI4" s="2"/>
      <c r="HZJ4" s="2"/>
      <c r="HZK4" s="2"/>
      <c r="HZL4" s="2"/>
      <c r="HZM4" s="2"/>
      <c r="HZN4" s="2"/>
      <c r="HZO4" s="2"/>
      <c r="HZP4" s="2"/>
      <c r="HZQ4" s="2"/>
      <c r="HZR4" s="2"/>
      <c r="HZS4" s="2"/>
      <c r="HZT4" s="2"/>
      <c r="HZU4" s="2"/>
      <c r="HZV4" s="2"/>
      <c r="HZW4" s="2"/>
      <c r="HZX4" s="2"/>
      <c r="HZY4" s="2"/>
      <c r="HZZ4" s="2"/>
      <c r="IAA4" s="2"/>
      <c r="IAB4" s="2"/>
      <c r="IAC4" s="2"/>
      <c r="IAD4" s="2"/>
      <c r="IAE4" s="2"/>
      <c r="IAF4" s="2"/>
      <c r="IAG4" s="2"/>
      <c r="IAH4" s="2"/>
      <c r="IAI4" s="2"/>
      <c r="IAJ4" s="2"/>
      <c r="IAK4" s="2"/>
      <c r="IAL4" s="2"/>
      <c r="IAM4" s="2"/>
      <c r="IAN4" s="2"/>
      <c r="IAO4" s="2"/>
      <c r="IAP4" s="2"/>
      <c r="IAQ4" s="2"/>
      <c r="IAR4" s="2"/>
      <c r="IAS4" s="2"/>
      <c r="IAT4" s="2"/>
      <c r="IAU4" s="2"/>
      <c r="IAV4" s="2"/>
      <c r="IAW4" s="2"/>
      <c r="IAX4" s="2"/>
      <c r="IAY4" s="2"/>
      <c r="IAZ4" s="2"/>
      <c r="IBA4" s="2"/>
      <c r="IBB4" s="2"/>
      <c r="IBC4" s="2"/>
      <c r="IBD4" s="2"/>
      <c r="IBE4" s="2"/>
      <c r="IBF4" s="2"/>
      <c r="IBG4" s="2"/>
      <c r="IBH4" s="2"/>
      <c r="IBI4" s="2"/>
      <c r="IBJ4" s="2"/>
      <c r="IBK4" s="2"/>
      <c r="IBL4" s="2"/>
      <c r="IBM4" s="2"/>
      <c r="IBN4" s="2"/>
      <c r="IBO4" s="2"/>
      <c r="IBP4" s="2"/>
      <c r="IBQ4" s="2"/>
      <c r="IBR4" s="2"/>
      <c r="IBS4" s="2"/>
      <c r="IBT4" s="2"/>
      <c r="IBU4" s="2"/>
      <c r="IBV4" s="2"/>
      <c r="IBW4" s="2"/>
      <c r="IBX4" s="2"/>
      <c r="IBY4" s="2"/>
      <c r="IBZ4" s="2"/>
      <c r="ICA4" s="2"/>
      <c r="ICB4" s="2"/>
      <c r="ICC4" s="2"/>
      <c r="ICD4" s="2"/>
      <c r="ICE4" s="2"/>
      <c r="ICF4" s="2"/>
      <c r="ICG4" s="2"/>
      <c r="ICH4" s="2"/>
      <c r="ICI4" s="2"/>
      <c r="ICJ4" s="2"/>
      <c r="ICK4" s="2"/>
      <c r="ICL4" s="2"/>
      <c r="ICM4" s="2"/>
      <c r="ICN4" s="2"/>
      <c r="ICO4" s="2"/>
      <c r="ICP4" s="2"/>
      <c r="ICQ4" s="2"/>
      <c r="ICR4" s="2"/>
      <c r="ICS4" s="2"/>
      <c r="ICT4" s="2"/>
      <c r="ICU4" s="2"/>
      <c r="ICV4" s="2"/>
      <c r="ICW4" s="2"/>
      <c r="ICX4" s="2"/>
      <c r="ICY4" s="2"/>
      <c r="ICZ4" s="2"/>
      <c r="IDA4" s="2"/>
      <c r="IDB4" s="2"/>
      <c r="IDC4" s="2"/>
      <c r="IDD4" s="2"/>
      <c r="IDE4" s="2"/>
      <c r="IDF4" s="2"/>
      <c r="IDG4" s="2"/>
      <c r="IDH4" s="2"/>
      <c r="IDI4" s="2"/>
      <c r="IDJ4" s="2"/>
      <c r="IDK4" s="2"/>
      <c r="IDL4" s="2"/>
      <c r="IDM4" s="2"/>
      <c r="IDN4" s="2"/>
      <c r="IDO4" s="2"/>
      <c r="IDP4" s="2"/>
      <c r="IDQ4" s="2"/>
      <c r="IDR4" s="2"/>
      <c r="IDS4" s="2"/>
      <c r="IDT4" s="2"/>
      <c r="IDU4" s="2"/>
      <c r="IDV4" s="2"/>
      <c r="IDW4" s="2"/>
      <c r="IDX4" s="2"/>
      <c r="IDY4" s="2"/>
      <c r="IDZ4" s="2"/>
      <c r="IEA4" s="2"/>
      <c r="IEB4" s="2"/>
      <c r="IEC4" s="2"/>
      <c r="IED4" s="2"/>
      <c r="IEE4" s="2"/>
      <c r="IEF4" s="2"/>
      <c r="IEG4" s="2"/>
      <c r="IEH4" s="2"/>
      <c r="IEI4" s="2"/>
      <c r="IEJ4" s="2"/>
      <c r="IEK4" s="2"/>
      <c r="IEL4" s="2"/>
      <c r="IEM4" s="2"/>
      <c r="IEN4" s="2"/>
      <c r="IEO4" s="2"/>
      <c r="IEP4" s="2"/>
      <c r="IEQ4" s="2"/>
      <c r="IER4" s="2"/>
      <c r="IES4" s="2"/>
      <c r="IET4" s="2"/>
      <c r="IEU4" s="2"/>
      <c r="IEV4" s="2"/>
      <c r="IEW4" s="2"/>
      <c r="IEX4" s="2"/>
      <c r="IEY4" s="2"/>
      <c r="IEZ4" s="2"/>
      <c r="IFA4" s="2"/>
      <c r="IFB4" s="2"/>
      <c r="IFC4" s="2"/>
      <c r="IFD4" s="2"/>
      <c r="IFE4" s="2"/>
      <c r="IFF4" s="2"/>
      <c r="IFG4" s="2"/>
      <c r="IFH4" s="2"/>
      <c r="IFI4" s="2"/>
      <c r="IFJ4" s="2"/>
      <c r="IFK4" s="2"/>
      <c r="IFL4" s="2"/>
      <c r="IFM4" s="2"/>
      <c r="IFN4" s="2"/>
      <c r="IFO4" s="2"/>
      <c r="IFP4" s="2"/>
      <c r="IFQ4" s="2"/>
      <c r="IFR4" s="2"/>
      <c r="IFS4" s="2"/>
      <c r="IFT4" s="2"/>
      <c r="IFU4" s="2"/>
      <c r="IFV4" s="2"/>
      <c r="IFW4" s="2"/>
      <c r="IFX4" s="2"/>
      <c r="IFY4" s="2"/>
      <c r="IFZ4" s="2"/>
      <c r="IGA4" s="2"/>
      <c r="IGB4" s="2"/>
      <c r="IGC4" s="2"/>
      <c r="IGD4" s="2"/>
      <c r="IGE4" s="2"/>
      <c r="IGF4" s="2"/>
      <c r="IGG4" s="2"/>
      <c r="IGH4" s="2"/>
      <c r="IGI4" s="2"/>
      <c r="IGJ4" s="2"/>
      <c r="IGK4" s="2"/>
      <c r="IGL4" s="2"/>
      <c r="IGM4" s="2"/>
      <c r="IGN4" s="2"/>
      <c r="IGO4" s="2"/>
      <c r="IGP4" s="2"/>
      <c r="IGQ4" s="2"/>
      <c r="IGR4" s="2"/>
      <c r="IGS4" s="2"/>
      <c r="IGT4" s="2"/>
      <c r="IGU4" s="2"/>
      <c r="IGV4" s="2"/>
      <c r="IGW4" s="2"/>
      <c r="IGX4" s="2"/>
      <c r="IGY4" s="2"/>
      <c r="IGZ4" s="2"/>
      <c r="IHA4" s="2"/>
      <c r="IHB4" s="2"/>
      <c r="IHC4" s="2"/>
      <c r="IHD4" s="2"/>
      <c r="IHE4" s="2"/>
      <c r="IHF4" s="2"/>
      <c r="IHG4" s="2"/>
      <c r="IHH4" s="2"/>
      <c r="IHI4" s="2"/>
      <c r="IHJ4" s="2"/>
      <c r="IHK4" s="2"/>
      <c r="IHL4" s="2"/>
      <c r="IHM4" s="2"/>
      <c r="IHN4" s="2"/>
      <c r="IHO4" s="2"/>
      <c r="IHP4" s="2"/>
      <c r="IHQ4" s="2"/>
      <c r="IHR4" s="2"/>
      <c r="IHS4" s="2"/>
      <c r="IHT4" s="2"/>
      <c r="IHU4" s="2"/>
      <c r="IHV4" s="2"/>
      <c r="IHW4" s="2"/>
      <c r="IHX4" s="2"/>
      <c r="IHY4" s="2"/>
      <c r="IHZ4" s="2"/>
      <c r="IIA4" s="2"/>
      <c r="IIB4" s="2"/>
      <c r="IIC4" s="2"/>
      <c r="IID4" s="2"/>
      <c r="IIE4" s="2"/>
      <c r="IIF4" s="2"/>
      <c r="IIG4" s="2"/>
      <c r="IIH4" s="2"/>
      <c r="III4" s="2"/>
      <c r="IIJ4" s="2"/>
      <c r="IIK4" s="2"/>
      <c r="IIL4" s="2"/>
      <c r="IIM4" s="2"/>
      <c r="IIN4" s="2"/>
      <c r="IIO4" s="2"/>
      <c r="IIP4" s="2"/>
      <c r="IIQ4" s="2"/>
      <c r="IIR4" s="2"/>
      <c r="IIS4" s="2"/>
      <c r="IIT4" s="2"/>
      <c r="IIU4" s="2"/>
      <c r="IIV4" s="2"/>
      <c r="IIW4" s="2"/>
      <c r="IIX4" s="2"/>
      <c r="IIY4" s="2"/>
      <c r="IIZ4" s="2"/>
      <c r="IJA4" s="2"/>
      <c r="IJB4" s="2"/>
      <c r="IJC4" s="2"/>
      <c r="IJD4" s="2"/>
      <c r="IJE4" s="2"/>
      <c r="IJF4" s="2"/>
      <c r="IJG4" s="2"/>
      <c r="IJH4" s="2"/>
      <c r="IJI4" s="2"/>
      <c r="IJJ4" s="2"/>
      <c r="IJK4" s="2"/>
      <c r="IJL4" s="2"/>
      <c r="IJM4" s="2"/>
      <c r="IJN4" s="2"/>
      <c r="IJO4" s="2"/>
      <c r="IJP4" s="2"/>
      <c r="IJQ4" s="2"/>
      <c r="IJR4" s="2"/>
      <c r="IJS4" s="2"/>
      <c r="IJT4" s="2"/>
      <c r="IJU4" s="2"/>
      <c r="IJV4" s="2"/>
      <c r="IJW4" s="2"/>
      <c r="IJX4" s="2"/>
      <c r="IJY4" s="2"/>
      <c r="IJZ4" s="2"/>
      <c r="IKA4" s="2"/>
      <c r="IKB4" s="2"/>
      <c r="IKC4" s="2"/>
      <c r="IKD4" s="2"/>
      <c r="IKE4" s="2"/>
      <c r="IKF4" s="2"/>
      <c r="IKG4" s="2"/>
      <c r="IKH4" s="2"/>
      <c r="IKI4" s="2"/>
      <c r="IKJ4" s="2"/>
      <c r="IKK4" s="2"/>
      <c r="IKL4" s="2"/>
      <c r="IKM4" s="2"/>
      <c r="IKN4" s="2"/>
      <c r="IKO4" s="2"/>
      <c r="IKP4" s="2"/>
      <c r="IKQ4" s="2"/>
      <c r="IKR4" s="2"/>
      <c r="IKS4" s="2"/>
      <c r="IKT4" s="2"/>
      <c r="IKU4" s="2"/>
      <c r="IKV4" s="2"/>
      <c r="IKW4" s="2"/>
      <c r="IKX4" s="2"/>
      <c r="IKY4" s="2"/>
      <c r="IKZ4" s="2"/>
      <c r="ILA4" s="2"/>
      <c r="ILB4" s="2"/>
      <c r="ILC4" s="2"/>
      <c r="ILD4" s="2"/>
      <c r="ILE4" s="2"/>
      <c r="ILF4" s="2"/>
      <c r="ILG4" s="2"/>
      <c r="ILH4" s="2"/>
      <c r="ILI4" s="2"/>
      <c r="ILJ4" s="2"/>
      <c r="ILK4" s="2"/>
      <c r="ILL4" s="2"/>
      <c r="ILM4" s="2"/>
      <c r="ILN4" s="2"/>
      <c r="ILO4" s="2"/>
      <c r="ILP4" s="2"/>
      <c r="ILQ4" s="2"/>
      <c r="ILR4" s="2"/>
      <c r="ILS4" s="2"/>
      <c r="ILT4" s="2"/>
      <c r="ILU4" s="2"/>
      <c r="ILV4" s="2"/>
      <c r="ILW4" s="2"/>
      <c r="ILX4" s="2"/>
      <c r="ILY4" s="2"/>
      <c r="ILZ4" s="2"/>
      <c r="IMA4" s="2"/>
      <c r="IMB4" s="2"/>
      <c r="IMC4" s="2"/>
      <c r="IMD4" s="2"/>
      <c r="IME4" s="2"/>
      <c r="IMF4" s="2"/>
      <c r="IMG4" s="2"/>
      <c r="IMH4" s="2"/>
      <c r="IMI4" s="2"/>
      <c r="IMJ4" s="2"/>
      <c r="IMK4" s="2"/>
      <c r="IML4" s="2"/>
      <c r="IMM4" s="2"/>
      <c r="IMN4" s="2"/>
      <c r="IMO4" s="2"/>
      <c r="IMP4" s="2"/>
      <c r="IMQ4" s="2"/>
      <c r="IMR4" s="2"/>
      <c r="IMS4" s="2"/>
      <c r="IMT4" s="2"/>
      <c r="IMU4" s="2"/>
      <c r="IMV4" s="2"/>
      <c r="IMW4" s="2"/>
      <c r="IMX4" s="2"/>
      <c r="IMY4" s="2"/>
      <c r="IMZ4" s="2"/>
      <c r="INA4" s="2"/>
      <c r="INB4" s="2"/>
      <c r="INC4" s="2"/>
      <c r="IND4" s="2"/>
      <c r="INE4" s="2"/>
      <c r="INF4" s="2"/>
      <c r="ING4" s="2"/>
      <c r="INH4" s="2"/>
      <c r="INI4" s="2"/>
      <c r="INJ4" s="2"/>
      <c r="INK4" s="2"/>
      <c r="INL4" s="2"/>
      <c r="INM4" s="2"/>
      <c r="INN4" s="2"/>
      <c r="INO4" s="2"/>
      <c r="INP4" s="2"/>
      <c r="INQ4" s="2"/>
      <c r="INR4" s="2"/>
      <c r="INS4" s="2"/>
      <c r="INT4" s="2"/>
      <c r="INU4" s="2"/>
      <c r="INV4" s="2"/>
      <c r="INW4" s="2"/>
      <c r="INX4" s="2"/>
      <c r="INY4" s="2"/>
      <c r="INZ4" s="2"/>
      <c r="IOA4" s="2"/>
      <c r="IOB4" s="2"/>
      <c r="IOC4" s="2"/>
      <c r="IOD4" s="2"/>
      <c r="IOE4" s="2"/>
      <c r="IOF4" s="2"/>
      <c r="IOG4" s="2"/>
      <c r="IOH4" s="2"/>
      <c r="IOI4" s="2"/>
      <c r="IOJ4" s="2"/>
      <c r="IOK4" s="2"/>
      <c r="IOL4" s="2"/>
      <c r="IOM4" s="2"/>
      <c r="ION4" s="2"/>
      <c r="IOO4" s="2"/>
      <c r="IOP4" s="2"/>
      <c r="IOQ4" s="2"/>
      <c r="IOR4" s="2"/>
      <c r="IOS4" s="2"/>
      <c r="IOT4" s="2"/>
      <c r="IOU4" s="2"/>
      <c r="IOV4" s="2"/>
      <c r="IOW4" s="2"/>
      <c r="IOX4" s="2"/>
      <c r="IOY4" s="2"/>
      <c r="IOZ4" s="2"/>
      <c r="IPA4" s="2"/>
      <c r="IPB4" s="2"/>
      <c r="IPC4" s="2"/>
      <c r="IPD4" s="2"/>
      <c r="IPE4" s="2"/>
      <c r="IPF4" s="2"/>
      <c r="IPG4" s="2"/>
      <c r="IPH4" s="2"/>
      <c r="IPI4" s="2"/>
      <c r="IPJ4" s="2"/>
      <c r="IPK4" s="2"/>
      <c r="IPL4" s="2"/>
      <c r="IPM4" s="2"/>
      <c r="IPN4" s="2"/>
      <c r="IPO4" s="2"/>
      <c r="IPP4" s="2"/>
      <c r="IPQ4" s="2"/>
      <c r="IPR4" s="2"/>
      <c r="IPS4" s="2"/>
      <c r="IPT4" s="2"/>
      <c r="IPU4" s="2"/>
      <c r="IPV4" s="2"/>
      <c r="IPW4" s="2"/>
      <c r="IPX4" s="2"/>
      <c r="IPY4" s="2"/>
      <c r="IPZ4" s="2"/>
      <c r="IQA4" s="2"/>
      <c r="IQB4" s="2"/>
      <c r="IQC4" s="2"/>
      <c r="IQD4" s="2"/>
      <c r="IQE4" s="2"/>
      <c r="IQF4" s="2"/>
      <c r="IQG4" s="2"/>
      <c r="IQH4" s="2"/>
      <c r="IQI4" s="2"/>
      <c r="IQJ4" s="2"/>
      <c r="IQK4" s="2"/>
      <c r="IQL4" s="2"/>
      <c r="IQM4" s="2"/>
      <c r="IQN4" s="2"/>
      <c r="IQO4" s="2"/>
      <c r="IQP4" s="2"/>
      <c r="IQQ4" s="2"/>
      <c r="IQR4" s="2"/>
      <c r="IQS4" s="2"/>
      <c r="IQT4" s="2"/>
      <c r="IQU4" s="2"/>
      <c r="IQV4" s="2"/>
      <c r="IQW4" s="2"/>
      <c r="IQX4" s="2"/>
      <c r="IQY4" s="2"/>
      <c r="IQZ4" s="2"/>
      <c r="IRA4" s="2"/>
      <c r="IRB4" s="2"/>
      <c r="IRC4" s="2"/>
      <c r="IRD4" s="2"/>
      <c r="IRE4" s="2"/>
      <c r="IRF4" s="2"/>
      <c r="IRG4" s="2"/>
      <c r="IRH4" s="2"/>
      <c r="IRI4" s="2"/>
      <c r="IRJ4" s="2"/>
      <c r="IRK4" s="2"/>
      <c r="IRL4" s="2"/>
      <c r="IRM4" s="2"/>
      <c r="IRN4" s="2"/>
      <c r="IRO4" s="2"/>
      <c r="IRP4" s="2"/>
      <c r="IRQ4" s="2"/>
      <c r="IRR4" s="2"/>
      <c r="IRS4" s="2"/>
      <c r="IRT4" s="2"/>
      <c r="IRU4" s="2"/>
      <c r="IRV4" s="2"/>
      <c r="IRW4" s="2"/>
      <c r="IRX4" s="2"/>
      <c r="IRY4" s="2"/>
      <c r="IRZ4" s="2"/>
      <c r="ISA4" s="2"/>
      <c r="ISB4" s="2"/>
      <c r="ISC4" s="2"/>
      <c r="ISD4" s="2"/>
      <c r="ISE4" s="2"/>
      <c r="ISF4" s="2"/>
      <c r="ISG4" s="2"/>
      <c r="ISH4" s="2"/>
      <c r="ISI4" s="2"/>
      <c r="ISJ4" s="2"/>
      <c r="ISK4" s="2"/>
      <c r="ISL4" s="2"/>
      <c r="ISM4" s="2"/>
      <c r="ISN4" s="2"/>
      <c r="ISO4" s="2"/>
      <c r="ISP4" s="2"/>
      <c r="ISQ4" s="2"/>
      <c r="ISR4" s="2"/>
      <c r="ISS4" s="2"/>
      <c r="IST4" s="2"/>
      <c r="ISU4" s="2"/>
      <c r="ISV4" s="2"/>
      <c r="ISW4" s="2"/>
      <c r="ISX4" s="2"/>
      <c r="ISY4" s="2"/>
      <c r="ISZ4" s="2"/>
      <c r="ITA4" s="2"/>
      <c r="ITB4" s="2"/>
      <c r="ITC4" s="2"/>
      <c r="ITD4" s="2"/>
      <c r="ITE4" s="2"/>
      <c r="ITF4" s="2"/>
      <c r="ITG4" s="2"/>
      <c r="ITH4" s="2"/>
      <c r="ITI4" s="2"/>
      <c r="ITJ4" s="2"/>
      <c r="ITK4" s="2"/>
      <c r="ITL4" s="2"/>
      <c r="ITM4" s="2"/>
      <c r="ITN4" s="2"/>
      <c r="ITO4" s="2"/>
      <c r="ITP4" s="2"/>
      <c r="ITQ4" s="2"/>
      <c r="ITR4" s="2"/>
      <c r="ITS4" s="2"/>
      <c r="ITT4" s="2"/>
      <c r="ITU4" s="2"/>
      <c r="ITV4" s="2"/>
      <c r="ITW4" s="2"/>
      <c r="ITX4" s="2"/>
      <c r="ITY4" s="2"/>
      <c r="ITZ4" s="2"/>
      <c r="IUA4" s="2"/>
      <c r="IUB4" s="2"/>
      <c r="IUC4" s="2"/>
      <c r="IUD4" s="2"/>
      <c r="IUE4" s="2"/>
      <c r="IUF4" s="2"/>
      <c r="IUG4" s="2"/>
      <c r="IUH4" s="2"/>
      <c r="IUI4" s="2"/>
      <c r="IUJ4" s="2"/>
      <c r="IUK4" s="2"/>
      <c r="IUL4" s="2"/>
      <c r="IUM4" s="2"/>
      <c r="IUN4" s="2"/>
      <c r="IUO4" s="2"/>
      <c r="IUP4" s="2"/>
      <c r="IUQ4" s="2"/>
      <c r="IUR4" s="2"/>
      <c r="IUS4" s="2"/>
      <c r="IUT4" s="2"/>
      <c r="IUU4" s="2"/>
      <c r="IUV4" s="2"/>
      <c r="IUW4" s="2"/>
      <c r="IUX4" s="2"/>
      <c r="IUY4" s="2"/>
      <c r="IUZ4" s="2"/>
      <c r="IVA4" s="2"/>
      <c r="IVB4" s="2"/>
      <c r="IVC4" s="2"/>
      <c r="IVD4" s="2"/>
      <c r="IVE4" s="2"/>
      <c r="IVF4" s="2"/>
      <c r="IVG4" s="2"/>
      <c r="IVH4" s="2"/>
      <c r="IVI4" s="2"/>
      <c r="IVJ4" s="2"/>
      <c r="IVK4" s="2"/>
      <c r="IVL4" s="2"/>
      <c r="IVM4" s="2"/>
      <c r="IVN4" s="2"/>
      <c r="IVO4" s="2"/>
      <c r="IVP4" s="2"/>
      <c r="IVQ4" s="2"/>
      <c r="IVR4" s="2"/>
      <c r="IVS4" s="2"/>
      <c r="IVT4" s="2"/>
      <c r="IVU4" s="2"/>
      <c r="IVV4" s="2"/>
      <c r="IVW4" s="2"/>
      <c r="IVX4" s="2"/>
      <c r="IVY4" s="2"/>
      <c r="IVZ4" s="2"/>
      <c r="IWA4" s="2"/>
      <c r="IWB4" s="2"/>
      <c r="IWC4" s="2"/>
      <c r="IWD4" s="2"/>
      <c r="IWE4" s="2"/>
      <c r="IWF4" s="2"/>
      <c r="IWG4" s="2"/>
      <c r="IWH4" s="2"/>
      <c r="IWI4" s="2"/>
      <c r="IWJ4" s="2"/>
      <c r="IWK4" s="2"/>
      <c r="IWL4" s="2"/>
      <c r="IWM4" s="2"/>
      <c r="IWN4" s="2"/>
      <c r="IWO4" s="2"/>
      <c r="IWP4" s="2"/>
      <c r="IWQ4" s="2"/>
      <c r="IWR4" s="2"/>
      <c r="IWS4" s="2"/>
      <c r="IWT4" s="2"/>
      <c r="IWU4" s="2"/>
      <c r="IWV4" s="2"/>
      <c r="IWW4" s="2"/>
      <c r="IWX4" s="2"/>
      <c r="IWY4" s="2"/>
      <c r="IWZ4" s="2"/>
      <c r="IXA4" s="2"/>
      <c r="IXB4" s="2"/>
      <c r="IXC4" s="2"/>
      <c r="IXD4" s="2"/>
      <c r="IXE4" s="2"/>
      <c r="IXF4" s="2"/>
      <c r="IXG4" s="2"/>
      <c r="IXH4" s="2"/>
      <c r="IXI4" s="2"/>
      <c r="IXJ4" s="2"/>
      <c r="IXK4" s="2"/>
      <c r="IXL4" s="2"/>
      <c r="IXM4" s="2"/>
      <c r="IXN4" s="2"/>
      <c r="IXO4" s="2"/>
      <c r="IXP4" s="2"/>
      <c r="IXQ4" s="2"/>
      <c r="IXR4" s="2"/>
      <c r="IXS4" s="2"/>
      <c r="IXT4" s="2"/>
      <c r="IXU4" s="2"/>
      <c r="IXV4" s="2"/>
      <c r="IXW4" s="2"/>
      <c r="IXX4" s="2"/>
      <c r="IXY4" s="2"/>
      <c r="IXZ4" s="2"/>
      <c r="IYA4" s="2"/>
      <c r="IYB4" s="2"/>
      <c r="IYC4" s="2"/>
      <c r="IYD4" s="2"/>
      <c r="IYE4" s="2"/>
      <c r="IYF4" s="2"/>
      <c r="IYG4" s="2"/>
      <c r="IYH4" s="2"/>
      <c r="IYI4" s="2"/>
      <c r="IYJ4" s="2"/>
      <c r="IYK4" s="2"/>
      <c r="IYL4" s="2"/>
      <c r="IYM4" s="2"/>
      <c r="IYN4" s="2"/>
      <c r="IYO4" s="2"/>
      <c r="IYP4" s="2"/>
      <c r="IYQ4" s="2"/>
      <c r="IYR4" s="2"/>
      <c r="IYS4" s="2"/>
      <c r="IYT4" s="2"/>
      <c r="IYU4" s="2"/>
      <c r="IYV4" s="2"/>
      <c r="IYW4" s="2"/>
      <c r="IYX4" s="2"/>
      <c r="IYY4" s="2"/>
      <c r="IYZ4" s="2"/>
      <c r="IZA4" s="2"/>
      <c r="IZB4" s="2"/>
      <c r="IZC4" s="2"/>
      <c r="IZD4" s="2"/>
      <c r="IZE4" s="2"/>
      <c r="IZF4" s="2"/>
      <c r="IZG4" s="2"/>
      <c r="IZH4" s="2"/>
      <c r="IZI4" s="2"/>
      <c r="IZJ4" s="2"/>
      <c r="IZK4" s="2"/>
      <c r="IZL4" s="2"/>
      <c r="IZM4" s="2"/>
      <c r="IZN4" s="2"/>
      <c r="IZO4" s="2"/>
      <c r="IZP4" s="2"/>
      <c r="IZQ4" s="2"/>
      <c r="IZR4" s="2"/>
      <c r="IZS4" s="2"/>
      <c r="IZT4" s="2"/>
      <c r="IZU4" s="2"/>
      <c r="IZV4" s="2"/>
      <c r="IZW4" s="2"/>
      <c r="IZX4" s="2"/>
      <c r="IZY4" s="2"/>
      <c r="IZZ4" s="2"/>
      <c r="JAA4" s="2"/>
      <c r="JAB4" s="2"/>
      <c r="JAC4" s="2"/>
      <c r="JAD4" s="2"/>
      <c r="JAE4" s="2"/>
      <c r="JAF4" s="2"/>
      <c r="JAG4" s="2"/>
      <c r="JAH4" s="2"/>
      <c r="JAI4" s="2"/>
      <c r="JAJ4" s="2"/>
      <c r="JAK4" s="2"/>
      <c r="JAL4" s="2"/>
      <c r="JAM4" s="2"/>
      <c r="JAN4" s="2"/>
      <c r="JAO4" s="2"/>
      <c r="JAP4" s="2"/>
      <c r="JAQ4" s="2"/>
      <c r="JAR4" s="2"/>
      <c r="JAS4" s="2"/>
      <c r="JAT4" s="2"/>
      <c r="JAU4" s="2"/>
      <c r="JAV4" s="2"/>
      <c r="JAW4" s="2"/>
      <c r="JAX4" s="2"/>
      <c r="JAY4" s="2"/>
      <c r="JAZ4" s="2"/>
      <c r="JBA4" s="2"/>
      <c r="JBB4" s="2"/>
      <c r="JBC4" s="2"/>
      <c r="JBD4" s="2"/>
      <c r="JBE4" s="2"/>
      <c r="JBF4" s="2"/>
      <c r="JBG4" s="2"/>
      <c r="JBH4" s="2"/>
      <c r="JBI4" s="2"/>
      <c r="JBJ4" s="2"/>
      <c r="JBK4" s="2"/>
      <c r="JBL4" s="2"/>
      <c r="JBM4" s="2"/>
      <c r="JBN4" s="2"/>
      <c r="JBO4" s="2"/>
      <c r="JBP4" s="2"/>
      <c r="JBQ4" s="2"/>
      <c r="JBR4" s="2"/>
      <c r="JBS4" s="2"/>
      <c r="JBT4" s="2"/>
      <c r="JBU4" s="2"/>
      <c r="JBV4" s="2"/>
      <c r="JBW4" s="2"/>
      <c r="JBX4" s="2"/>
      <c r="JBY4" s="2"/>
      <c r="JBZ4" s="2"/>
      <c r="JCA4" s="2"/>
      <c r="JCB4" s="2"/>
      <c r="JCC4" s="2"/>
      <c r="JCD4" s="2"/>
      <c r="JCE4" s="2"/>
      <c r="JCF4" s="2"/>
      <c r="JCG4" s="2"/>
      <c r="JCH4" s="2"/>
      <c r="JCI4" s="2"/>
      <c r="JCJ4" s="2"/>
      <c r="JCK4" s="2"/>
      <c r="JCL4" s="2"/>
      <c r="JCM4" s="2"/>
      <c r="JCN4" s="2"/>
      <c r="JCO4" s="2"/>
      <c r="JCP4" s="2"/>
      <c r="JCQ4" s="2"/>
      <c r="JCR4" s="2"/>
      <c r="JCS4" s="2"/>
      <c r="JCT4" s="2"/>
      <c r="JCU4" s="2"/>
      <c r="JCV4" s="2"/>
      <c r="JCW4" s="2"/>
      <c r="JCX4" s="2"/>
      <c r="JCY4" s="2"/>
      <c r="JCZ4" s="2"/>
      <c r="JDA4" s="2"/>
      <c r="JDB4" s="2"/>
      <c r="JDC4" s="2"/>
      <c r="JDD4" s="2"/>
      <c r="JDE4" s="2"/>
      <c r="JDF4" s="2"/>
      <c r="JDG4" s="2"/>
      <c r="JDH4" s="2"/>
      <c r="JDI4" s="2"/>
      <c r="JDJ4" s="2"/>
      <c r="JDK4" s="2"/>
      <c r="JDL4" s="2"/>
      <c r="JDM4" s="2"/>
      <c r="JDN4" s="2"/>
      <c r="JDO4" s="2"/>
      <c r="JDP4" s="2"/>
      <c r="JDQ4" s="2"/>
      <c r="JDR4" s="2"/>
      <c r="JDS4" s="2"/>
      <c r="JDT4" s="2"/>
      <c r="JDU4" s="2"/>
      <c r="JDV4" s="2"/>
      <c r="JDW4" s="2"/>
      <c r="JDX4" s="2"/>
      <c r="JDY4" s="2"/>
      <c r="JDZ4" s="2"/>
      <c r="JEA4" s="2"/>
      <c r="JEB4" s="2"/>
      <c r="JEC4" s="2"/>
      <c r="JED4" s="2"/>
      <c r="JEE4" s="2"/>
      <c r="JEF4" s="2"/>
      <c r="JEG4" s="2"/>
      <c r="JEH4" s="2"/>
      <c r="JEI4" s="2"/>
      <c r="JEJ4" s="2"/>
      <c r="JEK4" s="2"/>
      <c r="JEL4" s="2"/>
      <c r="JEM4" s="2"/>
      <c r="JEN4" s="2"/>
      <c r="JEO4" s="2"/>
      <c r="JEP4" s="2"/>
      <c r="JEQ4" s="2"/>
      <c r="JER4" s="2"/>
      <c r="JES4" s="2"/>
      <c r="JET4" s="2"/>
      <c r="JEU4" s="2"/>
      <c r="JEV4" s="2"/>
      <c r="JEW4" s="2"/>
      <c r="JEX4" s="2"/>
      <c r="JEY4" s="2"/>
      <c r="JEZ4" s="2"/>
      <c r="JFA4" s="2"/>
      <c r="JFB4" s="2"/>
      <c r="JFC4" s="2"/>
      <c r="JFD4" s="2"/>
      <c r="JFE4" s="2"/>
      <c r="JFF4" s="2"/>
      <c r="JFG4" s="2"/>
      <c r="JFH4" s="2"/>
      <c r="JFI4" s="2"/>
      <c r="JFJ4" s="2"/>
      <c r="JFK4" s="2"/>
      <c r="JFL4" s="2"/>
      <c r="JFM4" s="2"/>
      <c r="JFN4" s="2"/>
      <c r="JFO4" s="2"/>
      <c r="JFP4" s="2"/>
      <c r="JFQ4" s="2"/>
      <c r="JFR4" s="2"/>
      <c r="JFS4" s="2"/>
      <c r="JFT4" s="2"/>
      <c r="JFU4" s="2"/>
      <c r="JFV4" s="2"/>
      <c r="JFW4" s="2"/>
      <c r="JFX4" s="2"/>
      <c r="JFY4" s="2"/>
      <c r="JFZ4" s="2"/>
      <c r="JGA4" s="2"/>
      <c r="JGB4" s="2"/>
      <c r="JGC4" s="2"/>
      <c r="JGD4" s="2"/>
      <c r="JGE4" s="2"/>
      <c r="JGF4" s="2"/>
      <c r="JGG4" s="2"/>
      <c r="JGH4" s="2"/>
      <c r="JGI4" s="2"/>
      <c r="JGJ4" s="2"/>
      <c r="JGK4" s="2"/>
      <c r="JGL4" s="2"/>
      <c r="JGM4" s="2"/>
      <c r="JGN4" s="2"/>
      <c r="JGO4" s="2"/>
      <c r="JGP4" s="2"/>
      <c r="JGQ4" s="2"/>
      <c r="JGR4" s="2"/>
      <c r="JGS4" s="2"/>
      <c r="JGT4" s="2"/>
      <c r="JGU4" s="2"/>
      <c r="JGV4" s="2"/>
      <c r="JGW4" s="2"/>
      <c r="JGX4" s="2"/>
      <c r="JGY4" s="2"/>
      <c r="JGZ4" s="2"/>
      <c r="JHA4" s="2"/>
      <c r="JHB4" s="2"/>
      <c r="JHC4" s="2"/>
      <c r="JHD4" s="2"/>
      <c r="JHE4" s="2"/>
      <c r="JHF4" s="2"/>
      <c r="JHG4" s="2"/>
      <c r="JHH4" s="2"/>
      <c r="JHI4" s="2"/>
      <c r="JHJ4" s="2"/>
      <c r="JHK4" s="2"/>
      <c r="JHL4" s="2"/>
      <c r="JHM4" s="2"/>
      <c r="JHN4" s="2"/>
      <c r="JHO4" s="2"/>
      <c r="JHP4" s="2"/>
      <c r="JHQ4" s="2"/>
      <c r="JHR4" s="2"/>
      <c r="JHS4" s="2"/>
      <c r="JHT4" s="2"/>
      <c r="JHU4" s="2"/>
      <c r="JHV4" s="2"/>
      <c r="JHW4" s="2"/>
      <c r="JHX4" s="2"/>
      <c r="JHY4" s="2"/>
      <c r="JHZ4" s="2"/>
      <c r="JIA4" s="2"/>
      <c r="JIB4" s="2"/>
      <c r="JIC4" s="2"/>
      <c r="JID4" s="2"/>
      <c r="JIE4" s="2"/>
      <c r="JIF4" s="2"/>
      <c r="JIG4" s="2"/>
      <c r="JIH4" s="2"/>
      <c r="JII4" s="2"/>
      <c r="JIJ4" s="2"/>
      <c r="JIK4" s="2"/>
      <c r="JIL4" s="2"/>
      <c r="JIM4" s="2"/>
      <c r="JIN4" s="2"/>
      <c r="JIO4" s="2"/>
      <c r="JIP4" s="2"/>
      <c r="JIQ4" s="2"/>
      <c r="JIR4" s="2"/>
      <c r="JIS4" s="2"/>
      <c r="JIT4" s="2"/>
      <c r="JIU4" s="2"/>
      <c r="JIV4" s="2"/>
      <c r="JIW4" s="2"/>
      <c r="JIX4" s="2"/>
      <c r="JIY4" s="2"/>
      <c r="JIZ4" s="2"/>
      <c r="JJA4" s="2"/>
      <c r="JJB4" s="2"/>
      <c r="JJC4" s="2"/>
      <c r="JJD4" s="2"/>
      <c r="JJE4" s="2"/>
      <c r="JJF4" s="2"/>
      <c r="JJG4" s="2"/>
      <c r="JJH4" s="2"/>
      <c r="JJI4" s="2"/>
      <c r="JJJ4" s="2"/>
      <c r="JJK4" s="2"/>
      <c r="JJL4" s="2"/>
      <c r="JJM4" s="2"/>
      <c r="JJN4" s="2"/>
      <c r="JJO4" s="2"/>
      <c r="JJP4" s="2"/>
      <c r="JJQ4" s="2"/>
      <c r="JJR4" s="2"/>
      <c r="JJS4" s="2"/>
      <c r="JJT4" s="2"/>
      <c r="JJU4" s="2"/>
      <c r="JJV4" s="2"/>
      <c r="JJW4" s="2"/>
      <c r="JJX4" s="2"/>
      <c r="JJY4" s="2"/>
      <c r="JJZ4" s="2"/>
      <c r="JKA4" s="2"/>
      <c r="JKB4" s="2"/>
      <c r="JKC4" s="2"/>
      <c r="JKD4" s="2"/>
      <c r="JKE4" s="2"/>
      <c r="JKF4" s="2"/>
      <c r="JKG4" s="2"/>
      <c r="JKH4" s="2"/>
      <c r="JKI4" s="2"/>
      <c r="JKJ4" s="2"/>
      <c r="JKK4" s="2"/>
      <c r="JKL4" s="2"/>
      <c r="JKM4" s="2"/>
      <c r="JKN4" s="2"/>
      <c r="JKO4" s="2"/>
      <c r="JKP4" s="2"/>
      <c r="JKQ4" s="2"/>
      <c r="JKR4" s="2"/>
      <c r="JKS4" s="2"/>
      <c r="JKT4" s="2"/>
      <c r="JKU4" s="2"/>
      <c r="JKV4" s="2"/>
      <c r="JKW4" s="2"/>
      <c r="JKX4" s="2"/>
      <c r="JKY4" s="2"/>
      <c r="JKZ4" s="2"/>
      <c r="JLA4" s="2"/>
      <c r="JLB4" s="2"/>
      <c r="JLC4" s="2"/>
      <c r="JLD4" s="2"/>
      <c r="JLE4" s="2"/>
      <c r="JLF4" s="2"/>
      <c r="JLG4" s="2"/>
      <c r="JLH4" s="2"/>
      <c r="JLI4" s="2"/>
      <c r="JLJ4" s="2"/>
      <c r="JLK4" s="2"/>
      <c r="JLL4" s="2"/>
      <c r="JLM4" s="2"/>
      <c r="JLN4" s="2"/>
      <c r="JLO4" s="2"/>
      <c r="JLP4" s="2"/>
      <c r="JLQ4" s="2"/>
      <c r="JLR4" s="2"/>
      <c r="JLS4" s="2"/>
      <c r="JLT4" s="2"/>
      <c r="JLU4" s="2"/>
      <c r="JLV4" s="2"/>
      <c r="JLW4" s="2"/>
      <c r="JLX4" s="2"/>
      <c r="JLY4" s="2"/>
      <c r="JLZ4" s="2"/>
      <c r="JMA4" s="2"/>
      <c r="JMB4" s="2"/>
      <c r="JMC4" s="2"/>
      <c r="JMD4" s="2"/>
      <c r="JME4" s="2"/>
      <c r="JMF4" s="2"/>
      <c r="JMG4" s="2"/>
      <c r="JMH4" s="2"/>
      <c r="JMI4" s="2"/>
      <c r="JMJ4" s="2"/>
      <c r="JMK4" s="2"/>
      <c r="JML4" s="2"/>
      <c r="JMM4" s="2"/>
      <c r="JMN4" s="2"/>
      <c r="JMO4" s="2"/>
      <c r="JMP4" s="2"/>
      <c r="JMQ4" s="2"/>
      <c r="JMR4" s="2"/>
      <c r="JMS4" s="2"/>
      <c r="JMT4" s="2"/>
      <c r="JMU4" s="2"/>
      <c r="JMV4" s="2"/>
      <c r="JMW4" s="2"/>
      <c r="JMX4" s="2"/>
      <c r="JMY4" s="2"/>
      <c r="JMZ4" s="2"/>
      <c r="JNA4" s="2"/>
      <c r="JNB4" s="2"/>
      <c r="JNC4" s="2"/>
      <c r="JND4" s="2"/>
      <c r="JNE4" s="2"/>
      <c r="JNF4" s="2"/>
      <c r="JNG4" s="2"/>
      <c r="JNH4" s="2"/>
      <c r="JNI4" s="2"/>
      <c r="JNJ4" s="2"/>
      <c r="JNK4" s="2"/>
      <c r="JNL4" s="2"/>
      <c r="JNM4" s="2"/>
      <c r="JNN4" s="2"/>
      <c r="JNO4" s="2"/>
      <c r="JNP4" s="2"/>
      <c r="JNQ4" s="2"/>
      <c r="JNR4" s="2"/>
      <c r="JNS4" s="2"/>
      <c r="JNT4" s="2"/>
      <c r="JNU4" s="2"/>
      <c r="JNV4" s="2"/>
      <c r="JNW4" s="2"/>
      <c r="JNX4" s="2"/>
      <c r="JNY4" s="2"/>
      <c r="JNZ4" s="2"/>
      <c r="JOA4" s="2"/>
      <c r="JOB4" s="2"/>
      <c r="JOC4" s="2"/>
      <c r="JOD4" s="2"/>
      <c r="JOE4" s="2"/>
      <c r="JOF4" s="2"/>
      <c r="JOG4" s="2"/>
      <c r="JOH4" s="2"/>
      <c r="JOI4" s="2"/>
      <c r="JOJ4" s="2"/>
      <c r="JOK4" s="2"/>
      <c r="JOL4" s="2"/>
      <c r="JOM4" s="2"/>
      <c r="JON4" s="2"/>
      <c r="JOO4" s="2"/>
      <c r="JOP4" s="2"/>
      <c r="JOQ4" s="2"/>
      <c r="JOR4" s="2"/>
      <c r="JOS4" s="2"/>
      <c r="JOT4" s="2"/>
      <c r="JOU4" s="2"/>
      <c r="JOV4" s="2"/>
      <c r="JOW4" s="2"/>
      <c r="JOX4" s="2"/>
      <c r="JOY4" s="2"/>
      <c r="JOZ4" s="2"/>
      <c r="JPA4" s="2"/>
      <c r="JPB4" s="2"/>
      <c r="JPC4" s="2"/>
      <c r="JPD4" s="2"/>
      <c r="JPE4" s="2"/>
      <c r="JPF4" s="2"/>
      <c r="JPG4" s="2"/>
      <c r="JPH4" s="2"/>
      <c r="JPI4" s="2"/>
      <c r="JPJ4" s="2"/>
      <c r="JPK4" s="2"/>
      <c r="JPL4" s="2"/>
      <c r="JPM4" s="2"/>
      <c r="JPN4" s="2"/>
      <c r="JPO4" s="2"/>
      <c r="JPP4" s="2"/>
      <c r="JPQ4" s="2"/>
      <c r="JPR4" s="2"/>
      <c r="JPS4" s="2"/>
      <c r="JPT4" s="2"/>
      <c r="JPU4" s="2"/>
      <c r="JPV4" s="2"/>
      <c r="JPW4" s="2"/>
      <c r="JPX4" s="2"/>
      <c r="JPY4" s="2"/>
      <c r="JPZ4" s="2"/>
      <c r="JQA4" s="2"/>
      <c r="JQB4" s="2"/>
      <c r="JQC4" s="2"/>
      <c r="JQD4" s="2"/>
      <c r="JQE4" s="2"/>
      <c r="JQF4" s="2"/>
      <c r="JQG4" s="2"/>
      <c r="JQH4" s="2"/>
      <c r="JQI4" s="2"/>
      <c r="JQJ4" s="2"/>
      <c r="JQK4" s="2"/>
      <c r="JQL4" s="2"/>
      <c r="JQM4" s="2"/>
      <c r="JQN4" s="2"/>
      <c r="JQO4" s="2"/>
      <c r="JQP4" s="2"/>
      <c r="JQQ4" s="2"/>
      <c r="JQR4" s="2"/>
      <c r="JQS4" s="2"/>
      <c r="JQT4" s="2"/>
      <c r="JQU4" s="2"/>
      <c r="JQV4" s="2"/>
      <c r="JQW4" s="2"/>
      <c r="JQX4" s="2"/>
      <c r="JQY4" s="2"/>
      <c r="JQZ4" s="2"/>
      <c r="JRA4" s="2"/>
      <c r="JRB4" s="2"/>
      <c r="JRC4" s="2"/>
      <c r="JRD4" s="2"/>
      <c r="JRE4" s="2"/>
      <c r="JRF4" s="2"/>
      <c r="JRG4" s="2"/>
      <c r="JRH4" s="2"/>
      <c r="JRI4" s="2"/>
      <c r="JRJ4" s="2"/>
      <c r="JRK4" s="2"/>
      <c r="JRL4" s="2"/>
      <c r="JRM4" s="2"/>
      <c r="JRN4" s="2"/>
      <c r="JRO4" s="2"/>
      <c r="JRP4" s="2"/>
      <c r="JRQ4" s="2"/>
      <c r="JRR4" s="2"/>
      <c r="JRS4" s="2"/>
      <c r="JRT4" s="2"/>
      <c r="JRU4" s="2"/>
      <c r="JRV4" s="2"/>
      <c r="JRW4" s="2"/>
      <c r="JRX4" s="2"/>
      <c r="JRY4" s="2"/>
      <c r="JRZ4" s="2"/>
      <c r="JSA4" s="2"/>
      <c r="JSB4" s="2"/>
      <c r="JSC4" s="2"/>
      <c r="JSD4" s="2"/>
      <c r="JSE4" s="2"/>
      <c r="JSF4" s="2"/>
      <c r="JSG4" s="2"/>
      <c r="JSH4" s="2"/>
      <c r="JSI4" s="2"/>
      <c r="JSJ4" s="2"/>
      <c r="JSK4" s="2"/>
      <c r="JSL4" s="2"/>
      <c r="JSM4" s="2"/>
      <c r="JSN4" s="2"/>
      <c r="JSO4" s="2"/>
      <c r="JSP4" s="2"/>
      <c r="JSQ4" s="2"/>
      <c r="JSR4" s="2"/>
      <c r="JSS4" s="2"/>
      <c r="JST4" s="2"/>
      <c r="JSU4" s="2"/>
      <c r="JSV4" s="2"/>
      <c r="JSW4" s="2"/>
      <c r="JSX4" s="2"/>
      <c r="JSY4" s="2"/>
      <c r="JSZ4" s="2"/>
      <c r="JTA4" s="2"/>
      <c r="JTB4" s="2"/>
      <c r="JTC4" s="2"/>
      <c r="JTD4" s="2"/>
      <c r="JTE4" s="2"/>
      <c r="JTF4" s="2"/>
      <c r="JTG4" s="2"/>
      <c r="JTH4" s="2"/>
      <c r="JTI4" s="2"/>
      <c r="JTJ4" s="2"/>
      <c r="JTK4" s="2"/>
      <c r="JTL4" s="2"/>
      <c r="JTM4" s="2"/>
      <c r="JTN4" s="2"/>
      <c r="JTO4" s="2"/>
      <c r="JTP4" s="2"/>
      <c r="JTQ4" s="2"/>
      <c r="JTR4" s="2"/>
      <c r="JTS4" s="2"/>
      <c r="JTT4" s="2"/>
      <c r="JTU4" s="2"/>
      <c r="JTV4" s="2"/>
      <c r="JTW4" s="2"/>
      <c r="JTX4" s="2"/>
      <c r="JTY4" s="2"/>
      <c r="JTZ4" s="2"/>
      <c r="JUA4" s="2"/>
      <c r="JUB4" s="2"/>
      <c r="JUC4" s="2"/>
      <c r="JUD4" s="2"/>
      <c r="JUE4" s="2"/>
      <c r="JUF4" s="2"/>
      <c r="JUG4" s="2"/>
      <c r="JUH4" s="2"/>
      <c r="JUI4" s="2"/>
      <c r="JUJ4" s="2"/>
      <c r="JUK4" s="2"/>
      <c r="JUL4" s="2"/>
      <c r="JUM4" s="2"/>
      <c r="JUN4" s="2"/>
      <c r="JUO4" s="2"/>
      <c r="JUP4" s="2"/>
      <c r="JUQ4" s="2"/>
      <c r="JUR4" s="2"/>
      <c r="JUS4" s="2"/>
      <c r="JUT4" s="2"/>
      <c r="JUU4" s="2"/>
      <c r="JUV4" s="2"/>
      <c r="JUW4" s="2"/>
      <c r="JUX4" s="2"/>
      <c r="JUY4" s="2"/>
      <c r="JUZ4" s="2"/>
      <c r="JVA4" s="2"/>
      <c r="JVB4" s="2"/>
      <c r="JVC4" s="2"/>
      <c r="JVD4" s="2"/>
      <c r="JVE4" s="2"/>
      <c r="JVF4" s="2"/>
      <c r="JVG4" s="2"/>
      <c r="JVH4" s="2"/>
      <c r="JVI4" s="2"/>
      <c r="JVJ4" s="2"/>
      <c r="JVK4" s="2"/>
      <c r="JVL4" s="2"/>
      <c r="JVM4" s="2"/>
      <c r="JVN4" s="2"/>
      <c r="JVO4" s="2"/>
      <c r="JVP4" s="2"/>
      <c r="JVQ4" s="2"/>
      <c r="JVR4" s="2"/>
      <c r="JVS4" s="2"/>
      <c r="JVT4" s="2"/>
      <c r="JVU4" s="2"/>
      <c r="JVV4" s="2"/>
      <c r="JVW4" s="2"/>
      <c r="JVX4" s="2"/>
      <c r="JVY4" s="2"/>
      <c r="JVZ4" s="2"/>
      <c r="JWA4" s="2"/>
      <c r="JWB4" s="2"/>
      <c r="JWC4" s="2"/>
      <c r="JWD4" s="2"/>
      <c r="JWE4" s="2"/>
      <c r="JWF4" s="2"/>
      <c r="JWG4" s="2"/>
      <c r="JWH4" s="2"/>
      <c r="JWI4" s="2"/>
      <c r="JWJ4" s="2"/>
      <c r="JWK4" s="2"/>
      <c r="JWL4" s="2"/>
      <c r="JWM4" s="2"/>
      <c r="JWN4" s="2"/>
      <c r="JWO4" s="2"/>
      <c r="JWP4" s="2"/>
      <c r="JWQ4" s="2"/>
      <c r="JWR4" s="2"/>
      <c r="JWS4" s="2"/>
      <c r="JWT4" s="2"/>
      <c r="JWU4" s="2"/>
      <c r="JWV4" s="2"/>
      <c r="JWW4" s="2"/>
      <c r="JWX4" s="2"/>
      <c r="JWY4" s="2"/>
      <c r="JWZ4" s="2"/>
      <c r="JXA4" s="2"/>
      <c r="JXB4" s="2"/>
      <c r="JXC4" s="2"/>
      <c r="JXD4" s="2"/>
      <c r="JXE4" s="2"/>
      <c r="JXF4" s="2"/>
      <c r="JXG4" s="2"/>
      <c r="JXH4" s="2"/>
      <c r="JXI4" s="2"/>
      <c r="JXJ4" s="2"/>
      <c r="JXK4" s="2"/>
      <c r="JXL4" s="2"/>
      <c r="JXM4" s="2"/>
      <c r="JXN4" s="2"/>
      <c r="JXO4" s="2"/>
      <c r="JXP4" s="2"/>
      <c r="JXQ4" s="2"/>
      <c r="JXR4" s="2"/>
      <c r="JXS4" s="2"/>
      <c r="JXT4" s="2"/>
      <c r="JXU4" s="2"/>
      <c r="JXV4" s="2"/>
      <c r="JXW4" s="2"/>
      <c r="JXX4" s="2"/>
      <c r="JXY4" s="2"/>
      <c r="JXZ4" s="2"/>
      <c r="JYA4" s="2"/>
      <c r="JYB4" s="2"/>
      <c r="JYC4" s="2"/>
      <c r="JYD4" s="2"/>
      <c r="JYE4" s="2"/>
      <c r="JYF4" s="2"/>
      <c r="JYG4" s="2"/>
      <c r="JYH4" s="2"/>
      <c r="JYI4" s="2"/>
      <c r="JYJ4" s="2"/>
      <c r="JYK4" s="2"/>
      <c r="JYL4" s="2"/>
      <c r="JYM4" s="2"/>
      <c r="JYN4" s="2"/>
      <c r="JYO4" s="2"/>
      <c r="JYP4" s="2"/>
      <c r="JYQ4" s="2"/>
      <c r="JYR4" s="2"/>
      <c r="JYS4" s="2"/>
      <c r="JYT4" s="2"/>
      <c r="JYU4" s="2"/>
      <c r="JYV4" s="2"/>
      <c r="JYW4" s="2"/>
      <c r="JYX4" s="2"/>
      <c r="JYY4" s="2"/>
      <c r="JYZ4" s="2"/>
      <c r="JZA4" s="2"/>
      <c r="JZB4" s="2"/>
      <c r="JZC4" s="2"/>
      <c r="JZD4" s="2"/>
      <c r="JZE4" s="2"/>
      <c r="JZF4" s="2"/>
      <c r="JZG4" s="2"/>
      <c r="JZH4" s="2"/>
      <c r="JZI4" s="2"/>
      <c r="JZJ4" s="2"/>
      <c r="JZK4" s="2"/>
      <c r="JZL4" s="2"/>
      <c r="JZM4" s="2"/>
      <c r="JZN4" s="2"/>
      <c r="JZO4" s="2"/>
      <c r="JZP4" s="2"/>
      <c r="JZQ4" s="2"/>
      <c r="JZR4" s="2"/>
      <c r="JZS4" s="2"/>
      <c r="JZT4" s="2"/>
      <c r="JZU4" s="2"/>
      <c r="JZV4" s="2"/>
      <c r="JZW4" s="2"/>
      <c r="JZX4" s="2"/>
      <c r="JZY4" s="2"/>
      <c r="JZZ4" s="2"/>
      <c r="KAA4" s="2"/>
      <c r="KAB4" s="2"/>
      <c r="KAC4" s="2"/>
      <c r="KAD4" s="2"/>
      <c r="KAE4" s="2"/>
      <c r="KAF4" s="2"/>
      <c r="KAG4" s="2"/>
      <c r="KAH4" s="2"/>
      <c r="KAI4" s="2"/>
      <c r="KAJ4" s="2"/>
      <c r="KAK4" s="2"/>
      <c r="KAL4" s="2"/>
      <c r="KAM4" s="2"/>
      <c r="KAN4" s="2"/>
      <c r="KAO4" s="2"/>
      <c r="KAP4" s="2"/>
      <c r="KAQ4" s="2"/>
      <c r="KAR4" s="2"/>
      <c r="KAS4" s="2"/>
      <c r="KAT4" s="2"/>
      <c r="KAU4" s="2"/>
      <c r="KAV4" s="2"/>
      <c r="KAW4" s="2"/>
      <c r="KAX4" s="2"/>
      <c r="KAY4" s="2"/>
      <c r="KAZ4" s="2"/>
      <c r="KBA4" s="2"/>
      <c r="KBB4" s="2"/>
      <c r="KBC4" s="2"/>
      <c r="KBD4" s="2"/>
      <c r="KBE4" s="2"/>
      <c r="KBF4" s="2"/>
      <c r="KBG4" s="2"/>
      <c r="KBH4" s="2"/>
      <c r="KBI4" s="2"/>
      <c r="KBJ4" s="2"/>
      <c r="KBK4" s="2"/>
      <c r="KBL4" s="2"/>
      <c r="KBM4" s="2"/>
      <c r="KBN4" s="2"/>
      <c r="KBO4" s="2"/>
      <c r="KBP4" s="2"/>
      <c r="KBQ4" s="2"/>
      <c r="KBR4" s="2"/>
      <c r="KBS4" s="2"/>
      <c r="KBT4" s="2"/>
      <c r="KBU4" s="2"/>
      <c r="KBV4" s="2"/>
      <c r="KBW4" s="2"/>
      <c r="KBX4" s="2"/>
      <c r="KBY4" s="2"/>
      <c r="KBZ4" s="2"/>
      <c r="KCA4" s="2"/>
      <c r="KCB4" s="2"/>
      <c r="KCC4" s="2"/>
      <c r="KCD4" s="2"/>
      <c r="KCE4" s="2"/>
      <c r="KCF4" s="2"/>
      <c r="KCG4" s="2"/>
      <c r="KCH4" s="2"/>
      <c r="KCI4" s="2"/>
      <c r="KCJ4" s="2"/>
      <c r="KCK4" s="2"/>
      <c r="KCL4" s="2"/>
      <c r="KCM4" s="2"/>
      <c r="KCN4" s="2"/>
      <c r="KCO4" s="2"/>
      <c r="KCP4" s="2"/>
      <c r="KCQ4" s="2"/>
      <c r="KCR4" s="2"/>
      <c r="KCS4" s="2"/>
      <c r="KCT4" s="2"/>
      <c r="KCU4" s="2"/>
      <c r="KCV4" s="2"/>
      <c r="KCW4" s="2"/>
      <c r="KCX4" s="2"/>
      <c r="KCY4" s="2"/>
      <c r="KCZ4" s="2"/>
      <c r="KDA4" s="2"/>
      <c r="KDB4" s="2"/>
      <c r="KDC4" s="2"/>
      <c r="KDD4" s="2"/>
      <c r="KDE4" s="2"/>
      <c r="KDF4" s="2"/>
      <c r="KDG4" s="2"/>
      <c r="KDH4" s="2"/>
      <c r="KDI4" s="2"/>
      <c r="KDJ4" s="2"/>
      <c r="KDK4" s="2"/>
      <c r="KDL4" s="2"/>
      <c r="KDM4" s="2"/>
      <c r="KDN4" s="2"/>
      <c r="KDO4" s="2"/>
      <c r="KDP4" s="2"/>
      <c r="KDQ4" s="2"/>
      <c r="KDR4" s="2"/>
      <c r="KDS4" s="2"/>
      <c r="KDT4" s="2"/>
      <c r="KDU4" s="2"/>
      <c r="KDV4" s="2"/>
      <c r="KDW4" s="2"/>
      <c r="KDX4" s="2"/>
      <c r="KDY4" s="2"/>
      <c r="KDZ4" s="2"/>
      <c r="KEA4" s="2"/>
      <c r="KEB4" s="2"/>
      <c r="KEC4" s="2"/>
      <c r="KED4" s="2"/>
      <c r="KEE4" s="2"/>
      <c r="KEF4" s="2"/>
      <c r="KEG4" s="2"/>
      <c r="KEH4" s="2"/>
      <c r="KEI4" s="2"/>
      <c r="KEJ4" s="2"/>
      <c r="KEK4" s="2"/>
      <c r="KEL4" s="2"/>
      <c r="KEM4" s="2"/>
      <c r="KEN4" s="2"/>
      <c r="KEO4" s="2"/>
      <c r="KEP4" s="2"/>
      <c r="KEQ4" s="2"/>
      <c r="KER4" s="2"/>
      <c r="KES4" s="2"/>
      <c r="KET4" s="2"/>
      <c r="KEU4" s="2"/>
      <c r="KEV4" s="2"/>
      <c r="KEW4" s="2"/>
      <c r="KEX4" s="2"/>
      <c r="KEY4" s="2"/>
      <c r="KEZ4" s="2"/>
      <c r="KFA4" s="2"/>
      <c r="KFB4" s="2"/>
      <c r="KFC4" s="2"/>
      <c r="KFD4" s="2"/>
      <c r="KFE4" s="2"/>
      <c r="KFF4" s="2"/>
      <c r="KFG4" s="2"/>
      <c r="KFH4" s="2"/>
      <c r="KFI4" s="2"/>
      <c r="KFJ4" s="2"/>
      <c r="KFK4" s="2"/>
      <c r="KFL4" s="2"/>
      <c r="KFM4" s="2"/>
      <c r="KFN4" s="2"/>
      <c r="KFO4" s="2"/>
      <c r="KFP4" s="2"/>
      <c r="KFQ4" s="2"/>
      <c r="KFR4" s="2"/>
      <c r="KFS4" s="2"/>
      <c r="KFT4" s="2"/>
      <c r="KFU4" s="2"/>
      <c r="KFV4" s="2"/>
      <c r="KFW4" s="2"/>
      <c r="KFX4" s="2"/>
      <c r="KFY4" s="2"/>
      <c r="KFZ4" s="2"/>
      <c r="KGA4" s="2"/>
      <c r="KGB4" s="2"/>
      <c r="KGC4" s="2"/>
      <c r="KGD4" s="2"/>
      <c r="KGE4" s="2"/>
      <c r="KGF4" s="2"/>
      <c r="KGG4" s="2"/>
      <c r="KGH4" s="2"/>
      <c r="KGI4" s="2"/>
      <c r="KGJ4" s="2"/>
      <c r="KGK4" s="2"/>
      <c r="KGL4" s="2"/>
      <c r="KGM4" s="2"/>
      <c r="KGN4" s="2"/>
      <c r="KGO4" s="2"/>
      <c r="KGP4" s="2"/>
      <c r="KGQ4" s="2"/>
      <c r="KGR4" s="2"/>
      <c r="KGS4" s="2"/>
      <c r="KGT4" s="2"/>
      <c r="KGU4" s="2"/>
      <c r="KGV4" s="2"/>
      <c r="KGW4" s="2"/>
      <c r="KGX4" s="2"/>
      <c r="KGY4" s="2"/>
      <c r="KGZ4" s="2"/>
      <c r="KHA4" s="2"/>
      <c r="KHB4" s="2"/>
      <c r="KHC4" s="2"/>
      <c r="KHD4" s="2"/>
      <c r="KHE4" s="2"/>
      <c r="KHF4" s="2"/>
      <c r="KHG4" s="2"/>
      <c r="KHH4" s="2"/>
      <c r="KHI4" s="2"/>
      <c r="KHJ4" s="2"/>
      <c r="KHK4" s="2"/>
      <c r="KHL4" s="2"/>
      <c r="KHM4" s="2"/>
      <c r="KHN4" s="2"/>
      <c r="KHO4" s="2"/>
      <c r="KHP4" s="2"/>
      <c r="KHQ4" s="2"/>
      <c r="KHR4" s="2"/>
      <c r="KHS4" s="2"/>
      <c r="KHT4" s="2"/>
      <c r="KHU4" s="2"/>
      <c r="KHV4" s="2"/>
      <c r="KHW4" s="2"/>
      <c r="KHX4" s="2"/>
      <c r="KHY4" s="2"/>
      <c r="KHZ4" s="2"/>
      <c r="KIA4" s="2"/>
      <c r="KIB4" s="2"/>
      <c r="KIC4" s="2"/>
      <c r="KID4" s="2"/>
      <c r="KIE4" s="2"/>
      <c r="KIF4" s="2"/>
      <c r="KIG4" s="2"/>
      <c r="KIH4" s="2"/>
      <c r="KII4" s="2"/>
      <c r="KIJ4" s="2"/>
      <c r="KIK4" s="2"/>
      <c r="KIL4" s="2"/>
      <c r="KIM4" s="2"/>
      <c r="KIN4" s="2"/>
      <c r="KIO4" s="2"/>
      <c r="KIP4" s="2"/>
      <c r="KIQ4" s="2"/>
      <c r="KIR4" s="2"/>
      <c r="KIS4" s="2"/>
      <c r="KIT4" s="2"/>
      <c r="KIU4" s="2"/>
      <c r="KIV4" s="2"/>
      <c r="KIW4" s="2"/>
      <c r="KIX4" s="2"/>
      <c r="KIY4" s="2"/>
      <c r="KIZ4" s="2"/>
      <c r="KJA4" s="2"/>
      <c r="KJB4" s="2"/>
      <c r="KJC4" s="2"/>
      <c r="KJD4" s="2"/>
      <c r="KJE4" s="2"/>
      <c r="KJF4" s="2"/>
      <c r="KJG4" s="2"/>
      <c r="KJH4" s="2"/>
      <c r="KJI4" s="2"/>
      <c r="KJJ4" s="2"/>
      <c r="KJK4" s="2"/>
      <c r="KJL4" s="2"/>
      <c r="KJM4" s="2"/>
      <c r="KJN4" s="2"/>
      <c r="KJO4" s="2"/>
      <c r="KJP4" s="2"/>
      <c r="KJQ4" s="2"/>
      <c r="KJR4" s="2"/>
      <c r="KJS4" s="2"/>
      <c r="KJT4" s="2"/>
      <c r="KJU4" s="2"/>
      <c r="KJV4" s="2"/>
      <c r="KJW4" s="2"/>
      <c r="KJX4" s="2"/>
      <c r="KJY4" s="2"/>
      <c r="KJZ4" s="2"/>
      <c r="KKA4" s="2"/>
      <c r="KKB4" s="2"/>
      <c r="KKC4" s="2"/>
      <c r="KKD4" s="2"/>
      <c r="KKE4" s="2"/>
      <c r="KKF4" s="2"/>
      <c r="KKG4" s="2"/>
      <c r="KKH4" s="2"/>
      <c r="KKI4" s="2"/>
      <c r="KKJ4" s="2"/>
      <c r="KKK4" s="2"/>
      <c r="KKL4" s="2"/>
      <c r="KKM4" s="2"/>
      <c r="KKN4" s="2"/>
      <c r="KKO4" s="2"/>
      <c r="KKP4" s="2"/>
      <c r="KKQ4" s="2"/>
      <c r="KKR4" s="2"/>
      <c r="KKS4" s="2"/>
      <c r="KKT4" s="2"/>
      <c r="KKU4" s="2"/>
      <c r="KKV4" s="2"/>
      <c r="KKW4" s="2"/>
      <c r="KKX4" s="2"/>
      <c r="KKY4" s="2"/>
      <c r="KKZ4" s="2"/>
      <c r="KLA4" s="2"/>
      <c r="KLB4" s="2"/>
      <c r="KLC4" s="2"/>
      <c r="KLD4" s="2"/>
      <c r="KLE4" s="2"/>
      <c r="KLF4" s="2"/>
      <c r="KLG4" s="2"/>
      <c r="KLH4" s="2"/>
      <c r="KLI4" s="2"/>
      <c r="KLJ4" s="2"/>
      <c r="KLK4" s="2"/>
      <c r="KLL4" s="2"/>
      <c r="KLM4" s="2"/>
      <c r="KLN4" s="2"/>
      <c r="KLO4" s="2"/>
      <c r="KLP4" s="2"/>
      <c r="KLQ4" s="2"/>
      <c r="KLR4" s="2"/>
      <c r="KLS4" s="2"/>
      <c r="KLT4" s="2"/>
      <c r="KLU4" s="2"/>
      <c r="KLV4" s="2"/>
      <c r="KLW4" s="2"/>
      <c r="KLX4" s="2"/>
      <c r="KLY4" s="2"/>
      <c r="KLZ4" s="2"/>
      <c r="KMA4" s="2"/>
      <c r="KMB4" s="2"/>
      <c r="KMC4" s="2"/>
      <c r="KMD4" s="2"/>
      <c r="KME4" s="2"/>
      <c r="KMF4" s="2"/>
      <c r="KMG4" s="2"/>
      <c r="KMH4" s="2"/>
      <c r="KMI4" s="2"/>
      <c r="KMJ4" s="2"/>
      <c r="KMK4" s="2"/>
      <c r="KML4" s="2"/>
      <c r="KMM4" s="2"/>
      <c r="KMN4" s="2"/>
      <c r="KMO4" s="2"/>
      <c r="KMP4" s="2"/>
      <c r="KMQ4" s="2"/>
      <c r="KMR4" s="2"/>
      <c r="KMS4" s="2"/>
      <c r="KMT4" s="2"/>
      <c r="KMU4" s="2"/>
      <c r="KMV4" s="2"/>
      <c r="KMW4" s="2"/>
      <c r="KMX4" s="2"/>
      <c r="KMY4" s="2"/>
      <c r="KMZ4" s="2"/>
      <c r="KNA4" s="2"/>
      <c r="KNB4" s="2"/>
      <c r="KNC4" s="2"/>
      <c r="KND4" s="2"/>
      <c r="KNE4" s="2"/>
      <c r="KNF4" s="2"/>
      <c r="KNG4" s="2"/>
      <c r="KNH4" s="2"/>
      <c r="KNI4" s="2"/>
      <c r="KNJ4" s="2"/>
      <c r="KNK4" s="2"/>
      <c r="KNL4" s="2"/>
      <c r="KNM4" s="2"/>
      <c r="KNN4" s="2"/>
      <c r="KNO4" s="2"/>
      <c r="KNP4" s="2"/>
      <c r="KNQ4" s="2"/>
      <c r="KNR4" s="2"/>
      <c r="KNS4" s="2"/>
      <c r="KNT4" s="2"/>
      <c r="KNU4" s="2"/>
      <c r="KNV4" s="2"/>
      <c r="KNW4" s="2"/>
      <c r="KNX4" s="2"/>
      <c r="KNY4" s="2"/>
      <c r="KNZ4" s="2"/>
      <c r="KOA4" s="2"/>
      <c r="KOB4" s="2"/>
      <c r="KOC4" s="2"/>
      <c r="KOD4" s="2"/>
      <c r="KOE4" s="2"/>
      <c r="KOF4" s="2"/>
      <c r="KOG4" s="2"/>
      <c r="KOH4" s="2"/>
      <c r="KOI4" s="2"/>
      <c r="KOJ4" s="2"/>
      <c r="KOK4" s="2"/>
      <c r="KOL4" s="2"/>
      <c r="KOM4" s="2"/>
      <c r="KON4" s="2"/>
      <c r="KOO4" s="2"/>
      <c r="KOP4" s="2"/>
      <c r="KOQ4" s="2"/>
      <c r="KOR4" s="2"/>
      <c r="KOS4" s="2"/>
      <c r="KOT4" s="2"/>
      <c r="KOU4" s="2"/>
      <c r="KOV4" s="2"/>
      <c r="KOW4" s="2"/>
      <c r="KOX4" s="2"/>
      <c r="KOY4" s="2"/>
      <c r="KOZ4" s="2"/>
      <c r="KPA4" s="2"/>
      <c r="KPB4" s="2"/>
      <c r="KPC4" s="2"/>
      <c r="KPD4" s="2"/>
      <c r="KPE4" s="2"/>
      <c r="KPF4" s="2"/>
      <c r="KPG4" s="2"/>
      <c r="KPH4" s="2"/>
      <c r="KPI4" s="2"/>
      <c r="KPJ4" s="2"/>
      <c r="KPK4" s="2"/>
      <c r="KPL4" s="2"/>
      <c r="KPM4" s="2"/>
      <c r="KPN4" s="2"/>
      <c r="KPO4" s="2"/>
      <c r="KPP4" s="2"/>
      <c r="KPQ4" s="2"/>
      <c r="KPR4" s="2"/>
      <c r="KPS4" s="2"/>
      <c r="KPT4" s="2"/>
      <c r="KPU4" s="2"/>
      <c r="KPV4" s="2"/>
      <c r="KPW4" s="2"/>
      <c r="KPX4" s="2"/>
      <c r="KPY4" s="2"/>
      <c r="KPZ4" s="2"/>
      <c r="KQA4" s="2"/>
      <c r="KQB4" s="2"/>
      <c r="KQC4" s="2"/>
      <c r="KQD4" s="2"/>
      <c r="KQE4" s="2"/>
      <c r="KQF4" s="2"/>
      <c r="KQG4" s="2"/>
      <c r="KQH4" s="2"/>
      <c r="KQI4" s="2"/>
      <c r="KQJ4" s="2"/>
      <c r="KQK4" s="2"/>
      <c r="KQL4" s="2"/>
      <c r="KQM4" s="2"/>
      <c r="KQN4" s="2"/>
      <c r="KQO4" s="2"/>
      <c r="KQP4" s="2"/>
      <c r="KQQ4" s="2"/>
      <c r="KQR4" s="2"/>
      <c r="KQS4" s="2"/>
      <c r="KQT4" s="2"/>
      <c r="KQU4" s="2"/>
      <c r="KQV4" s="2"/>
      <c r="KQW4" s="2"/>
      <c r="KQX4" s="2"/>
      <c r="KQY4" s="2"/>
      <c r="KQZ4" s="2"/>
      <c r="KRA4" s="2"/>
      <c r="KRB4" s="2"/>
      <c r="KRC4" s="2"/>
      <c r="KRD4" s="2"/>
      <c r="KRE4" s="2"/>
      <c r="KRF4" s="2"/>
      <c r="KRG4" s="2"/>
      <c r="KRH4" s="2"/>
      <c r="KRI4" s="2"/>
      <c r="KRJ4" s="2"/>
      <c r="KRK4" s="2"/>
      <c r="KRL4" s="2"/>
      <c r="KRM4" s="2"/>
      <c r="KRN4" s="2"/>
      <c r="KRO4" s="2"/>
      <c r="KRP4" s="2"/>
      <c r="KRQ4" s="2"/>
      <c r="KRR4" s="2"/>
      <c r="KRS4" s="2"/>
      <c r="KRT4" s="2"/>
      <c r="KRU4" s="2"/>
      <c r="KRV4" s="2"/>
      <c r="KRW4" s="2"/>
      <c r="KRX4" s="2"/>
      <c r="KRY4" s="2"/>
      <c r="KRZ4" s="2"/>
      <c r="KSA4" s="2"/>
      <c r="KSB4" s="2"/>
      <c r="KSC4" s="2"/>
      <c r="KSD4" s="2"/>
      <c r="KSE4" s="2"/>
      <c r="KSF4" s="2"/>
      <c r="KSG4" s="2"/>
      <c r="KSH4" s="2"/>
      <c r="KSI4" s="2"/>
      <c r="KSJ4" s="2"/>
      <c r="KSK4" s="2"/>
      <c r="KSL4" s="2"/>
      <c r="KSM4" s="2"/>
      <c r="KSN4" s="2"/>
      <c r="KSO4" s="2"/>
      <c r="KSP4" s="2"/>
      <c r="KSQ4" s="2"/>
      <c r="KSR4" s="2"/>
      <c r="KSS4" s="2"/>
      <c r="KST4" s="2"/>
      <c r="KSU4" s="2"/>
      <c r="KSV4" s="2"/>
      <c r="KSW4" s="2"/>
      <c r="KSX4" s="2"/>
      <c r="KSY4" s="2"/>
      <c r="KSZ4" s="2"/>
      <c r="KTA4" s="2"/>
      <c r="KTB4" s="2"/>
      <c r="KTC4" s="2"/>
      <c r="KTD4" s="2"/>
      <c r="KTE4" s="2"/>
      <c r="KTF4" s="2"/>
      <c r="KTG4" s="2"/>
      <c r="KTH4" s="2"/>
      <c r="KTI4" s="2"/>
      <c r="KTJ4" s="2"/>
      <c r="KTK4" s="2"/>
      <c r="KTL4" s="2"/>
      <c r="KTM4" s="2"/>
      <c r="KTN4" s="2"/>
      <c r="KTO4" s="2"/>
      <c r="KTP4" s="2"/>
      <c r="KTQ4" s="2"/>
      <c r="KTR4" s="2"/>
      <c r="KTS4" s="2"/>
      <c r="KTT4" s="2"/>
      <c r="KTU4" s="2"/>
      <c r="KTV4" s="2"/>
      <c r="KTW4" s="2"/>
      <c r="KTX4" s="2"/>
      <c r="KTY4" s="2"/>
      <c r="KTZ4" s="2"/>
      <c r="KUA4" s="2"/>
      <c r="KUB4" s="2"/>
      <c r="KUC4" s="2"/>
      <c r="KUD4" s="2"/>
      <c r="KUE4" s="2"/>
      <c r="KUF4" s="2"/>
      <c r="KUG4" s="2"/>
      <c r="KUH4" s="2"/>
      <c r="KUI4" s="2"/>
      <c r="KUJ4" s="2"/>
      <c r="KUK4" s="2"/>
      <c r="KUL4" s="2"/>
      <c r="KUM4" s="2"/>
      <c r="KUN4" s="2"/>
      <c r="KUO4" s="2"/>
      <c r="KUP4" s="2"/>
      <c r="KUQ4" s="2"/>
      <c r="KUR4" s="2"/>
      <c r="KUS4" s="2"/>
      <c r="KUT4" s="2"/>
      <c r="KUU4" s="2"/>
      <c r="KUV4" s="2"/>
      <c r="KUW4" s="2"/>
      <c r="KUX4" s="2"/>
      <c r="KUY4" s="2"/>
      <c r="KUZ4" s="2"/>
      <c r="KVA4" s="2"/>
      <c r="KVB4" s="2"/>
      <c r="KVC4" s="2"/>
      <c r="KVD4" s="2"/>
      <c r="KVE4" s="2"/>
      <c r="KVF4" s="2"/>
      <c r="KVG4" s="2"/>
      <c r="KVH4" s="2"/>
      <c r="KVI4" s="2"/>
      <c r="KVJ4" s="2"/>
      <c r="KVK4" s="2"/>
      <c r="KVL4" s="2"/>
      <c r="KVM4" s="2"/>
      <c r="KVN4" s="2"/>
      <c r="KVO4" s="2"/>
      <c r="KVP4" s="2"/>
      <c r="KVQ4" s="2"/>
      <c r="KVR4" s="2"/>
      <c r="KVS4" s="2"/>
      <c r="KVT4" s="2"/>
      <c r="KVU4" s="2"/>
      <c r="KVV4" s="2"/>
      <c r="KVW4" s="2"/>
      <c r="KVX4" s="2"/>
      <c r="KVY4" s="2"/>
      <c r="KVZ4" s="2"/>
      <c r="KWA4" s="2"/>
      <c r="KWB4" s="2"/>
      <c r="KWC4" s="2"/>
      <c r="KWD4" s="2"/>
      <c r="KWE4" s="2"/>
      <c r="KWF4" s="2"/>
      <c r="KWG4" s="2"/>
      <c r="KWH4" s="2"/>
      <c r="KWI4" s="2"/>
      <c r="KWJ4" s="2"/>
      <c r="KWK4" s="2"/>
      <c r="KWL4" s="2"/>
      <c r="KWM4" s="2"/>
      <c r="KWN4" s="2"/>
      <c r="KWO4" s="2"/>
      <c r="KWP4" s="2"/>
      <c r="KWQ4" s="2"/>
      <c r="KWR4" s="2"/>
      <c r="KWS4" s="2"/>
      <c r="KWT4" s="2"/>
      <c r="KWU4" s="2"/>
      <c r="KWV4" s="2"/>
      <c r="KWW4" s="2"/>
      <c r="KWX4" s="2"/>
      <c r="KWY4" s="2"/>
      <c r="KWZ4" s="2"/>
      <c r="KXA4" s="2"/>
      <c r="KXB4" s="2"/>
      <c r="KXC4" s="2"/>
      <c r="KXD4" s="2"/>
      <c r="KXE4" s="2"/>
      <c r="KXF4" s="2"/>
      <c r="KXG4" s="2"/>
      <c r="KXH4" s="2"/>
      <c r="KXI4" s="2"/>
      <c r="KXJ4" s="2"/>
      <c r="KXK4" s="2"/>
      <c r="KXL4" s="2"/>
      <c r="KXM4" s="2"/>
      <c r="KXN4" s="2"/>
      <c r="KXO4" s="2"/>
      <c r="KXP4" s="2"/>
      <c r="KXQ4" s="2"/>
      <c r="KXR4" s="2"/>
      <c r="KXS4" s="2"/>
      <c r="KXT4" s="2"/>
      <c r="KXU4" s="2"/>
      <c r="KXV4" s="2"/>
      <c r="KXW4" s="2"/>
      <c r="KXX4" s="2"/>
      <c r="KXY4" s="2"/>
      <c r="KXZ4" s="2"/>
      <c r="KYA4" s="2"/>
      <c r="KYB4" s="2"/>
      <c r="KYC4" s="2"/>
      <c r="KYD4" s="2"/>
      <c r="KYE4" s="2"/>
      <c r="KYF4" s="2"/>
      <c r="KYG4" s="2"/>
      <c r="KYH4" s="2"/>
      <c r="KYI4" s="2"/>
      <c r="KYJ4" s="2"/>
      <c r="KYK4" s="2"/>
      <c r="KYL4" s="2"/>
      <c r="KYM4" s="2"/>
      <c r="KYN4" s="2"/>
      <c r="KYO4" s="2"/>
      <c r="KYP4" s="2"/>
      <c r="KYQ4" s="2"/>
      <c r="KYR4" s="2"/>
      <c r="KYS4" s="2"/>
      <c r="KYT4" s="2"/>
      <c r="KYU4" s="2"/>
      <c r="KYV4" s="2"/>
      <c r="KYW4" s="2"/>
      <c r="KYX4" s="2"/>
      <c r="KYY4" s="2"/>
      <c r="KYZ4" s="2"/>
      <c r="KZA4" s="2"/>
      <c r="KZB4" s="2"/>
      <c r="KZC4" s="2"/>
      <c r="KZD4" s="2"/>
      <c r="KZE4" s="2"/>
      <c r="KZF4" s="2"/>
      <c r="KZG4" s="2"/>
      <c r="KZH4" s="2"/>
      <c r="KZI4" s="2"/>
      <c r="KZJ4" s="2"/>
      <c r="KZK4" s="2"/>
      <c r="KZL4" s="2"/>
      <c r="KZM4" s="2"/>
      <c r="KZN4" s="2"/>
      <c r="KZO4" s="2"/>
      <c r="KZP4" s="2"/>
      <c r="KZQ4" s="2"/>
      <c r="KZR4" s="2"/>
      <c r="KZS4" s="2"/>
      <c r="KZT4" s="2"/>
      <c r="KZU4" s="2"/>
      <c r="KZV4" s="2"/>
      <c r="KZW4" s="2"/>
      <c r="KZX4" s="2"/>
      <c r="KZY4" s="2"/>
      <c r="KZZ4" s="2"/>
      <c r="LAA4" s="2"/>
      <c r="LAB4" s="2"/>
      <c r="LAC4" s="2"/>
      <c r="LAD4" s="2"/>
      <c r="LAE4" s="2"/>
      <c r="LAF4" s="2"/>
      <c r="LAG4" s="2"/>
      <c r="LAH4" s="2"/>
      <c r="LAI4" s="2"/>
      <c r="LAJ4" s="2"/>
      <c r="LAK4" s="2"/>
      <c r="LAL4" s="2"/>
      <c r="LAM4" s="2"/>
      <c r="LAN4" s="2"/>
      <c r="LAO4" s="2"/>
      <c r="LAP4" s="2"/>
      <c r="LAQ4" s="2"/>
      <c r="LAR4" s="2"/>
      <c r="LAS4" s="2"/>
      <c r="LAT4" s="2"/>
      <c r="LAU4" s="2"/>
      <c r="LAV4" s="2"/>
      <c r="LAW4" s="2"/>
      <c r="LAX4" s="2"/>
      <c r="LAY4" s="2"/>
      <c r="LAZ4" s="2"/>
      <c r="LBA4" s="2"/>
      <c r="LBB4" s="2"/>
      <c r="LBC4" s="2"/>
      <c r="LBD4" s="2"/>
      <c r="LBE4" s="2"/>
      <c r="LBF4" s="2"/>
      <c r="LBG4" s="2"/>
      <c r="LBH4" s="2"/>
      <c r="LBI4" s="2"/>
      <c r="LBJ4" s="2"/>
      <c r="LBK4" s="2"/>
      <c r="LBL4" s="2"/>
      <c r="LBM4" s="2"/>
      <c r="LBN4" s="2"/>
      <c r="LBO4" s="2"/>
      <c r="LBP4" s="2"/>
      <c r="LBQ4" s="2"/>
      <c r="LBR4" s="2"/>
      <c r="LBS4" s="2"/>
      <c r="LBT4" s="2"/>
      <c r="LBU4" s="2"/>
      <c r="LBV4" s="2"/>
      <c r="LBW4" s="2"/>
      <c r="LBX4" s="2"/>
      <c r="LBY4" s="2"/>
      <c r="LBZ4" s="2"/>
      <c r="LCA4" s="2"/>
      <c r="LCB4" s="2"/>
      <c r="LCC4" s="2"/>
      <c r="LCD4" s="2"/>
      <c r="LCE4" s="2"/>
      <c r="LCF4" s="2"/>
      <c r="LCG4" s="2"/>
      <c r="LCH4" s="2"/>
      <c r="LCI4" s="2"/>
      <c r="LCJ4" s="2"/>
      <c r="LCK4" s="2"/>
      <c r="LCL4" s="2"/>
      <c r="LCM4" s="2"/>
      <c r="LCN4" s="2"/>
      <c r="LCO4" s="2"/>
      <c r="LCP4" s="2"/>
      <c r="LCQ4" s="2"/>
      <c r="LCR4" s="2"/>
      <c r="LCS4" s="2"/>
      <c r="LCT4" s="2"/>
      <c r="LCU4" s="2"/>
      <c r="LCV4" s="2"/>
      <c r="LCW4" s="2"/>
      <c r="LCX4" s="2"/>
      <c r="LCY4" s="2"/>
      <c r="LCZ4" s="2"/>
      <c r="LDA4" s="2"/>
      <c r="LDB4" s="2"/>
      <c r="LDC4" s="2"/>
      <c r="LDD4" s="2"/>
      <c r="LDE4" s="2"/>
      <c r="LDF4" s="2"/>
      <c r="LDG4" s="2"/>
      <c r="LDH4" s="2"/>
      <c r="LDI4" s="2"/>
      <c r="LDJ4" s="2"/>
      <c r="LDK4" s="2"/>
      <c r="LDL4" s="2"/>
      <c r="LDM4" s="2"/>
      <c r="LDN4" s="2"/>
      <c r="LDO4" s="2"/>
      <c r="LDP4" s="2"/>
      <c r="LDQ4" s="2"/>
      <c r="LDR4" s="2"/>
      <c r="LDS4" s="2"/>
      <c r="LDT4" s="2"/>
      <c r="LDU4" s="2"/>
      <c r="LDV4" s="2"/>
      <c r="LDW4" s="2"/>
      <c r="LDX4" s="2"/>
      <c r="LDY4" s="2"/>
      <c r="LDZ4" s="2"/>
      <c r="LEA4" s="2"/>
      <c r="LEB4" s="2"/>
      <c r="LEC4" s="2"/>
      <c r="LED4" s="2"/>
      <c r="LEE4" s="2"/>
      <c r="LEF4" s="2"/>
      <c r="LEG4" s="2"/>
      <c r="LEH4" s="2"/>
      <c r="LEI4" s="2"/>
      <c r="LEJ4" s="2"/>
      <c r="LEK4" s="2"/>
      <c r="LEL4" s="2"/>
      <c r="LEM4" s="2"/>
      <c r="LEN4" s="2"/>
      <c r="LEO4" s="2"/>
      <c r="LEP4" s="2"/>
      <c r="LEQ4" s="2"/>
      <c r="LER4" s="2"/>
      <c r="LES4" s="2"/>
      <c r="LET4" s="2"/>
      <c r="LEU4" s="2"/>
      <c r="LEV4" s="2"/>
      <c r="LEW4" s="2"/>
      <c r="LEX4" s="2"/>
      <c r="LEY4" s="2"/>
      <c r="LEZ4" s="2"/>
      <c r="LFA4" s="2"/>
      <c r="LFB4" s="2"/>
      <c r="LFC4" s="2"/>
      <c r="LFD4" s="2"/>
      <c r="LFE4" s="2"/>
      <c r="LFF4" s="2"/>
      <c r="LFG4" s="2"/>
      <c r="LFH4" s="2"/>
      <c r="LFI4" s="2"/>
      <c r="LFJ4" s="2"/>
      <c r="LFK4" s="2"/>
      <c r="LFL4" s="2"/>
      <c r="LFM4" s="2"/>
      <c r="LFN4" s="2"/>
      <c r="LFO4" s="2"/>
      <c r="LFP4" s="2"/>
      <c r="LFQ4" s="2"/>
      <c r="LFR4" s="2"/>
      <c r="LFS4" s="2"/>
      <c r="LFT4" s="2"/>
      <c r="LFU4" s="2"/>
      <c r="LFV4" s="2"/>
      <c r="LFW4" s="2"/>
      <c r="LFX4" s="2"/>
      <c r="LFY4" s="2"/>
      <c r="LFZ4" s="2"/>
      <c r="LGA4" s="2"/>
      <c r="LGB4" s="2"/>
      <c r="LGC4" s="2"/>
      <c r="LGD4" s="2"/>
      <c r="LGE4" s="2"/>
      <c r="LGF4" s="2"/>
      <c r="LGG4" s="2"/>
      <c r="LGH4" s="2"/>
      <c r="LGI4" s="2"/>
      <c r="LGJ4" s="2"/>
      <c r="LGK4" s="2"/>
      <c r="LGL4" s="2"/>
      <c r="LGM4" s="2"/>
      <c r="LGN4" s="2"/>
      <c r="LGO4" s="2"/>
      <c r="LGP4" s="2"/>
      <c r="LGQ4" s="2"/>
      <c r="LGR4" s="2"/>
      <c r="LGS4" s="2"/>
      <c r="LGT4" s="2"/>
      <c r="LGU4" s="2"/>
      <c r="LGV4" s="2"/>
      <c r="LGW4" s="2"/>
      <c r="LGX4" s="2"/>
      <c r="LGY4" s="2"/>
      <c r="LGZ4" s="2"/>
      <c r="LHA4" s="2"/>
      <c r="LHB4" s="2"/>
      <c r="LHC4" s="2"/>
      <c r="LHD4" s="2"/>
      <c r="LHE4" s="2"/>
      <c r="LHF4" s="2"/>
      <c r="LHG4" s="2"/>
      <c r="LHH4" s="2"/>
      <c r="LHI4" s="2"/>
      <c r="LHJ4" s="2"/>
      <c r="LHK4" s="2"/>
      <c r="LHL4" s="2"/>
      <c r="LHM4" s="2"/>
      <c r="LHN4" s="2"/>
      <c r="LHO4" s="2"/>
      <c r="LHP4" s="2"/>
      <c r="LHQ4" s="2"/>
      <c r="LHR4" s="2"/>
      <c r="LHS4" s="2"/>
      <c r="LHT4" s="2"/>
      <c r="LHU4" s="2"/>
      <c r="LHV4" s="2"/>
      <c r="LHW4" s="2"/>
      <c r="LHX4" s="2"/>
      <c r="LHY4" s="2"/>
      <c r="LHZ4" s="2"/>
      <c r="LIA4" s="2"/>
      <c r="LIB4" s="2"/>
      <c r="LIC4" s="2"/>
      <c r="LID4" s="2"/>
      <c r="LIE4" s="2"/>
      <c r="LIF4" s="2"/>
      <c r="LIG4" s="2"/>
      <c r="LIH4" s="2"/>
      <c r="LII4" s="2"/>
      <c r="LIJ4" s="2"/>
      <c r="LIK4" s="2"/>
      <c r="LIL4" s="2"/>
      <c r="LIM4" s="2"/>
      <c r="LIN4" s="2"/>
      <c r="LIO4" s="2"/>
      <c r="LIP4" s="2"/>
      <c r="LIQ4" s="2"/>
      <c r="LIR4" s="2"/>
      <c r="LIS4" s="2"/>
      <c r="LIT4" s="2"/>
      <c r="LIU4" s="2"/>
      <c r="LIV4" s="2"/>
      <c r="LIW4" s="2"/>
      <c r="LIX4" s="2"/>
      <c r="LIY4" s="2"/>
      <c r="LIZ4" s="2"/>
      <c r="LJA4" s="2"/>
      <c r="LJB4" s="2"/>
      <c r="LJC4" s="2"/>
      <c r="LJD4" s="2"/>
      <c r="LJE4" s="2"/>
      <c r="LJF4" s="2"/>
      <c r="LJG4" s="2"/>
      <c r="LJH4" s="2"/>
      <c r="LJI4" s="2"/>
      <c r="LJJ4" s="2"/>
      <c r="LJK4" s="2"/>
      <c r="LJL4" s="2"/>
      <c r="LJM4" s="2"/>
      <c r="LJN4" s="2"/>
      <c r="LJO4" s="2"/>
      <c r="LJP4" s="2"/>
      <c r="LJQ4" s="2"/>
      <c r="LJR4" s="2"/>
      <c r="LJS4" s="2"/>
      <c r="LJT4" s="2"/>
      <c r="LJU4" s="2"/>
      <c r="LJV4" s="2"/>
      <c r="LJW4" s="2"/>
      <c r="LJX4" s="2"/>
      <c r="LJY4" s="2"/>
      <c r="LJZ4" s="2"/>
      <c r="LKA4" s="2"/>
      <c r="LKB4" s="2"/>
      <c r="LKC4" s="2"/>
      <c r="LKD4" s="2"/>
      <c r="LKE4" s="2"/>
      <c r="LKF4" s="2"/>
      <c r="LKG4" s="2"/>
      <c r="LKH4" s="2"/>
      <c r="LKI4" s="2"/>
      <c r="LKJ4" s="2"/>
      <c r="LKK4" s="2"/>
      <c r="LKL4" s="2"/>
      <c r="LKM4" s="2"/>
      <c r="LKN4" s="2"/>
      <c r="LKO4" s="2"/>
      <c r="LKP4" s="2"/>
      <c r="LKQ4" s="2"/>
      <c r="LKR4" s="2"/>
      <c r="LKS4" s="2"/>
      <c r="LKT4" s="2"/>
      <c r="LKU4" s="2"/>
      <c r="LKV4" s="2"/>
      <c r="LKW4" s="2"/>
      <c r="LKX4" s="2"/>
      <c r="LKY4" s="2"/>
      <c r="LKZ4" s="2"/>
      <c r="LLA4" s="2"/>
      <c r="LLB4" s="2"/>
      <c r="LLC4" s="2"/>
      <c r="LLD4" s="2"/>
      <c r="LLE4" s="2"/>
      <c r="LLF4" s="2"/>
      <c r="LLG4" s="2"/>
      <c r="LLH4" s="2"/>
      <c r="LLI4" s="2"/>
      <c r="LLJ4" s="2"/>
      <c r="LLK4" s="2"/>
      <c r="LLL4" s="2"/>
      <c r="LLM4" s="2"/>
      <c r="LLN4" s="2"/>
      <c r="LLO4" s="2"/>
      <c r="LLP4" s="2"/>
      <c r="LLQ4" s="2"/>
      <c r="LLR4" s="2"/>
      <c r="LLS4" s="2"/>
      <c r="LLT4" s="2"/>
      <c r="LLU4" s="2"/>
      <c r="LLV4" s="2"/>
      <c r="LLW4" s="2"/>
      <c r="LLX4" s="2"/>
      <c r="LLY4" s="2"/>
      <c r="LLZ4" s="2"/>
      <c r="LMA4" s="2"/>
      <c r="LMB4" s="2"/>
      <c r="LMC4" s="2"/>
      <c r="LMD4" s="2"/>
      <c r="LME4" s="2"/>
      <c r="LMF4" s="2"/>
      <c r="LMG4" s="2"/>
      <c r="LMH4" s="2"/>
      <c r="LMI4" s="2"/>
      <c r="LMJ4" s="2"/>
      <c r="LMK4" s="2"/>
      <c r="LML4" s="2"/>
      <c r="LMM4" s="2"/>
      <c r="LMN4" s="2"/>
      <c r="LMO4" s="2"/>
      <c r="LMP4" s="2"/>
      <c r="LMQ4" s="2"/>
      <c r="LMR4" s="2"/>
      <c r="LMS4" s="2"/>
      <c r="LMT4" s="2"/>
      <c r="LMU4" s="2"/>
      <c r="LMV4" s="2"/>
      <c r="LMW4" s="2"/>
      <c r="LMX4" s="2"/>
      <c r="LMY4" s="2"/>
      <c r="LMZ4" s="2"/>
      <c r="LNA4" s="2"/>
      <c r="LNB4" s="2"/>
      <c r="LNC4" s="2"/>
      <c r="LND4" s="2"/>
      <c r="LNE4" s="2"/>
      <c r="LNF4" s="2"/>
      <c r="LNG4" s="2"/>
      <c r="LNH4" s="2"/>
      <c r="LNI4" s="2"/>
      <c r="LNJ4" s="2"/>
      <c r="LNK4" s="2"/>
      <c r="LNL4" s="2"/>
      <c r="LNM4" s="2"/>
      <c r="LNN4" s="2"/>
      <c r="LNO4" s="2"/>
      <c r="LNP4" s="2"/>
      <c r="LNQ4" s="2"/>
      <c r="LNR4" s="2"/>
      <c r="LNS4" s="2"/>
      <c r="LNT4" s="2"/>
      <c r="LNU4" s="2"/>
      <c r="LNV4" s="2"/>
      <c r="LNW4" s="2"/>
      <c r="LNX4" s="2"/>
      <c r="LNY4" s="2"/>
      <c r="LNZ4" s="2"/>
      <c r="LOA4" s="2"/>
      <c r="LOB4" s="2"/>
      <c r="LOC4" s="2"/>
      <c r="LOD4" s="2"/>
      <c r="LOE4" s="2"/>
      <c r="LOF4" s="2"/>
      <c r="LOG4" s="2"/>
      <c r="LOH4" s="2"/>
      <c r="LOI4" s="2"/>
      <c r="LOJ4" s="2"/>
      <c r="LOK4" s="2"/>
      <c r="LOL4" s="2"/>
      <c r="LOM4" s="2"/>
      <c r="LON4" s="2"/>
      <c r="LOO4" s="2"/>
      <c r="LOP4" s="2"/>
      <c r="LOQ4" s="2"/>
      <c r="LOR4" s="2"/>
      <c r="LOS4" s="2"/>
      <c r="LOT4" s="2"/>
      <c r="LOU4" s="2"/>
      <c r="LOV4" s="2"/>
      <c r="LOW4" s="2"/>
      <c r="LOX4" s="2"/>
      <c r="LOY4" s="2"/>
      <c r="LOZ4" s="2"/>
      <c r="LPA4" s="2"/>
      <c r="LPB4" s="2"/>
      <c r="LPC4" s="2"/>
      <c r="LPD4" s="2"/>
      <c r="LPE4" s="2"/>
      <c r="LPF4" s="2"/>
      <c r="LPG4" s="2"/>
      <c r="LPH4" s="2"/>
      <c r="LPI4" s="2"/>
      <c r="LPJ4" s="2"/>
      <c r="LPK4" s="2"/>
      <c r="LPL4" s="2"/>
      <c r="LPM4" s="2"/>
      <c r="LPN4" s="2"/>
      <c r="LPO4" s="2"/>
      <c r="LPP4" s="2"/>
      <c r="LPQ4" s="2"/>
      <c r="LPR4" s="2"/>
      <c r="LPS4" s="2"/>
      <c r="LPT4" s="2"/>
      <c r="LPU4" s="2"/>
      <c r="LPV4" s="2"/>
      <c r="LPW4" s="2"/>
      <c r="LPX4" s="2"/>
      <c r="LPY4" s="2"/>
      <c r="LPZ4" s="2"/>
      <c r="LQA4" s="2"/>
      <c r="LQB4" s="2"/>
      <c r="LQC4" s="2"/>
      <c r="LQD4" s="2"/>
      <c r="LQE4" s="2"/>
      <c r="LQF4" s="2"/>
      <c r="LQG4" s="2"/>
      <c r="LQH4" s="2"/>
      <c r="LQI4" s="2"/>
      <c r="LQJ4" s="2"/>
      <c r="LQK4" s="2"/>
      <c r="LQL4" s="2"/>
      <c r="LQM4" s="2"/>
      <c r="LQN4" s="2"/>
      <c r="LQO4" s="2"/>
      <c r="LQP4" s="2"/>
      <c r="LQQ4" s="2"/>
      <c r="LQR4" s="2"/>
      <c r="LQS4" s="2"/>
      <c r="LQT4" s="2"/>
      <c r="LQU4" s="2"/>
      <c r="LQV4" s="2"/>
      <c r="LQW4" s="2"/>
      <c r="LQX4" s="2"/>
      <c r="LQY4" s="2"/>
      <c r="LQZ4" s="2"/>
      <c r="LRA4" s="2"/>
      <c r="LRB4" s="2"/>
      <c r="LRC4" s="2"/>
      <c r="LRD4" s="2"/>
      <c r="LRE4" s="2"/>
      <c r="LRF4" s="2"/>
      <c r="LRG4" s="2"/>
      <c r="LRH4" s="2"/>
      <c r="LRI4" s="2"/>
      <c r="LRJ4" s="2"/>
      <c r="LRK4" s="2"/>
      <c r="LRL4" s="2"/>
      <c r="LRM4" s="2"/>
      <c r="LRN4" s="2"/>
      <c r="LRO4" s="2"/>
      <c r="LRP4" s="2"/>
      <c r="LRQ4" s="2"/>
      <c r="LRR4" s="2"/>
      <c r="LRS4" s="2"/>
      <c r="LRT4" s="2"/>
      <c r="LRU4" s="2"/>
      <c r="LRV4" s="2"/>
      <c r="LRW4" s="2"/>
      <c r="LRX4" s="2"/>
      <c r="LRY4" s="2"/>
      <c r="LRZ4" s="2"/>
      <c r="LSA4" s="2"/>
      <c r="LSB4" s="2"/>
      <c r="LSC4" s="2"/>
      <c r="LSD4" s="2"/>
      <c r="LSE4" s="2"/>
      <c r="LSF4" s="2"/>
      <c r="LSG4" s="2"/>
      <c r="LSH4" s="2"/>
      <c r="LSI4" s="2"/>
      <c r="LSJ4" s="2"/>
      <c r="LSK4" s="2"/>
      <c r="LSL4" s="2"/>
      <c r="LSM4" s="2"/>
      <c r="LSN4" s="2"/>
      <c r="LSO4" s="2"/>
      <c r="LSP4" s="2"/>
      <c r="LSQ4" s="2"/>
      <c r="LSR4" s="2"/>
      <c r="LSS4" s="2"/>
      <c r="LST4" s="2"/>
      <c r="LSU4" s="2"/>
      <c r="LSV4" s="2"/>
      <c r="LSW4" s="2"/>
      <c r="LSX4" s="2"/>
      <c r="LSY4" s="2"/>
      <c r="LSZ4" s="2"/>
      <c r="LTA4" s="2"/>
      <c r="LTB4" s="2"/>
      <c r="LTC4" s="2"/>
      <c r="LTD4" s="2"/>
      <c r="LTE4" s="2"/>
      <c r="LTF4" s="2"/>
      <c r="LTG4" s="2"/>
      <c r="LTH4" s="2"/>
      <c r="LTI4" s="2"/>
      <c r="LTJ4" s="2"/>
      <c r="LTK4" s="2"/>
      <c r="LTL4" s="2"/>
      <c r="LTM4" s="2"/>
      <c r="LTN4" s="2"/>
      <c r="LTO4" s="2"/>
      <c r="LTP4" s="2"/>
      <c r="LTQ4" s="2"/>
      <c r="LTR4" s="2"/>
      <c r="LTS4" s="2"/>
      <c r="LTT4" s="2"/>
      <c r="LTU4" s="2"/>
      <c r="LTV4" s="2"/>
      <c r="LTW4" s="2"/>
      <c r="LTX4" s="2"/>
      <c r="LTY4" s="2"/>
      <c r="LTZ4" s="2"/>
      <c r="LUA4" s="2"/>
      <c r="LUB4" s="2"/>
      <c r="LUC4" s="2"/>
      <c r="LUD4" s="2"/>
      <c r="LUE4" s="2"/>
      <c r="LUF4" s="2"/>
      <c r="LUG4" s="2"/>
      <c r="LUH4" s="2"/>
      <c r="LUI4" s="2"/>
      <c r="LUJ4" s="2"/>
      <c r="LUK4" s="2"/>
      <c r="LUL4" s="2"/>
      <c r="LUM4" s="2"/>
      <c r="LUN4" s="2"/>
      <c r="LUO4" s="2"/>
      <c r="LUP4" s="2"/>
      <c r="LUQ4" s="2"/>
      <c r="LUR4" s="2"/>
      <c r="LUS4" s="2"/>
      <c r="LUT4" s="2"/>
      <c r="LUU4" s="2"/>
      <c r="LUV4" s="2"/>
      <c r="LUW4" s="2"/>
      <c r="LUX4" s="2"/>
      <c r="LUY4" s="2"/>
      <c r="LUZ4" s="2"/>
      <c r="LVA4" s="2"/>
      <c r="LVB4" s="2"/>
      <c r="LVC4" s="2"/>
      <c r="LVD4" s="2"/>
      <c r="LVE4" s="2"/>
      <c r="LVF4" s="2"/>
      <c r="LVG4" s="2"/>
      <c r="LVH4" s="2"/>
      <c r="LVI4" s="2"/>
      <c r="LVJ4" s="2"/>
      <c r="LVK4" s="2"/>
      <c r="LVL4" s="2"/>
      <c r="LVM4" s="2"/>
      <c r="LVN4" s="2"/>
      <c r="LVO4" s="2"/>
      <c r="LVP4" s="2"/>
      <c r="LVQ4" s="2"/>
      <c r="LVR4" s="2"/>
      <c r="LVS4" s="2"/>
      <c r="LVT4" s="2"/>
      <c r="LVU4" s="2"/>
      <c r="LVV4" s="2"/>
      <c r="LVW4" s="2"/>
      <c r="LVX4" s="2"/>
      <c r="LVY4" s="2"/>
      <c r="LVZ4" s="2"/>
      <c r="LWA4" s="2"/>
      <c r="LWB4" s="2"/>
      <c r="LWC4" s="2"/>
      <c r="LWD4" s="2"/>
      <c r="LWE4" s="2"/>
      <c r="LWF4" s="2"/>
      <c r="LWG4" s="2"/>
      <c r="LWH4" s="2"/>
      <c r="LWI4" s="2"/>
      <c r="LWJ4" s="2"/>
      <c r="LWK4" s="2"/>
      <c r="LWL4" s="2"/>
      <c r="LWM4" s="2"/>
      <c r="LWN4" s="2"/>
      <c r="LWO4" s="2"/>
      <c r="LWP4" s="2"/>
      <c r="LWQ4" s="2"/>
      <c r="LWR4" s="2"/>
      <c r="LWS4" s="2"/>
      <c r="LWT4" s="2"/>
      <c r="LWU4" s="2"/>
      <c r="LWV4" s="2"/>
      <c r="LWW4" s="2"/>
      <c r="LWX4" s="2"/>
      <c r="LWY4" s="2"/>
      <c r="LWZ4" s="2"/>
      <c r="LXA4" s="2"/>
      <c r="LXB4" s="2"/>
      <c r="LXC4" s="2"/>
      <c r="LXD4" s="2"/>
      <c r="LXE4" s="2"/>
      <c r="LXF4" s="2"/>
      <c r="LXG4" s="2"/>
      <c r="LXH4" s="2"/>
      <c r="LXI4" s="2"/>
      <c r="LXJ4" s="2"/>
      <c r="LXK4" s="2"/>
      <c r="LXL4" s="2"/>
      <c r="LXM4" s="2"/>
      <c r="LXN4" s="2"/>
      <c r="LXO4" s="2"/>
      <c r="LXP4" s="2"/>
      <c r="LXQ4" s="2"/>
      <c r="LXR4" s="2"/>
      <c r="LXS4" s="2"/>
      <c r="LXT4" s="2"/>
      <c r="LXU4" s="2"/>
      <c r="LXV4" s="2"/>
      <c r="LXW4" s="2"/>
      <c r="LXX4" s="2"/>
      <c r="LXY4" s="2"/>
      <c r="LXZ4" s="2"/>
      <c r="LYA4" s="2"/>
      <c r="LYB4" s="2"/>
      <c r="LYC4" s="2"/>
      <c r="LYD4" s="2"/>
      <c r="LYE4" s="2"/>
      <c r="LYF4" s="2"/>
      <c r="LYG4" s="2"/>
      <c r="LYH4" s="2"/>
      <c r="LYI4" s="2"/>
      <c r="LYJ4" s="2"/>
      <c r="LYK4" s="2"/>
      <c r="LYL4" s="2"/>
      <c r="LYM4" s="2"/>
      <c r="LYN4" s="2"/>
      <c r="LYO4" s="2"/>
      <c r="LYP4" s="2"/>
      <c r="LYQ4" s="2"/>
      <c r="LYR4" s="2"/>
      <c r="LYS4" s="2"/>
      <c r="LYT4" s="2"/>
      <c r="LYU4" s="2"/>
      <c r="LYV4" s="2"/>
      <c r="LYW4" s="2"/>
      <c r="LYX4" s="2"/>
      <c r="LYY4" s="2"/>
      <c r="LYZ4" s="2"/>
      <c r="LZA4" s="2"/>
      <c r="LZB4" s="2"/>
      <c r="LZC4" s="2"/>
      <c r="LZD4" s="2"/>
      <c r="LZE4" s="2"/>
      <c r="LZF4" s="2"/>
      <c r="LZG4" s="2"/>
      <c r="LZH4" s="2"/>
      <c r="LZI4" s="2"/>
      <c r="LZJ4" s="2"/>
      <c r="LZK4" s="2"/>
      <c r="LZL4" s="2"/>
      <c r="LZM4" s="2"/>
      <c r="LZN4" s="2"/>
      <c r="LZO4" s="2"/>
      <c r="LZP4" s="2"/>
      <c r="LZQ4" s="2"/>
      <c r="LZR4" s="2"/>
      <c r="LZS4" s="2"/>
      <c r="LZT4" s="2"/>
      <c r="LZU4" s="2"/>
      <c r="LZV4" s="2"/>
      <c r="LZW4" s="2"/>
      <c r="LZX4" s="2"/>
      <c r="LZY4" s="2"/>
      <c r="LZZ4" s="2"/>
      <c r="MAA4" s="2"/>
      <c r="MAB4" s="2"/>
      <c r="MAC4" s="2"/>
      <c r="MAD4" s="2"/>
      <c r="MAE4" s="2"/>
      <c r="MAF4" s="2"/>
      <c r="MAG4" s="2"/>
      <c r="MAH4" s="2"/>
      <c r="MAI4" s="2"/>
      <c r="MAJ4" s="2"/>
      <c r="MAK4" s="2"/>
      <c r="MAL4" s="2"/>
      <c r="MAM4" s="2"/>
      <c r="MAN4" s="2"/>
      <c r="MAO4" s="2"/>
      <c r="MAP4" s="2"/>
      <c r="MAQ4" s="2"/>
      <c r="MAR4" s="2"/>
      <c r="MAS4" s="2"/>
      <c r="MAT4" s="2"/>
      <c r="MAU4" s="2"/>
      <c r="MAV4" s="2"/>
      <c r="MAW4" s="2"/>
      <c r="MAX4" s="2"/>
      <c r="MAY4" s="2"/>
      <c r="MAZ4" s="2"/>
      <c r="MBA4" s="2"/>
      <c r="MBB4" s="2"/>
      <c r="MBC4" s="2"/>
      <c r="MBD4" s="2"/>
      <c r="MBE4" s="2"/>
      <c r="MBF4" s="2"/>
      <c r="MBG4" s="2"/>
      <c r="MBH4" s="2"/>
      <c r="MBI4" s="2"/>
      <c r="MBJ4" s="2"/>
      <c r="MBK4" s="2"/>
      <c r="MBL4" s="2"/>
      <c r="MBM4" s="2"/>
      <c r="MBN4" s="2"/>
      <c r="MBO4" s="2"/>
      <c r="MBP4" s="2"/>
      <c r="MBQ4" s="2"/>
      <c r="MBR4" s="2"/>
      <c r="MBS4" s="2"/>
      <c r="MBT4" s="2"/>
      <c r="MBU4" s="2"/>
      <c r="MBV4" s="2"/>
      <c r="MBW4" s="2"/>
      <c r="MBX4" s="2"/>
      <c r="MBY4" s="2"/>
      <c r="MBZ4" s="2"/>
      <c r="MCA4" s="2"/>
      <c r="MCB4" s="2"/>
      <c r="MCC4" s="2"/>
      <c r="MCD4" s="2"/>
      <c r="MCE4" s="2"/>
      <c r="MCF4" s="2"/>
      <c r="MCG4" s="2"/>
      <c r="MCH4" s="2"/>
      <c r="MCI4" s="2"/>
      <c r="MCJ4" s="2"/>
      <c r="MCK4" s="2"/>
      <c r="MCL4" s="2"/>
      <c r="MCM4" s="2"/>
      <c r="MCN4" s="2"/>
      <c r="MCO4" s="2"/>
      <c r="MCP4" s="2"/>
      <c r="MCQ4" s="2"/>
      <c r="MCR4" s="2"/>
      <c r="MCS4" s="2"/>
      <c r="MCT4" s="2"/>
      <c r="MCU4" s="2"/>
      <c r="MCV4" s="2"/>
      <c r="MCW4" s="2"/>
      <c r="MCX4" s="2"/>
      <c r="MCY4" s="2"/>
      <c r="MCZ4" s="2"/>
      <c r="MDA4" s="2"/>
      <c r="MDB4" s="2"/>
      <c r="MDC4" s="2"/>
      <c r="MDD4" s="2"/>
      <c r="MDE4" s="2"/>
      <c r="MDF4" s="2"/>
      <c r="MDG4" s="2"/>
      <c r="MDH4" s="2"/>
      <c r="MDI4" s="2"/>
      <c r="MDJ4" s="2"/>
      <c r="MDK4" s="2"/>
      <c r="MDL4" s="2"/>
      <c r="MDM4" s="2"/>
      <c r="MDN4" s="2"/>
      <c r="MDO4" s="2"/>
      <c r="MDP4" s="2"/>
      <c r="MDQ4" s="2"/>
      <c r="MDR4" s="2"/>
      <c r="MDS4" s="2"/>
      <c r="MDT4" s="2"/>
      <c r="MDU4" s="2"/>
      <c r="MDV4" s="2"/>
      <c r="MDW4" s="2"/>
      <c r="MDX4" s="2"/>
      <c r="MDY4" s="2"/>
      <c r="MDZ4" s="2"/>
      <c r="MEA4" s="2"/>
      <c r="MEB4" s="2"/>
      <c r="MEC4" s="2"/>
      <c r="MED4" s="2"/>
      <c r="MEE4" s="2"/>
      <c r="MEF4" s="2"/>
      <c r="MEG4" s="2"/>
      <c r="MEH4" s="2"/>
      <c r="MEI4" s="2"/>
      <c r="MEJ4" s="2"/>
      <c r="MEK4" s="2"/>
      <c r="MEL4" s="2"/>
      <c r="MEM4" s="2"/>
      <c r="MEN4" s="2"/>
      <c r="MEO4" s="2"/>
      <c r="MEP4" s="2"/>
      <c r="MEQ4" s="2"/>
      <c r="MER4" s="2"/>
      <c r="MES4" s="2"/>
      <c r="MET4" s="2"/>
      <c r="MEU4" s="2"/>
      <c r="MEV4" s="2"/>
      <c r="MEW4" s="2"/>
      <c r="MEX4" s="2"/>
      <c r="MEY4" s="2"/>
      <c r="MEZ4" s="2"/>
      <c r="MFA4" s="2"/>
      <c r="MFB4" s="2"/>
      <c r="MFC4" s="2"/>
      <c r="MFD4" s="2"/>
      <c r="MFE4" s="2"/>
      <c r="MFF4" s="2"/>
      <c r="MFG4" s="2"/>
      <c r="MFH4" s="2"/>
      <c r="MFI4" s="2"/>
      <c r="MFJ4" s="2"/>
      <c r="MFK4" s="2"/>
      <c r="MFL4" s="2"/>
      <c r="MFM4" s="2"/>
      <c r="MFN4" s="2"/>
      <c r="MFO4" s="2"/>
      <c r="MFP4" s="2"/>
      <c r="MFQ4" s="2"/>
      <c r="MFR4" s="2"/>
      <c r="MFS4" s="2"/>
      <c r="MFT4" s="2"/>
      <c r="MFU4" s="2"/>
      <c r="MFV4" s="2"/>
      <c r="MFW4" s="2"/>
      <c r="MFX4" s="2"/>
      <c r="MFY4" s="2"/>
      <c r="MFZ4" s="2"/>
      <c r="MGA4" s="2"/>
      <c r="MGB4" s="2"/>
      <c r="MGC4" s="2"/>
      <c r="MGD4" s="2"/>
      <c r="MGE4" s="2"/>
      <c r="MGF4" s="2"/>
      <c r="MGG4" s="2"/>
      <c r="MGH4" s="2"/>
      <c r="MGI4" s="2"/>
      <c r="MGJ4" s="2"/>
      <c r="MGK4" s="2"/>
      <c r="MGL4" s="2"/>
      <c r="MGM4" s="2"/>
      <c r="MGN4" s="2"/>
      <c r="MGO4" s="2"/>
      <c r="MGP4" s="2"/>
      <c r="MGQ4" s="2"/>
      <c r="MGR4" s="2"/>
      <c r="MGS4" s="2"/>
      <c r="MGT4" s="2"/>
      <c r="MGU4" s="2"/>
      <c r="MGV4" s="2"/>
      <c r="MGW4" s="2"/>
      <c r="MGX4" s="2"/>
      <c r="MGY4" s="2"/>
      <c r="MGZ4" s="2"/>
      <c r="MHA4" s="2"/>
      <c r="MHB4" s="2"/>
      <c r="MHC4" s="2"/>
      <c r="MHD4" s="2"/>
      <c r="MHE4" s="2"/>
      <c r="MHF4" s="2"/>
      <c r="MHG4" s="2"/>
      <c r="MHH4" s="2"/>
      <c r="MHI4" s="2"/>
      <c r="MHJ4" s="2"/>
      <c r="MHK4" s="2"/>
      <c r="MHL4" s="2"/>
      <c r="MHM4" s="2"/>
      <c r="MHN4" s="2"/>
      <c r="MHO4" s="2"/>
      <c r="MHP4" s="2"/>
      <c r="MHQ4" s="2"/>
      <c r="MHR4" s="2"/>
      <c r="MHS4" s="2"/>
      <c r="MHT4" s="2"/>
      <c r="MHU4" s="2"/>
      <c r="MHV4" s="2"/>
      <c r="MHW4" s="2"/>
      <c r="MHX4" s="2"/>
      <c r="MHY4" s="2"/>
      <c r="MHZ4" s="2"/>
      <c r="MIA4" s="2"/>
      <c r="MIB4" s="2"/>
      <c r="MIC4" s="2"/>
      <c r="MID4" s="2"/>
      <c r="MIE4" s="2"/>
      <c r="MIF4" s="2"/>
      <c r="MIG4" s="2"/>
      <c r="MIH4" s="2"/>
      <c r="MII4" s="2"/>
      <c r="MIJ4" s="2"/>
      <c r="MIK4" s="2"/>
      <c r="MIL4" s="2"/>
      <c r="MIM4" s="2"/>
      <c r="MIN4" s="2"/>
      <c r="MIO4" s="2"/>
      <c r="MIP4" s="2"/>
      <c r="MIQ4" s="2"/>
      <c r="MIR4" s="2"/>
      <c r="MIS4" s="2"/>
      <c r="MIT4" s="2"/>
      <c r="MIU4" s="2"/>
      <c r="MIV4" s="2"/>
      <c r="MIW4" s="2"/>
      <c r="MIX4" s="2"/>
      <c r="MIY4" s="2"/>
      <c r="MIZ4" s="2"/>
      <c r="MJA4" s="2"/>
      <c r="MJB4" s="2"/>
      <c r="MJC4" s="2"/>
      <c r="MJD4" s="2"/>
      <c r="MJE4" s="2"/>
      <c r="MJF4" s="2"/>
      <c r="MJG4" s="2"/>
      <c r="MJH4" s="2"/>
      <c r="MJI4" s="2"/>
      <c r="MJJ4" s="2"/>
      <c r="MJK4" s="2"/>
      <c r="MJL4" s="2"/>
      <c r="MJM4" s="2"/>
      <c r="MJN4" s="2"/>
      <c r="MJO4" s="2"/>
      <c r="MJP4" s="2"/>
      <c r="MJQ4" s="2"/>
      <c r="MJR4" s="2"/>
      <c r="MJS4" s="2"/>
      <c r="MJT4" s="2"/>
      <c r="MJU4" s="2"/>
      <c r="MJV4" s="2"/>
      <c r="MJW4" s="2"/>
      <c r="MJX4" s="2"/>
      <c r="MJY4" s="2"/>
      <c r="MJZ4" s="2"/>
      <c r="MKA4" s="2"/>
      <c r="MKB4" s="2"/>
      <c r="MKC4" s="2"/>
      <c r="MKD4" s="2"/>
      <c r="MKE4" s="2"/>
      <c r="MKF4" s="2"/>
      <c r="MKG4" s="2"/>
      <c r="MKH4" s="2"/>
      <c r="MKI4" s="2"/>
      <c r="MKJ4" s="2"/>
      <c r="MKK4" s="2"/>
      <c r="MKL4" s="2"/>
      <c r="MKM4" s="2"/>
      <c r="MKN4" s="2"/>
      <c r="MKO4" s="2"/>
      <c r="MKP4" s="2"/>
      <c r="MKQ4" s="2"/>
      <c r="MKR4" s="2"/>
      <c r="MKS4" s="2"/>
      <c r="MKT4" s="2"/>
      <c r="MKU4" s="2"/>
      <c r="MKV4" s="2"/>
      <c r="MKW4" s="2"/>
      <c r="MKX4" s="2"/>
      <c r="MKY4" s="2"/>
      <c r="MKZ4" s="2"/>
      <c r="MLA4" s="2"/>
      <c r="MLB4" s="2"/>
      <c r="MLC4" s="2"/>
      <c r="MLD4" s="2"/>
      <c r="MLE4" s="2"/>
      <c r="MLF4" s="2"/>
      <c r="MLG4" s="2"/>
      <c r="MLH4" s="2"/>
      <c r="MLI4" s="2"/>
      <c r="MLJ4" s="2"/>
      <c r="MLK4" s="2"/>
      <c r="MLL4" s="2"/>
      <c r="MLM4" s="2"/>
      <c r="MLN4" s="2"/>
      <c r="MLO4" s="2"/>
      <c r="MLP4" s="2"/>
      <c r="MLQ4" s="2"/>
      <c r="MLR4" s="2"/>
      <c r="MLS4" s="2"/>
      <c r="MLT4" s="2"/>
      <c r="MLU4" s="2"/>
      <c r="MLV4" s="2"/>
      <c r="MLW4" s="2"/>
      <c r="MLX4" s="2"/>
      <c r="MLY4" s="2"/>
      <c r="MLZ4" s="2"/>
      <c r="MMA4" s="2"/>
      <c r="MMB4" s="2"/>
      <c r="MMC4" s="2"/>
      <c r="MMD4" s="2"/>
      <c r="MME4" s="2"/>
      <c r="MMF4" s="2"/>
      <c r="MMG4" s="2"/>
      <c r="MMH4" s="2"/>
      <c r="MMI4" s="2"/>
      <c r="MMJ4" s="2"/>
      <c r="MMK4" s="2"/>
      <c r="MML4" s="2"/>
      <c r="MMM4" s="2"/>
      <c r="MMN4" s="2"/>
      <c r="MMO4" s="2"/>
      <c r="MMP4" s="2"/>
      <c r="MMQ4" s="2"/>
      <c r="MMR4" s="2"/>
      <c r="MMS4" s="2"/>
      <c r="MMT4" s="2"/>
      <c r="MMU4" s="2"/>
      <c r="MMV4" s="2"/>
      <c r="MMW4" s="2"/>
      <c r="MMX4" s="2"/>
      <c r="MMY4" s="2"/>
      <c r="MMZ4" s="2"/>
      <c r="MNA4" s="2"/>
      <c r="MNB4" s="2"/>
      <c r="MNC4" s="2"/>
      <c r="MND4" s="2"/>
      <c r="MNE4" s="2"/>
      <c r="MNF4" s="2"/>
      <c r="MNG4" s="2"/>
      <c r="MNH4" s="2"/>
      <c r="MNI4" s="2"/>
      <c r="MNJ4" s="2"/>
      <c r="MNK4" s="2"/>
      <c r="MNL4" s="2"/>
      <c r="MNM4" s="2"/>
      <c r="MNN4" s="2"/>
      <c r="MNO4" s="2"/>
      <c r="MNP4" s="2"/>
      <c r="MNQ4" s="2"/>
      <c r="MNR4" s="2"/>
      <c r="MNS4" s="2"/>
      <c r="MNT4" s="2"/>
      <c r="MNU4" s="2"/>
      <c r="MNV4" s="2"/>
      <c r="MNW4" s="2"/>
      <c r="MNX4" s="2"/>
      <c r="MNY4" s="2"/>
      <c r="MNZ4" s="2"/>
      <c r="MOA4" s="2"/>
      <c r="MOB4" s="2"/>
      <c r="MOC4" s="2"/>
      <c r="MOD4" s="2"/>
      <c r="MOE4" s="2"/>
      <c r="MOF4" s="2"/>
      <c r="MOG4" s="2"/>
      <c r="MOH4" s="2"/>
      <c r="MOI4" s="2"/>
      <c r="MOJ4" s="2"/>
      <c r="MOK4" s="2"/>
      <c r="MOL4" s="2"/>
      <c r="MOM4" s="2"/>
      <c r="MON4" s="2"/>
      <c r="MOO4" s="2"/>
      <c r="MOP4" s="2"/>
      <c r="MOQ4" s="2"/>
      <c r="MOR4" s="2"/>
      <c r="MOS4" s="2"/>
      <c r="MOT4" s="2"/>
      <c r="MOU4" s="2"/>
      <c r="MOV4" s="2"/>
      <c r="MOW4" s="2"/>
      <c r="MOX4" s="2"/>
      <c r="MOY4" s="2"/>
      <c r="MOZ4" s="2"/>
      <c r="MPA4" s="2"/>
      <c r="MPB4" s="2"/>
      <c r="MPC4" s="2"/>
      <c r="MPD4" s="2"/>
      <c r="MPE4" s="2"/>
      <c r="MPF4" s="2"/>
      <c r="MPG4" s="2"/>
      <c r="MPH4" s="2"/>
      <c r="MPI4" s="2"/>
      <c r="MPJ4" s="2"/>
      <c r="MPK4" s="2"/>
      <c r="MPL4" s="2"/>
      <c r="MPM4" s="2"/>
      <c r="MPN4" s="2"/>
      <c r="MPO4" s="2"/>
      <c r="MPP4" s="2"/>
      <c r="MPQ4" s="2"/>
      <c r="MPR4" s="2"/>
      <c r="MPS4" s="2"/>
      <c r="MPT4" s="2"/>
      <c r="MPU4" s="2"/>
      <c r="MPV4" s="2"/>
      <c r="MPW4" s="2"/>
      <c r="MPX4" s="2"/>
      <c r="MPY4" s="2"/>
      <c r="MPZ4" s="2"/>
      <c r="MQA4" s="2"/>
      <c r="MQB4" s="2"/>
      <c r="MQC4" s="2"/>
      <c r="MQD4" s="2"/>
      <c r="MQE4" s="2"/>
      <c r="MQF4" s="2"/>
      <c r="MQG4" s="2"/>
      <c r="MQH4" s="2"/>
      <c r="MQI4" s="2"/>
      <c r="MQJ4" s="2"/>
      <c r="MQK4" s="2"/>
      <c r="MQL4" s="2"/>
      <c r="MQM4" s="2"/>
      <c r="MQN4" s="2"/>
      <c r="MQO4" s="2"/>
      <c r="MQP4" s="2"/>
      <c r="MQQ4" s="2"/>
      <c r="MQR4" s="2"/>
      <c r="MQS4" s="2"/>
      <c r="MQT4" s="2"/>
      <c r="MQU4" s="2"/>
      <c r="MQV4" s="2"/>
      <c r="MQW4" s="2"/>
      <c r="MQX4" s="2"/>
      <c r="MQY4" s="2"/>
      <c r="MQZ4" s="2"/>
      <c r="MRA4" s="2"/>
      <c r="MRB4" s="2"/>
      <c r="MRC4" s="2"/>
      <c r="MRD4" s="2"/>
      <c r="MRE4" s="2"/>
      <c r="MRF4" s="2"/>
      <c r="MRG4" s="2"/>
      <c r="MRH4" s="2"/>
      <c r="MRI4" s="2"/>
      <c r="MRJ4" s="2"/>
      <c r="MRK4" s="2"/>
      <c r="MRL4" s="2"/>
      <c r="MRM4" s="2"/>
      <c r="MRN4" s="2"/>
      <c r="MRO4" s="2"/>
      <c r="MRP4" s="2"/>
      <c r="MRQ4" s="2"/>
      <c r="MRR4" s="2"/>
      <c r="MRS4" s="2"/>
      <c r="MRT4" s="2"/>
      <c r="MRU4" s="2"/>
      <c r="MRV4" s="2"/>
      <c r="MRW4" s="2"/>
      <c r="MRX4" s="2"/>
      <c r="MRY4" s="2"/>
      <c r="MRZ4" s="2"/>
      <c r="MSA4" s="2"/>
      <c r="MSB4" s="2"/>
      <c r="MSC4" s="2"/>
      <c r="MSD4" s="2"/>
      <c r="MSE4" s="2"/>
      <c r="MSF4" s="2"/>
      <c r="MSG4" s="2"/>
      <c r="MSH4" s="2"/>
      <c r="MSI4" s="2"/>
      <c r="MSJ4" s="2"/>
      <c r="MSK4" s="2"/>
      <c r="MSL4" s="2"/>
      <c r="MSM4" s="2"/>
      <c r="MSN4" s="2"/>
      <c r="MSO4" s="2"/>
      <c r="MSP4" s="2"/>
      <c r="MSQ4" s="2"/>
      <c r="MSR4" s="2"/>
      <c r="MSS4" s="2"/>
      <c r="MST4" s="2"/>
      <c r="MSU4" s="2"/>
      <c r="MSV4" s="2"/>
      <c r="MSW4" s="2"/>
      <c r="MSX4" s="2"/>
      <c r="MSY4" s="2"/>
      <c r="MSZ4" s="2"/>
      <c r="MTA4" s="2"/>
      <c r="MTB4" s="2"/>
      <c r="MTC4" s="2"/>
      <c r="MTD4" s="2"/>
      <c r="MTE4" s="2"/>
      <c r="MTF4" s="2"/>
      <c r="MTG4" s="2"/>
      <c r="MTH4" s="2"/>
      <c r="MTI4" s="2"/>
      <c r="MTJ4" s="2"/>
      <c r="MTK4" s="2"/>
      <c r="MTL4" s="2"/>
      <c r="MTM4" s="2"/>
      <c r="MTN4" s="2"/>
      <c r="MTO4" s="2"/>
      <c r="MTP4" s="2"/>
      <c r="MTQ4" s="2"/>
      <c r="MTR4" s="2"/>
      <c r="MTS4" s="2"/>
      <c r="MTT4" s="2"/>
      <c r="MTU4" s="2"/>
      <c r="MTV4" s="2"/>
      <c r="MTW4" s="2"/>
      <c r="MTX4" s="2"/>
      <c r="MTY4" s="2"/>
      <c r="MTZ4" s="2"/>
      <c r="MUA4" s="2"/>
      <c r="MUB4" s="2"/>
      <c r="MUC4" s="2"/>
      <c r="MUD4" s="2"/>
      <c r="MUE4" s="2"/>
      <c r="MUF4" s="2"/>
      <c r="MUG4" s="2"/>
      <c r="MUH4" s="2"/>
      <c r="MUI4" s="2"/>
      <c r="MUJ4" s="2"/>
      <c r="MUK4" s="2"/>
      <c r="MUL4" s="2"/>
      <c r="MUM4" s="2"/>
      <c r="MUN4" s="2"/>
      <c r="MUO4" s="2"/>
      <c r="MUP4" s="2"/>
      <c r="MUQ4" s="2"/>
      <c r="MUR4" s="2"/>
      <c r="MUS4" s="2"/>
      <c r="MUT4" s="2"/>
      <c r="MUU4" s="2"/>
      <c r="MUV4" s="2"/>
      <c r="MUW4" s="2"/>
      <c r="MUX4" s="2"/>
      <c r="MUY4" s="2"/>
      <c r="MUZ4" s="2"/>
      <c r="MVA4" s="2"/>
      <c r="MVB4" s="2"/>
      <c r="MVC4" s="2"/>
      <c r="MVD4" s="2"/>
      <c r="MVE4" s="2"/>
      <c r="MVF4" s="2"/>
      <c r="MVG4" s="2"/>
      <c r="MVH4" s="2"/>
      <c r="MVI4" s="2"/>
      <c r="MVJ4" s="2"/>
      <c r="MVK4" s="2"/>
      <c r="MVL4" s="2"/>
      <c r="MVM4" s="2"/>
      <c r="MVN4" s="2"/>
      <c r="MVO4" s="2"/>
      <c r="MVP4" s="2"/>
      <c r="MVQ4" s="2"/>
      <c r="MVR4" s="2"/>
      <c r="MVS4" s="2"/>
      <c r="MVT4" s="2"/>
      <c r="MVU4" s="2"/>
      <c r="MVV4" s="2"/>
      <c r="MVW4" s="2"/>
      <c r="MVX4" s="2"/>
      <c r="MVY4" s="2"/>
      <c r="MVZ4" s="2"/>
      <c r="MWA4" s="2"/>
      <c r="MWB4" s="2"/>
      <c r="MWC4" s="2"/>
      <c r="MWD4" s="2"/>
      <c r="MWE4" s="2"/>
      <c r="MWF4" s="2"/>
      <c r="MWG4" s="2"/>
      <c r="MWH4" s="2"/>
      <c r="MWI4" s="2"/>
      <c r="MWJ4" s="2"/>
      <c r="MWK4" s="2"/>
      <c r="MWL4" s="2"/>
      <c r="MWM4" s="2"/>
      <c r="MWN4" s="2"/>
      <c r="MWO4" s="2"/>
      <c r="MWP4" s="2"/>
      <c r="MWQ4" s="2"/>
      <c r="MWR4" s="2"/>
      <c r="MWS4" s="2"/>
      <c r="MWT4" s="2"/>
      <c r="MWU4" s="2"/>
      <c r="MWV4" s="2"/>
      <c r="MWW4" s="2"/>
      <c r="MWX4" s="2"/>
      <c r="MWY4" s="2"/>
      <c r="MWZ4" s="2"/>
      <c r="MXA4" s="2"/>
      <c r="MXB4" s="2"/>
      <c r="MXC4" s="2"/>
      <c r="MXD4" s="2"/>
      <c r="MXE4" s="2"/>
      <c r="MXF4" s="2"/>
      <c r="MXG4" s="2"/>
      <c r="MXH4" s="2"/>
      <c r="MXI4" s="2"/>
      <c r="MXJ4" s="2"/>
      <c r="MXK4" s="2"/>
      <c r="MXL4" s="2"/>
      <c r="MXM4" s="2"/>
      <c r="MXN4" s="2"/>
      <c r="MXO4" s="2"/>
      <c r="MXP4" s="2"/>
      <c r="MXQ4" s="2"/>
      <c r="MXR4" s="2"/>
      <c r="MXS4" s="2"/>
      <c r="MXT4" s="2"/>
      <c r="MXU4" s="2"/>
      <c r="MXV4" s="2"/>
      <c r="MXW4" s="2"/>
      <c r="MXX4" s="2"/>
      <c r="MXY4" s="2"/>
      <c r="MXZ4" s="2"/>
      <c r="MYA4" s="2"/>
      <c r="MYB4" s="2"/>
      <c r="MYC4" s="2"/>
      <c r="MYD4" s="2"/>
      <c r="MYE4" s="2"/>
      <c r="MYF4" s="2"/>
      <c r="MYG4" s="2"/>
      <c r="MYH4" s="2"/>
      <c r="MYI4" s="2"/>
      <c r="MYJ4" s="2"/>
      <c r="MYK4" s="2"/>
      <c r="MYL4" s="2"/>
      <c r="MYM4" s="2"/>
      <c r="MYN4" s="2"/>
      <c r="MYO4" s="2"/>
      <c r="MYP4" s="2"/>
      <c r="MYQ4" s="2"/>
      <c r="MYR4" s="2"/>
      <c r="MYS4" s="2"/>
      <c r="MYT4" s="2"/>
      <c r="MYU4" s="2"/>
      <c r="MYV4" s="2"/>
      <c r="MYW4" s="2"/>
      <c r="MYX4" s="2"/>
      <c r="MYY4" s="2"/>
      <c r="MYZ4" s="2"/>
      <c r="MZA4" s="2"/>
      <c r="MZB4" s="2"/>
      <c r="MZC4" s="2"/>
      <c r="MZD4" s="2"/>
      <c r="MZE4" s="2"/>
      <c r="MZF4" s="2"/>
      <c r="MZG4" s="2"/>
      <c r="MZH4" s="2"/>
      <c r="MZI4" s="2"/>
      <c r="MZJ4" s="2"/>
      <c r="MZK4" s="2"/>
      <c r="MZL4" s="2"/>
      <c r="MZM4" s="2"/>
      <c r="MZN4" s="2"/>
      <c r="MZO4" s="2"/>
      <c r="MZP4" s="2"/>
      <c r="MZQ4" s="2"/>
      <c r="MZR4" s="2"/>
      <c r="MZS4" s="2"/>
      <c r="MZT4" s="2"/>
      <c r="MZU4" s="2"/>
      <c r="MZV4" s="2"/>
      <c r="MZW4" s="2"/>
      <c r="MZX4" s="2"/>
      <c r="MZY4" s="2"/>
      <c r="MZZ4" s="2"/>
      <c r="NAA4" s="2"/>
      <c r="NAB4" s="2"/>
      <c r="NAC4" s="2"/>
      <c r="NAD4" s="2"/>
      <c r="NAE4" s="2"/>
      <c r="NAF4" s="2"/>
      <c r="NAG4" s="2"/>
      <c r="NAH4" s="2"/>
      <c r="NAI4" s="2"/>
      <c r="NAJ4" s="2"/>
      <c r="NAK4" s="2"/>
      <c r="NAL4" s="2"/>
      <c r="NAM4" s="2"/>
      <c r="NAN4" s="2"/>
      <c r="NAO4" s="2"/>
      <c r="NAP4" s="2"/>
      <c r="NAQ4" s="2"/>
      <c r="NAR4" s="2"/>
      <c r="NAS4" s="2"/>
      <c r="NAT4" s="2"/>
      <c r="NAU4" s="2"/>
      <c r="NAV4" s="2"/>
      <c r="NAW4" s="2"/>
      <c r="NAX4" s="2"/>
      <c r="NAY4" s="2"/>
      <c r="NAZ4" s="2"/>
      <c r="NBA4" s="2"/>
      <c r="NBB4" s="2"/>
      <c r="NBC4" s="2"/>
      <c r="NBD4" s="2"/>
      <c r="NBE4" s="2"/>
      <c r="NBF4" s="2"/>
      <c r="NBG4" s="2"/>
      <c r="NBH4" s="2"/>
      <c r="NBI4" s="2"/>
      <c r="NBJ4" s="2"/>
      <c r="NBK4" s="2"/>
      <c r="NBL4" s="2"/>
      <c r="NBM4" s="2"/>
      <c r="NBN4" s="2"/>
      <c r="NBO4" s="2"/>
      <c r="NBP4" s="2"/>
      <c r="NBQ4" s="2"/>
      <c r="NBR4" s="2"/>
      <c r="NBS4" s="2"/>
      <c r="NBT4" s="2"/>
      <c r="NBU4" s="2"/>
      <c r="NBV4" s="2"/>
      <c r="NBW4" s="2"/>
      <c r="NBX4" s="2"/>
      <c r="NBY4" s="2"/>
      <c r="NBZ4" s="2"/>
      <c r="NCA4" s="2"/>
      <c r="NCB4" s="2"/>
      <c r="NCC4" s="2"/>
      <c r="NCD4" s="2"/>
      <c r="NCE4" s="2"/>
      <c r="NCF4" s="2"/>
      <c r="NCG4" s="2"/>
      <c r="NCH4" s="2"/>
      <c r="NCI4" s="2"/>
      <c r="NCJ4" s="2"/>
      <c r="NCK4" s="2"/>
      <c r="NCL4" s="2"/>
      <c r="NCM4" s="2"/>
      <c r="NCN4" s="2"/>
      <c r="NCO4" s="2"/>
      <c r="NCP4" s="2"/>
      <c r="NCQ4" s="2"/>
      <c r="NCR4" s="2"/>
      <c r="NCS4" s="2"/>
      <c r="NCT4" s="2"/>
      <c r="NCU4" s="2"/>
      <c r="NCV4" s="2"/>
      <c r="NCW4" s="2"/>
      <c r="NCX4" s="2"/>
      <c r="NCY4" s="2"/>
      <c r="NCZ4" s="2"/>
      <c r="NDA4" s="2"/>
      <c r="NDB4" s="2"/>
      <c r="NDC4" s="2"/>
      <c r="NDD4" s="2"/>
      <c r="NDE4" s="2"/>
      <c r="NDF4" s="2"/>
      <c r="NDG4" s="2"/>
      <c r="NDH4" s="2"/>
      <c r="NDI4" s="2"/>
      <c r="NDJ4" s="2"/>
      <c r="NDK4" s="2"/>
      <c r="NDL4" s="2"/>
      <c r="NDM4" s="2"/>
      <c r="NDN4" s="2"/>
      <c r="NDO4" s="2"/>
      <c r="NDP4" s="2"/>
      <c r="NDQ4" s="2"/>
      <c r="NDR4" s="2"/>
      <c r="NDS4" s="2"/>
      <c r="NDT4" s="2"/>
      <c r="NDU4" s="2"/>
      <c r="NDV4" s="2"/>
      <c r="NDW4" s="2"/>
      <c r="NDX4" s="2"/>
      <c r="NDY4" s="2"/>
      <c r="NDZ4" s="2"/>
      <c r="NEA4" s="2"/>
      <c r="NEB4" s="2"/>
      <c r="NEC4" s="2"/>
      <c r="NED4" s="2"/>
      <c r="NEE4" s="2"/>
      <c r="NEF4" s="2"/>
      <c r="NEG4" s="2"/>
      <c r="NEH4" s="2"/>
      <c r="NEI4" s="2"/>
      <c r="NEJ4" s="2"/>
      <c r="NEK4" s="2"/>
      <c r="NEL4" s="2"/>
      <c r="NEM4" s="2"/>
      <c r="NEN4" s="2"/>
      <c r="NEO4" s="2"/>
      <c r="NEP4" s="2"/>
      <c r="NEQ4" s="2"/>
      <c r="NER4" s="2"/>
      <c r="NES4" s="2"/>
      <c r="NET4" s="2"/>
      <c r="NEU4" s="2"/>
      <c r="NEV4" s="2"/>
      <c r="NEW4" s="2"/>
      <c r="NEX4" s="2"/>
      <c r="NEY4" s="2"/>
      <c r="NEZ4" s="2"/>
      <c r="NFA4" s="2"/>
      <c r="NFB4" s="2"/>
      <c r="NFC4" s="2"/>
      <c r="NFD4" s="2"/>
      <c r="NFE4" s="2"/>
      <c r="NFF4" s="2"/>
      <c r="NFG4" s="2"/>
      <c r="NFH4" s="2"/>
      <c r="NFI4" s="2"/>
      <c r="NFJ4" s="2"/>
      <c r="NFK4" s="2"/>
      <c r="NFL4" s="2"/>
      <c r="NFM4" s="2"/>
      <c r="NFN4" s="2"/>
      <c r="NFO4" s="2"/>
      <c r="NFP4" s="2"/>
      <c r="NFQ4" s="2"/>
      <c r="NFR4" s="2"/>
      <c r="NFS4" s="2"/>
      <c r="NFT4" s="2"/>
      <c r="NFU4" s="2"/>
      <c r="NFV4" s="2"/>
      <c r="NFW4" s="2"/>
      <c r="NFX4" s="2"/>
      <c r="NFY4" s="2"/>
      <c r="NFZ4" s="2"/>
      <c r="NGA4" s="2"/>
      <c r="NGB4" s="2"/>
      <c r="NGC4" s="2"/>
      <c r="NGD4" s="2"/>
      <c r="NGE4" s="2"/>
      <c r="NGF4" s="2"/>
      <c r="NGG4" s="2"/>
      <c r="NGH4" s="2"/>
      <c r="NGI4" s="2"/>
      <c r="NGJ4" s="2"/>
      <c r="NGK4" s="2"/>
      <c r="NGL4" s="2"/>
      <c r="NGM4" s="2"/>
      <c r="NGN4" s="2"/>
      <c r="NGO4" s="2"/>
      <c r="NGP4" s="2"/>
      <c r="NGQ4" s="2"/>
      <c r="NGR4" s="2"/>
      <c r="NGS4" s="2"/>
      <c r="NGT4" s="2"/>
      <c r="NGU4" s="2"/>
      <c r="NGV4" s="2"/>
      <c r="NGW4" s="2"/>
      <c r="NGX4" s="2"/>
      <c r="NGY4" s="2"/>
      <c r="NGZ4" s="2"/>
      <c r="NHA4" s="2"/>
      <c r="NHB4" s="2"/>
      <c r="NHC4" s="2"/>
      <c r="NHD4" s="2"/>
      <c r="NHE4" s="2"/>
      <c r="NHF4" s="2"/>
      <c r="NHG4" s="2"/>
      <c r="NHH4" s="2"/>
      <c r="NHI4" s="2"/>
      <c r="NHJ4" s="2"/>
      <c r="NHK4" s="2"/>
      <c r="NHL4" s="2"/>
      <c r="NHM4" s="2"/>
      <c r="NHN4" s="2"/>
      <c r="NHO4" s="2"/>
      <c r="NHP4" s="2"/>
      <c r="NHQ4" s="2"/>
      <c r="NHR4" s="2"/>
      <c r="NHS4" s="2"/>
      <c r="NHT4" s="2"/>
      <c r="NHU4" s="2"/>
      <c r="NHV4" s="2"/>
      <c r="NHW4" s="2"/>
      <c r="NHX4" s="2"/>
      <c r="NHY4" s="2"/>
      <c r="NHZ4" s="2"/>
      <c r="NIA4" s="2"/>
      <c r="NIB4" s="2"/>
      <c r="NIC4" s="2"/>
      <c r="NID4" s="2"/>
      <c r="NIE4" s="2"/>
      <c r="NIF4" s="2"/>
      <c r="NIG4" s="2"/>
      <c r="NIH4" s="2"/>
      <c r="NII4" s="2"/>
      <c r="NIJ4" s="2"/>
      <c r="NIK4" s="2"/>
      <c r="NIL4" s="2"/>
      <c r="NIM4" s="2"/>
      <c r="NIN4" s="2"/>
      <c r="NIO4" s="2"/>
      <c r="NIP4" s="2"/>
      <c r="NIQ4" s="2"/>
      <c r="NIR4" s="2"/>
      <c r="NIS4" s="2"/>
      <c r="NIT4" s="2"/>
      <c r="NIU4" s="2"/>
      <c r="NIV4" s="2"/>
      <c r="NIW4" s="2"/>
      <c r="NIX4" s="2"/>
      <c r="NIY4" s="2"/>
      <c r="NIZ4" s="2"/>
      <c r="NJA4" s="2"/>
      <c r="NJB4" s="2"/>
      <c r="NJC4" s="2"/>
      <c r="NJD4" s="2"/>
      <c r="NJE4" s="2"/>
      <c r="NJF4" s="2"/>
      <c r="NJG4" s="2"/>
      <c r="NJH4" s="2"/>
      <c r="NJI4" s="2"/>
      <c r="NJJ4" s="2"/>
      <c r="NJK4" s="2"/>
      <c r="NJL4" s="2"/>
      <c r="NJM4" s="2"/>
      <c r="NJN4" s="2"/>
      <c r="NJO4" s="2"/>
      <c r="NJP4" s="2"/>
      <c r="NJQ4" s="2"/>
      <c r="NJR4" s="2"/>
      <c r="NJS4" s="2"/>
      <c r="NJT4" s="2"/>
      <c r="NJU4" s="2"/>
      <c r="NJV4" s="2"/>
      <c r="NJW4" s="2"/>
      <c r="NJX4" s="2"/>
      <c r="NJY4" s="2"/>
      <c r="NJZ4" s="2"/>
      <c r="NKA4" s="2"/>
      <c r="NKB4" s="2"/>
      <c r="NKC4" s="2"/>
      <c r="NKD4" s="2"/>
      <c r="NKE4" s="2"/>
      <c r="NKF4" s="2"/>
      <c r="NKG4" s="2"/>
      <c r="NKH4" s="2"/>
      <c r="NKI4" s="2"/>
      <c r="NKJ4" s="2"/>
      <c r="NKK4" s="2"/>
      <c r="NKL4" s="2"/>
      <c r="NKM4" s="2"/>
      <c r="NKN4" s="2"/>
      <c r="NKO4" s="2"/>
      <c r="NKP4" s="2"/>
      <c r="NKQ4" s="2"/>
      <c r="NKR4" s="2"/>
      <c r="NKS4" s="2"/>
      <c r="NKT4" s="2"/>
      <c r="NKU4" s="2"/>
      <c r="NKV4" s="2"/>
      <c r="NKW4" s="2"/>
      <c r="NKX4" s="2"/>
      <c r="NKY4" s="2"/>
      <c r="NKZ4" s="2"/>
      <c r="NLA4" s="2"/>
      <c r="NLB4" s="2"/>
      <c r="NLC4" s="2"/>
      <c r="NLD4" s="2"/>
      <c r="NLE4" s="2"/>
      <c r="NLF4" s="2"/>
      <c r="NLG4" s="2"/>
      <c r="NLH4" s="2"/>
      <c r="NLI4" s="2"/>
      <c r="NLJ4" s="2"/>
      <c r="NLK4" s="2"/>
      <c r="NLL4" s="2"/>
      <c r="NLM4" s="2"/>
      <c r="NLN4" s="2"/>
      <c r="NLO4" s="2"/>
      <c r="NLP4" s="2"/>
      <c r="NLQ4" s="2"/>
      <c r="NLR4" s="2"/>
      <c r="NLS4" s="2"/>
      <c r="NLT4" s="2"/>
      <c r="NLU4" s="2"/>
      <c r="NLV4" s="2"/>
      <c r="NLW4" s="2"/>
      <c r="NLX4" s="2"/>
      <c r="NLY4" s="2"/>
      <c r="NLZ4" s="2"/>
      <c r="NMA4" s="2"/>
      <c r="NMB4" s="2"/>
      <c r="NMC4" s="2"/>
      <c r="NMD4" s="2"/>
      <c r="NME4" s="2"/>
      <c r="NMF4" s="2"/>
      <c r="NMG4" s="2"/>
      <c r="NMH4" s="2"/>
      <c r="NMI4" s="2"/>
      <c r="NMJ4" s="2"/>
      <c r="NMK4" s="2"/>
      <c r="NML4" s="2"/>
      <c r="NMM4" s="2"/>
      <c r="NMN4" s="2"/>
      <c r="NMO4" s="2"/>
      <c r="NMP4" s="2"/>
      <c r="NMQ4" s="2"/>
      <c r="NMR4" s="2"/>
      <c r="NMS4" s="2"/>
      <c r="NMT4" s="2"/>
      <c r="NMU4" s="2"/>
      <c r="NMV4" s="2"/>
      <c r="NMW4" s="2"/>
      <c r="NMX4" s="2"/>
      <c r="NMY4" s="2"/>
      <c r="NMZ4" s="2"/>
      <c r="NNA4" s="2"/>
      <c r="NNB4" s="2"/>
      <c r="NNC4" s="2"/>
      <c r="NND4" s="2"/>
      <c r="NNE4" s="2"/>
      <c r="NNF4" s="2"/>
      <c r="NNG4" s="2"/>
      <c r="NNH4" s="2"/>
      <c r="NNI4" s="2"/>
      <c r="NNJ4" s="2"/>
      <c r="NNK4" s="2"/>
      <c r="NNL4" s="2"/>
      <c r="NNM4" s="2"/>
      <c r="NNN4" s="2"/>
      <c r="NNO4" s="2"/>
      <c r="NNP4" s="2"/>
      <c r="NNQ4" s="2"/>
      <c r="NNR4" s="2"/>
      <c r="NNS4" s="2"/>
      <c r="NNT4" s="2"/>
      <c r="NNU4" s="2"/>
      <c r="NNV4" s="2"/>
      <c r="NNW4" s="2"/>
      <c r="NNX4" s="2"/>
      <c r="NNY4" s="2"/>
      <c r="NNZ4" s="2"/>
      <c r="NOA4" s="2"/>
      <c r="NOB4" s="2"/>
      <c r="NOC4" s="2"/>
      <c r="NOD4" s="2"/>
      <c r="NOE4" s="2"/>
      <c r="NOF4" s="2"/>
      <c r="NOG4" s="2"/>
      <c r="NOH4" s="2"/>
      <c r="NOI4" s="2"/>
      <c r="NOJ4" s="2"/>
      <c r="NOK4" s="2"/>
      <c r="NOL4" s="2"/>
      <c r="NOM4" s="2"/>
      <c r="NON4" s="2"/>
      <c r="NOO4" s="2"/>
      <c r="NOP4" s="2"/>
      <c r="NOQ4" s="2"/>
      <c r="NOR4" s="2"/>
      <c r="NOS4" s="2"/>
      <c r="NOT4" s="2"/>
      <c r="NOU4" s="2"/>
      <c r="NOV4" s="2"/>
      <c r="NOW4" s="2"/>
      <c r="NOX4" s="2"/>
      <c r="NOY4" s="2"/>
      <c r="NOZ4" s="2"/>
      <c r="NPA4" s="2"/>
      <c r="NPB4" s="2"/>
      <c r="NPC4" s="2"/>
      <c r="NPD4" s="2"/>
      <c r="NPE4" s="2"/>
      <c r="NPF4" s="2"/>
      <c r="NPG4" s="2"/>
      <c r="NPH4" s="2"/>
      <c r="NPI4" s="2"/>
      <c r="NPJ4" s="2"/>
      <c r="NPK4" s="2"/>
      <c r="NPL4" s="2"/>
      <c r="NPM4" s="2"/>
      <c r="NPN4" s="2"/>
      <c r="NPO4" s="2"/>
      <c r="NPP4" s="2"/>
      <c r="NPQ4" s="2"/>
      <c r="NPR4" s="2"/>
      <c r="NPS4" s="2"/>
      <c r="NPT4" s="2"/>
      <c r="NPU4" s="2"/>
      <c r="NPV4" s="2"/>
      <c r="NPW4" s="2"/>
      <c r="NPX4" s="2"/>
      <c r="NPY4" s="2"/>
      <c r="NPZ4" s="2"/>
      <c r="NQA4" s="2"/>
      <c r="NQB4" s="2"/>
      <c r="NQC4" s="2"/>
      <c r="NQD4" s="2"/>
      <c r="NQE4" s="2"/>
      <c r="NQF4" s="2"/>
      <c r="NQG4" s="2"/>
      <c r="NQH4" s="2"/>
      <c r="NQI4" s="2"/>
      <c r="NQJ4" s="2"/>
      <c r="NQK4" s="2"/>
      <c r="NQL4" s="2"/>
      <c r="NQM4" s="2"/>
      <c r="NQN4" s="2"/>
      <c r="NQO4" s="2"/>
      <c r="NQP4" s="2"/>
      <c r="NQQ4" s="2"/>
      <c r="NQR4" s="2"/>
      <c r="NQS4" s="2"/>
      <c r="NQT4" s="2"/>
      <c r="NQU4" s="2"/>
      <c r="NQV4" s="2"/>
      <c r="NQW4" s="2"/>
      <c r="NQX4" s="2"/>
      <c r="NQY4" s="2"/>
      <c r="NQZ4" s="2"/>
      <c r="NRA4" s="2"/>
      <c r="NRB4" s="2"/>
      <c r="NRC4" s="2"/>
      <c r="NRD4" s="2"/>
      <c r="NRE4" s="2"/>
      <c r="NRF4" s="2"/>
      <c r="NRG4" s="2"/>
      <c r="NRH4" s="2"/>
      <c r="NRI4" s="2"/>
      <c r="NRJ4" s="2"/>
      <c r="NRK4" s="2"/>
      <c r="NRL4" s="2"/>
      <c r="NRM4" s="2"/>
      <c r="NRN4" s="2"/>
      <c r="NRO4" s="2"/>
      <c r="NRP4" s="2"/>
      <c r="NRQ4" s="2"/>
      <c r="NRR4" s="2"/>
      <c r="NRS4" s="2"/>
      <c r="NRT4" s="2"/>
      <c r="NRU4" s="2"/>
      <c r="NRV4" s="2"/>
      <c r="NRW4" s="2"/>
      <c r="NRX4" s="2"/>
      <c r="NRY4" s="2"/>
      <c r="NRZ4" s="2"/>
      <c r="NSA4" s="2"/>
      <c r="NSB4" s="2"/>
      <c r="NSC4" s="2"/>
      <c r="NSD4" s="2"/>
      <c r="NSE4" s="2"/>
      <c r="NSF4" s="2"/>
      <c r="NSG4" s="2"/>
      <c r="NSH4" s="2"/>
      <c r="NSI4" s="2"/>
      <c r="NSJ4" s="2"/>
      <c r="NSK4" s="2"/>
      <c r="NSL4" s="2"/>
      <c r="NSM4" s="2"/>
      <c r="NSN4" s="2"/>
      <c r="NSO4" s="2"/>
      <c r="NSP4" s="2"/>
      <c r="NSQ4" s="2"/>
      <c r="NSR4" s="2"/>
      <c r="NSS4" s="2"/>
      <c r="NST4" s="2"/>
      <c r="NSU4" s="2"/>
      <c r="NSV4" s="2"/>
      <c r="NSW4" s="2"/>
      <c r="NSX4" s="2"/>
      <c r="NSY4" s="2"/>
      <c r="NSZ4" s="2"/>
      <c r="NTA4" s="2"/>
      <c r="NTB4" s="2"/>
      <c r="NTC4" s="2"/>
      <c r="NTD4" s="2"/>
      <c r="NTE4" s="2"/>
      <c r="NTF4" s="2"/>
      <c r="NTG4" s="2"/>
      <c r="NTH4" s="2"/>
      <c r="NTI4" s="2"/>
      <c r="NTJ4" s="2"/>
      <c r="NTK4" s="2"/>
      <c r="NTL4" s="2"/>
      <c r="NTM4" s="2"/>
      <c r="NTN4" s="2"/>
      <c r="NTO4" s="2"/>
      <c r="NTP4" s="2"/>
      <c r="NTQ4" s="2"/>
      <c r="NTR4" s="2"/>
      <c r="NTS4" s="2"/>
      <c r="NTT4" s="2"/>
      <c r="NTU4" s="2"/>
      <c r="NTV4" s="2"/>
      <c r="NTW4" s="2"/>
      <c r="NTX4" s="2"/>
      <c r="NTY4" s="2"/>
      <c r="NTZ4" s="2"/>
      <c r="NUA4" s="2"/>
      <c r="NUB4" s="2"/>
      <c r="NUC4" s="2"/>
      <c r="NUD4" s="2"/>
      <c r="NUE4" s="2"/>
      <c r="NUF4" s="2"/>
      <c r="NUG4" s="2"/>
      <c r="NUH4" s="2"/>
      <c r="NUI4" s="2"/>
      <c r="NUJ4" s="2"/>
      <c r="NUK4" s="2"/>
      <c r="NUL4" s="2"/>
      <c r="NUM4" s="2"/>
      <c r="NUN4" s="2"/>
      <c r="NUO4" s="2"/>
      <c r="NUP4" s="2"/>
      <c r="NUQ4" s="2"/>
      <c r="NUR4" s="2"/>
      <c r="NUS4" s="2"/>
      <c r="NUT4" s="2"/>
      <c r="NUU4" s="2"/>
      <c r="NUV4" s="2"/>
      <c r="NUW4" s="2"/>
      <c r="NUX4" s="2"/>
      <c r="NUY4" s="2"/>
      <c r="NUZ4" s="2"/>
      <c r="NVA4" s="2"/>
      <c r="NVB4" s="2"/>
      <c r="NVC4" s="2"/>
      <c r="NVD4" s="2"/>
      <c r="NVE4" s="2"/>
      <c r="NVF4" s="2"/>
      <c r="NVG4" s="2"/>
      <c r="NVH4" s="2"/>
      <c r="NVI4" s="2"/>
      <c r="NVJ4" s="2"/>
      <c r="NVK4" s="2"/>
      <c r="NVL4" s="2"/>
      <c r="NVM4" s="2"/>
      <c r="NVN4" s="2"/>
      <c r="NVO4" s="2"/>
      <c r="NVP4" s="2"/>
      <c r="NVQ4" s="2"/>
      <c r="NVR4" s="2"/>
      <c r="NVS4" s="2"/>
      <c r="NVT4" s="2"/>
      <c r="NVU4" s="2"/>
      <c r="NVV4" s="2"/>
      <c r="NVW4" s="2"/>
      <c r="NVX4" s="2"/>
      <c r="NVY4" s="2"/>
      <c r="NVZ4" s="2"/>
      <c r="NWA4" s="2"/>
      <c r="NWB4" s="2"/>
      <c r="NWC4" s="2"/>
      <c r="NWD4" s="2"/>
      <c r="NWE4" s="2"/>
      <c r="NWF4" s="2"/>
      <c r="NWG4" s="2"/>
      <c r="NWH4" s="2"/>
      <c r="NWI4" s="2"/>
      <c r="NWJ4" s="2"/>
      <c r="NWK4" s="2"/>
      <c r="NWL4" s="2"/>
      <c r="NWM4" s="2"/>
      <c r="NWN4" s="2"/>
      <c r="NWO4" s="2"/>
      <c r="NWP4" s="2"/>
      <c r="NWQ4" s="2"/>
      <c r="NWR4" s="2"/>
      <c r="NWS4" s="2"/>
      <c r="NWT4" s="2"/>
      <c r="NWU4" s="2"/>
      <c r="NWV4" s="2"/>
      <c r="NWW4" s="2"/>
      <c r="NWX4" s="2"/>
      <c r="NWY4" s="2"/>
      <c r="NWZ4" s="2"/>
      <c r="NXA4" s="2"/>
      <c r="NXB4" s="2"/>
      <c r="NXC4" s="2"/>
      <c r="NXD4" s="2"/>
      <c r="NXE4" s="2"/>
      <c r="NXF4" s="2"/>
      <c r="NXG4" s="2"/>
      <c r="NXH4" s="2"/>
      <c r="NXI4" s="2"/>
      <c r="NXJ4" s="2"/>
      <c r="NXK4" s="2"/>
      <c r="NXL4" s="2"/>
      <c r="NXM4" s="2"/>
      <c r="NXN4" s="2"/>
      <c r="NXO4" s="2"/>
      <c r="NXP4" s="2"/>
      <c r="NXQ4" s="2"/>
      <c r="NXR4" s="2"/>
      <c r="NXS4" s="2"/>
      <c r="NXT4" s="2"/>
      <c r="NXU4" s="2"/>
      <c r="NXV4" s="2"/>
      <c r="NXW4" s="2"/>
      <c r="NXX4" s="2"/>
      <c r="NXY4" s="2"/>
      <c r="NXZ4" s="2"/>
      <c r="NYA4" s="2"/>
      <c r="NYB4" s="2"/>
      <c r="NYC4" s="2"/>
      <c r="NYD4" s="2"/>
      <c r="NYE4" s="2"/>
      <c r="NYF4" s="2"/>
      <c r="NYG4" s="2"/>
      <c r="NYH4" s="2"/>
      <c r="NYI4" s="2"/>
      <c r="NYJ4" s="2"/>
      <c r="NYK4" s="2"/>
      <c r="NYL4" s="2"/>
      <c r="NYM4" s="2"/>
      <c r="NYN4" s="2"/>
      <c r="NYO4" s="2"/>
      <c r="NYP4" s="2"/>
      <c r="NYQ4" s="2"/>
      <c r="NYR4" s="2"/>
      <c r="NYS4" s="2"/>
      <c r="NYT4" s="2"/>
      <c r="NYU4" s="2"/>
      <c r="NYV4" s="2"/>
      <c r="NYW4" s="2"/>
      <c r="NYX4" s="2"/>
      <c r="NYY4" s="2"/>
      <c r="NYZ4" s="2"/>
      <c r="NZA4" s="2"/>
      <c r="NZB4" s="2"/>
      <c r="NZC4" s="2"/>
      <c r="NZD4" s="2"/>
      <c r="NZE4" s="2"/>
      <c r="NZF4" s="2"/>
      <c r="NZG4" s="2"/>
      <c r="NZH4" s="2"/>
      <c r="NZI4" s="2"/>
      <c r="NZJ4" s="2"/>
      <c r="NZK4" s="2"/>
      <c r="NZL4" s="2"/>
      <c r="NZM4" s="2"/>
      <c r="NZN4" s="2"/>
      <c r="NZO4" s="2"/>
      <c r="NZP4" s="2"/>
      <c r="NZQ4" s="2"/>
      <c r="NZR4" s="2"/>
      <c r="NZS4" s="2"/>
      <c r="NZT4" s="2"/>
      <c r="NZU4" s="2"/>
      <c r="NZV4" s="2"/>
      <c r="NZW4" s="2"/>
      <c r="NZX4" s="2"/>
      <c r="NZY4" s="2"/>
      <c r="NZZ4" s="2"/>
      <c r="OAA4" s="2"/>
      <c r="OAB4" s="2"/>
      <c r="OAC4" s="2"/>
      <c r="OAD4" s="2"/>
      <c r="OAE4" s="2"/>
      <c r="OAF4" s="2"/>
      <c r="OAG4" s="2"/>
      <c r="OAH4" s="2"/>
      <c r="OAI4" s="2"/>
      <c r="OAJ4" s="2"/>
      <c r="OAK4" s="2"/>
      <c r="OAL4" s="2"/>
      <c r="OAM4" s="2"/>
      <c r="OAN4" s="2"/>
      <c r="OAO4" s="2"/>
      <c r="OAP4" s="2"/>
      <c r="OAQ4" s="2"/>
      <c r="OAR4" s="2"/>
      <c r="OAS4" s="2"/>
      <c r="OAT4" s="2"/>
      <c r="OAU4" s="2"/>
      <c r="OAV4" s="2"/>
      <c r="OAW4" s="2"/>
      <c r="OAX4" s="2"/>
      <c r="OAY4" s="2"/>
      <c r="OAZ4" s="2"/>
      <c r="OBA4" s="2"/>
      <c r="OBB4" s="2"/>
      <c r="OBC4" s="2"/>
      <c r="OBD4" s="2"/>
      <c r="OBE4" s="2"/>
      <c r="OBF4" s="2"/>
      <c r="OBG4" s="2"/>
      <c r="OBH4" s="2"/>
      <c r="OBI4" s="2"/>
      <c r="OBJ4" s="2"/>
      <c r="OBK4" s="2"/>
      <c r="OBL4" s="2"/>
      <c r="OBM4" s="2"/>
      <c r="OBN4" s="2"/>
      <c r="OBO4" s="2"/>
      <c r="OBP4" s="2"/>
      <c r="OBQ4" s="2"/>
      <c r="OBR4" s="2"/>
      <c r="OBS4" s="2"/>
      <c r="OBT4" s="2"/>
      <c r="OBU4" s="2"/>
      <c r="OBV4" s="2"/>
      <c r="OBW4" s="2"/>
      <c r="OBX4" s="2"/>
      <c r="OBY4" s="2"/>
      <c r="OBZ4" s="2"/>
      <c r="OCA4" s="2"/>
      <c r="OCB4" s="2"/>
      <c r="OCC4" s="2"/>
      <c r="OCD4" s="2"/>
      <c r="OCE4" s="2"/>
      <c r="OCF4" s="2"/>
      <c r="OCG4" s="2"/>
      <c r="OCH4" s="2"/>
      <c r="OCI4" s="2"/>
      <c r="OCJ4" s="2"/>
      <c r="OCK4" s="2"/>
      <c r="OCL4" s="2"/>
      <c r="OCM4" s="2"/>
      <c r="OCN4" s="2"/>
      <c r="OCO4" s="2"/>
      <c r="OCP4" s="2"/>
      <c r="OCQ4" s="2"/>
      <c r="OCR4" s="2"/>
      <c r="OCS4" s="2"/>
      <c r="OCT4" s="2"/>
      <c r="OCU4" s="2"/>
      <c r="OCV4" s="2"/>
      <c r="OCW4" s="2"/>
      <c r="OCX4" s="2"/>
      <c r="OCY4" s="2"/>
      <c r="OCZ4" s="2"/>
      <c r="ODA4" s="2"/>
      <c r="ODB4" s="2"/>
      <c r="ODC4" s="2"/>
      <c r="ODD4" s="2"/>
      <c r="ODE4" s="2"/>
      <c r="ODF4" s="2"/>
      <c r="ODG4" s="2"/>
      <c r="ODH4" s="2"/>
      <c r="ODI4" s="2"/>
      <c r="ODJ4" s="2"/>
      <c r="ODK4" s="2"/>
      <c r="ODL4" s="2"/>
      <c r="ODM4" s="2"/>
      <c r="ODN4" s="2"/>
      <c r="ODO4" s="2"/>
      <c r="ODP4" s="2"/>
      <c r="ODQ4" s="2"/>
      <c r="ODR4" s="2"/>
      <c r="ODS4" s="2"/>
      <c r="ODT4" s="2"/>
      <c r="ODU4" s="2"/>
      <c r="ODV4" s="2"/>
      <c r="ODW4" s="2"/>
      <c r="ODX4" s="2"/>
      <c r="ODY4" s="2"/>
      <c r="ODZ4" s="2"/>
      <c r="OEA4" s="2"/>
      <c r="OEB4" s="2"/>
      <c r="OEC4" s="2"/>
      <c r="OED4" s="2"/>
      <c r="OEE4" s="2"/>
      <c r="OEF4" s="2"/>
      <c r="OEG4" s="2"/>
      <c r="OEH4" s="2"/>
      <c r="OEI4" s="2"/>
      <c r="OEJ4" s="2"/>
      <c r="OEK4" s="2"/>
      <c r="OEL4" s="2"/>
      <c r="OEM4" s="2"/>
      <c r="OEN4" s="2"/>
      <c r="OEO4" s="2"/>
      <c r="OEP4" s="2"/>
      <c r="OEQ4" s="2"/>
      <c r="OER4" s="2"/>
      <c r="OES4" s="2"/>
      <c r="OET4" s="2"/>
      <c r="OEU4" s="2"/>
      <c r="OEV4" s="2"/>
      <c r="OEW4" s="2"/>
      <c r="OEX4" s="2"/>
      <c r="OEY4" s="2"/>
      <c r="OEZ4" s="2"/>
      <c r="OFA4" s="2"/>
      <c r="OFB4" s="2"/>
      <c r="OFC4" s="2"/>
      <c r="OFD4" s="2"/>
      <c r="OFE4" s="2"/>
      <c r="OFF4" s="2"/>
      <c r="OFG4" s="2"/>
      <c r="OFH4" s="2"/>
      <c r="OFI4" s="2"/>
      <c r="OFJ4" s="2"/>
      <c r="OFK4" s="2"/>
      <c r="OFL4" s="2"/>
      <c r="OFM4" s="2"/>
      <c r="OFN4" s="2"/>
      <c r="OFO4" s="2"/>
      <c r="OFP4" s="2"/>
      <c r="OFQ4" s="2"/>
      <c r="OFR4" s="2"/>
      <c r="OFS4" s="2"/>
      <c r="OFT4" s="2"/>
      <c r="OFU4" s="2"/>
      <c r="OFV4" s="2"/>
      <c r="OFW4" s="2"/>
      <c r="OFX4" s="2"/>
      <c r="OFY4" s="2"/>
      <c r="OFZ4" s="2"/>
      <c r="OGA4" s="2"/>
      <c r="OGB4" s="2"/>
      <c r="OGC4" s="2"/>
      <c r="OGD4" s="2"/>
      <c r="OGE4" s="2"/>
      <c r="OGF4" s="2"/>
      <c r="OGG4" s="2"/>
      <c r="OGH4" s="2"/>
      <c r="OGI4" s="2"/>
      <c r="OGJ4" s="2"/>
      <c r="OGK4" s="2"/>
      <c r="OGL4" s="2"/>
      <c r="OGM4" s="2"/>
      <c r="OGN4" s="2"/>
      <c r="OGO4" s="2"/>
      <c r="OGP4" s="2"/>
      <c r="OGQ4" s="2"/>
      <c r="OGR4" s="2"/>
      <c r="OGS4" s="2"/>
      <c r="OGT4" s="2"/>
      <c r="OGU4" s="2"/>
      <c r="OGV4" s="2"/>
      <c r="OGW4" s="2"/>
      <c r="OGX4" s="2"/>
      <c r="OGY4" s="2"/>
      <c r="OGZ4" s="2"/>
      <c r="OHA4" s="2"/>
      <c r="OHB4" s="2"/>
      <c r="OHC4" s="2"/>
      <c r="OHD4" s="2"/>
      <c r="OHE4" s="2"/>
      <c r="OHF4" s="2"/>
      <c r="OHG4" s="2"/>
      <c r="OHH4" s="2"/>
      <c r="OHI4" s="2"/>
      <c r="OHJ4" s="2"/>
      <c r="OHK4" s="2"/>
      <c r="OHL4" s="2"/>
      <c r="OHM4" s="2"/>
      <c r="OHN4" s="2"/>
      <c r="OHO4" s="2"/>
      <c r="OHP4" s="2"/>
      <c r="OHQ4" s="2"/>
      <c r="OHR4" s="2"/>
      <c r="OHS4" s="2"/>
      <c r="OHT4" s="2"/>
      <c r="OHU4" s="2"/>
      <c r="OHV4" s="2"/>
      <c r="OHW4" s="2"/>
      <c r="OHX4" s="2"/>
      <c r="OHY4" s="2"/>
      <c r="OHZ4" s="2"/>
      <c r="OIA4" s="2"/>
      <c r="OIB4" s="2"/>
      <c r="OIC4" s="2"/>
      <c r="OID4" s="2"/>
      <c r="OIE4" s="2"/>
      <c r="OIF4" s="2"/>
      <c r="OIG4" s="2"/>
      <c r="OIH4" s="2"/>
      <c r="OII4" s="2"/>
      <c r="OIJ4" s="2"/>
      <c r="OIK4" s="2"/>
      <c r="OIL4" s="2"/>
      <c r="OIM4" s="2"/>
      <c r="OIN4" s="2"/>
      <c r="OIO4" s="2"/>
      <c r="OIP4" s="2"/>
      <c r="OIQ4" s="2"/>
      <c r="OIR4" s="2"/>
      <c r="OIS4" s="2"/>
      <c r="OIT4" s="2"/>
      <c r="OIU4" s="2"/>
      <c r="OIV4" s="2"/>
      <c r="OIW4" s="2"/>
      <c r="OIX4" s="2"/>
      <c r="OIY4" s="2"/>
      <c r="OIZ4" s="2"/>
      <c r="OJA4" s="2"/>
      <c r="OJB4" s="2"/>
      <c r="OJC4" s="2"/>
      <c r="OJD4" s="2"/>
      <c r="OJE4" s="2"/>
      <c r="OJF4" s="2"/>
      <c r="OJG4" s="2"/>
      <c r="OJH4" s="2"/>
      <c r="OJI4" s="2"/>
      <c r="OJJ4" s="2"/>
      <c r="OJK4" s="2"/>
      <c r="OJL4" s="2"/>
      <c r="OJM4" s="2"/>
      <c r="OJN4" s="2"/>
      <c r="OJO4" s="2"/>
      <c r="OJP4" s="2"/>
      <c r="OJQ4" s="2"/>
      <c r="OJR4" s="2"/>
      <c r="OJS4" s="2"/>
      <c r="OJT4" s="2"/>
      <c r="OJU4" s="2"/>
      <c r="OJV4" s="2"/>
      <c r="OJW4" s="2"/>
      <c r="OJX4" s="2"/>
      <c r="OJY4" s="2"/>
      <c r="OJZ4" s="2"/>
      <c r="OKA4" s="2"/>
      <c r="OKB4" s="2"/>
      <c r="OKC4" s="2"/>
      <c r="OKD4" s="2"/>
      <c r="OKE4" s="2"/>
      <c r="OKF4" s="2"/>
      <c r="OKG4" s="2"/>
      <c r="OKH4" s="2"/>
      <c r="OKI4" s="2"/>
      <c r="OKJ4" s="2"/>
      <c r="OKK4" s="2"/>
      <c r="OKL4" s="2"/>
      <c r="OKM4" s="2"/>
      <c r="OKN4" s="2"/>
      <c r="OKO4" s="2"/>
      <c r="OKP4" s="2"/>
      <c r="OKQ4" s="2"/>
      <c r="OKR4" s="2"/>
      <c r="OKS4" s="2"/>
      <c r="OKT4" s="2"/>
      <c r="OKU4" s="2"/>
      <c r="OKV4" s="2"/>
      <c r="OKW4" s="2"/>
      <c r="OKX4" s="2"/>
      <c r="OKY4" s="2"/>
      <c r="OKZ4" s="2"/>
      <c r="OLA4" s="2"/>
      <c r="OLB4" s="2"/>
      <c r="OLC4" s="2"/>
      <c r="OLD4" s="2"/>
      <c r="OLE4" s="2"/>
      <c r="OLF4" s="2"/>
      <c r="OLG4" s="2"/>
      <c r="OLH4" s="2"/>
      <c r="OLI4" s="2"/>
      <c r="OLJ4" s="2"/>
      <c r="OLK4" s="2"/>
      <c r="OLL4" s="2"/>
      <c r="OLM4" s="2"/>
      <c r="OLN4" s="2"/>
      <c r="OLO4" s="2"/>
      <c r="OLP4" s="2"/>
      <c r="OLQ4" s="2"/>
      <c r="OLR4" s="2"/>
      <c r="OLS4" s="2"/>
      <c r="OLT4" s="2"/>
      <c r="OLU4" s="2"/>
      <c r="OLV4" s="2"/>
      <c r="OLW4" s="2"/>
      <c r="OLX4" s="2"/>
      <c r="OLY4" s="2"/>
      <c r="OLZ4" s="2"/>
      <c r="OMA4" s="2"/>
      <c r="OMB4" s="2"/>
      <c r="OMC4" s="2"/>
      <c r="OMD4" s="2"/>
      <c r="OME4" s="2"/>
      <c r="OMF4" s="2"/>
      <c r="OMG4" s="2"/>
      <c r="OMH4" s="2"/>
      <c r="OMI4" s="2"/>
      <c r="OMJ4" s="2"/>
      <c r="OMK4" s="2"/>
      <c r="OML4" s="2"/>
      <c r="OMM4" s="2"/>
      <c r="OMN4" s="2"/>
      <c r="OMO4" s="2"/>
      <c r="OMP4" s="2"/>
      <c r="OMQ4" s="2"/>
      <c r="OMR4" s="2"/>
      <c r="OMS4" s="2"/>
      <c r="OMT4" s="2"/>
      <c r="OMU4" s="2"/>
      <c r="OMV4" s="2"/>
      <c r="OMW4" s="2"/>
      <c r="OMX4" s="2"/>
      <c r="OMY4" s="2"/>
      <c r="OMZ4" s="2"/>
      <c r="ONA4" s="2"/>
      <c r="ONB4" s="2"/>
      <c r="ONC4" s="2"/>
      <c r="OND4" s="2"/>
      <c r="ONE4" s="2"/>
      <c r="ONF4" s="2"/>
      <c r="ONG4" s="2"/>
      <c r="ONH4" s="2"/>
      <c r="ONI4" s="2"/>
      <c r="ONJ4" s="2"/>
      <c r="ONK4" s="2"/>
      <c r="ONL4" s="2"/>
      <c r="ONM4" s="2"/>
      <c r="ONN4" s="2"/>
      <c r="ONO4" s="2"/>
      <c r="ONP4" s="2"/>
      <c r="ONQ4" s="2"/>
      <c r="ONR4" s="2"/>
      <c r="ONS4" s="2"/>
      <c r="ONT4" s="2"/>
      <c r="ONU4" s="2"/>
      <c r="ONV4" s="2"/>
      <c r="ONW4" s="2"/>
      <c r="ONX4" s="2"/>
      <c r="ONY4" s="2"/>
      <c r="ONZ4" s="2"/>
      <c r="OOA4" s="2"/>
      <c r="OOB4" s="2"/>
      <c r="OOC4" s="2"/>
      <c r="OOD4" s="2"/>
      <c r="OOE4" s="2"/>
      <c r="OOF4" s="2"/>
      <c r="OOG4" s="2"/>
      <c r="OOH4" s="2"/>
      <c r="OOI4" s="2"/>
      <c r="OOJ4" s="2"/>
      <c r="OOK4" s="2"/>
      <c r="OOL4" s="2"/>
      <c r="OOM4" s="2"/>
      <c r="OON4" s="2"/>
      <c r="OOO4" s="2"/>
      <c r="OOP4" s="2"/>
      <c r="OOQ4" s="2"/>
      <c r="OOR4" s="2"/>
      <c r="OOS4" s="2"/>
      <c r="OOT4" s="2"/>
      <c r="OOU4" s="2"/>
      <c r="OOV4" s="2"/>
      <c r="OOW4" s="2"/>
      <c r="OOX4" s="2"/>
      <c r="OOY4" s="2"/>
      <c r="OOZ4" s="2"/>
      <c r="OPA4" s="2"/>
      <c r="OPB4" s="2"/>
      <c r="OPC4" s="2"/>
      <c r="OPD4" s="2"/>
      <c r="OPE4" s="2"/>
      <c r="OPF4" s="2"/>
      <c r="OPG4" s="2"/>
      <c r="OPH4" s="2"/>
      <c r="OPI4" s="2"/>
      <c r="OPJ4" s="2"/>
      <c r="OPK4" s="2"/>
      <c r="OPL4" s="2"/>
      <c r="OPM4" s="2"/>
      <c r="OPN4" s="2"/>
      <c r="OPO4" s="2"/>
      <c r="OPP4" s="2"/>
      <c r="OPQ4" s="2"/>
      <c r="OPR4" s="2"/>
      <c r="OPS4" s="2"/>
      <c r="OPT4" s="2"/>
      <c r="OPU4" s="2"/>
      <c r="OPV4" s="2"/>
      <c r="OPW4" s="2"/>
      <c r="OPX4" s="2"/>
      <c r="OPY4" s="2"/>
      <c r="OPZ4" s="2"/>
      <c r="OQA4" s="2"/>
      <c r="OQB4" s="2"/>
      <c r="OQC4" s="2"/>
      <c r="OQD4" s="2"/>
      <c r="OQE4" s="2"/>
      <c r="OQF4" s="2"/>
      <c r="OQG4" s="2"/>
      <c r="OQH4" s="2"/>
      <c r="OQI4" s="2"/>
      <c r="OQJ4" s="2"/>
      <c r="OQK4" s="2"/>
      <c r="OQL4" s="2"/>
      <c r="OQM4" s="2"/>
      <c r="OQN4" s="2"/>
      <c r="OQO4" s="2"/>
      <c r="OQP4" s="2"/>
      <c r="OQQ4" s="2"/>
      <c r="OQR4" s="2"/>
      <c r="OQS4" s="2"/>
      <c r="OQT4" s="2"/>
      <c r="OQU4" s="2"/>
      <c r="OQV4" s="2"/>
      <c r="OQW4" s="2"/>
      <c r="OQX4" s="2"/>
      <c r="OQY4" s="2"/>
      <c r="OQZ4" s="2"/>
      <c r="ORA4" s="2"/>
      <c r="ORB4" s="2"/>
      <c r="ORC4" s="2"/>
      <c r="ORD4" s="2"/>
      <c r="ORE4" s="2"/>
      <c r="ORF4" s="2"/>
      <c r="ORG4" s="2"/>
      <c r="ORH4" s="2"/>
      <c r="ORI4" s="2"/>
      <c r="ORJ4" s="2"/>
      <c r="ORK4" s="2"/>
      <c r="ORL4" s="2"/>
      <c r="ORM4" s="2"/>
      <c r="ORN4" s="2"/>
      <c r="ORO4" s="2"/>
      <c r="ORP4" s="2"/>
      <c r="ORQ4" s="2"/>
      <c r="ORR4" s="2"/>
      <c r="ORS4" s="2"/>
      <c r="ORT4" s="2"/>
      <c r="ORU4" s="2"/>
      <c r="ORV4" s="2"/>
      <c r="ORW4" s="2"/>
      <c r="ORX4" s="2"/>
      <c r="ORY4" s="2"/>
      <c r="ORZ4" s="2"/>
      <c r="OSA4" s="2"/>
      <c r="OSB4" s="2"/>
      <c r="OSC4" s="2"/>
      <c r="OSD4" s="2"/>
      <c r="OSE4" s="2"/>
      <c r="OSF4" s="2"/>
      <c r="OSG4" s="2"/>
      <c r="OSH4" s="2"/>
      <c r="OSI4" s="2"/>
      <c r="OSJ4" s="2"/>
      <c r="OSK4" s="2"/>
      <c r="OSL4" s="2"/>
      <c r="OSM4" s="2"/>
      <c r="OSN4" s="2"/>
      <c r="OSO4" s="2"/>
      <c r="OSP4" s="2"/>
      <c r="OSQ4" s="2"/>
      <c r="OSR4" s="2"/>
      <c r="OSS4" s="2"/>
      <c r="OST4" s="2"/>
      <c r="OSU4" s="2"/>
      <c r="OSV4" s="2"/>
      <c r="OSW4" s="2"/>
      <c r="OSX4" s="2"/>
      <c r="OSY4" s="2"/>
      <c r="OSZ4" s="2"/>
      <c r="OTA4" s="2"/>
      <c r="OTB4" s="2"/>
      <c r="OTC4" s="2"/>
      <c r="OTD4" s="2"/>
      <c r="OTE4" s="2"/>
      <c r="OTF4" s="2"/>
      <c r="OTG4" s="2"/>
      <c r="OTH4" s="2"/>
      <c r="OTI4" s="2"/>
      <c r="OTJ4" s="2"/>
      <c r="OTK4" s="2"/>
      <c r="OTL4" s="2"/>
      <c r="OTM4" s="2"/>
      <c r="OTN4" s="2"/>
      <c r="OTO4" s="2"/>
      <c r="OTP4" s="2"/>
      <c r="OTQ4" s="2"/>
      <c r="OTR4" s="2"/>
      <c r="OTS4" s="2"/>
      <c r="OTT4" s="2"/>
      <c r="OTU4" s="2"/>
      <c r="OTV4" s="2"/>
      <c r="OTW4" s="2"/>
      <c r="OTX4" s="2"/>
      <c r="OTY4" s="2"/>
      <c r="OTZ4" s="2"/>
      <c r="OUA4" s="2"/>
      <c r="OUB4" s="2"/>
      <c r="OUC4" s="2"/>
      <c r="OUD4" s="2"/>
      <c r="OUE4" s="2"/>
      <c r="OUF4" s="2"/>
      <c r="OUG4" s="2"/>
      <c r="OUH4" s="2"/>
      <c r="OUI4" s="2"/>
      <c r="OUJ4" s="2"/>
      <c r="OUK4" s="2"/>
      <c r="OUL4" s="2"/>
      <c r="OUM4" s="2"/>
      <c r="OUN4" s="2"/>
      <c r="OUO4" s="2"/>
      <c r="OUP4" s="2"/>
      <c r="OUQ4" s="2"/>
      <c r="OUR4" s="2"/>
      <c r="OUS4" s="2"/>
      <c r="OUT4" s="2"/>
      <c r="OUU4" s="2"/>
      <c r="OUV4" s="2"/>
      <c r="OUW4" s="2"/>
      <c r="OUX4" s="2"/>
      <c r="OUY4" s="2"/>
      <c r="OUZ4" s="2"/>
      <c r="OVA4" s="2"/>
      <c r="OVB4" s="2"/>
      <c r="OVC4" s="2"/>
      <c r="OVD4" s="2"/>
      <c r="OVE4" s="2"/>
      <c r="OVF4" s="2"/>
      <c r="OVG4" s="2"/>
      <c r="OVH4" s="2"/>
      <c r="OVI4" s="2"/>
      <c r="OVJ4" s="2"/>
      <c r="OVK4" s="2"/>
      <c r="OVL4" s="2"/>
      <c r="OVM4" s="2"/>
      <c r="OVN4" s="2"/>
      <c r="OVO4" s="2"/>
      <c r="OVP4" s="2"/>
      <c r="OVQ4" s="2"/>
      <c r="OVR4" s="2"/>
      <c r="OVS4" s="2"/>
      <c r="OVT4" s="2"/>
      <c r="OVU4" s="2"/>
      <c r="OVV4" s="2"/>
      <c r="OVW4" s="2"/>
      <c r="OVX4" s="2"/>
      <c r="OVY4" s="2"/>
      <c r="OVZ4" s="2"/>
      <c r="OWA4" s="2"/>
      <c r="OWB4" s="2"/>
      <c r="OWC4" s="2"/>
      <c r="OWD4" s="2"/>
      <c r="OWE4" s="2"/>
      <c r="OWF4" s="2"/>
      <c r="OWG4" s="2"/>
      <c r="OWH4" s="2"/>
      <c r="OWI4" s="2"/>
      <c r="OWJ4" s="2"/>
      <c r="OWK4" s="2"/>
      <c r="OWL4" s="2"/>
      <c r="OWM4" s="2"/>
      <c r="OWN4" s="2"/>
      <c r="OWO4" s="2"/>
      <c r="OWP4" s="2"/>
      <c r="OWQ4" s="2"/>
      <c r="OWR4" s="2"/>
      <c r="OWS4" s="2"/>
      <c r="OWT4" s="2"/>
      <c r="OWU4" s="2"/>
      <c r="OWV4" s="2"/>
      <c r="OWW4" s="2"/>
      <c r="OWX4" s="2"/>
      <c r="OWY4" s="2"/>
      <c r="OWZ4" s="2"/>
      <c r="OXA4" s="2"/>
      <c r="OXB4" s="2"/>
      <c r="OXC4" s="2"/>
      <c r="OXD4" s="2"/>
      <c r="OXE4" s="2"/>
      <c r="OXF4" s="2"/>
      <c r="OXG4" s="2"/>
      <c r="OXH4" s="2"/>
      <c r="OXI4" s="2"/>
      <c r="OXJ4" s="2"/>
      <c r="OXK4" s="2"/>
      <c r="OXL4" s="2"/>
      <c r="OXM4" s="2"/>
      <c r="OXN4" s="2"/>
      <c r="OXO4" s="2"/>
      <c r="OXP4" s="2"/>
      <c r="OXQ4" s="2"/>
      <c r="OXR4" s="2"/>
      <c r="OXS4" s="2"/>
      <c r="OXT4" s="2"/>
      <c r="OXU4" s="2"/>
      <c r="OXV4" s="2"/>
      <c r="OXW4" s="2"/>
      <c r="OXX4" s="2"/>
      <c r="OXY4" s="2"/>
      <c r="OXZ4" s="2"/>
      <c r="OYA4" s="2"/>
      <c r="OYB4" s="2"/>
      <c r="OYC4" s="2"/>
      <c r="OYD4" s="2"/>
      <c r="OYE4" s="2"/>
      <c r="OYF4" s="2"/>
      <c r="OYG4" s="2"/>
      <c r="OYH4" s="2"/>
      <c r="OYI4" s="2"/>
      <c r="OYJ4" s="2"/>
      <c r="OYK4" s="2"/>
      <c r="OYL4" s="2"/>
      <c r="OYM4" s="2"/>
      <c r="OYN4" s="2"/>
      <c r="OYO4" s="2"/>
      <c r="OYP4" s="2"/>
      <c r="OYQ4" s="2"/>
      <c r="OYR4" s="2"/>
      <c r="OYS4" s="2"/>
      <c r="OYT4" s="2"/>
      <c r="OYU4" s="2"/>
      <c r="OYV4" s="2"/>
      <c r="OYW4" s="2"/>
      <c r="OYX4" s="2"/>
      <c r="OYY4" s="2"/>
      <c r="OYZ4" s="2"/>
      <c r="OZA4" s="2"/>
      <c r="OZB4" s="2"/>
      <c r="OZC4" s="2"/>
      <c r="OZD4" s="2"/>
      <c r="OZE4" s="2"/>
      <c r="OZF4" s="2"/>
      <c r="OZG4" s="2"/>
      <c r="OZH4" s="2"/>
      <c r="OZI4" s="2"/>
      <c r="OZJ4" s="2"/>
      <c r="OZK4" s="2"/>
      <c r="OZL4" s="2"/>
      <c r="OZM4" s="2"/>
      <c r="OZN4" s="2"/>
      <c r="OZO4" s="2"/>
      <c r="OZP4" s="2"/>
      <c r="OZQ4" s="2"/>
      <c r="OZR4" s="2"/>
      <c r="OZS4" s="2"/>
      <c r="OZT4" s="2"/>
      <c r="OZU4" s="2"/>
      <c r="OZV4" s="2"/>
      <c r="OZW4" s="2"/>
      <c r="OZX4" s="2"/>
      <c r="OZY4" s="2"/>
      <c r="OZZ4" s="2"/>
      <c r="PAA4" s="2"/>
      <c r="PAB4" s="2"/>
      <c r="PAC4" s="2"/>
      <c r="PAD4" s="2"/>
      <c r="PAE4" s="2"/>
      <c r="PAF4" s="2"/>
      <c r="PAG4" s="2"/>
      <c r="PAH4" s="2"/>
      <c r="PAI4" s="2"/>
      <c r="PAJ4" s="2"/>
      <c r="PAK4" s="2"/>
      <c r="PAL4" s="2"/>
      <c r="PAM4" s="2"/>
      <c r="PAN4" s="2"/>
      <c r="PAO4" s="2"/>
      <c r="PAP4" s="2"/>
      <c r="PAQ4" s="2"/>
      <c r="PAR4" s="2"/>
      <c r="PAS4" s="2"/>
      <c r="PAT4" s="2"/>
      <c r="PAU4" s="2"/>
      <c r="PAV4" s="2"/>
      <c r="PAW4" s="2"/>
      <c r="PAX4" s="2"/>
      <c r="PAY4" s="2"/>
      <c r="PAZ4" s="2"/>
      <c r="PBA4" s="2"/>
      <c r="PBB4" s="2"/>
      <c r="PBC4" s="2"/>
      <c r="PBD4" s="2"/>
      <c r="PBE4" s="2"/>
      <c r="PBF4" s="2"/>
      <c r="PBG4" s="2"/>
      <c r="PBH4" s="2"/>
      <c r="PBI4" s="2"/>
      <c r="PBJ4" s="2"/>
      <c r="PBK4" s="2"/>
      <c r="PBL4" s="2"/>
      <c r="PBM4" s="2"/>
      <c r="PBN4" s="2"/>
      <c r="PBO4" s="2"/>
      <c r="PBP4" s="2"/>
      <c r="PBQ4" s="2"/>
      <c r="PBR4" s="2"/>
      <c r="PBS4" s="2"/>
      <c r="PBT4" s="2"/>
      <c r="PBU4" s="2"/>
      <c r="PBV4" s="2"/>
      <c r="PBW4" s="2"/>
      <c r="PBX4" s="2"/>
      <c r="PBY4" s="2"/>
      <c r="PBZ4" s="2"/>
      <c r="PCA4" s="2"/>
      <c r="PCB4" s="2"/>
      <c r="PCC4" s="2"/>
      <c r="PCD4" s="2"/>
      <c r="PCE4" s="2"/>
      <c r="PCF4" s="2"/>
      <c r="PCG4" s="2"/>
      <c r="PCH4" s="2"/>
      <c r="PCI4" s="2"/>
      <c r="PCJ4" s="2"/>
      <c r="PCK4" s="2"/>
      <c r="PCL4" s="2"/>
      <c r="PCM4" s="2"/>
      <c r="PCN4" s="2"/>
      <c r="PCO4" s="2"/>
      <c r="PCP4" s="2"/>
      <c r="PCQ4" s="2"/>
      <c r="PCR4" s="2"/>
      <c r="PCS4" s="2"/>
      <c r="PCT4" s="2"/>
      <c r="PCU4" s="2"/>
      <c r="PCV4" s="2"/>
      <c r="PCW4" s="2"/>
      <c r="PCX4" s="2"/>
      <c r="PCY4" s="2"/>
      <c r="PCZ4" s="2"/>
      <c r="PDA4" s="2"/>
      <c r="PDB4" s="2"/>
      <c r="PDC4" s="2"/>
      <c r="PDD4" s="2"/>
      <c r="PDE4" s="2"/>
      <c r="PDF4" s="2"/>
      <c r="PDG4" s="2"/>
      <c r="PDH4" s="2"/>
      <c r="PDI4" s="2"/>
      <c r="PDJ4" s="2"/>
      <c r="PDK4" s="2"/>
      <c r="PDL4" s="2"/>
      <c r="PDM4" s="2"/>
      <c r="PDN4" s="2"/>
      <c r="PDO4" s="2"/>
      <c r="PDP4" s="2"/>
      <c r="PDQ4" s="2"/>
      <c r="PDR4" s="2"/>
      <c r="PDS4" s="2"/>
      <c r="PDT4" s="2"/>
      <c r="PDU4" s="2"/>
      <c r="PDV4" s="2"/>
      <c r="PDW4" s="2"/>
      <c r="PDX4" s="2"/>
      <c r="PDY4" s="2"/>
      <c r="PDZ4" s="2"/>
      <c r="PEA4" s="2"/>
      <c r="PEB4" s="2"/>
      <c r="PEC4" s="2"/>
      <c r="PED4" s="2"/>
      <c r="PEE4" s="2"/>
      <c r="PEF4" s="2"/>
      <c r="PEG4" s="2"/>
      <c r="PEH4" s="2"/>
      <c r="PEI4" s="2"/>
      <c r="PEJ4" s="2"/>
      <c r="PEK4" s="2"/>
      <c r="PEL4" s="2"/>
      <c r="PEM4" s="2"/>
      <c r="PEN4" s="2"/>
      <c r="PEO4" s="2"/>
      <c r="PEP4" s="2"/>
      <c r="PEQ4" s="2"/>
      <c r="PER4" s="2"/>
      <c r="PES4" s="2"/>
      <c r="PET4" s="2"/>
      <c r="PEU4" s="2"/>
      <c r="PEV4" s="2"/>
      <c r="PEW4" s="2"/>
      <c r="PEX4" s="2"/>
      <c r="PEY4" s="2"/>
      <c r="PEZ4" s="2"/>
      <c r="PFA4" s="2"/>
      <c r="PFB4" s="2"/>
      <c r="PFC4" s="2"/>
      <c r="PFD4" s="2"/>
      <c r="PFE4" s="2"/>
      <c r="PFF4" s="2"/>
      <c r="PFG4" s="2"/>
      <c r="PFH4" s="2"/>
      <c r="PFI4" s="2"/>
      <c r="PFJ4" s="2"/>
      <c r="PFK4" s="2"/>
      <c r="PFL4" s="2"/>
      <c r="PFM4" s="2"/>
      <c r="PFN4" s="2"/>
      <c r="PFO4" s="2"/>
      <c r="PFP4" s="2"/>
      <c r="PFQ4" s="2"/>
      <c r="PFR4" s="2"/>
      <c r="PFS4" s="2"/>
      <c r="PFT4" s="2"/>
      <c r="PFU4" s="2"/>
      <c r="PFV4" s="2"/>
      <c r="PFW4" s="2"/>
      <c r="PFX4" s="2"/>
      <c r="PFY4" s="2"/>
      <c r="PFZ4" s="2"/>
      <c r="PGA4" s="2"/>
      <c r="PGB4" s="2"/>
      <c r="PGC4" s="2"/>
      <c r="PGD4" s="2"/>
      <c r="PGE4" s="2"/>
      <c r="PGF4" s="2"/>
      <c r="PGG4" s="2"/>
      <c r="PGH4" s="2"/>
      <c r="PGI4" s="2"/>
      <c r="PGJ4" s="2"/>
      <c r="PGK4" s="2"/>
      <c r="PGL4" s="2"/>
      <c r="PGM4" s="2"/>
      <c r="PGN4" s="2"/>
      <c r="PGO4" s="2"/>
      <c r="PGP4" s="2"/>
      <c r="PGQ4" s="2"/>
      <c r="PGR4" s="2"/>
      <c r="PGS4" s="2"/>
      <c r="PGT4" s="2"/>
      <c r="PGU4" s="2"/>
      <c r="PGV4" s="2"/>
      <c r="PGW4" s="2"/>
      <c r="PGX4" s="2"/>
      <c r="PGY4" s="2"/>
      <c r="PGZ4" s="2"/>
      <c r="PHA4" s="2"/>
      <c r="PHB4" s="2"/>
      <c r="PHC4" s="2"/>
      <c r="PHD4" s="2"/>
      <c r="PHE4" s="2"/>
      <c r="PHF4" s="2"/>
      <c r="PHG4" s="2"/>
      <c r="PHH4" s="2"/>
      <c r="PHI4" s="2"/>
      <c r="PHJ4" s="2"/>
      <c r="PHK4" s="2"/>
      <c r="PHL4" s="2"/>
      <c r="PHM4" s="2"/>
      <c r="PHN4" s="2"/>
      <c r="PHO4" s="2"/>
      <c r="PHP4" s="2"/>
      <c r="PHQ4" s="2"/>
      <c r="PHR4" s="2"/>
      <c r="PHS4" s="2"/>
      <c r="PHT4" s="2"/>
      <c r="PHU4" s="2"/>
      <c r="PHV4" s="2"/>
      <c r="PHW4" s="2"/>
      <c r="PHX4" s="2"/>
      <c r="PHY4" s="2"/>
      <c r="PHZ4" s="2"/>
      <c r="PIA4" s="2"/>
      <c r="PIB4" s="2"/>
      <c r="PIC4" s="2"/>
      <c r="PID4" s="2"/>
      <c r="PIE4" s="2"/>
      <c r="PIF4" s="2"/>
      <c r="PIG4" s="2"/>
      <c r="PIH4" s="2"/>
      <c r="PII4" s="2"/>
      <c r="PIJ4" s="2"/>
      <c r="PIK4" s="2"/>
      <c r="PIL4" s="2"/>
      <c r="PIM4" s="2"/>
      <c r="PIN4" s="2"/>
      <c r="PIO4" s="2"/>
      <c r="PIP4" s="2"/>
      <c r="PIQ4" s="2"/>
      <c r="PIR4" s="2"/>
      <c r="PIS4" s="2"/>
      <c r="PIT4" s="2"/>
      <c r="PIU4" s="2"/>
      <c r="PIV4" s="2"/>
      <c r="PIW4" s="2"/>
      <c r="PIX4" s="2"/>
      <c r="PIY4" s="2"/>
      <c r="PIZ4" s="2"/>
      <c r="PJA4" s="2"/>
      <c r="PJB4" s="2"/>
      <c r="PJC4" s="2"/>
      <c r="PJD4" s="2"/>
      <c r="PJE4" s="2"/>
      <c r="PJF4" s="2"/>
      <c r="PJG4" s="2"/>
      <c r="PJH4" s="2"/>
      <c r="PJI4" s="2"/>
      <c r="PJJ4" s="2"/>
      <c r="PJK4" s="2"/>
      <c r="PJL4" s="2"/>
      <c r="PJM4" s="2"/>
      <c r="PJN4" s="2"/>
      <c r="PJO4" s="2"/>
      <c r="PJP4" s="2"/>
      <c r="PJQ4" s="2"/>
      <c r="PJR4" s="2"/>
      <c r="PJS4" s="2"/>
      <c r="PJT4" s="2"/>
      <c r="PJU4" s="2"/>
      <c r="PJV4" s="2"/>
      <c r="PJW4" s="2"/>
      <c r="PJX4" s="2"/>
      <c r="PJY4" s="2"/>
      <c r="PJZ4" s="2"/>
      <c r="PKA4" s="2"/>
      <c r="PKB4" s="2"/>
      <c r="PKC4" s="2"/>
      <c r="PKD4" s="2"/>
      <c r="PKE4" s="2"/>
      <c r="PKF4" s="2"/>
      <c r="PKG4" s="2"/>
      <c r="PKH4" s="2"/>
      <c r="PKI4" s="2"/>
      <c r="PKJ4" s="2"/>
      <c r="PKK4" s="2"/>
      <c r="PKL4" s="2"/>
      <c r="PKM4" s="2"/>
      <c r="PKN4" s="2"/>
      <c r="PKO4" s="2"/>
      <c r="PKP4" s="2"/>
      <c r="PKQ4" s="2"/>
      <c r="PKR4" s="2"/>
      <c r="PKS4" s="2"/>
      <c r="PKT4" s="2"/>
      <c r="PKU4" s="2"/>
      <c r="PKV4" s="2"/>
      <c r="PKW4" s="2"/>
      <c r="PKX4" s="2"/>
      <c r="PKY4" s="2"/>
      <c r="PKZ4" s="2"/>
      <c r="PLA4" s="2"/>
      <c r="PLB4" s="2"/>
      <c r="PLC4" s="2"/>
      <c r="PLD4" s="2"/>
      <c r="PLE4" s="2"/>
      <c r="PLF4" s="2"/>
      <c r="PLG4" s="2"/>
      <c r="PLH4" s="2"/>
      <c r="PLI4" s="2"/>
      <c r="PLJ4" s="2"/>
      <c r="PLK4" s="2"/>
      <c r="PLL4" s="2"/>
      <c r="PLM4" s="2"/>
      <c r="PLN4" s="2"/>
      <c r="PLO4" s="2"/>
      <c r="PLP4" s="2"/>
      <c r="PLQ4" s="2"/>
      <c r="PLR4" s="2"/>
      <c r="PLS4" s="2"/>
      <c r="PLT4" s="2"/>
      <c r="PLU4" s="2"/>
      <c r="PLV4" s="2"/>
      <c r="PLW4" s="2"/>
      <c r="PLX4" s="2"/>
      <c r="PLY4" s="2"/>
      <c r="PLZ4" s="2"/>
      <c r="PMA4" s="2"/>
      <c r="PMB4" s="2"/>
      <c r="PMC4" s="2"/>
      <c r="PMD4" s="2"/>
      <c r="PME4" s="2"/>
      <c r="PMF4" s="2"/>
      <c r="PMG4" s="2"/>
      <c r="PMH4" s="2"/>
      <c r="PMI4" s="2"/>
      <c r="PMJ4" s="2"/>
      <c r="PMK4" s="2"/>
      <c r="PML4" s="2"/>
      <c r="PMM4" s="2"/>
      <c r="PMN4" s="2"/>
      <c r="PMO4" s="2"/>
      <c r="PMP4" s="2"/>
      <c r="PMQ4" s="2"/>
      <c r="PMR4" s="2"/>
      <c r="PMS4" s="2"/>
      <c r="PMT4" s="2"/>
      <c r="PMU4" s="2"/>
      <c r="PMV4" s="2"/>
      <c r="PMW4" s="2"/>
      <c r="PMX4" s="2"/>
      <c r="PMY4" s="2"/>
      <c r="PMZ4" s="2"/>
      <c r="PNA4" s="2"/>
      <c r="PNB4" s="2"/>
      <c r="PNC4" s="2"/>
      <c r="PND4" s="2"/>
      <c r="PNE4" s="2"/>
      <c r="PNF4" s="2"/>
      <c r="PNG4" s="2"/>
      <c r="PNH4" s="2"/>
      <c r="PNI4" s="2"/>
      <c r="PNJ4" s="2"/>
      <c r="PNK4" s="2"/>
      <c r="PNL4" s="2"/>
      <c r="PNM4" s="2"/>
      <c r="PNN4" s="2"/>
      <c r="PNO4" s="2"/>
      <c r="PNP4" s="2"/>
      <c r="PNQ4" s="2"/>
      <c r="PNR4" s="2"/>
      <c r="PNS4" s="2"/>
      <c r="PNT4" s="2"/>
      <c r="PNU4" s="2"/>
      <c r="PNV4" s="2"/>
      <c r="PNW4" s="2"/>
      <c r="PNX4" s="2"/>
      <c r="PNY4" s="2"/>
      <c r="PNZ4" s="2"/>
      <c r="POA4" s="2"/>
      <c r="POB4" s="2"/>
      <c r="POC4" s="2"/>
      <c r="POD4" s="2"/>
      <c r="POE4" s="2"/>
      <c r="POF4" s="2"/>
      <c r="POG4" s="2"/>
      <c r="POH4" s="2"/>
      <c r="POI4" s="2"/>
      <c r="POJ4" s="2"/>
      <c r="POK4" s="2"/>
      <c r="POL4" s="2"/>
      <c r="POM4" s="2"/>
      <c r="PON4" s="2"/>
      <c r="POO4" s="2"/>
      <c r="POP4" s="2"/>
      <c r="POQ4" s="2"/>
      <c r="POR4" s="2"/>
      <c r="POS4" s="2"/>
      <c r="POT4" s="2"/>
      <c r="POU4" s="2"/>
      <c r="POV4" s="2"/>
      <c r="POW4" s="2"/>
      <c r="POX4" s="2"/>
      <c r="POY4" s="2"/>
      <c r="POZ4" s="2"/>
      <c r="PPA4" s="2"/>
      <c r="PPB4" s="2"/>
      <c r="PPC4" s="2"/>
      <c r="PPD4" s="2"/>
      <c r="PPE4" s="2"/>
      <c r="PPF4" s="2"/>
      <c r="PPG4" s="2"/>
      <c r="PPH4" s="2"/>
      <c r="PPI4" s="2"/>
      <c r="PPJ4" s="2"/>
      <c r="PPK4" s="2"/>
      <c r="PPL4" s="2"/>
      <c r="PPM4" s="2"/>
      <c r="PPN4" s="2"/>
      <c r="PPO4" s="2"/>
      <c r="PPP4" s="2"/>
      <c r="PPQ4" s="2"/>
      <c r="PPR4" s="2"/>
      <c r="PPS4" s="2"/>
      <c r="PPT4" s="2"/>
      <c r="PPU4" s="2"/>
      <c r="PPV4" s="2"/>
      <c r="PPW4" s="2"/>
      <c r="PPX4" s="2"/>
      <c r="PPY4" s="2"/>
      <c r="PPZ4" s="2"/>
      <c r="PQA4" s="2"/>
      <c r="PQB4" s="2"/>
      <c r="PQC4" s="2"/>
      <c r="PQD4" s="2"/>
      <c r="PQE4" s="2"/>
      <c r="PQF4" s="2"/>
      <c r="PQG4" s="2"/>
      <c r="PQH4" s="2"/>
      <c r="PQI4" s="2"/>
      <c r="PQJ4" s="2"/>
      <c r="PQK4" s="2"/>
      <c r="PQL4" s="2"/>
      <c r="PQM4" s="2"/>
      <c r="PQN4" s="2"/>
      <c r="PQO4" s="2"/>
      <c r="PQP4" s="2"/>
      <c r="PQQ4" s="2"/>
      <c r="PQR4" s="2"/>
      <c r="PQS4" s="2"/>
      <c r="PQT4" s="2"/>
      <c r="PQU4" s="2"/>
      <c r="PQV4" s="2"/>
      <c r="PQW4" s="2"/>
      <c r="PQX4" s="2"/>
      <c r="PQY4" s="2"/>
      <c r="PQZ4" s="2"/>
      <c r="PRA4" s="2"/>
      <c r="PRB4" s="2"/>
      <c r="PRC4" s="2"/>
      <c r="PRD4" s="2"/>
      <c r="PRE4" s="2"/>
      <c r="PRF4" s="2"/>
      <c r="PRG4" s="2"/>
      <c r="PRH4" s="2"/>
      <c r="PRI4" s="2"/>
      <c r="PRJ4" s="2"/>
      <c r="PRK4" s="2"/>
      <c r="PRL4" s="2"/>
      <c r="PRM4" s="2"/>
      <c r="PRN4" s="2"/>
      <c r="PRO4" s="2"/>
      <c r="PRP4" s="2"/>
      <c r="PRQ4" s="2"/>
      <c r="PRR4" s="2"/>
      <c r="PRS4" s="2"/>
      <c r="PRT4" s="2"/>
      <c r="PRU4" s="2"/>
      <c r="PRV4" s="2"/>
      <c r="PRW4" s="2"/>
      <c r="PRX4" s="2"/>
      <c r="PRY4" s="2"/>
      <c r="PRZ4" s="2"/>
      <c r="PSA4" s="2"/>
      <c r="PSB4" s="2"/>
      <c r="PSC4" s="2"/>
      <c r="PSD4" s="2"/>
      <c r="PSE4" s="2"/>
      <c r="PSF4" s="2"/>
      <c r="PSG4" s="2"/>
      <c r="PSH4" s="2"/>
      <c r="PSI4" s="2"/>
      <c r="PSJ4" s="2"/>
      <c r="PSK4" s="2"/>
      <c r="PSL4" s="2"/>
      <c r="PSM4" s="2"/>
      <c r="PSN4" s="2"/>
      <c r="PSO4" s="2"/>
      <c r="PSP4" s="2"/>
      <c r="PSQ4" s="2"/>
      <c r="PSR4" s="2"/>
      <c r="PSS4" s="2"/>
      <c r="PST4" s="2"/>
      <c r="PSU4" s="2"/>
      <c r="PSV4" s="2"/>
      <c r="PSW4" s="2"/>
      <c r="PSX4" s="2"/>
      <c r="PSY4" s="2"/>
      <c r="PSZ4" s="2"/>
      <c r="PTA4" s="2"/>
      <c r="PTB4" s="2"/>
      <c r="PTC4" s="2"/>
      <c r="PTD4" s="2"/>
      <c r="PTE4" s="2"/>
      <c r="PTF4" s="2"/>
      <c r="PTG4" s="2"/>
      <c r="PTH4" s="2"/>
      <c r="PTI4" s="2"/>
      <c r="PTJ4" s="2"/>
      <c r="PTK4" s="2"/>
      <c r="PTL4" s="2"/>
      <c r="PTM4" s="2"/>
      <c r="PTN4" s="2"/>
      <c r="PTO4" s="2"/>
      <c r="PTP4" s="2"/>
      <c r="PTQ4" s="2"/>
      <c r="PTR4" s="2"/>
      <c r="PTS4" s="2"/>
      <c r="PTT4" s="2"/>
      <c r="PTU4" s="2"/>
      <c r="PTV4" s="2"/>
      <c r="PTW4" s="2"/>
      <c r="PTX4" s="2"/>
      <c r="PTY4" s="2"/>
      <c r="PTZ4" s="2"/>
      <c r="PUA4" s="2"/>
      <c r="PUB4" s="2"/>
      <c r="PUC4" s="2"/>
      <c r="PUD4" s="2"/>
      <c r="PUE4" s="2"/>
      <c r="PUF4" s="2"/>
      <c r="PUG4" s="2"/>
      <c r="PUH4" s="2"/>
      <c r="PUI4" s="2"/>
      <c r="PUJ4" s="2"/>
      <c r="PUK4" s="2"/>
      <c r="PUL4" s="2"/>
      <c r="PUM4" s="2"/>
      <c r="PUN4" s="2"/>
      <c r="PUO4" s="2"/>
      <c r="PUP4" s="2"/>
      <c r="PUQ4" s="2"/>
      <c r="PUR4" s="2"/>
      <c r="PUS4" s="2"/>
      <c r="PUT4" s="2"/>
      <c r="PUU4" s="2"/>
      <c r="PUV4" s="2"/>
      <c r="PUW4" s="2"/>
      <c r="PUX4" s="2"/>
      <c r="PUY4" s="2"/>
      <c r="PUZ4" s="2"/>
      <c r="PVA4" s="2"/>
      <c r="PVB4" s="2"/>
      <c r="PVC4" s="2"/>
      <c r="PVD4" s="2"/>
      <c r="PVE4" s="2"/>
      <c r="PVF4" s="2"/>
      <c r="PVG4" s="2"/>
      <c r="PVH4" s="2"/>
      <c r="PVI4" s="2"/>
      <c r="PVJ4" s="2"/>
      <c r="PVK4" s="2"/>
      <c r="PVL4" s="2"/>
      <c r="PVM4" s="2"/>
      <c r="PVN4" s="2"/>
      <c r="PVO4" s="2"/>
      <c r="PVP4" s="2"/>
      <c r="PVQ4" s="2"/>
      <c r="PVR4" s="2"/>
      <c r="PVS4" s="2"/>
      <c r="PVT4" s="2"/>
      <c r="PVU4" s="2"/>
      <c r="PVV4" s="2"/>
      <c r="PVW4" s="2"/>
      <c r="PVX4" s="2"/>
      <c r="PVY4" s="2"/>
      <c r="PVZ4" s="2"/>
      <c r="PWA4" s="2"/>
      <c r="PWB4" s="2"/>
      <c r="PWC4" s="2"/>
      <c r="PWD4" s="2"/>
      <c r="PWE4" s="2"/>
      <c r="PWF4" s="2"/>
      <c r="PWG4" s="2"/>
      <c r="PWH4" s="2"/>
      <c r="PWI4" s="2"/>
      <c r="PWJ4" s="2"/>
      <c r="PWK4" s="2"/>
      <c r="PWL4" s="2"/>
      <c r="PWM4" s="2"/>
      <c r="PWN4" s="2"/>
      <c r="PWO4" s="2"/>
      <c r="PWP4" s="2"/>
      <c r="PWQ4" s="2"/>
      <c r="PWR4" s="2"/>
      <c r="PWS4" s="2"/>
      <c r="PWT4" s="2"/>
      <c r="PWU4" s="2"/>
      <c r="PWV4" s="2"/>
      <c r="PWW4" s="2"/>
      <c r="PWX4" s="2"/>
      <c r="PWY4" s="2"/>
      <c r="PWZ4" s="2"/>
      <c r="PXA4" s="2"/>
      <c r="PXB4" s="2"/>
      <c r="PXC4" s="2"/>
      <c r="PXD4" s="2"/>
      <c r="PXE4" s="2"/>
      <c r="PXF4" s="2"/>
      <c r="PXG4" s="2"/>
      <c r="PXH4" s="2"/>
      <c r="PXI4" s="2"/>
      <c r="PXJ4" s="2"/>
      <c r="PXK4" s="2"/>
      <c r="PXL4" s="2"/>
      <c r="PXM4" s="2"/>
      <c r="PXN4" s="2"/>
      <c r="PXO4" s="2"/>
      <c r="PXP4" s="2"/>
      <c r="PXQ4" s="2"/>
      <c r="PXR4" s="2"/>
      <c r="PXS4" s="2"/>
      <c r="PXT4" s="2"/>
      <c r="PXU4" s="2"/>
      <c r="PXV4" s="2"/>
      <c r="PXW4" s="2"/>
      <c r="PXX4" s="2"/>
      <c r="PXY4" s="2"/>
      <c r="PXZ4" s="2"/>
      <c r="PYA4" s="2"/>
      <c r="PYB4" s="2"/>
      <c r="PYC4" s="2"/>
      <c r="PYD4" s="2"/>
      <c r="PYE4" s="2"/>
      <c r="PYF4" s="2"/>
      <c r="PYG4" s="2"/>
      <c r="PYH4" s="2"/>
      <c r="PYI4" s="2"/>
      <c r="PYJ4" s="2"/>
      <c r="PYK4" s="2"/>
      <c r="PYL4" s="2"/>
      <c r="PYM4" s="2"/>
      <c r="PYN4" s="2"/>
      <c r="PYO4" s="2"/>
      <c r="PYP4" s="2"/>
      <c r="PYQ4" s="2"/>
      <c r="PYR4" s="2"/>
      <c r="PYS4" s="2"/>
      <c r="PYT4" s="2"/>
      <c r="PYU4" s="2"/>
      <c r="PYV4" s="2"/>
      <c r="PYW4" s="2"/>
      <c r="PYX4" s="2"/>
      <c r="PYY4" s="2"/>
      <c r="PYZ4" s="2"/>
      <c r="PZA4" s="2"/>
      <c r="PZB4" s="2"/>
      <c r="PZC4" s="2"/>
      <c r="PZD4" s="2"/>
      <c r="PZE4" s="2"/>
      <c r="PZF4" s="2"/>
      <c r="PZG4" s="2"/>
      <c r="PZH4" s="2"/>
      <c r="PZI4" s="2"/>
      <c r="PZJ4" s="2"/>
      <c r="PZK4" s="2"/>
      <c r="PZL4" s="2"/>
      <c r="PZM4" s="2"/>
      <c r="PZN4" s="2"/>
      <c r="PZO4" s="2"/>
      <c r="PZP4" s="2"/>
      <c r="PZQ4" s="2"/>
      <c r="PZR4" s="2"/>
      <c r="PZS4" s="2"/>
      <c r="PZT4" s="2"/>
      <c r="PZU4" s="2"/>
      <c r="PZV4" s="2"/>
      <c r="PZW4" s="2"/>
      <c r="PZX4" s="2"/>
      <c r="PZY4" s="2"/>
      <c r="PZZ4" s="2"/>
      <c r="QAA4" s="2"/>
      <c r="QAB4" s="2"/>
      <c r="QAC4" s="2"/>
      <c r="QAD4" s="2"/>
      <c r="QAE4" s="2"/>
      <c r="QAF4" s="2"/>
      <c r="QAG4" s="2"/>
      <c r="QAH4" s="2"/>
      <c r="QAI4" s="2"/>
      <c r="QAJ4" s="2"/>
      <c r="QAK4" s="2"/>
      <c r="QAL4" s="2"/>
      <c r="QAM4" s="2"/>
      <c r="QAN4" s="2"/>
      <c r="QAO4" s="2"/>
      <c r="QAP4" s="2"/>
      <c r="QAQ4" s="2"/>
      <c r="QAR4" s="2"/>
      <c r="QAS4" s="2"/>
      <c r="QAT4" s="2"/>
      <c r="QAU4" s="2"/>
      <c r="QAV4" s="2"/>
      <c r="QAW4" s="2"/>
      <c r="QAX4" s="2"/>
      <c r="QAY4" s="2"/>
      <c r="QAZ4" s="2"/>
      <c r="QBA4" s="2"/>
      <c r="QBB4" s="2"/>
      <c r="QBC4" s="2"/>
      <c r="QBD4" s="2"/>
      <c r="QBE4" s="2"/>
      <c r="QBF4" s="2"/>
      <c r="QBG4" s="2"/>
      <c r="QBH4" s="2"/>
      <c r="QBI4" s="2"/>
      <c r="QBJ4" s="2"/>
      <c r="QBK4" s="2"/>
      <c r="QBL4" s="2"/>
      <c r="QBM4" s="2"/>
      <c r="QBN4" s="2"/>
      <c r="QBO4" s="2"/>
      <c r="QBP4" s="2"/>
      <c r="QBQ4" s="2"/>
      <c r="QBR4" s="2"/>
      <c r="QBS4" s="2"/>
      <c r="QBT4" s="2"/>
      <c r="QBU4" s="2"/>
      <c r="QBV4" s="2"/>
      <c r="QBW4" s="2"/>
      <c r="QBX4" s="2"/>
      <c r="QBY4" s="2"/>
      <c r="QBZ4" s="2"/>
      <c r="QCA4" s="2"/>
      <c r="QCB4" s="2"/>
      <c r="QCC4" s="2"/>
      <c r="QCD4" s="2"/>
      <c r="QCE4" s="2"/>
      <c r="QCF4" s="2"/>
      <c r="QCG4" s="2"/>
      <c r="QCH4" s="2"/>
      <c r="QCI4" s="2"/>
      <c r="QCJ4" s="2"/>
      <c r="QCK4" s="2"/>
      <c r="QCL4" s="2"/>
      <c r="QCM4" s="2"/>
      <c r="QCN4" s="2"/>
      <c r="QCO4" s="2"/>
      <c r="QCP4" s="2"/>
      <c r="QCQ4" s="2"/>
      <c r="QCR4" s="2"/>
      <c r="QCS4" s="2"/>
      <c r="QCT4" s="2"/>
      <c r="QCU4" s="2"/>
      <c r="QCV4" s="2"/>
      <c r="QCW4" s="2"/>
      <c r="QCX4" s="2"/>
      <c r="QCY4" s="2"/>
      <c r="QCZ4" s="2"/>
      <c r="QDA4" s="2"/>
      <c r="QDB4" s="2"/>
      <c r="QDC4" s="2"/>
      <c r="QDD4" s="2"/>
      <c r="QDE4" s="2"/>
      <c r="QDF4" s="2"/>
      <c r="QDG4" s="2"/>
      <c r="QDH4" s="2"/>
      <c r="QDI4" s="2"/>
      <c r="QDJ4" s="2"/>
      <c r="QDK4" s="2"/>
      <c r="QDL4" s="2"/>
      <c r="QDM4" s="2"/>
      <c r="QDN4" s="2"/>
      <c r="QDO4" s="2"/>
      <c r="QDP4" s="2"/>
      <c r="QDQ4" s="2"/>
      <c r="QDR4" s="2"/>
      <c r="QDS4" s="2"/>
      <c r="QDT4" s="2"/>
      <c r="QDU4" s="2"/>
      <c r="QDV4" s="2"/>
      <c r="QDW4" s="2"/>
      <c r="QDX4" s="2"/>
      <c r="QDY4" s="2"/>
      <c r="QDZ4" s="2"/>
      <c r="QEA4" s="2"/>
      <c r="QEB4" s="2"/>
      <c r="QEC4" s="2"/>
      <c r="QED4" s="2"/>
      <c r="QEE4" s="2"/>
      <c r="QEF4" s="2"/>
      <c r="QEG4" s="2"/>
      <c r="QEH4" s="2"/>
      <c r="QEI4" s="2"/>
      <c r="QEJ4" s="2"/>
      <c r="QEK4" s="2"/>
      <c r="QEL4" s="2"/>
      <c r="QEM4" s="2"/>
      <c r="QEN4" s="2"/>
      <c r="QEO4" s="2"/>
      <c r="QEP4" s="2"/>
      <c r="QEQ4" s="2"/>
      <c r="QER4" s="2"/>
      <c r="QES4" s="2"/>
      <c r="QET4" s="2"/>
      <c r="QEU4" s="2"/>
      <c r="QEV4" s="2"/>
      <c r="QEW4" s="2"/>
      <c r="QEX4" s="2"/>
      <c r="QEY4" s="2"/>
      <c r="QEZ4" s="2"/>
      <c r="QFA4" s="2"/>
      <c r="QFB4" s="2"/>
      <c r="QFC4" s="2"/>
      <c r="QFD4" s="2"/>
      <c r="QFE4" s="2"/>
      <c r="QFF4" s="2"/>
      <c r="QFG4" s="2"/>
      <c r="QFH4" s="2"/>
      <c r="QFI4" s="2"/>
      <c r="QFJ4" s="2"/>
      <c r="QFK4" s="2"/>
      <c r="QFL4" s="2"/>
      <c r="QFM4" s="2"/>
      <c r="QFN4" s="2"/>
      <c r="QFO4" s="2"/>
      <c r="QFP4" s="2"/>
      <c r="QFQ4" s="2"/>
      <c r="QFR4" s="2"/>
      <c r="QFS4" s="2"/>
      <c r="QFT4" s="2"/>
      <c r="QFU4" s="2"/>
      <c r="QFV4" s="2"/>
      <c r="QFW4" s="2"/>
      <c r="QFX4" s="2"/>
      <c r="QFY4" s="2"/>
      <c r="QFZ4" s="2"/>
      <c r="QGA4" s="2"/>
      <c r="QGB4" s="2"/>
      <c r="QGC4" s="2"/>
      <c r="QGD4" s="2"/>
      <c r="QGE4" s="2"/>
      <c r="QGF4" s="2"/>
      <c r="QGG4" s="2"/>
      <c r="QGH4" s="2"/>
      <c r="QGI4" s="2"/>
      <c r="QGJ4" s="2"/>
      <c r="QGK4" s="2"/>
      <c r="QGL4" s="2"/>
      <c r="QGM4" s="2"/>
      <c r="QGN4" s="2"/>
      <c r="QGO4" s="2"/>
      <c r="QGP4" s="2"/>
      <c r="QGQ4" s="2"/>
      <c r="QGR4" s="2"/>
      <c r="QGS4" s="2"/>
      <c r="QGT4" s="2"/>
      <c r="QGU4" s="2"/>
      <c r="QGV4" s="2"/>
      <c r="QGW4" s="2"/>
      <c r="QGX4" s="2"/>
      <c r="QGY4" s="2"/>
      <c r="QGZ4" s="2"/>
      <c r="QHA4" s="2"/>
      <c r="QHB4" s="2"/>
      <c r="QHC4" s="2"/>
      <c r="QHD4" s="2"/>
      <c r="QHE4" s="2"/>
      <c r="QHF4" s="2"/>
      <c r="QHG4" s="2"/>
      <c r="QHH4" s="2"/>
      <c r="QHI4" s="2"/>
      <c r="QHJ4" s="2"/>
      <c r="QHK4" s="2"/>
      <c r="QHL4" s="2"/>
      <c r="QHM4" s="2"/>
      <c r="QHN4" s="2"/>
      <c r="QHO4" s="2"/>
      <c r="QHP4" s="2"/>
      <c r="QHQ4" s="2"/>
      <c r="QHR4" s="2"/>
      <c r="QHS4" s="2"/>
      <c r="QHT4" s="2"/>
      <c r="QHU4" s="2"/>
      <c r="QHV4" s="2"/>
      <c r="QHW4" s="2"/>
      <c r="QHX4" s="2"/>
      <c r="QHY4" s="2"/>
      <c r="QHZ4" s="2"/>
      <c r="QIA4" s="2"/>
      <c r="QIB4" s="2"/>
      <c r="QIC4" s="2"/>
      <c r="QID4" s="2"/>
      <c r="QIE4" s="2"/>
      <c r="QIF4" s="2"/>
      <c r="QIG4" s="2"/>
      <c r="QIH4" s="2"/>
      <c r="QII4" s="2"/>
      <c r="QIJ4" s="2"/>
      <c r="QIK4" s="2"/>
      <c r="QIL4" s="2"/>
      <c r="QIM4" s="2"/>
      <c r="QIN4" s="2"/>
      <c r="QIO4" s="2"/>
      <c r="QIP4" s="2"/>
      <c r="QIQ4" s="2"/>
      <c r="QIR4" s="2"/>
      <c r="QIS4" s="2"/>
      <c r="QIT4" s="2"/>
      <c r="QIU4" s="2"/>
      <c r="QIV4" s="2"/>
      <c r="QIW4" s="2"/>
      <c r="QIX4" s="2"/>
      <c r="QIY4" s="2"/>
      <c r="QIZ4" s="2"/>
      <c r="QJA4" s="2"/>
      <c r="QJB4" s="2"/>
      <c r="QJC4" s="2"/>
      <c r="QJD4" s="2"/>
      <c r="QJE4" s="2"/>
      <c r="QJF4" s="2"/>
      <c r="QJG4" s="2"/>
      <c r="QJH4" s="2"/>
      <c r="QJI4" s="2"/>
      <c r="QJJ4" s="2"/>
      <c r="QJK4" s="2"/>
      <c r="QJL4" s="2"/>
      <c r="QJM4" s="2"/>
      <c r="QJN4" s="2"/>
      <c r="QJO4" s="2"/>
      <c r="QJP4" s="2"/>
      <c r="QJQ4" s="2"/>
      <c r="QJR4" s="2"/>
      <c r="QJS4" s="2"/>
      <c r="QJT4" s="2"/>
      <c r="QJU4" s="2"/>
      <c r="QJV4" s="2"/>
      <c r="QJW4" s="2"/>
      <c r="QJX4" s="2"/>
      <c r="QJY4" s="2"/>
      <c r="QJZ4" s="2"/>
      <c r="QKA4" s="2"/>
      <c r="QKB4" s="2"/>
      <c r="QKC4" s="2"/>
      <c r="QKD4" s="2"/>
      <c r="QKE4" s="2"/>
      <c r="QKF4" s="2"/>
      <c r="QKG4" s="2"/>
      <c r="QKH4" s="2"/>
      <c r="QKI4" s="2"/>
      <c r="QKJ4" s="2"/>
      <c r="QKK4" s="2"/>
      <c r="QKL4" s="2"/>
      <c r="QKM4" s="2"/>
      <c r="QKN4" s="2"/>
      <c r="QKO4" s="2"/>
      <c r="QKP4" s="2"/>
      <c r="QKQ4" s="2"/>
      <c r="QKR4" s="2"/>
      <c r="QKS4" s="2"/>
      <c r="QKT4" s="2"/>
      <c r="QKU4" s="2"/>
      <c r="QKV4" s="2"/>
      <c r="QKW4" s="2"/>
      <c r="QKX4" s="2"/>
      <c r="QKY4" s="2"/>
      <c r="QKZ4" s="2"/>
      <c r="QLA4" s="2"/>
      <c r="QLB4" s="2"/>
      <c r="QLC4" s="2"/>
      <c r="QLD4" s="2"/>
      <c r="QLE4" s="2"/>
      <c r="QLF4" s="2"/>
      <c r="QLG4" s="2"/>
      <c r="QLH4" s="2"/>
      <c r="QLI4" s="2"/>
      <c r="QLJ4" s="2"/>
      <c r="QLK4" s="2"/>
      <c r="QLL4" s="2"/>
      <c r="QLM4" s="2"/>
      <c r="QLN4" s="2"/>
      <c r="QLO4" s="2"/>
      <c r="QLP4" s="2"/>
      <c r="QLQ4" s="2"/>
      <c r="QLR4" s="2"/>
      <c r="QLS4" s="2"/>
      <c r="QLT4" s="2"/>
      <c r="QLU4" s="2"/>
      <c r="QLV4" s="2"/>
      <c r="QLW4" s="2"/>
      <c r="QLX4" s="2"/>
      <c r="QLY4" s="2"/>
      <c r="QLZ4" s="2"/>
      <c r="QMA4" s="2"/>
      <c r="QMB4" s="2"/>
      <c r="QMC4" s="2"/>
      <c r="QMD4" s="2"/>
      <c r="QME4" s="2"/>
      <c r="QMF4" s="2"/>
      <c r="QMG4" s="2"/>
      <c r="QMH4" s="2"/>
      <c r="QMI4" s="2"/>
      <c r="QMJ4" s="2"/>
      <c r="QMK4" s="2"/>
      <c r="QML4" s="2"/>
      <c r="QMM4" s="2"/>
      <c r="QMN4" s="2"/>
      <c r="QMO4" s="2"/>
      <c r="QMP4" s="2"/>
      <c r="QMQ4" s="2"/>
      <c r="QMR4" s="2"/>
      <c r="QMS4" s="2"/>
      <c r="QMT4" s="2"/>
      <c r="QMU4" s="2"/>
      <c r="QMV4" s="2"/>
      <c r="QMW4" s="2"/>
      <c r="QMX4" s="2"/>
      <c r="QMY4" s="2"/>
      <c r="QMZ4" s="2"/>
      <c r="QNA4" s="2"/>
      <c r="QNB4" s="2"/>
      <c r="QNC4" s="2"/>
      <c r="QND4" s="2"/>
      <c r="QNE4" s="2"/>
      <c r="QNF4" s="2"/>
      <c r="QNG4" s="2"/>
      <c r="QNH4" s="2"/>
      <c r="QNI4" s="2"/>
      <c r="QNJ4" s="2"/>
      <c r="QNK4" s="2"/>
      <c r="QNL4" s="2"/>
      <c r="QNM4" s="2"/>
      <c r="QNN4" s="2"/>
      <c r="QNO4" s="2"/>
      <c r="QNP4" s="2"/>
      <c r="QNQ4" s="2"/>
      <c r="QNR4" s="2"/>
      <c r="QNS4" s="2"/>
      <c r="QNT4" s="2"/>
      <c r="QNU4" s="2"/>
      <c r="QNV4" s="2"/>
      <c r="QNW4" s="2"/>
      <c r="QNX4" s="2"/>
      <c r="QNY4" s="2"/>
      <c r="QNZ4" s="2"/>
      <c r="QOA4" s="2"/>
      <c r="QOB4" s="2"/>
      <c r="QOC4" s="2"/>
      <c r="QOD4" s="2"/>
      <c r="QOE4" s="2"/>
      <c r="QOF4" s="2"/>
      <c r="QOG4" s="2"/>
      <c r="QOH4" s="2"/>
      <c r="QOI4" s="2"/>
      <c r="QOJ4" s="2"/>
      <c r="QOK4" s="2"/>
      <c r="QOL4" s="2"/>
      <c r="QOM4" s="2"/>
      <c r="QON4" s="2"/>
      <c r="QOO4" s="2"/>
      <c r="QOP4" s="2"/>
      <c r="QOQ4" s="2"/>
      <c r="QOR4" s="2"/>
      <c r="QOS4" s="2"/>
      <c r="QOT4" s="2"/>
      <c r="QOU4" s="2"/>
      <c r="QOV4" s="2"/>
      <c r="QOW4" s="2"/>
      <c r="QOX4" s="2"/>
      <c r="QOY4" s="2"/>
      <c r="QOZ4" s="2"/>
      <c r="QPA4" s="2"/>
      <c r="QPB4" s="2"/>
      <c r="QPC4" s="2"/>
      <c r="QPD4" s="2"/>
      <c r="QPE4" s="2"/>
      <c r="QPF4" s="2"/>
      <c r="QPG4" s="2"/>
      <c r="QPH4" s="2"/>
      <c r="QPI4" s="2"/>
      <c r="QPJ4" s="2"/>
      <c r="QPK4" s="2"/>
      <c r="QPL4" s="2"/>
      <c r="QPM4" s="2"/>
      <c r="QPN4" s="2"/>
      <c r="QPO4" s="2"/>
      <c r="QPP4" s="2"/>
      <c r="QPQ4" s="2"/>
      <c r="QPR4" s="2"/>
      <c r="QPS4" s="2"/>
      <c r="QPT4" s="2"/>
      <c r="QPU4" s="2"/>
      <c r="QPV4" s="2"/>
      <c r="QPW4" s="2"/>
      <c r="QPX4" s="2"/>
      <c r="QPY4" s="2"/>
      <c r="QPZ4" s="2"/>
      <c r="QQA4" s="2"/>
      <c r="QQB4" s="2"/>
      <c r="QQC4" s="2"/>
      <c r="QQD4" s="2"/>
      <c r="QQE4" s="2"/>
      <c r="QQF4" s="2"/>
      <c r="QQG4" s="2"/>
      <c r="QQH4" s="2"/>
      <c r="QQI4" s="2"/>
      <c r="QQJ4" s="2"/>
      <c r="QQK4" s="2"/>
      <c r="QQL4" s="2"/>
      <c r="QQM4" s="2"/>
      <c r="QQN4" s="2"/>
      <c r="QQO4" s="2"/>
      <c r="QQP4" s="2"/>
      <c r="QQQ4" s="2"/>
      <c r="QQR4" s="2"/>
      <c r="QQS4" s="2"/>
      <c r="QQT4" s="2"/>
      <c r="QQU4" s="2"/>
      <c r="QQV4" s="2"/>
      <c r="QQW4" s="2"/>
      <c r="QQX4" s="2"/>
      <c r="QQY4" s="2"/>
      <c r="QQZ4" s="2"/>
      <c r="QRA4" s="2"/>
      <c r="QRB4" s="2"/>
      <c r="QRC4" s="2"/>
      <c r="QRD4" s="2"/>
      <c r="QRE4" s="2"/>
      <c r="QRF4" s="2"/>
      <c r="QRG4" s="2"/>
      <c r="QRH4" s="2"/>
      <c r="QRI4" s="2"/>
      <c r="QRJ4" s="2"/>
      <c r="QRK4" s="2"/>
      <c r="QRL4" s="2"/>
      <c r="QRM4" s="2"/>
      <c r="QRN4" s="2"/>
      <c r="QRO4" s="2"/>
      <c r="QRP4" s="2"/>
      <c r="QRQ4" s="2"/>
      <c r="QRR4" s="2"/>
      <c r="QRS4" s="2"/>
      <c r="QRT4" s="2"/>
      <c r="QRU4" s="2"/>
      <c r="QRV4" s="2"/>
      <c r="QRW4" s="2"/>
      <c r="QRX4" s="2"/>
      <c r="QRY4" s="2"/>
      <c r="QRZ4" s="2"/>
      <c r="QSA4" s="2"/>
      <c r="QSB4" s="2"/>
      <c r="QSC4" s="2"/>
      <c r="QSD4" s="2"/>
      <c r="QSE4" s="2"/>
      <c r="QSF4" s="2"/>
      <c r="QSG4" s="2"/>
      <c r="QSH4" s="2"/>
      <c r="QSI4" s="2"/>
      <c r="QSJ4" s="2"/>
      <c r="QSK4" s="2"/>
      <c r="QSL4" s="2"/>
      <c r="QSM4" s="2"/>
      <c r="QSN4" s="2"/>
      <c r="QSO4" s="2"/>
      <c r="QSP4" s="2"/>
      <c r="QSQ4" s="2"/>
      <c r="QSR4" s="2"/>
      <c r="QSS4" s="2"/>
      <c r="QST4" s="2"/>
      <c r="QSU4" s="2"/>
      <c r="QSV4" s="2"/>
      <c r="QSW4" s="2"/>
      <c r="QSX4" s="2"/>
      <c r="QSY4" s="2"/>
      <c r="QSZ4" s="2"/>
      <c r="QTA4" s="2"/>
      <c r="QTB4" s="2"/>
      <c r="QTC4" s="2"/>
      <c r="QTD4" s="2"/>
      <c r="QTE4" s="2"/>
      <c r="QTF4" s="2"/>
      <c r="QTG4" s="2"/>
      <c r="QTH4" s="2"/>
      <c r="QTI4" s="2"/>
      <c r="QTJ4" s="2"/>
      <c r="QTK4" s="2"/>
      <c r="QTL4" s="2"/>
      <c r="QTM4" s="2"/>
      <c r="QTN4" s="2"/>
      <c r="QTO4" s="2"/>
      <c r="QTP4" s="2"/>
      <c r="QTQ4" s="2"/>
      <c r="QTR4" s="2"/>
      <c r="QTS4" s="2"/>
      <c r="QTT4" s="2"/>
      <c r="QTU4" s="2"/>
      <c r="QTV4" s="2"/>
      <c r="QTW4" s="2"/>
      <c r="QTX4" s="2"/>
      <c r="QTY4" s="2"/>
      <c r="QTZ4" s="2"/>
      <c r="QUA4" s="2"/>
      <c r="QUB4" s="2"/>
      <c r="QUC4" s="2"/>
      <c r="QUD4" s="2"/>
      <c r="QUE4" s="2"/>
      <c r="QUF4" s="2"/>
      <c r="QUG4" s="2"/>
      <c r="QUH4" s="2"/>
      <c r="QUI4" s="2"/>
      <c r="QUJ4" s="2"/>
      <c r="QUK4" s="2"/>
      <c r="QUL4" s="2"/>
      <c r="QUM4" s="2"/>
      <c r="QUN4" s="2"/>
      <c r="QUO4" s="2"/>
      <c r="QUP4" s="2"/>
      <c r="QUQ4" s="2"/>
      <c r="QUR4" s="2"/>
      <c r="QUS4" s="2"/>
      <c r="QUT4" s="2"/>
      <c r="QUU4" s="2"/>
      <c r="QUV4" s="2"/>
      <c r="QUW4" s="2"/>
      <c r="QUX4" s="2"/>
      <c r="QUY4" s="2"/>
      <c r="QUZ4" s="2"/>
      <c r="QVA4" s="2"/>
      <c r="QVB4" s="2"/>
      <c r="QVC4" s="2"/>
      <c r="QVD4" s="2"/>
      <c r="QVE4" s="2"/>
      <c r="QVF4" s="2"/>
      <c r="QVG4" s="2"/>
      <c r="QVH4" s="2"/>
      <c r="QVI4" s="2"/>
      <c r="QVJ4" s="2"/>
      <c r="QVK4" s="2"/>
      <c r="QVL4" s="2"/>
      <c r="QVM4" s="2"/>
      <c r="QVN4" s="2"/>
      <c r="QVO4" s="2"/>
      <c r="QVP4" s="2"/>
      <c r="QVQ4" s="2"/>
      <c r="QVR4" s="2"/>
      <c r="QVS4" s="2"/>
      <c r="QVT4" s="2"/>
      <c r="QVU4" s="2"/>
      <c r="QVV4" s="2"/>
      <c r="QVW4" s="2"/>
      <c r="QVX4" s="2"/>
      <c r="QVY4" s="2"/>
      <c r="QVZ4" s="2"/>
      <c r="QWA4" s="2"/>
      <c r="QWB4" s="2"/>
      <c r="QWC4" s="2"/>
      <c r="QWD4" s="2"/>
      <c r="QWE4" s="2"/>
      <c r="QWF4" s="2"/>
      <c r="QWG4" s="2"/>
      <c r="QWH4" s="2"/>
      <c r="QWI4" s="2"/>
      <c r="QWJ4" s="2"/>
      <c r="QWK4" s="2"/>
      <c r="QWL4" s="2"/>
      <c r="QWM4" s="2"/>
      <c r="QWN4" s="2"/>
      <c r="QWO4" s="2"/>
      <c r="QWP4" s="2"/>
      <c r="QWQ4" s="2"/>
      <c r="QWR4" s="2"/>
      <c r="QWS4" s="2"/>
      <c r="QWT4" s="2"/>
      <c r="QWU4" s="2"/>
      <c r="QWV4" s="2"/>
      <c r="QWW4" s="2"/>
      <c r="QWX4" s="2"/>
      <c r="QWY4" s="2"/>
      <c r="QWZ4" s="2"/>
      <c r="QXA4" s="2"/>
      <c r="QXB4" s="2"/>
      <c r="QXC4" s="2"/>
      <c r="QXD4" s="2"/>
      <c r="QXE4" s="2"/>
      <c r="QXF4" s="2"/>
      <c r="QXG4" s="2"/>
      <c r="QXH4" s="2"/>
      <c r="QXI4" s="2"/>
      <c r="QXJ4" s="2"/>
      <c r="QXK4" s="2"/>
      <c r="QXL4" s="2"/>
      <c r="QXM4" s="2"/>
      <c r="QXN4" s="2"/>
      <c r="QXO4" s="2"/>
      <c r="QXP4" s="2"/>
      <c r="QXQ4" s="2"/>
      <c r="QXR4" s="2"/>
      <c r="QXS4" s="2"/>
      <c r="QXT4" s="2"/>
      <c r="QXU4" s="2"/>
      <c r="QXV4" s="2"/>
      <c r="QXW4" s="2"/>
      <c r="QXX4" s="2"/>
      <c r="QXY4" s="2"/>
      <c r="QXZ4" s="2"/>
      <c r="QYA4" s="2"/>
      <c r="QYB4" s="2"/>
      <c r="QYC4" s="2"/>
      <c r="QYD4" s="2"/>
      <c r="QYE4" s="2"/>
      <c r="QYF4" s="2"/>
      <c r="QYG4" s="2"/>
      <c r="QYH4" s="2"/>
      <c r="QYI4" s="2"/>
      <c r="QYJ4" s="2"/>
      <c r="QYK4" s="2"/>
      <c r="QYL4" s="2"/>
      <c r="QYM4" s="2"/>
      <c r="QYN4" s="2"/>
      <c r="QYO4" s="2"/>
      <c r="QYP4" s="2"/>
      <c r="QYQ4" s="2"/>
      <c r="QYR4" s="2"/>
      <c r="QYS4" s="2"/>
      <c r="QYT4" s="2"/>
      <c r="QYU4" s="2"/>
      <c r="QYV4" s="2"/>
      <c r="QYW4" s="2"/>
      <c r="QYX4" s="2"/>
      <c r="QYY4" s="2"/>
      <c r="QYZ4" s="2"/>
      <c r="QZA4" s="2"/>
      <c r="QZB4" s="2"/>
      <c r="QZC4" s="2"/>
      <c r="QZD4" s="2"/>
      <c r="QZE4" s="2"/>
      <c r="QZF4" s="2"/>
      <c r="QZG4" s="2"/>
      <c r="QZH4" s="2"/>
      <c r="QZI4" s="2"/>
      <c r="QZJ4" s="2"/>
      <c r="QZK4" s="2"/>
      <c r="QZL4" s="2"/>
      <c r="QZM4" s="2"/>
      <c r="QZN4" s="2"/>
      <c r="QZO4" s="2"/>
      <c r="QZP4" s="2"/>
      <c r="QZQ4" s="2"/>
      <c r="QZR4" s="2"/>
      <c r="QZS4" s="2"/>
      <c r="QZT4" s="2"/>
      <c r="QZU4" s="2"/>
      <c r="QZV4" s="2"/>
      <c r="QZW4" s="2"/>
      <c r="QZX4" s="2"/>
      <c r="QZY4" s="2"/>
      <c r="QZZ4" s="2"/>
      <c r="RAA4" s="2"/>
      <c r="RAB4" s="2"/>
      <c r="RAC4" s="2"/>
      <c r="RAD4" s="2"/>
      <c r="RAE4" s="2"/>
      <c r="RAF4" s="2"/>
      <c r="RAG4" s="2"/>
      <c r="RAH4" s="2"/>
      <c r="RAI4" s="2"/>
      <c r="RAJ4" s="2"/>
      <c r="RAK4" s="2"/>
      <c r="RAL4" s="2"/>
      <c r="RAM4" s="2"/>
      <c r="RAN4" s="2"/>
      <c r="RAO4" s="2"/>
      <c r="RAP4" s="2"/>
      <c r="RAQ4" s="2"/>
      <c r="RAR4" s="2"/>
      <c r="RAS4" s="2"/>
      <c r="RAT4" s="2"/>
      <c r="RAU4" s="2"/>
      <c r="RAV4" s="2"/>
      <c r="RAW4" s="2"/>
      <c r="RAX4" s="2"/>
      <c r="RAY4" s="2"/>
      <c r="RAZ4" s="2"/>
      <c r="RBA4" s="2"/>
      <c r="RBB4" s="2"/>
      <c r="RBC4" s="2"/>
      <c r="RBD4" s="2"/>
      <c r="RBE4" s="2"/>
      <c r="RBF4" s="2"/>
      <c r="RBG4" s="2"/>
      <c r="RBH4" s="2"/>
      <c r="RBI4" s="2"/>
      <c r="RBJ4" s="2"/>
      <c r="RBK4" s="2"/>
      <c r="RBL4" s="2"/>
      <c r="RBM4" s="2"/>
      <c r="RBN4" s="2"/>
      <c r="RBO4" s="2"/>
      <c r="RBP4" s="2"/>
      <c r="RBQ4" s="2"/>
      <c r="RBR4" s="2"/>
      <c r="RBS4" s="2"/>
      <c r="RBT4" s="2"/>
      <c r="RBU4" s="2"/>
      <c r="RBV4" s="2"/>
      <c r="RBW4" s="2"/>
      <c r="RBX4" s="2"/>
      <c r="RBY4" s="2"/>
      <c r="RBZ4" s="2"/>
      <c r="RCA4" s="2"/>
      <c r="RCB4" s="2"/>
      <c r="RCC4" s="2"/>
      <c r="RCD4" s="2"/>
      <c r="RCE4" s="2"/>
      <c r="RCF4" s="2"/>
      <c r="RCG4" s="2"/>
      <c r="RCH4" s="2"/>
      <c r="RCI4" s="2"/>
      <c r="RCJ4" s="2"/>
      <c r="RCK4" s="2"/>
      <c r="RCL4" s="2"/>
      <c r="RCM4" s="2"/>
      <c r="RCN4" s="2"/>
      <c r="RCO4" s="2"/>
      <c r="RCP4" s="2"/>
      <c r="RCQ4" s="2"/>
      <c r="RCR4" s="2"/>
      <c r="RCS4" s="2"/>
      <c r="RCT4" s="2"/>
      <c r="RCU4" s="2"/>
      <c r="RCV4" s="2"/>
      <c r="RCW4" s="2"/>
      <c r="RCX4" s="2"/>
      <c r="RCY4" s="2"/>
      <c r="RCZ4" s="2"/>
      <c r="RDA4" s="2"/>
      <c r="RDB4" s="2"/>
      <c r="RDC4" s="2"/>
      <c r="RDD4" s="2"/>
      <c r="RDE4" s="2"/>
      <c r="RDF4" s="2"/>
      <c r="RDG4" s="2"/>
      <c r="RDH4" s="2"/>
      <c r="RDI4" s="2"/>
      <c r="RDJ4" s="2"/>
      <c r="RDK4" s="2"/>
      <c r="RDL4" s="2"/>
      <c r="RDM4" s="2"/>
      <c r="RDN4" s="2"/>
      <c r="RDO4" s="2"/>
      <c r="RDP4" s="2"/>
      <c r="RDQ4" s="2"/>
      <c r="RDR4" s="2"/>
      <c r="RDS4" s="2"/>
      <c r="RDT4" s="2"/>
      <c r="RDU4" s="2"/>
      <c r="RDV4" s="2"/>
      <c r="RDW4" s="2"/>
      <c r="RDX4" s="2"/>
      <c r="RDY4" s="2"/>
      <c r="RDZ4" s="2"/>
      <c r="REA4" s="2"/>
      <c r="REB4" s="2"/>
      <c r="REC4" s="2"/>
      <c r="RED4" s="2"/>
      <c r="REE4" s="2"/>
      <c r="REF4" s="2"/>
      <c r="REG4" s="2"/>
      <c r="REH4" s="2"/>
      <c r="REI4" s="2"/>
      <c r="REJ4" s="2"/>
      <c r="REK4" s="2"/>
      <c r="REL4" s="2"/>
      <c r="REM4" s="2"/>
      <c r="REN4" s="2"/>
      <c r="REO4" s="2"/>
      <c r="REP4" s="2"/>
      <c r="REQ4" s="2"/>
      <c r="RER4" s="2"/>
      <c r="RES4" s="2"/>
      <c r="RET4" s="2"/>
      <c r="REU4" s="2"/>
      <c r="REV4" s="2"/>
      <c r="REW4" s="2"/>
      <c r="REX4" s="2"/>
      <c r="REY4" s="2"/>
      <c r="REZ4" s="2"/>
      <c r="RFA4" s="2"/>
      <c r="RFB4" s="2"/>
      <c r="RFC4" s="2"/>
      <c r="RFD4" s="2"/>
      <c r="RFE4" s="2"/>
      <c r="RFF4" s="2"/>
      <c r="RFG4" s="2"/>
      <c r="RFH4" s="2"/>
      <c r="RFI4" s="2"/>
      <c r="RFJ4" s="2"/>
      <c r="RFK4" s="2"/>
      <c r="RFL4" s="2"/>
      <c r="RFM4" s="2"/>
      <c r="RFN4" s="2"/>
      <c r="RFO4" s="2"/>
      <c r="RFP4" s="2"/>
      <c r="RFQ4" s="2"/>
      <c r="RFR4" s="2"/>
      <c r="RFS4" s="2"/>
      <c r="RFT4" s="2"/>
      <c r="RFU4" s="2"/>
      <c r="RFV4" s="2"/>
      <c r="RFW4" s="2"/>
      <c r="RFX4" s="2"/>
      <c r="RFY4" s="2"/>
      <c r="RFZ4" s="2"/>
      <c r="RGA4" s="2"/>
      <c r="RGB4" s="2"/>
      <c r="RGC4" s="2"/>
      <c r="RGD4" s="2"/>
      <c r="RGE4" s="2"/>
      <c r="RGF4" s="2"/>
      <c r="RGG4" s="2"/>
      <c r="RGH4" s="2"/>
      <c r="RGI4" s="2"/>
      <c r="RGJ4" s="2"/>
      <c r="RGK4" s="2"/>
      <c r="RGL4" s="2"/>
      <c r="RGM4" s="2"/>
      <c r="RGN4" s="2"/>
      <c r="RGO4" s="2"/>
      <c r="RGP4" s="2"/>
      <c r="RGQ4" s="2"/>
      <c r="RGR4" s="2"/>
      <c r="RGS4" s="2"/>
      <c r="RGT4" s="2"/>
      <c r="RGU4" s="2"/>
      <c r="RGV4" s="2"/>
      <c r="RGW4" s="2"/>
      <c r="RGX4" s="2"/>
      <c r="RGY4" s="2"/>
      <c r="RGZ4" s="2"/>
      <c r="RHA4" s="2"/>
      <c r="RHB4" s="2"/>
      <c r="RHC4" s="2"/>
      <c r="RHD4" s="2"/>
      <c r="RHE4" s="2"/>
      <c r="RHF4" s="2"/>
      <c r="RHG4" s="2"/>
      <c r="RHH4" s="2"/>
      <c r="RHI4" s="2"/>
      <c r="RHJ4" s="2"/>
      <c r="RHK4" s="2"/>
      <c r="RHL4" s="2"/>
      <c r="RHM4" s="2"/>
      <c r="RHN4" s="2"/>
      <c r="RHO4" s="2"/>
      <c r="RHP4" s="2"/>
      <c r="RHQ4" s="2"/>
      <c r="RHR4" s="2"/>
      <c r="RHS4" s="2"/>
      <c r="RHT4" s="2"/>
      <c r="RHU4" s="2"/>
      <c r="RHV4" s="2"/>
      <c r="RHW4" s="2"/>
      <c r="RHX4" s="2"/>
      <c r="RHY4" s="2"/>
      <c r="RHZ4" s="2"/>
      <c r="RIA4" s="2"/>
      <c r="RIB4" s="2"/>
      <c r="RIC4" s="2"/>
      <c r="RID4" s="2"/>
      <c r="RIE4" s="2"/>
      <c r="RIF4" s="2"/>
      <c r="RIG4" s="2"/>
      <c r="RIH4" s="2"/>
      <c r="RII4" s="2"/>
      <c r="RIJ4" s="2"/>
      <c r="RIK4" s="2"/>
      <c r="RIL4" s="2"/>
      <c r="RIM4" s="2"/>
      <c r="RIN4" s="2"/>
      <c r="RIO4" s="2"/>
      <c r="RIP4" s="2"/>
      <c r="RIQ4" s="2"/>
      <c r="RIR4" s="2"/>
      <c r="RIS4" s="2"/>
      <c r="RIT4" s="2"/>
      <c r="RIU4" s="2"/>
      <c r="RIV4" s="2"/>
      <c r="RIW4" s="2"/>
      <c r="RIX4" s="2"/>
      <c r="RIY4" s="2"/>
      <c r="RIZ4" s="2"/>
      <c r="RJA4" s="2"/>
      <c r="RJB4" s="2"/>
      <c r="RJC4" s="2"/>
      <c r="RJD4" s="2"/>
      <c r="RJE4" s="2"/>
      <c r="RJF4" s="2"/>
      <c r="RJG4" s="2"/>
      <c r="RJH4" s="2"/>
      <c r="RJI4" s="2"/>
      <c r="RJJ4" s="2"/>
      <c r="RJK4" s="2"/>
      <c r="RJL4" s="2"/>
      <c r="RJM4" s="2"/>
      <c r="RJN4" s="2"/>
      <c r="RJO4" s="2"/>
      <c r="RJP4" s="2"/>
      <c r="RJQ4" s="2"/>
      <c r="RJR4" s="2"/>
      <c r="RJS4" s="2"/>
      <c r="RJT4" s="2"/>
      <c r="RJU4" s="2"/>
      <c r="RJV4" s="2"/>
      <c r="RJW4" s="2"/>
      <c r="RJX4" s="2"/>
      <c r="RJY4" s="2"/>
      <c r="RJZ4" s="2"/>
      <c r="RKA4" s="2"/>
      <c r="RKB4" s="2"/>
      <c r="RKC4" s="2"/>
      <c r="RKD4" s="2"/>
      <c r="RKE4" s="2"/>
      <c r="RKF4" s="2"/>
      <c r="RKG4" s="2"/>
      <c r="RKH4" s="2"/>
      <c r="RKI4" s="2"/>
      <c r="RKJ4" s="2"/>
      <c r="RKK4" s="2"/>
      <c r="RKL4" s="2"/>
      <c r="RKM4" s="2"/>
      <c r="RKN4" s="2"/>
      <c r="RKO4" s="2"/>
      <c r="RKP4" s="2"/>
      <c r="RKQ4" s="2"/>
      <c r="RKR4" s="2"/>
      <c r="RKS4" s="2"/>
      <c r="RKT4" s="2"/>
      <c r="RKU4" s="2"/>
      <c r="RKV4" s="2"/>
      <c r="RKW4" s="2"/>
      <c r="RKX4" s="2"/>
      <c r="RKY4" s="2"/>
      <c r="RKZ4" s="2"/>
      <c r="RLA4" s="2"/>
      <c r="RLB4" s="2"/>
      <c r="RLC4" s="2"/>
      <c r="RLD4" s="2"/>
      <c r="RLE4" s="2"/>
      <c r="RLF4" s="2"/>
      <c r="RLG4" s="2"/>
      <c r="RLH4" s="2"/>
      <c r="RLI4" s="2"/>
      <c r="RLJ4" s="2"/>
      <c r="RLK4" s="2"/>
      <c r="RLL4" s="2"/>
      <c r="RLM4" s="2"/>
      <c r="RLN4" s="2"/>
      <c r="RLO4" s="2"/>
      <c r="RLP4" s="2"/>
      <c r="RLQ4" s="2"/>
      <c r="RLR4" s="2"/>
      <c r="RLS4" s="2"/>
      <c r="RLT4" s="2"/>
      <c r="RLU4" s="2"/>
      <c r="RLV4" s="2"/>
      <c r="RLW4" s="2"/>
      <c r="RLX4" s="2"/>
      <c r="RLY4" s="2"/>
      <c r="RLZ4" s="2"/>
      <c r="RMA4" s="2"/>
      <c r="RMB4" s="2"/>
      <c r="RMC4" s="2"/>
      <c r="RMD4" s="2"/>
      <c r="RME4" s="2"/>
      <c r="RMF4" s="2"/>
      <c r="RMG4" s="2"/>
      <c r="RMH4" s="2"/>
      <c r="RMI4" s="2"/>
      <c r="RMJ4" s="2"/>
      <c r="RMK4" s="2"/>
      <c r="RML4" s="2"/>
      <c r="RMM4" s="2"/>
      <c r="RMN4" s="2"/>
      <c r="RMO4" s="2"/>
      <c r="RMP4" s="2"/>
      <c r="RMQ4" s="2"/>
      <c r="RMR4" s="2"/>
      <c r="RMS4" s="2"/>
      <c r="RMT4" s="2"/>
      <c r="RMU4" s="2"/>
      <c r="RMV4" s="2"/>
      <c r="RMW4" s="2"/>
      <c r="RMX4" s="2"/>
      <c r="RMY4" s="2"/>
      <c r="RMZ4" s="2"/>
      <c r="RNA4" s="2"/>
      <c r="RNB4" s="2"/>
      <c r="RNC4" s="2"/>
      <c r="RND4" s="2"/>
      <c r="RNE4" s="2"/>
      <c r="RNF4" s="2"/>
      <c r="RNG4" s="2"/>
      <c r="RNH4" s="2"/>
      <c r="RNI4" s="2"/>
      <c r="RNJ4" s="2"/>
      <c r="RNK4" s="2"/>
      <c r="RNL4" s="2"/>
      <c r="RNM4" s="2"/>
      <c r="RNN4" s="2"/>
      <c r="RNO4" s="2"/>
      <c r="RNP4" s="2"/>
      <c r="RNQ4" s="2"/>
      <c r="RNR4" s="2"/>
      <c r="RNS4" s="2"/>
      <c r="RNT4" s="2"/>
      <c r="RNU4" s="2"/>
      <c r="RNV4" s="2"/>
      <c r="RNW4" s="2"/>
      <c r="RNX4" s="2"/>
      <c r="RNY4" s="2"/>
      <c r="RNZ4" s="2"/>
      <c r="ROA4" s="2"/>
      <c r="ROB4" s="2"/>
      <c r="ROC4" s="2"/>
      <c r="ROD4" s="2"/>
      <c r="ROE4" s="2"/>
      <c r="ROF4" s="2"/>
      <c r="ROG4" s="2"/>
      <c r="ROH4" s="2"/>
      <c r="ROI4" s="2"/>
      <c r="ROJ4" s="2"/>
      <c r="ROK4" s="2"/>
      <c r="ROL4" s="2"/>
      <c r="ROM4" s="2"/>
      <c r="RON4" s="2"/>
      <c r="ROO4" s="2"/>
      <c r="ROP4" s="2"/>
      <c r="ROQ4" s="2"/>
      <c r="ROR4" s="2"/>
      <c r="ROS4" s="2"/>
      <c r="ROT4" s="2"/>
      <c r="ROU4" s="2"/>
      <c r="ROV4" s="2"/>
      <c r="ROW4" s="2"/>
      <c r="ROX4" s="2"/>
      <c r="ROY4" s="2"/>
      <c r="ROZ4" s="2"/>
      <c r="RPA4" s="2"/>
      <c r="RPB4" s="2"/>
      <c r="RPC4" s="2"/>
      <c r="RPD4" s="2"/>
      <c r="RPE4" s="2"/>
      <c r="RPF4" s="2"/>
      <c r="RPG4" s="2"/>
      <c r="RPH4" s="2"/>
      <c r="RPI4" s="2"/>
      <c r="RPJ4" s="2"/>
      <c r="RPK4" s="2"/>
      <c r="RPL4" s="2"/>
      <c r="RPM4" s="2"/>
      <c r="RPN4" s="2"/>
      <c r="RPO4" s="2"/>
      <c r="RPP4" s="2"/>
      <c r="RPQ4" s="2"/>
      <c r="RPR4" s="2"/>
      <c r="RPS4" s="2"/>
      <c r="RPT4" s="2"/>
      <c r="RPU4" s="2"/>
      <c r="RPV4" s="2"/>
      <c r="RPW4" s="2"/>
      <c r="RPX4" s="2"/>
      <c r="RPY4" s="2"/>
      <c r="RPZ4" s="2"/>
      <c r="RQA4" s="2"/>
      <c r="RQB4" s="2"/>
      <c r="RQC4" s="2"/>
      <c r="RQD4" s="2"/>
      <c r="RQE4" s="2"/>
      <c r="RQF4" s="2"/>
      <c r="RQG4" s="2"/>
      <c r="RQH4" s="2"/>
      <c r="RQI4" s="2"/>
      <c r="RQJ4" s="2"/>
      <c r="RQK4" s="2"/>
      <c r="RQL4" s="2"/>
      <c r="RQM4" s="2"/>
      <c r="RQN4" s="2"/>
      <c r="RQO4" s="2"/>
      <c r="RQP4" s="2"/>
      <c r="RQQ4" s="2"/>
      <c r="RQR4" s="2"/>
      <c r="RQS4" s="2"/>
      <c r="RQT4" s="2"/>
      <c r="RQU4" s="2"/>
      <c r="RQV4" s="2"/>
      <c r="RQW4" s="2"/>
      <c r="RQX4" s="2"/>
      <c r="RQY4" s="2"/>
      <c r="RQZ4" s="2"/>
      <c r="RRA4" s="2"/>
      <c r="RRB4" s="2"/>
      <c r="RRC4" s="2"/>
      <c r="RRD4" s="2"/>
      <c r="RRE4" s="2"/>
      <c r="RRF4" s="2"/>
      <c r="RRG4" s="2"/>
      <c r="RRH4" s="2"/>
      <c r="RRI4" s="2"/>
      <c r="RRJ4" s="2"/>
      <c r="RRK4" s="2"/>
      <c r="RRL4" s="2"/>
      <c r="RRM4" s="2"/>
      <c r="RRN4" s="2"/>
      <c r="RRO4" s="2"/>
      <c r="RRP4" s="2"/>
      <c r="RRQ4" s="2"/>
      <c r="RRR4" s="2"/>
      <c r="RRS4" s="2"/>
      <c r="RRT4" s="2"/>
      <c r="RRU4" s="2"/>
      <c r="RRV4" s="2"/>
      <c r="RRW4" s="2"/>
      <c r="RRX4" s="2"/>
      <c r="RRY4" s="2"/>
      <c r="RRZ4" s="2"/>
      <c r="RSA4" s="2"/>
      <c r="RSB4" s="2"/>
      <c r="RSC4" s="2"/>
      <c r="RSD4" s="2"/>
      <c r="RSE4" s="2"/>
      <c r="RSF4" s="2"/>
      <c r="RSG4" s="2"/>
      <c r="RSH4" s="2"/>
      <c r="RSI4" s="2"/>
      <c r="RSJ4" s="2"/>
      <c r="RSK4" s="2"/>
      <c r="RSL4" s="2"/>
      <c r="RSM4" s="2"/>
      <c r="RSN4" s="2"/>
      <c r="RSO4" s="2"/>
      <c r="RSP4" s="2"/>
      <c r="RSQ4" s="2"/>
      <c r="RSR4" s="2"/>
      <c r="RSS4" s="2"/>
      <c r="RST4" s="2"/>
      <c r="RSU4" s="2"/>
      <c r="RSV4" s="2"/>
      <c r="RSW4" s="2"/>
      <c r="RSX4" s="2"/>
      <c r="RSY4" s="2"/>
      <c r="RSZ4" s="2"/>
      <c r="RTA4" s="2"/>
      <c r="RTB4" s="2"/>
      <c r="RTC4" s="2"/>
      <c r="RTD4" s="2"/>
      <c r="RTE4" s="2"/>
      <c r="RTF4" s="2"/>
      <c r="RTG4" s="2"/>
      <c r="RTH4" s="2"/>
      <c r="RTI4" s="2"/>
      <c r="RTJ4" s="2"/>
      <c r="RTK4" s="2"/>
      <c r="RTL4" s="2"/>
      <c r="RTM4" s="2"/>
      <c r="RTN4" s="2"/>
      <c r="RTO4" s="2"/>
      <c r="RTP4" s="2"/>
      <c r="RTQ4" s="2"/>
      <c r="RTR4" s="2"/>
      <c r="RTS4" s="2"/>
      <c r="RTT4" s="2"/>
      <c r="RTU4" s="2"/>
      <c r="RTV4" s="2"/>
      <c r="RTW4" s="2"/>
      <c r="RTX4" s="2"/>
      <c r="RTY4" s="2"/>
      <c r="RTZ4" s="2"/>
      <c r="RUA4" s="2"/>
      <c r="RUB4" s="2"/>
      <c r="RUC4" s="2"/>
      <c r="RUD4" s="2"/>
      <c r="RUE4" s="2"/>
      <c r="RUF4" s="2"/>
      <c r="RUG4" s="2"/>
      <c r="RUH4" s="2"/>
      <c r="RUI4" s="2"/>
      <c r="RUJ4" s="2"/>
      <c r="RUK4" s="2"/>
      <c r="RUL4" s="2"/>
      <c r="RUM4" s="2"/>
      <c r="RUN4" s="2"/>
      <c r="RUO4" s="2"/>
      <c r="RUP4" s="2"/>
      <c r="RUQ4" s="2"/>
      <c r="RUR4" s="2"/>
      <c r="RUS4" s="2"/>
      <c r="RUT4" s="2"/>
      <c r="RUU4" s="2"/>
      <c r="RUV4" s="2"/>
      <c r="RUW4" s="2"/>
      <c r="RUX4" s="2"/>
      <c r="RUY4" s="2"/>
      <c r="RUZ4" s="2"/>
      <c r="RVA4" s="2"/>
      <c r="RVB4" s="2"/>
      <c r="RVC4" s="2"/>
      <c r="RVD4" s="2"/>
      <c r="RVE4" s="2"/>
      <c r="RVF4" s="2"/>
      <c r="RVG4" s="2"/>
      <c r="RVH4" s="2"/>
      <c r="RVI4" s="2"/>
      <c r="RVJ4" s="2"/>
      <c r="RVK4" s="2"/>
      <c r="RVL4" s="2"/>
      <c r="RVM4" s="2"/>
      <c r="RVN4" s="2"/>
      <c r="RVO4" s="2"/>
      <c r="RVP4" s="2"/>
      <c r="RVQ4" s="2"/>
      <c r="RVR4" s="2"/>
      <c r="RVS4" s="2"/>
      <c r="RVT4" s="2"/>
      <c r="RVU4" s="2"/>
      <c r="RVV4" s="2"/>
      <c r="RVW4" s="2"/>
      <c r="RVX4" s="2"/>
      <c r="RVY4" s="2"/>
      <c r="RVZ4" s="2"/>
      <c r="RWA4" s="2"/>
      <c r="RWB4" s="2"/>
      <c r="RWC4" s="2"/>
      <c r="RWD4" s="2"/>
      <c r="RWE4" s="2"/>
      <c r="RWF4" s="2"/>
      <c r="RWG4" s="2"/>
      <c r="RWH4" s="2"/>
      <c r="RWI4" s="2"/>
      <c r="RWJ4" s="2"/>
      <c r="RWK4" s="2"/>
      <c r="RWL4" s="2"/>
      <c r="RWM4" s="2"/>
      <c r="RWN4" s="2"/>
      <c r="RWO4" s="2"/>
      <c r="RWP4" s="2"/>
      <c r="RWQ4" s="2"/>
      <c r="RWR4" s="2"/>
      <c r="RWS4" s="2"/>
      <c r="RWT4" s="2"/>
      <c r="RWU4" s="2"/>
      <c r="RWV4" s="2"/>
      <c r="RWW4" s="2"/>
      <c r="RWX4" s="2"/>
      <c r="RWY4" s="2"/>
      <c r="RWZ4" s="2"/>
      <c r="RXA4" s="2"/>
      <c r="RXB4" s="2"/>
      <c r="RXC4" s="2"/>
      <c r="RXD4" s="2"/>
      <c r="RXE4" s="2"/>
      <c r="RXF4" s="2"/>
      <c r="RXG4" s="2"/>
      <c r="RXH4" s="2"/>
      <c r="RXI4" s="2"/>
      <c r="RXJ4" s="2"/>
      <c r="RXK4" s="2"/>
      <c r="RXL4" s="2"/>
      <c r="RXM4" s="2"/>
      <c r="RXN4" s="2"/>
      <c r="RXO4" s="2"/>
      <c r="RXP4" s="2"/>
      <c r="RXQ4" s="2"/>
      <c r="RXR4" s="2"/>
      <c r="RXS4" s="2"/>
      <c r="RXT4" s="2"/>
      <c r="RXU4" s="2"/>
      <c r="RXV4" s="2"/>
      <c r="RXW4" s="2"/>
      <c r="RXX4" s="2"/>
      <c r="RXY4" s="2"/>
      <c r="RXZ4" s="2"/>
      <c r="RYA4" s="2"/>
      <c r="RYB4" s="2"/>
      <c r="RYC4" s="2"/>
      <c r="RYD4" s="2"/>
      <c r="RYE4" s="2"/>
      <c r="RYF4" s="2"/>
      <c r="RYG4" s="2"/>
      <c r="RYH4" s="2"/>
      <c r="RYI4" s="2"/>
      <c r="RYJ4" s="2"/>
      <c r="RYK4" s="2"/>
      <c r="RYL4" s="2"/>
      <c r="RYM4" s="2"/>
      <c r="RYN4" s="2"/>
      <c r="RYO4" s="2"/>
      <c r="RYP4" s="2"/>
      <c r="RYQ4" s="2"/>
      <c r="RYR4" s="2"/>
      <c r="RYS4" s="2"/>
      <c r="RYT4" s="2"/>
      <c r="RYU4" s="2"/>
      <c r="RYV4" s="2"/>
      <c r="RYW4" s="2"/>
      <c r="RYX4" s="2"/>
      <c r="RYY4" s="2"/>
      <c r="RYZ4" s="2"/>
      <c r="RZA4" s="2"/>
      <c r="RZB4" s="2"/>
      <c r="RZC4" s="2"/>
      <c r="RZD4" s="2"/>
      <c r="RZE4" s="2"/>
      <c r="RZF4" s="2"/>
      <c r="RZG4" s="2"/>
      <c r="RZH4" s="2"/>
      <c r="RZI4" s="2"/>
      <c r="RZJ4" s="2"/>
      <c r="RZK4" s="2"/>
      <c r="RZL4" s="2"/>
      <c r="RZM4" s="2"/>
      <c r="RZN4" s="2"/>
      <c r="RZO4" s="2"/>
      <c r="RZP4" s="2"/>
      <c r="RZQ4" s="2"/>
      <c r="RZR4" s="2"/>
      <c r="RZS4" s="2"/>
      <c r="RZT4" s="2"/>
      <c r="RZU4" s="2"/>
      <c r="RZV4" s="2"/>
      <c r="RZW4" s="2"/>
      <c r="RZX4" s="2"/>
      <c r="RZY4" s="2"/>
      <c r="RZZ4" s="2"/>
      <c r="SAA4" s="2"/>
      <c r="SAB4" s="2"/>
      <c r="SAC4" s="2"/>
      <c r="SAD4" s="2"/>
      <c r="SAE4" s="2"/>
      <c r="SAF4" s="2"/>
      <c r="SAG4" s="2"/>
      <c r="SAH4" s="2"/>
      <c r="SAI4" s="2"/>
      <c r="SAJ4" s="2"/>
      <c r="SAK4" s="2"/>
      <c r="SAL4" s="2"/>
      <c r="SAM4" s="2"/>
      <c r="SAN4" s="2"/>
      <c r="SAO4" s="2"/>
      <c r="SAP4" s="2"/>
      <c r="SAQ4" s="2"/>
      <c r="SAR4" s="2"/>
      <c r="SAS4" s="2"/>
      <c r="SAT4" s="2"/>
      <c r="SAU4" s="2"/>
      <c r="SAV4" s="2"/>
      <c r="SAW4" s="2"/>
      <c r="SAX4" s="2"/>
      <c r="SAY4" s="2"/>
      <c r="SAZ4" s="2"/>
      <c r="SBA4" s="2"/>
      <c r="SBB4" s="2"/>
      <c r="SBC4" s="2"/>
      <c r="SBD4" s="2"/>
      <c r="SBE4" s="2"/>
      <c r="SBF4" s="2"/>
      <c r="SBG4" s="2"/>
      <c r="SBH4" s="2"/>
      <c r="SBI4" s="2"/>
      <c r="SBJ4" s="2"/>
      <c r="SBK4" s="2"/>
      <c r="SBL4" s="2"/>
      <c r="SBM4" s="2"/>
      <c r="SBN4" s="2"/>
      <c r="SBO4" s="2"/>
      <c r="SBP4" s="2"/>
      <c r="SBQ4" s="2"/>
      <c r="SBR4" s="2"/>
      <c r="SBS4" s="2"/>
      <c r="SBT4" s="2"/>
      <c r="SBU4" s="2"/>
      <c r="SBV4" s="2"/>
      <c r="SBW4" s="2"/>
      <c r="SBX4" s="2"/>
      <c r="SBY4" s="2"/>
      <c r="SBZ4" s="2"/>
      <c r="SCA4" s="2"/>
      <c r="SCB4" s="2"/>
      <c r="SCC4" s="2"/>
      <c r="SCD4" s="2"/>
      <c r="SCE4" s="2"/>
      <c r="SCF4" s="2"/>
      <c r="SCG4" s="2"/>
      <c r="SCH4" s="2"/>
      <c r="SCI4" s="2"/>
      <c r="SCJ4" s="2"/>
      <c r="SCK4" s="2"/>
      <c r="SCL4" s="2"/>
      <c r="SCM4" s="2"/>
      <c r="SCN4" s="2"/>
      <c r="SCO4" s="2"/>
      <c r="SCP4" s="2"/>
      <c r="SCQ4" s="2"/>
      <c r="SCR4" s="2"/>
      <c r="SCS4" s="2"/>
      <c r="SCT4" s="2"/>
      <c r="SCU4" s="2"/>
      <c r="SCV4" s="2"/>
      <c r="SCW4" s="2"/>
      <c r="SCX4" s="2"/>
      <c r="SCY4" s="2"/>
      <c r="SCZ4" s="2"/>
      <c r="SDA4" s="2"/>
      <c r="SDB4" s="2"/>
      <c r="SDC4" s="2"/>
      <c r="SDD4" s="2"/>
      <c r="SDE4" s="2"/>
      <c r="SDF4" s="2"/>
      <c r="SDG4" s="2"/>
      <c r="SDH4" s="2"/>
      <c r="SDI4" s="2"/>
      <c r="SDJ4" s="2"/>
      <c r="SDK4" s="2"/>
      <c r="SDL4" s="2"/>
      <c r="SDM4" s="2"/>
      <c r="SDN4" s="2"/>
      <c r="SDO4" s="2"/>
      <c r="SDP4" s="2"/>
      <c r="SDQ4" s="2"/>
      <c r="SDR4" s="2"/>
      <c r="SDS4" s="2"/>
      <c r="SDT4" s="2"/>
      <c r="SDU4" s="2"/>
      <c r="SDV4" s="2"/>
      <c r="SDW4" s="2"/>
      <c r="SDX4" s="2"/>
      <c r="SDY4" s="2"/>
      <c r="SDZ4" s="2"/>
      <c r="SEA4" s="2"/>
      <c r="SEB4" s="2"/>
      <c r="SEC4" s="2"/>
      <c r="SED4" s="2"/>
      <c r="SEE4" s="2"/>
      <c r="SEF4" s="2"/>
      <c r="SEG4" s="2"/>
      <c r="SEH4" s="2"/>
      <c r="SEI4" s="2"/>
      <c r="SEJ4" s="2"/>
      <c r="SEK4" s="2"/>
      <c r="SEL4" s="2"/>
      <c r="SEM4" s="2"/>
      <c r="SEN4" s="2"/>
      <c r="SEO4" s="2"/>
      <c r="SEP4" s="2"/>
      <c r="SEQ4" s="2"/>
      <c r="SER4" s="2"/>
      <c r="SES4" s="2"/>
      <c r="SET4" s="2"/>
      <c r="SEU4" s="2"/>
      <c r="SEV4" s="2"/>
      <c r="SEW4" s="2"/>
      <c r="SEX4" s="2"/>
      <c r="SEY4" s="2"/>
      <c r="SEZ4" s="2"/>
      <c r="SFA4" s="2"/>
      <c r="SFB4" s="2"/>
      <c r="SFC4" s="2"/>
      <c r="SFD4" s="2"/>
      <c r="SFE4" s="2"/>
      <c r="SFF4" s="2"/>
      <c r="SFG4" s="2"/>
      <c r="SFH4" s="2"/>
      <c r="SFI4" s="2"/>
      <c r="SFJ4" s="2"/>
      <c r="SFK4" s="2"/>
      <c r="SFL4" s="2"/>
      <c r="SFM4" s="2"/>
      <c r="SFN4" s="2"/>
      <c r="SFO4" s="2"/>
      <c r="SFP4" s="2"/>
      <c r="SFQ4" s="2"/>
      <c r="SFR4" s="2"/>
      <c r="SFS4" s="2"/>
      <c r="SFT4" s="2"/>
      <c r="SFU4" s="2"/>
      <c r="SFV4" s="2"/>
      <c r="SFW4" s="2"/>
      <c r="SFX4" s="2"/>
      <c r="SFY4" s="2"/>
      <c r="SFZ4" s="2"/>
      <c r="SGA4" s="2"/>
      <c r="SGB4" s="2"/>
      <c r="SGC4" s="2"/>
      <c r="SGD4" s="2"/>
      <c r="SGE4" s="2"/>
      <c r="SGF4" s="2"/>
      <c r="SGG4" s="2"/>
      <c r="SGH4" s="2"/>
      <c r="SGI4" s="2"/>
      <c r="SGJ4" s="2"/>
      <c r="SGK4" s="2"/>
      <c r="SGL4" s="2"/>
      <c r="SGM4" s="2"/>
      <c r="SGN4" s="2"/>
      <c r="SGO4" s="2"/>
      <c r="SGP4" s="2"/>
      <c r="SGQ4" s="2"/>
      <c r="SGR4" s="2"/>
      <c r="SGS4" s="2"/>
      <c r="SGT4" s="2"/>
      <c r="SGU4" s="2"/>
      <c r="SGV4" s="2"/>
      <c r="SGW4" s="2"/>
      <c r="SGX4" s="2"/>
      <c r="SGY4" s="2"/>
      <c r="SGZ4" s="2"/>
      <c r="SHA4" s="2"/>
      <c r="SHB4" s="2"/>
      <c r="SHC4" s="2"/>
      <c r="SHD4" s="2"/>
      <c r="SHE4" s="2"/>
      <c r="SHF4" s="2"/>
      <c r="SHG4" s="2"/>
      <c r="SHH4" s="2"/>
      <c r="SHI4" s="2"/>
      <c r="SHJ4" s="2"/>
      <c r="SHK4" s="2"/>
      <c r="SHL4" s="2"/>
      <c r="SHM4" s="2"/>
      <c r="SHN4" s="2"/>
      <c r="SHO4" s="2"/>
      <c r="SHP4" s="2"/>
      <c r="SHQ4" s="2"/>
      <c r="SHR4" s="2"/>
      <c r="SHS4" s="2"/>
      <c r="SHT4" s="2"/>
      <c r="SHU4" s="2"/>
      <c r="SHV4" s="2"/>
      <c r="SHW4" s="2"/>
      <c r="SHX4" s="2"/>
      <c r="SHY4" s="2"/>
      <c r="SHZ4" s="2"/>
      <c r="SIA4" s="2"/>
      <c r="SIB4" s="2"/>
      <c r="SIC4" s="2"/>
      <c r="SID4" s="2"/>
      <c r="SIE4" s="2"/>
      <c r="SIF4" s="2"/>
      <c r="SIG4" s="2"/>
      <c r="SIH4" s="2"/>
      <c r="SII4" s="2"/>
      <c r="SIJ4" s="2"/>
      <c r="SIK4" s="2"/>
      <c r="SIL4" s="2"/>
      <c r="SIM4" s="2"/>
      <c r="SIN4" s="2"/>
      <c r="SIO4" s="2"/>
      <c r="SIP4" s="2"/>
      <c r="SIQ4" s="2"/>
      <c r="SIR4" s="2"/>
      <c r="SIS4" s="2"/>
      <c r="SIT4" s="2"/>
      <c r="SIU4" s="2"/>
      <c r="SIV4" s="2"/>
      <c r="SIW4" s="2"/>
      <c r="SIX4" s="2"/>
      <c r="SIY4" s="2"/>
      <c r="SIZ4" s="2"/>
      <c r="SJA4" s="2"/>
      <c r="SJB4" s="2"/>
      <c r="SJC4" s="2"/>
      <c r="SJD4" s="2"/>
      <c r="SJE4" s="2"/>
      <c r="SJF4" s="2"/>
      <c r="SJG4" s="2"/>
      <c r="SJH4" s="2"/>
      <c r="SJI4" s="2"/>
      <c r="SJJ4" s="2"/>
      <c r="SJK4" s="2"/>
      <c r="SJL4" s="2"/>
      <c r="SJM4" s="2"/>
      <c r="SJN4" s="2"/>
      <c r="SJO4" s="2"/>
      <c r="SJP4" s="2"/>
      <c r="SJQ4" s="2"/>
      <c r="SJR4" s="2"/>
      <c r="SJS4" s="2"/>
      <c r="SJT4" s="2"/>
      <c r="SJU4" s="2"/>
      <c r="SJV4" s="2"/>
      <c r="SJW4" s="2"/>
      <c r="SJX4" s="2"/>
      <c r="SJY4" s="2"/>
      <c r="SJZ4" s="2"/>
      <c r="SKA4" s="2"/>
      <c r="SKB4" s="2"/>
      <c r="SKC4" s="2"/>
      <c r="SKD4" s="2"/>
      <c r="SKE4" s="2"/>
      <c r="SKF4" s="2"/>
      <c r="SKG4" s="2"/>
      <c r="SKH4" s="2"/>
      <c r="SKI4" s="2"/>
      <c r="SKJ4" s="2"/>
      <c r="SKK4" s="2"/>
      <c r="SKL4" s="2"/>
      <c r="SKM4" s="2"/>
      <c r="SKN4" s="2"/>
      <c r="SKO4" s="2"/>
      <c r="SKP4" s="2"/>
      <c r="SKQ4" s="2"/>
      <c r="SKR4" s="2"/>
      <c r="SKS4" s="2"/>
      <c r="SKT4" s="2"/>
      <c r="SKU4" s="2"/>
      <c r="SKV4" s="2"/>
      <c r="SKW4" s="2"/>
      <c r="SKX4" s="2"/>
      <c r="SKY4" s="2"/>
      <c r="SKZ4" s="2"/>
      <c r="SLA4" s="2"/>
      <c r="SLB4" s="2"/>
      <c r="SLC4" s="2"/>
      <c r="SLD4" s="2"/>
      <c r="SLE4" s="2"/>
      <c r="SLF4" s="2"/>
      <c r="SLG4" s="2"/>
      <c r="SLH4" s="2"/>
      <c r="SLI4" s="2"/>
      <c r="SLJ4" s="2"/>
      <c r="SLK4" s="2"/>
      <c r="SLL4" s="2"/>
      <c r="SLM4" s="2"/>
      <c r="SLN4" s="2"/>
      <c r="SLO4" s="2"/>
      <c r="SLP4" s="2"/>
      <c r="SLQ4" s="2"/>
      <c r="SLR4" s="2"/>
      <c r="SLS4" s="2"/>
      <c r="SLT4" s="2"/>
      <c r="SLU4" s="2"/>
      <c r="SLV4" s="2"/>
      <c r="SLW4" s="2"/>
      <c r="SLX4" s="2"/>
      <c r="SLY4" s="2"/>
      <c r="SLZ4" s="2"/>
      <c r="SMA4" s="2"/>
      <c r="SMB4" s="2"/>
      <c r="SMC4" s="2"/>
      <c r="SMD4" s="2"/>
      <c r="SME4" s="2"/>
      <c r="SMF4" s="2"/>
      <c r="SMG4" s="2"/>
      <c r="SMH4" s="2"/>
      <c r="SMI4" s="2"/>
      <c r="SMJ4" s="2"/>
      <c r="SMK4" s="2"/>
      <c r="SML4" s="2"/>
      <c r="SMM4" s="2"/>
      <c r="SMN4" s="2"/>
      <c r="SMO4" s="2"/>
      <c r="SMP4" s="2"/>
      <c r="SMQ4" s="2"/>
      <c r="SMR4" s="2"/>
      <c r="SMS4" s="2"/>
      <c r="SMT4" s="2"/>
      <c r="SMU4" s="2"/>
      <c r="SMV4" s="2"/>
      <c r="SMW4" s="2"/>
      <c r="SMX4" s="2"/>
      <c r="SMY4" s="2"/>
      <c r="SMZ4" s="2"/>
      <c r="SNA4" s="2"/>
      <c r="SNB4" s="2"/>
      <c r="SNC4" s="2"/>
      <c r="SND4" s="2"/>
      <c r="SNE4" s="2"/>
      <c r="SNF4" s="2"/>
      <c r="SNG4" s="2"/>
      <c r="SNH4" s="2"/>
      <c r="SNI4" s="2"/>
      <c r="SNJ4" s="2"/>
      <c r="SNK4" s="2"/>
      <c r="SNL4" s="2"/>
      <c r="SNM4" s="2"/>
      <c r="SNN4" s="2"/>
      <c r="SNO4" s="2"/>
      <c r="SNP4" s="2"/>
      <c r="SNQ4" s="2"/>
      <c r="SNR4" s="2"/>
      <c r="SNS4" s="2"/>
      <c r="SNT4" s="2"/>
      <c r="SNU4" s="2"/>
      <c r="SNV4" s="2"/>
      <c r="SNW4" s="2"/>
      <c r="SNX4" s="2"/>
      <c r="SNY4" s="2"/>
      <c r="SNZ4" s="2"/>
      <c r="SOA4" s="2"/>
      <c r="SOB4" s="2"/>
      <c r="SOC4" s="2"/>
      <c r="SOD4" s="2"/>
      <c r="SOE4" s="2"/>
      <c r="SOF4" s="2"/>
      <c r="SOG4" s="2"/>
      <c r="SOH4" s="2"/>
      <c r="SOI4" s="2"/>
      <c r="SOJ4" s="2"/>
      <c r="SOK4" s="2"/>
      <c r="SOL4" s="2"/>
      <c r="SOM4" s="2"/>
      <c r="SON4" s="2"/>
      <c r="SOO4" s="2"/>
      <c r="SOP4" s="2"/>
      <c r="SOQ4" s="2"/>
      <c r="SOR4" s="2"/>
      <c r="SOS4" s="2"/>
      <c r="SOT4" s="2"/>
      <c r="SOU4" s="2"/>
      <c r="SOV4" s="2"/>
      <c r="SOW4" s="2"/>
      <c r="SOX4" s="2"/>
      <c r="SOY4" s="2"/>
      <c r="SOZ4" s="2"/>
      <c r="SPA4" s="2"/>
      <c r="SPB4" s="2"/>
      <c r="SPC4" s="2"/>
      <c r="SPD4" s="2"/>
      <c r="SPE4" s="2"/>
      <c r="SPF4" s="2"/>
      <c r="SPG4" s="2"/>
      <c r="SPH4" s="2"/>
      <c r="SPI4" s="2"/>
      <c r="SPJ4" s="2"/>
      <c r="SPK4" s="2"/>
      <c r="SPL4" s="2"/>
      <c r="SPM4" s="2"/>
      <c r="SPN4" s="2"/>
      <c r="SPO4" s="2"/>
      <c r="SPP4" s="2"/>
      <c r="SPQ4" s="2"/>
      <c r="SPR4" s="2"/>
      <c r="SPS4" s="2"/>
      <c r="SPT4" s="2"/>
      <c r="SPU4" s="2"/>
      <c r="SPV4" s="2"/>
      <c r="SPW4" s="2"/>
      <c r="SPX4" s="2"/>
      <c r="SPY4" s="2"/>
      <c r="SPZ4" s="2"/>
      <c r="SQA4" s="2"/>
      <c r="SQB4" s="2"/>
      <c r="SQC4" s="2"/>
      <c r="SQD4" s="2"/>
      <c r="SQE4" s="2"/>
      <c r="SQF4" s="2"/>
      <c r="SQG4" s="2"/>
      <c r="SQH4" s="2"/>
      <c r="SQI4" s="2"/>
      <c r="SQJ4" s="2"/>
      <c r="SQK4" s="2"/>
      <c r="SQL4" s="2"/>
      <c r="SQM4" s="2"/>
      <c r="SQN4" s="2"/>
      <c r="SQO4" s="2"/>
      <c r="SQP4" s="2"/>
      <c r="SQQ4" s="2"/>
      <c r="SQR4" s="2"/>
      <c r="SQS4" s="2"/>
      <c r="SQT4" s="2"/>
      <c r="SQU4" s="2"/>
      <c r="SQV4" s="2"/>
      <c r="SQW4" s="2"/>
      <c r="SQX4" s="2"/>
      <c r="SQY4" s="2"/>
      <c r="SQZ4" s="2"/>
      <c r="SRA4" s="2"/>
      <c r="SRB4" s="2"/>
      <c r="SRC4" s="2"/>
      <c r="SRD4" s="2"/>
      <c r="SRE4" s="2"/>
      <c r="SRF4" s="2"/>
      <c r="SRG4" s="2"/>
      <c r="SRH4" s="2"/>
      <c r="SRI4" s="2"/>
      <c r="SRJ4" s="2"/>
      <c r="SRK4" s="2"/>
      <c r="SRL4" s="2"/>
      <c r="SRM4" s="2"/>
      <c r="SRN4" s="2"/>
      <c r="SRO4" s="2"/>
      <c r="SRP4" s="2"/>
      <c r="SRQ4" s="2"/>
      <c r="SRR4" s="2"/>
      <c r="SRS4" s="2"/>
      <c r="SRT4" s="2"/>
      <c r="SRU4" s="2"/>
      <c r="SRV4" s="2"/>
      <c r="SRW4" s="2"/>
      <c r="SRX4" s="2"/>
      <c r="SRY4" s="2"/>
      <c r="SRZ4" s="2"/>
      <c r="SSA4" s="2"/>
      <c r="SSB4" s="2"/>
      <c r="SSC4" s="2"/>
      <c r="SSD4" s="2"/>
      <c r="SSE4" s="2"/>
      <c r="SSF4" s="2"/>
      <c r="SSG4" s="2"/>
      <c r="SSH4" s="2"/>
      <c r="SSI4" s="2"/>
      <c r="SSJ4" s="2"/>
      <c r="SSK4" s="2"/>
      <c r="SSL4" s="2"/>
      <c r="SSM4" s="2"/>
      <c r="SSN4" s="2"/>
      <c r="SSO4" s="2"/>
      <c r="SSP4" s="2"/>
      <c r="SSQ4" s="2"/>
      <c r="SSR4" s="2"/>
      <c r="SSS4" s="2"/>
      <c r="SST4" s="2"/>
      <c r="SSU4" s="2"/>
      <c r="SSV4" s="2"/>
      <c r="SSW4" s="2"/>
      <c r="SSX4" s="2"/>
      <c r="SSY4" s="2"/>
      <c r="SSZ4" s="2"/>
      <c r="STA4" s="2"/>
      <c r="STB4" s="2"/>
      <c r="STC4" s="2"/>
      <c r="STD4" s="2"/>
      <c r="STE4" s="2"/>
      <c r="STF4" s="2"/>
      <c r="STG4" s="2"/>
      <c r="STH4" s="2"/>
      <c r="STI4" s="2"/>
      <c r="STJ4" s="2"/>
      <c r="STK4" s="2"/>
      <c r="STL4" s="2"/>
      <c r="STM4" s="2"/>
      <c r="STN4" s="2"/>
      <c r="STO4" s="2"/>
      <c r="STP4" s="2"/>
      <c r="STQ4" s="2"/>
      <c r="STR4" s="2"/>
      <c r="STS4" s="2"/>
      <c r="STT4" s="2"/>
      <c r="STU4" s="2"/>
      <c r="STV4" s="2"/>
      <c r="STW4" s="2"/>
      <c r="STX4" s="2"/>
      <c r="STY4" s="2"/>
      <c r="STZ4" s="2"/>
      <c r="SUA4" s="2"/>
      <c r="SUB4" s="2"/>
      <c r="SUC4" s="2"/>
      <c r="SUD4" s="2"/>
      <c r="SUE4" s="2"/>
      <c r="SUF4" s="2"/>
      <c r="SUG4" s="2"/>
      <c r="SUH4" s="2"/>
      <c r="SUI4" s="2"/>
      <c r="SUJ4" s="2"/>
      <c r="SUK4" s="2"/>
      <c r="SUL4" s="2"/>
      <c r="SUM4" s="2"/>
      <c r="SUN4" s="2"/>
      <c r="SUO4" s="2"/>
      <c r="SUP4" s="2"/>
      <c r="SUQ4" s="2"/>
      <c r="SUR4" s="2"/>
      <c r="SUS4" s="2"/>
      <c r="SUT4" s="2"/>
      <c r="SUU4" s="2"/>
      <c r="SUV4" s="2"/>
      <c r="SUW4" s="2"/>
      <c r="SUX4" s="2"/>
      <c r="SUY4" s="2"/>
      <c r="SUZ4" s="2"/>
      <c r="SVA4" s="2"/>
      <c r="SVB4" s="2"/>
      <c r="SVC4" s="2"/>
      <c r="SVD4" s="2"/>
      <c r="SVE4" s="2"/>
      <c r="SVF4" s="2"/>
      <c r="SVG4" s="2"/>
      <c r="SVH4" s="2"/>
      <c r="SVI4" s="2"/>
      <c r="SVJ4" s="2"/>
      <c r="SVK4" s="2"/>
      <c r="SVL4" s="2"/>
      <c r="SVM4" s="2"/>
      <c r="SVN4" s="2"/>
      <c r="SVO4" s="2"/>
      <c r="SVP4" s="2"/>
      <c r="SVQ4" s="2"/>
      <c r="SVR4" s="2"/>
      <c r="SVS4" s="2"/>
      <c r="SVT4" s="2"/>
      <c r="SVU4" s="2"/>
      <c r="SVV4" s="2"/>
      <c r="SVW4" s="2"/>
      <c r="SVX4" s="2"/>
      <c r="SVY4" s="2"/>
      <c r="SVZ4" s="2"/>
      <c r="SWA4" s="2"/>
      <c r="SWB4" s="2"/>
      <c r="SWC4" s="2"/>
      <c r="SWD4" s="2"/>
      <c r="SWE4" s="2"/>
      <c r="SWF4" s="2"/>
      <c r="SWG4" s="2"/>
      <c r="SWH4" s="2"/>
      <c r="SWI4" s="2"/>
      <c r="SWJ4" s="2"/>
      <c r="SWK4" s="2"/>
      <c r="SWL4" s="2"/>
      <c r="SWM4" s="2"/>
      <c r="SWN4" s="2"/>
      <c r="SWO4" s="2"/>
      <c r="SWP4" s="2"/>
      <c r="SWQ4" s="2"/>
      <c r="SWR4" s="2"/>
      <c r="SWS4" s="2"/>
      <c r="SWT4" s="2"/>
      <c r="SWU4" s="2"/>
      <c r="SWV4" s="2"/>
      <c r="SWW4" s="2"/>
      <c r="SWX4" s="2"/>
      <c r="SWY4" s="2"/>
      <c r="SWZ4" s="2"/>
      <c r="SXA4" s="2"/>
      <c r="SXB4" s="2"/>
      <c r="SXC4" s="2"/>
      <c r="SXD4" s="2"/>
      <c r="SXE4" s="2"/>
      <c r="SXF4" s="2"/>
      <c r="SXG4" s="2"/>
      <c r="SXH4" s="2"/>
      <c r="SXI4" s="2"/>
      <c r="SXJ4" s="2"/>
      <c r="SXK4" s="2"/>
      <c r="SXL4" s="2"/>
      <c r="SXM4" s="2"/>
      <c r="SXN4" s="2"/>
      <c r="SXO4" s="2"/>
      <c r="SXP4" s="2"/>
      <c r="SXQ4" s="2"/>
      <c r="SXR4" s="2"/>
      <c r="SXS4" s="2"/>
      <c r="SXT4" s="2"/>
      <c r="SXU4" s="2"/>
      <c r="SXV4" s="2"/>
      <c r="SXW4" s="2"/>
      <c r="SXX4" s="2"/>
      <c r="SXY4" s="2"/>
      <c r="SXZ4" s="2"/>
      <c r="SYA4" s="2"/>
      <c r="SYB4" s="2"/>
      <c r="SYC4" s="2"/>
      <c r="SYD4" s="2"/>
      <c r="SYE4" s="2"/>
      <c r="SYF4" s="2"/>
      <c r="SYG4" s="2"/>
      <c r="SYH4" s="2"/>
      <c r="SYI4" s="2"/>
      <c r="SYJ4" s="2"/>
      <c r="SYK4" s="2"/>
      <c r="SYL4" s="2"/>
      <c r="SYM4" s="2"/>
      <c r="SYN4" s="2"/>
      <c r="SYO4" s="2"/>
      <c r="SYP4" s="2"/>
      <c r="SYQ4" s="2"/>
      <c r="SYR4" s="2"/>
      <c r="SYS4" s="2"/>
      <c r="SYT4" s="2"/>
      <c r="SYU4" s="2"/>
      <c r="SYV4" s="2"/>
      <c r="SYW4" s="2"/>
      <c r="SYX4" s="2"/>
      <c r="SYY4" s="2"/>
      <c r="SYZ4" s="2"/>
      <c r="SZA4" s="2"/>
      <c r="SZB4" s="2"/>
      <c r="SZC4" s="2"/>
      <c r="SZD4" s="2"/>
      <c r="SZE4" s="2"/>
      <c r="SZF4" s="2"/>
      <c r="SZG4" s="2"/>
      <c r="SZH4" s="2"/>
      <c r="SZI4" s="2"/>
      <c r="SZJ4" s="2"/>
      <c r="SZK4" s="2"/>
      <c r="SZL4" s="2"/>
      <c r="SZM4" s="2"/>
      <c r="SZN4" s="2"/>
      <c r="SZO4" s="2"/>
      <c r="SZP4" s="2"/>
      <c r="SZQ4" s="2"/>
      <c r="SZR4" s="2"/>
      <c r="SZS4" s="2"/>
      <c r="SZT4" s="2"/>
      <c r="SZU4" s="2"/>
      <c r="SZV4" s="2"/>
      <c r="SZW4" s="2"/>
      <c r="SZX4" s="2"/>
      <c r="SZY4" s="2"/>
      <c r="SZZ4" s="2"/>
      <c r="TAA4" s="2"/>
      <c r="TAB4" s="2"/>
      <c r="TAC4" s="2"/>
      <c r="TAD4" s="2"/>
      <c r="TAE4" s="2"/>
      <c r="TAF4" s="2"/>
      <c r="TAG4" s="2"/>
      <c r="TAH4" s="2"/>
      <c r="TAI4" s="2"/>
      <c r="TAJ4" s="2"/>
      <c r="TAK4" s="2"/>
      <c r="TAL4" s="2"/>
      <c r="TAM4" s="2"/>
      <c r="TAN4" s="2"/>
      <c r="TAO4" s="2"/>
      <c r="TAP4" s="2"/>
      <c r="TAQ4" s="2"/>
      <c r="TAR4" s="2"/>
      <c r="TAS4" s="2"/>
      <c r="TAT4" s="2"/>
      <c r="TAU4" s="2"/>
      <c r="TAV4" s="2"/>
      <c r="TAW4" s="2"/>
      <c r="TAX4" s="2"/>
      <c r="TAY4" s="2"/>
      <c r="TAZ4" s="2"/>
      <c r="TBA4" s="2"/>
      <c r="TBB4" s="2"/>
      <c r="TBC4" s="2"/>
      <c r="TBD4" s="2"/>
      <c r="TBE4" s="2"/>
      <c r="TBF4" s="2"/>
      <c r="TBG4" s="2"/>
      <c r="TBH4" s="2"/>
      <c r="TBI4" s="2"/>
      <c r="TBJ4" s="2"/>
      <c r="TBK4" s="2"/>
      <c r="TBL4" s="2"/>
      <c r="TBM4" s="2"/>
      <c r="TBN4" s="2"/>
      <c r="TBO4" s="2"/>
      <c r="TBP4" s="2"/>
      <c r="TBQ4" s="2"/>
      <c r="TBR4" s="2"/>
      <c r="TBS4" s="2"/>
      <c r="TBT4" s="2"/>
      <c r="TBU4" s="2"/>
      <c r="TBV4" s="2"/>
      <c r="TBW4" s="2"/>
      <c r="TBX4" s="2"/>
      <c r="TBY4" s="2"/>
      <c r="TBZ4" s="2"/>
      <c r="TCA4" s="2"/>
      <c r="TCB4" s="2"/>
      <c r="TCC4" s="2"/>
      <c r="TCD4" s="2"/>
      <c r="TCE4" s="2"/>
      <c r="TCF4" s="2"/>
      <c r="TCG4" s="2"/>
      <c r="TCH4" s="2"/>
      <c r="TCI4" s="2"/>
      <c r="TCJ4" s="2"/>
      <c r="TCK4" s="2"/>
      <c r="TCL4" s="2"/>
      <c r="TCM4" s="2"/>
      <c r="TCN4" s="2"/>
      <c r="TCO4" s="2"/>
      <c r="TCP4" s="2"/>
      <c r="TCQ4" s="2"/>
      <c r="TCR4" s="2"/>
      <c r="TCS4" s="2"/>
      <c r="TCT4" s="2"/>
      <c r="TCU4" s="2"/>
      <c r="TCV4" s="2"/>
      <c r="TCW4" s="2"/>
      <c r="TCX4" s="2"/>
      <c r="TCY4" s="2"/>
      <c r="TCZ4" s="2"/>
      <c r="TDA4" s="2"/>
      <c r="TDB4" s="2"/>
      <c r="TDC4" s="2"/>
      <c r="TDD4" s="2"/>
      <c r="TDE4" s="2"/>
      <c r="TDF4" s="2"/>
      <c r="TDG4" s="2"/>
      <c r="TDH4" s="2"/>
      <c r="TDI4" s="2"/>
      <c r="TDJ4" s="2"/>
      <c r="TDK4" s="2"/>
      <c r="TDL4" s="2"/>
      <c r="TDM4" s="2"/>
      <c r="TDN4" s="2"/>
      <c r="TDO4" s="2"/>
      <c r="TDP4" s="2"/>
      <c r="TDQ4" s="2"/>
      <c r="TDR4" s="2"/>
      <c r="TDS4" s="2"/>
      <c r="TDT4" s="2"/>
      <c r="TDU4" s="2"/>
      <c r="TDV4" s="2"/>
      <c r="TDW4" s="2"/>
      <c r="TDX4" s="2"/>
      <c r="TDY4" s="2"/>
      <c r="TDZ4" s="2"/>
      <c r="TEA4" s="2"/>
      <c r="TEB4" s="2"/>
      <c r="TEC4" s="2"/>
      <c r="TED4" s="2"/>
      <c r="TEE4" s="2"/>
      <c r="TEF4" s="2"/>
      <c r="TEG4" s="2"/>
      <c r="TEH4" s="2"/>
      <c r="TEI4" s="2"/>
      <c r="TEJ4" s="2"/>
      <c r="TEK4" s="2"/>
      <c r="TEL4" s="2"/>
      <c r="TEM4" s="2"/>
      <c r="TEN4" s="2"/>
      <c r="TEO4" s="2"/>
      <c r="TEP4" s="2"/>
      <c r="TEQ4" s="2"/>
      <c r="TER4" s="2"/>
      <c r="TES4" s="2"/>
      <c r="TET4" s="2"/>
      <c r="TEU4" s="2"/>
      <c r="TEV4" s="2"/>
      <c r="TEW4" s="2"/>
      <c r="TEX4" s="2"/>
      <c r="TEY4" s="2"/>
      <c r="TEZ4" s="2"/>
      <c r="TFA4" s="2"/>
      <c r="TFB4" s="2"/>
      <c r="TFC4" s="2"/>
      <c r="TFD4" s="2"/>
      <c r="TFE4" s="2"/>
      <c r="TFF4" s="2"/>
      <c r="TFG4" s="2"/>
      <c r="TFH4" s="2"/>
      <c r="TFI4" s="2"/>
      <c r="TFJ4" s="2"/>
      <c r="TFK4" s="2"/>
      <c r="TFL4" s="2"/>
      <c r="TFM4" s="2"/>
      <c r="TFN4" s="2"/>
      <c r="TFO4" s="2"/>
      <c r="TFP4" s="2"/>
      <c r="TFQ4" s="2"/>
      <c r="TFR4" s="2"/>
      <c r="TFS4" s="2"/>
      <c r="TFT4" s="2"/>
      <c r="TFU4" s="2"/>
      <c r="TFV4" s="2"/>
      <c r="TFW4" s="2"/>
      <c r="TFX4" s="2"/>
      <c r="TFY4" s="2"/>
      <c r="TFZ4" s="2"/>
      <c r="TGA4" s="2"/>
      <c r="TGB4" s="2"/>
      <c r="TGC4" s="2"/>
      <c r="TGD4" s="2"/>
      <c r="TGE4" s="2"/>
      <c r="TGF4" s="2"/>
      <c r="TGG4" s="2"/>
      <c r="TGH4" s="2"/>
      <c r="TGI4" s="2"/>
      <c r="TGJ4" s="2"/>
      <c r="TGK4" s="2"/>
      <c r="TGL4" s="2"/>
      <c r="TGM4" s="2"/>
      <c r="TGN4" s="2"/>
      <c r="TGO4" s="2"/>
      <c r="TGP4" s="2"/>
      <c r="TGQ4" s="2"/>
      <c r="TGR4" s="2"/>
      <c r="TGS4" s="2"/>
      <c r="TGT4" s="2"/>
      <c r="TGU4" s="2"/>
      <c r="TGV4" s="2"/>
      <c r="TGW4" s="2"/>
      <c r="TGX4" s="2"/>
      <c r="TGY4" s="2"/>
      <c r="TGZ4" s="2"/>
      <c r="THA4" s="2"/>
      <c r="THB4" s="2"/>
      <c r="THC4" s="2"/>
      <c r="THD4" s="2"/>
      <c r="THE4" s="2"/>
      <c r="THF4" s="2"/>
      <c r="THG4" s="2"/>
      <c r="THH4" s="2"/>
      <c r="THI4" s="2"/>
      <c r="THJ4" s="2"/>
      <c r="THK4" s="2"/>
      <c r="THL4" s="2"/>
      <c r="THM4" s="2"/>
      <c r="THN4" s="2"/>
      <c r="THO4" s="2"/>
      <c r="THP4" s="2"/>
      <c r="THQ4" s="2"/>
      <c r="THR4" s="2"/>
      <c r="THS4" s="2"/>
      <c r="THT4" s="2"/>
      <c r="THU4" s="2"/>
      <c r="THV4" s="2"/>
      <c r="THW4" s="2"/>
      <c r="THX4" s="2"/>
      <c r="THY4" s="2"/>
      <c r="THZ4" s="2"/>
      <c r="TIA4" s="2"/>
      <c r="TIB4" s="2"/>
      <c r="TIC4" s="2"/>
      <c r="TID4" s="2"/>
      <c r="TIE4" s="2"/>
      <c r="TIF4" s="2"/>
      <c r="TIG4" s="2"/>
      <c r="TIH4" s="2"/>
      <c r="TII4" s="2"/>
      <c r="TIJ4" s="2"/>
      <c r="TIK4" s="2"/>
      <c r="TIL4" s="2"/>
      <c r="TIM4" s="2"/>
      <c r="TIN4" s="2"/>
      <c r="TIO4" s="2"/>
      <c r="TIP4" s="2"/>
      <c r="TIQ4" s="2"/>
      <c r="TIR4" s="2"/>
      <c r="TIS4" s="2"/>
      <c r="TIT4" s="2"/>
      <c r="TIU4" s="2"/>
      <c r="TIV4" s="2"/>
      <c r="TIW4" s="2"/>
      <c r="TIX4" s="2"/>
      <c r="TIY4" s="2"/>
      <c r="TIZ4" s="2"/>
      <c r="TJA4" s="2"/>
      <c r="TJB4" s="2"/>
      <c r="TJC4" s="2"/>
      <c r="TJD4" s="2"/>
      <c r="TJE4" s="2"/>
      <c r="TJF4" s="2"/>
      <c r="TJG4" s="2"/>
      <c r="TJH4" s="2"/>
      <c r="TJI4" s="2"/>
      <c r="TJJ4" s="2"/>
      <c r="TJK4" s="2"/>
      <c r="TJL4" s="2"/>
      <c r="TJM4" s="2"/>
      <c r="TJN4" s="2"/>
      <c r="TJO4" s="2"/>
      <c r="TJP4" s="2"/>
      <c r="TJQ4" s="2"/>
      <c r="TJR4" s="2"/>
      <c r="TJS4" s="2"/>
      <c r="TJT4" s="2"/>
      <c r="TJU4" s="2"/>
      <c r="TJV4" s="2"/>
      <c r="TJW4" s="2"/>
      <c r="TJX4" s="2"/>
      <c r="TJY4" s="2"/>
      <c r="TJZ4" s="2"/>
      <c r="TKA4" s="2"/>
      <c r="TKB4" s="2"/>
      <c r="TKC4" s="2"/>
      <c r="TKD4" s="2"/>
      <c r="TKE4" s="2"/>
      <c r="TKF4" s="2"/>
      <c r="TKG4" s="2"/>
      <c r="TKH4" s="2"/>
      <c r="TKI4" s="2"/>
      <c r="TKJ4" s="2"/>
      <c r="TKK4" s="2"/>
      <c r="TKL4" s="2"/>
      <c r="TKM4" s="2"/>
      <c r="TKN4" s="2"/>
      <c r="TKO4" s="2"/>
      <c r="TKP4" s="2"/>
      <c r="TKQ4" s="2"/>
      <c r="TKR4" s="2"/>
      <c r="TKS4" s="2"/>
      <c r="TKT4" s="2"/>
      <c r="TKU4" s="2"/>
      <c r="TKV4" s="2"/>
      <c r="TKW4" s="2"/>
      <c r="TKX4" s="2"/>
      <c r="TKY4" s="2"/>
      <c r="TKZ4" s="2"/>
      <c r="TLA4" s="2"/>
      <c r="TLB4" s="2"/>
      <c r="TLC4" s="2"/>
      <c r="TLD4" s="2"/>
      <c r="TLE4" s="2"/>
      <c r="TLF4" s="2"/>
      <c r="TLG4" s="2"/>
      <c r="TLH4" s="2"/>
      <c r="TLI4" s="2"/>
      <c r="TLJ4" s="2"/>
      <c r="TLK4" s="2"/>
      <c r="TLL4" s="2"/>
      <c r="TLM4" s="2"/>
      <c r="TLN4" s="2"/>
      <c r="TLO4" s="2"/>
      <c r="TLP4" s="2"/>
      <c r="TLQ4" s="2"/>
      <c r="TLR4" s="2"/>
      <c r="TLS4" s="2"/>
      <c r="TLT4" s="2"/>
      <c r="TLU4" s="2"/>
      <c r="TLV4" s="2"/>
      <c r="TLW4" s="2"/>
      <c r="TLX4" s="2"/>
      <c r="TLY4" s="2"/>
      <c r="TLZ4" s="2"/>
      <c r="TMA4" s="2"/>
      <c r="TMB4" s="2"/>
      <c r="TMC4" s="2"/>
      <c r="TMD4" s="2"/>
      <c r="TME4" s="2"/>
      <c r="TMF4" s="2"/>
      <c r="TMG4" s="2"/>
      <c r="TMH4" s="2"/>
      <c r="TMI4" s="2"/>
      <c r="TMJ4" s="2"/>
      <c r="TMK4" s="2"/>
      <c r="TML4" s="2"/>
      <c r="TMM4" s="2"/>
      <c r="TMN4" s="2"/>
      <c r="TMO4" s="2"/>
      <c r="TMP4" s="2"/>
      <c r="TMQ4" s="2"/>
      <c r="TMR4" s="2"/>
      <c r="TMS4" s="2"/>
      <c r="TMT4" s="2"/>
      <c r="TMU4" s="2"/>
      <c r="TMV4" s="2"/>
      <c r="TMW4" s="2"/>
      <c r="TMX4" s="2"/>
      <c r="TMY4" s="2"/>
      <c r="TMZ4" s="2"/>
      <c r="TNA4" s="2"/>
      <c r="TNB4" s="2"/>
      <c r="TNC4" s="2"/>
      <c r="TND4" s="2"/>
      <c r="TNE4" s="2"/>
      <c r="TNF4" s="2"/>
      <c r="TNG4" s="2"/>
      <c r="TNH4" s="2"/>
      <c r="TNI4" s="2"/>
      <c r="TNJ4" s="2"/>
      <c r="TNK4" s="2"/>
      <c r="TNL4" s="2"/>
      <c r="TNM4" s="2"/>
      <c r="TNN4" s="2"/>
      <c r="TNO4" s="2"/>
      <c r="TNP4" s="2"/>
      <c r="TNQ4" s="2"/>
      <c r="TNR4" s="2"/>
      <c r="TNS4" s="2"/>
      <c r="TNT4" s="2"/>
      <c r="TNU4" s="2"/>
      <c r="TNV4" s="2"/>
      <c r="TNW4" s="2"/>
      <c r="TNX4" s="2"/>
      <c r="TNY4" s="2"/>
      <c r="TNZ4" s="2"/>
      <c r="TOA4" s="2"/>
      <c r="TOB4" s="2"/>
      <c r="TOC4" s="2"/>
      <c r="TOD4" s="2"/>
      <c r="TOE4" s="2"/>
      <c r="TOF4" s="2"/>
      <c r="TOG4" s="2"/>
      <c r="TOH4" s="2"/>
      <c r="TOI4" s="2"/>
      <c r="TOJ4" s="2"/>
      <c r="TOK4" s="2"/>
      <c r="TOL4" s="2"/>
      <c r="TOM4" s="2"/>
      <c r="TON4" s="2"/>
      <c r="TOO4" s="2"/>
      <c r="TOP4" s="2"/>
      <c r="TOQ4" s="2"/>
      <c r="TOR4" s="2"/>
      <c r="TOS4" s="2"/>
      <c r="TOT4" s="2"/>
      <c r="TOU4" s="2"/>
      <c r="TOV4" s="2"/>
      <c r="TOW4" s="2"/>
      <c r="TOX4" s="2"/>
      <c r="TOY4" s="2"/>
      <c r="TOZ4" s="2"/>
      <c r="TPA4" s="2"/>
      <c r="TPB4" s="2"/>
      <c r="TPC4" s="2"/>
      <c r="TPD4" s="2"/>
      <c r="TPE4" s="2"/>
      <c r="TPF4" s="2"/>
      <c r="TPG4" s="2"/>
      <c r="TPH4" s="2"/>
      <c r="TPI4" s="2"/>
      <c r="TPJ4" s="2"/>
      <c r="TPK4" s="2"/>
      <c r="TPL4" s="2"/>
      <c r="TPM4" s="2"/>
      <c r="TPN4" s="2"/>
      <c r="TPO4" s="2"/>
      <c r="TPP4" s="2"/>
      <c r="TPQ4" s="2"/>
      <c r="TPR4" s="2"/>
      <c r="TPS4" s="2"/>
      <c r="TPT4" s="2"/>
      <c r="TPU4" s="2"/>
      <c r="TPV4" s="2"/>
      <c r="TPW4" s="2"/>
      <c r="TPX4" s="2"/>
      <c r="TPY4" s="2"/>
      <c r="TPZ4" s="2"/>
      <c r="TQA4" s="2"/>
      <c r="TQB4" s="2"/>
      <c r="TQC4" s="2"/>
      <c r="TQD4" s="2"/>
      <c r="TQE4" s="2"/>
      <c r="TQF4" s="2"/>
      <c r="TQG4" s="2"/>
      <c r="TQH4" s="2"/>
      <c r="TQI4" s="2"/>
      <c r="TQJ4" s="2"/>
      <c r="TQK4" s="2"/>
      <c r="TQL4" s="2"/>
      <c r="TQM4" s="2"/>
      <c r="TQN4" s="2"/>
      <c r="TQO4" s="2"/>
      <c r="TQP4" s="2"/>
      <c r="TQQ4" s="2"/>
      <c r="TQR4" s="2"/>
      <c r="TQS4" s="2"/>
      <c r="TQT4" s="2"/>
      <c r="TQU4" s="2"/>
      <c r="TQV4" s="2"/>
      <c r="TQW4" s="2"/>
      <c r="TQX4" s="2"/>
      <c r="TQY4" s="2"/>
      <c r="TQZ4" s="2"/>
      <c r="TRA4" s="2"/>
      <c r="TRB4" s="2"/>
      <c r="TRC4" s="2"/>
      <c r="TRD4" s="2"/>
      <c r="TRE4" s="2"/>
      <c r="TRF4" s="2"/>
      <c r="TRG4" s="2"/>
      <c r="TRH4" s="2"/>
      <c r="TRI4" s="2"/>
      <c r="TRJ4" s="2"/>
      <c r="TRK4" s="2"/>
      <c r="TRL4" s="2"/>
      <c r="TRM4" s="2"/>
      <c r="TRN4" s="2"/>
      <c r="TRO4" s="2"/>
      <c r="TRP4" s="2"/>
      <c r="TRQ4" s="2"/>
      <c r="TRR4" s="2"/>
      <c r="TRS4" s="2"/>
      <c r="TRT4" s="2"/>
      <c r="TRU4" s="2"/>
      <c r="TRV4" s="2"/>
      <c r="TRW4" s="2"/>
      <c r="TRX4" s="2"/>
      <c r="TRY4" s="2"/>
      <c r="TRZ4" s="2"/>
      <c r="TSA4" s="2"/>
      <c r="TSB4" s="2"/>
      <c r="TSC4" s="2"/>
      <c r="TSD4" s="2"/>
      <c r="TSE4" s="2"/>
      <c r="TSF4" s="2"/>
      <c r="TSG4" s="2"/>
      <c r="TSH4" s="2"/>
      <c r="TSI4" s="2"/>
      <c r="TSJ4" s="2"/>
      <c r="TSK4" s="2"/>
      <c r="TSL4" s="2"/>
      <c r="TSM4" s="2"/>
      <c r="TSN4" s="2"/>
      <c r="TSO4" s="2"/>
      <c r="TSP4" s="2"/>
      <c r="TSQ4" s="2"/>
      <c r="TSR4" s="2"/>
      <c r="TSS4" s="2"/>
      <c r="TST4" s="2"/>
      <c r="TSU4" s="2"/>
      <c r="TSV4" s="2"/>
      <c r="TSW4" s="2"/>
      <c r="TSX4" s="2"/>
      <c r="TSY4" s="2"/>
      <c r="TSZ4" s="2"/>
      <c r="TTA4" s="2"/>
      <c r="TTB4" s="2"/>
      <c r="TTC4" s="2"/>
      <c r="TTD4" s="2"/>
      <c r="TTE4" s="2"/>
      <c r="TTF4" s="2"/>
      <c r="TTG4" s="2"/>
      <c r="TTH4" s="2"/>
      <c r="TTI4" s="2"/>
      <c r="TTJ4" s="2"/>
      <c r="TTK4" s="2"/>
      <c r="TTL4" s="2"/>
      <c r="TTM4" s="2"/>
      <c r="TTN4" s="2"/>
      <c r="TTO4" s="2"/>
      <c r="TTP4" s="2"/>
      <c r="TTQ4" s="2"/>
      <c r="TTR4" s="2"/>
      <c r="TTS4" s="2"/>
      <c r="TTT4" s="2"/>
      <c r="TTU4" s="2"/>
      <c r="TTV4" s="2"/>
      <c r="TTW4" s="2"/>
      <c r="TTX4" s="2"/>
      <c r="TTY4" s="2"/>
      <c r="TTZ4" s="2"/>
      <c r="TUA4" s="2"/>
      <c r="TUB4" s="2"/>
      <c r="TUC4" s="2"/>
      <c r="TUD4" s="2"/>
      <c r="TUE4" s="2"/>
      <c r="TUF4" s="2"/>
      <c r="TUG4" s="2"/>
      <c r="TUH4" s="2"/>
      <c r="TUI4" s="2"/>
      <c r="TUJ4" s="2"/>
      <c r="TUK4" s="2"/>
      <c r="TUL4" s="2"/>
      <c r="TUM4" s="2"/>
      <c r="TUN4" s="2"/>
      <c r="TUO4" s="2"/>
      <c r="TUP4" s="2"/>
      <c r="TUQ4" s="2"/>
      <c r="TUR4" s="2"/>
      <c r="TUS4" s="2"/>
      <c r="TUT4" s="2"/>
      <c r="TUU4" s="2"/>
      <c r="TUV4" s="2"/>
      <c r="TUW4" s="2"/>
      <c r="TUX4" s="2"/>
      <c r="TUY4" s="2"/>
      <c r="TUZ4" s="2"/>
      <c r="TVA4" s="2"/>
      <c r="TVB4" s="2"/>
      <c r="TVC4" s="2"/>
      <c r="TVD4" s="2"/>
      <c r="TVE4" s="2"/>
      <c r="TVF4" s="2"/>
      <c r="TVG4" s="2"/>
      <c r="TVH4" s="2"/>
      <c r="TVI4" s="2"/>
      <c r="TVJ4" s="2"/>
      <c r="TVK4" s="2"/>
      <c r="TVL4" s="2"/>
      <c r="TVM4" s="2"/>
      <c r="TVN4" s="2"/>
      <c r="TVO4" s="2"/>
      <c r="TVP4" s="2"/>
      <c r="TVQ4" s="2"/>
      <c r="TVR4" s="2"/>
      <c r="TVS4" s="2"/>
      <c r="TVT4" s="2"/>
      <c r="TVU4" s="2"/>
      <c r="TVV4" s="2"/>
      <c r="TVW4" s="2"/>
      <c r="TVX4" s="2"/>
      <c r="TVY4" s="2"/>
      <c r="TVZ4" s="2"/>
      <c r="TWA4" s="2"/>
      <c r="TWB4" s="2"/>
      <c r="TWC4" s="2"/>
      <c r="TWD4" s="2"/>
      <c r="TWE4" s="2"/>
      <c r="TWF4" s="2"/>
      <c r="TWG4" s="2"/>
      <c r="TWH4" s="2"/>
      <c r="TWI4" s="2"/>
      <c r="TWJ4" s="2"/>
      <c r="TWK4" s="2"/>
      <c r="TWL4" s="2"/>
      <c r="TWM4" s="2"/>
      <c r="TWN4" s="2"/>
      <c r="TWO4" s="2"/>
      <c r="TWP4" s="2"/>
      <c r="TWQ4" s="2"/>
      <c r="TWR4" s="2"/>
      <c r="TWS4" s="2"/>
      <c r="TWT4" s="2"/>
      <c r="TWU4" s="2"/>
      <c r="TWV4" s="2"/>
      <c r="TWW4" s="2"/>
      <c r="TWX4" s="2"/>
      <c r="TWY4" s="2"/>
      <c r="TWZ4" s="2"/>
      <c r="TXA4" s="2"/>
      <c r="TXB4" s="2"/>
      <c r="TXC4" s="2"/>
      <c r="TXD4" s="2"/>
      <c r="TXE4" s="2"/>
      <c r="TXF4" s="2"/>
      <c r="TXG4" s="2"/>
      <c r="TXH4" s="2"/>
      <c r="TXI4" s="2"/>
      <c r="TXJ4" s="2"/>
      <c r="TXK4" s="2"/>
      <c r="TXL4" s="2"/>
      <c r="TXM4" s="2"/>
      <c r="TXN4" s="2"/>
      <c r="TXO4" s="2"/>
      <c r="TXP4" s="2"/>
      <c r="TXQ4" s="2"/>
      <c r="TXR4" s="2"/>
      <c r="TXS4" s="2"/>
      <c r="TXT4" s="2"/>
      <c r="TXU4" s="2"/>
      <c r="TXV4" s="2"/>
      <c r="TXW4" s="2"/>
      <c r="TXX4" s="2"/>
      <c r="TXY4" s="2"/>
      <c r="TXZ4" s="2"/>
      <c r="TYA4" s="2"/>
      <c r="TYB4" s="2"/>
      <c r="TYC4" s="2"/>
      <c r="TYD4" s="2"/>
      <c r="TYE4" s="2"/>
      <c r="TYF4" s="2"/>
      <c r="TYG4" s="2"/>
      <c r="TYH4" s="2"/>
      <c r="TYI4" s="2"/>
      <c r="TYJ4" s="2"/>
      <c r="TYK4" s="2"/>
      <c r="TYL4" s="2"/>
      <c r="TYM4" s="2"/>
      <c r="TYN4" s="2"/>
      <c r="TYO4" s="2"/>
      <c r="TYP4" s="2"/>
      <c r="TYQ4" s="2"/>
      <c r="TYR4" s="2"/>
      <c r="TYS4" s="2"/>
      <c r="TYT4" s="2"/>
      <c r="TYU4" s="2"/>
      <c r="TYV4" s="2"/>
      <c r="TYW4" s="2"/>
      <c r="TYX4" s="2"/>
      <c r="TYY4" s="2"/>
      <c r="TYZ4" s="2"/>
      <c r="TZA4" s="2"/>
      <c r="TZB4" s="2"/>
      <c r="TZC4" s="2"/>
      <c r="TZD4" s="2"/>
      <c r="TZE4" s="2"/>
      <c r="TZF4" s="2"/>
      <c r="TZG4" s="2"/>
      <c r="TZH4" s="2"/>
      <c r="TZI4" s="2"/>
      <c r="TZJ4" s="2"/>
      <c r="TZK4" s="2"/>
      <c r="TZL4" s="2"/>
      <c r="TZM4" s="2"/>
      <c r="TZN4" s="2"/>
      <c r="TZO4" s="2"/>
      <c r="TZP4" s="2"/>
      <c r="TZQ4" s="2"/>
      <c r="TZR4" s="2"/>
      <c r="TZS4" s="2"/>
      <c r="TZT4" s="2"/>
      <c r="TZU4" s="2"/>
      <c r="TZV4" s="2"/>
      <c r="TZW4" s="2"/>
      <c r="TZX4" s="2"/>
      <c r="TZY4" s="2"/>
      <c r="TZZ4" s="2"/>
      <c r="UAA4" s="2"/>
      <c r="UAB4" s="2"/>
      <c r="UAC4" s="2"/>
      <c r="UAD4" s="2"/>
      <c r="UAE4" s="2"/>
      <c r="UAF4" s="2"/>
      <c r="UAG4" s="2"/>
      <c r="UAH4" s="2"/>
      <c r="UAI4" s="2"/>
      <c r="UAJ4" s="2"/>
      <c r="UAK4" s="2"/>
      <c r="UAL4" s="2"/>
      <c r="UAM4" s="2"/>
      <c r="UAN4" s="2"/>
      <c r="UAO4" s="2"/>
      <c r="UAP4" s="2"/>
      <c r="UAQ4" s="2"/>
      <c r="UAR4" s="2"/>
      <c r="UAS4" s="2"/>
      <c r="UAT4" s="2"/>
      <c r="UAU4" s="2"/>
      <c r="UAV4" s="2"/>
      <c r="UAW4" s="2"/>
      <c r="UAX4" s="2"/>
      <c r="UAY4" s="2"/>
      <c r="UAZ4" s="2"/>
      <c r="UBA4" s="2"/>
      <c r="UBB4" s="2"/>
      <c r="UBC4" s="2"/>
      <c r="UBD4" s="2"/>
      <c r="UBE4" s="2"/>
      <c r="UBF4" s="2"/>
      <c r="UBG4" s="2"/>
      <c r="UBH4" s="2"/>
      <c r="UBI4" s="2"/>
      <c r="UBJ4" s="2"/>
      <c r="UBK4" s="2"/>
      <c r="UBL4" s="2"/>
      <c r="UBM4" s="2"/>
      <c r="UBN4" s="2"/>
      <c r="UBO4" s="2"/>
      <c r="UBP4" s="2"/>
      <c r="UBQ4" s="2"/>
      <c r="UBR4" s="2"/>
      <c r="UBS4" s="2"/>
      <c r="UBT4" s="2"/>
      <c r="UBU4" s="2"/>
      <c r="UBV4" s="2"/>
      <c r="UBW4" s="2"/>
      <c r="UBX4" s="2"/>
      <c r="UBY4" s="2"/>
      <c r="UBZ4" s="2"/>
      <c r="UCA4" s="2"/>
      <c r="UCB4" s="2"/>
      <c r="UCC4" s="2"/>
      <c r="UCD4" s="2"/>
      <c r="UCE4" s="2"/>
      <c r="UCF4" s="2"/>
      <c r="UCG4" s="2"/>
      <c r="UCH4" s="2"/>
      <c r="UCI4" s="2"/>
      <c r="UCJ4" s="2"/>
      <c r="UCK4" s="2"/>
      <c r="UCL4" s="2"/>
      <c r="UCM4" s="2"/>
      <c r="UCN4" s="2"/>
      <c r="UCO4" s="2"/>
      <c r="UCP4" s="2"/>
      <c r="UCQ4" s="2"/>
      <c r="UCR4" s="2"/>
      <c r="UCS4" s="2"/>
      <c r="UCT4" s="2"/>
      <c r="UCU4" s="2"/>
      <c r="UCV4" s="2"/>
      <c r="UCW4" s="2"/>
      <c r="UCX4" s="2"/>
      <c r="UCY4" s="2"/>
      <c r="UCZ4" s="2"/>
      <c r="UDA4" s="2"/>
      <c r="UDB4" s="2"/>
      <c r="UDC4" s="2"/>
      <c r="UDD4" s="2"/>
      <c r="UDE4" s="2"/>
      <c r="UDF4" s="2"/>
      <c r="UDG4" s="2"/>
      <c r="UDH4" s="2"/>
      <c r="UDI4" s="2"/>
      <c r="UDJ4" s="2"/>
      <c r="UDK4" s="2"/>
      <c r="UDL4" s="2"/>
      <c r="UDM4" s="2"/>
      <c r="UDN4" s="2"/>
      <c r="UDO4" s="2"/>
      <c r="UDP4" s="2"/>
      <c r="UDQ4" s="2"/>
      <c r="UDR4" s="2"/>
      <c r="UDS4" s="2"/>
      <c r="UDT4" s="2"/>
      <c r="UDU4" s="2"/>
      <c r="UDV4" s="2"/>
      <c r="UDW4" s="2"/>
      <c r="UDX4" s="2"/>
      <c r="UDY4" s="2"/>
      <c r="UDZ4" s="2"/>
      <c r="UEA4" s="2"/>
      <c r="UEB4" s="2"/>
      <c r="UEC4" s="2"/>
      <c r="UED4" s="2"/>
      <c r="UEE4" s="2"/>
      <c r="UEF4" s="2"/>
      <c r="UEG4" s="2"/>
      <c r="UEH4" s="2"/>
      <c r="UEI4" s="2"/>
      <c r="UEJ4" s="2"/>
      <c r="UEK4" s="2"/>
      <c r="UEL4" s="2"/>
      <c r="UEM4" s="2"/>
      <c r="UEN4" s="2"/>
      <c r="UEO4" s="2"/>
      <c r="UEP4" s="2"/>
      <c r="UEQ4" s="2"/>
      <c r="UER4" s="2"/>
      <c r="UES4" s="2"/>
      <c r="UET4" s="2"/>
      <c r="UEU4" s="2"/>
      <c r="UEV4" s="2"/>
      <c r="UEW4" s="2"/>
      <c r="UEX4" s="2"/>
      <c r="UEY4" s="2"/>
      <c r="UEZ4" s="2"/>
      <c r="UFA4" s="2"/>
      <c r="UFB4" s="2"/>
      <c r="UFC4" s="2"/>
      <c r="UFD4" s="2"/>
      <c r="UFE4" s="2"/>
      <c r="UFF4" s="2"/>
      <c r="UFG4" s="2"/>
      <c r="UFH4" s="2"/>
      <c r="UFI4" s="2"/>
      <c r="UFJ4" s="2"/>
      <c r="UFK4" s="2"/>
      <c r="UFL4" s="2"/>
      <c r="UFM4" s="2"/>
      <c r="UFN4" s="2"/>
      <c r="UFO4" s="2"/>
      <c r="UFP4" s="2"/>
      <c r="UFQ4" s="2"/>
      <c r="UFR4" s="2"/>
      <c r="UFS4" s="2"/>
      <c r="UFT4" s="2"/>
      <c r="UFU4" s="2"/>
      <c r="UFV4" s="2"/>
      <c r="UFW4" s="2"/>
      <c r="UFX4" s="2"/>
      <c r="UFY4" s="2"/>
      <c r="UFZ4" s="2"/>
      <c r="UGA4" s="2"/>
      <c r="UGB4" s="2"/>
      <c r="UGC4" s="2"/>
      <c r="UGD4" s="2"/>
      <c r="UGE4" s="2"/>
      <c r="UGF4" s="2"/>
      <c r="UGG4" s="2"/>
      <c r="UGH4" s="2"/>
      <c r="UGI4" s="2"/>
      <c r="UGJ4" s="2"/>
      <c r="UGK4" s="2"/>
      <c r="UGL4" s="2"/>
      <c r="UGM4" s="2"/>
      <c r="UGN4" s="2"/>
      <c r="UGO4" s="2"/>
      <c r="UGP4" s="2"/>
      <c r="UGQ4" s="2"/>
      <c r="UGR4" s="2"/>
      <c r="UGS4" s="2"/>
      <c r="UGT4" s="2"/>
      <c r="UGU4" s="2"/>
      <c r="UGV4" s="2"/>
      <c r="UGW4" s="2"/>
      <c r="UGX4" s="2"/>
      <c r="UGY4" s="2"/>
      <c r="UGZ4" s="2"/>
      <c r="UHA4" s="2"/>
      <c r="UHB4" s="2"/>
      <c r="UHC4" s="2"/>
      <c r="UHD4" s="2"/>
      <c r="UHE4" s="2"/>
      <c r="UHF4" s="2"/>
      <c r="UHG4" s="2"/>
      <c r="UHH4" s="2"/>
      <c r="UHI4" s="2"/>
      <c r="UHJ4" s="2"/>
      <c r="UHK4" s="2"/>
      <c r="UHL4" s="2"/>
      <c r="UHM4" s="2"/>
      <c r="UHN4" s="2"/>
      <c r="UHO4" s="2"/>
      <c r="UHP4" s="2"/>
      <c r="UHQ4" s="2"/>
      <c r="UHR4" s="2"/>
      <c r="UHS4" s="2"/>
      <c r="UHT4" s="2"/>
      <c r="UHU4" s="2"/>
      <c r="UHV4" s="2"/>
      <c r="UHW4" s="2"/>
      <c r="UHX4" s="2"/>
      <c r="UHY4" s="2"/>
      <c r="UHZ4" s="2"/>
      <c r="UIA4" s="2"/>
      <c r="UIB4" s="2"/>
      <c r="UIC4" s="2"/>
      <c r="UID4" s="2"/>
      <c r="UIE4" s="2"/>
      <c r="UIF4" s="2"/>
      <c r="UIG4" s="2"/>
      <c r="UIH4" s="2"/>
      <c r="UII4" s="2"/>
      <c r="UIJ4" s="2"/>
      <c r="UIK4" s="2"/>
      <c r="UIL4" s="2"/>
      <c r="UIM4" s="2"/>
      <c r="UIN4" s="2"/>
      <c r="UIO4" s="2"/>
      <c r="UIP4" s="2"/>
      <c r="UIQ4" s="2"/>
      <c r="UIR4" s="2"/>
      <c r="UIS4" s="2"/>
      <c r="UIT4" s="2"/>
      <c r="UIU4" s="2"/>
      <c r="UIV4" s="2"/>
      <c r="UIW4" s="2"/>
      <c r="UIX4" s="2"/>
      <c r="UIY4" s="2"/>
      <c r="UIZ4" s="2"/>
      <c r="UJA4" s="2"/>
      <c r="UJB4" s="2"/>
      <c r="UJC4" s="2"/>
      <c r="UJD4" s="2"/>
      <c r="UJE4" s="2"/>
      <c r="UJF4" s="2"/>
      <c r="UJG4" s="2"/>
      <c r="UJH4" s="2"/>
      <c r="UJI4" s="2"/>
      <c r="UJJ4" s="2"/>
      <c r="UJK4" s="2"/>
      <c r="UJL4" s="2"/>
      <c r="UJM4" s="2"/>
      <c r="UJN4" s="2"/>
      <c r="UJO4" s="2"/>
      <c r="UJP4" s="2"/>
      <c r="UJQ4" s="2"/>
      <c r="UJR4" s="2"/>
      <c r="UJS4" s="2"/>
      <c r="UJT4" s="2"/>
      <c r="UJU4" s="2"/>
      <c r="UJV4" s="2"/>
      <c r="UJW4" s="2"/>
      <c r="UJX4" s="2"/>
      <c r="UJY4" s="2"/>
      <c r="UJZ4" s="2"/>
      <c r="UKA4" s="2"/>
      <c r="UKB4" s="2"/>
      <c r="UKC4" s="2"/>
      <c r="UKD4" s="2"/>
      <c r="UKE4" s="2"/>
      <c r="UKF4" s="2"/>
      <c r="UKG4" s="2"/>
      <c r="UKH4" s="2"/>
      <c r="UKI4" s="2"/>
      <c r="UKJ4" s="2"/>
      <c r="UKK4" s="2"/>
      <c r="UKL4" s="2"/>
      <c r="UKM4" s="2"/>
      <c r="UKN4" s="2"/>
      <c r="UKO4" s="2"/>
      <c r="UKP4" s="2"/>
      <c r="UKQ4" s="2"/>
      <c r="UKR4" s="2"/>
      <c r="UKS4" s="2"/>
      <c r="UKT4" s="2"/>
      <c r="UKU4" s="2"/>
      <c r="UKV4" s="2"/>
      <c r="UKW4" s="2"/>
      <c r="UKX4" s="2"/>
      <c r="UKY4" s="2"/>
      <c r="UKZ4" s="2"/>
      <c r="ULA4" s="2"/>
      <c r="ULB4" s="2"/>
      <c r="ULC4" s="2"/>
      <c r="ULD4" s="2"/>
      <c r="ULE4" s="2"/>
      <c r="ULF4" s="2"/>
      <c r="ULG4" s="2"/>
      <c r="ULH4" s="2"/>
      <c r="ULI4" s="2"/>
      <c r="ULJ4" s="2"/>
      <c r="ULK4" s="2"/>
      <c r="ULL4" s="2"/>
      <c r="ULM4" s="2"/>
      <c r="ULN4" s="2"/>
      <c r="ULO4" s="2"/>
      <c r="ULP4" s="2"/>
      <c r="ULQ4" s="2"/>
      <c r="ULR4" s="2"/>
      <c r="ULS4" s="2"/>
      <c r="ULT4" s="2"/>
      <c r="ULU4" s="2"/>
      <c r="ULV4" s="2"/>
      <c r="ULW4" s="2"/>
      <c r="ULX4" s="2"/>
      <c r="ULY4" s="2"/>
      <c r="ULZ4" s="2"/>
      <c r="UMA4" s="2"/>
      <c r="UMB4" s="2"/>
      <c r="UMC4" s="2"/>
      <c r="UMD4" s="2"/>
      <c r="UME4" s="2"/>
      <c r="UMF4" s="2"/>
      <c r="UMG4" s="2"/>
      <c r="UMH4" s="2"/>
      <c r="UMI4" s="2"/>
      <c r="UMJ4" s="2"/>
      <c r="UMK4" s="2"/>
      <c r="UML4" s="2"/>
      <c r="UMM4" s="2"/>
      <c r="UMN4" s="2"/>
      <c r="UMO4" s="2"/>
      <c r="UMP4" s="2"/>
      <c r="UMQ4" s="2"/>
      <c r="UMR4" s="2"/>
      <c r="UMS4" s="2"/>
      <c r="UMT4" s="2"/>
      <c r="UMU4" s="2"/>
      <c r="UMV4" s="2"/>
      <c r="UMW4" s="2"/>
      <c r="UMX4" s="2"/>
      <c r="UMY4" s="2"/>
      <c r="UMZ4" s="2"/>
      <c r="UNA4" s="2"/>
      <c r="UNB4" s="2"/>
      <c r="UNC4" s="2"/>
      <c r="UND4" s="2"/>
      <c r="UNE4" s="2"/>
      <c r="UNF4" s="2"/>
      <c r="UNG4" s="2"/>
      <c r="UNH4" s="2"/>
      <c r="UNI4" s="2"/>
      <c r="UNJ4" s="2"/>
      <c r="UNK4" s="2"/>
      <c r="UNL4" s="2"/>
      <c r="UNM4" s="2"/>
      <c r="UNN4" s="2"/>
      <c r="UNO4" s="2"/>
      <c r="UNP4" s="2"/>
      <c r="UNQ4" s="2"/>
      <c r="UNR4" s="2"/>
      <c r="UNS4" s="2"/>
      <c r="UNT4" s="2"/>
      <c r="UNU4" s="2"/>
      <c r="UNV4" s="2"/>
      <c r="UNW4" s="2"/>
      <c r="UNX4" s="2"/>
      <c r="UNY4" s="2"/>
      <c r="UNZ4" s="2"/>
      <c r="UOA4" s="2"/>
      <c r="UOB4" s="2"/>
      <c r="UOC4" s="2"/>
      <c r="UOD4" s="2"/>
      <c r="UOE4" s="2"/>
      <c r="UOF4" s="2"/>
      <c r="UOG4" s="2"/>
      <c r="UOH4" s="2"/>
      <c r="UOI4" s="2"/>
      <c r="UOJ4" s="2"/>
      <c r="UOK4" s="2"/>
      <c r="UOL4" s="2"/>
      <c r="UOM4" s="2"/>
      <c r="UON4" s="2"/>
      <c r="UOO4" s="2"/>
      <c r="UOP4" s="2"/>
      <c r="UOQ4" s="2"/>
      <c r="UOR4" s="2"/>
      <c r="UOS4" s="2"/>
      <c r="UOT4" s="2"/>
      <c r="UOU4" s="2"/>
      <c r="UOV4" s="2"/>
      <c r="UOW4" s="2"/>
      <c r="UOX4" s="2"/>
      <c r="UOY4" s="2"/>
      <c r="UOZ4" s="2"/>
      <c r="UPA4" s="2"/>
      <c r="UPB4" s="2"/>
      <c r="UPC4" s="2"/>
      <c r="UPD4" s="2"/>
      <c r="UPE4" s="2"/>
      <c r="UPF4" s="2"/>
      <c r="UPG4" s="2"/>
      <c r="UPH4" s="2"/>
      <c r="UPI4" s="2"/>
      <c r="UPJ4" s="2"/>
      <c r="UPK4" s="2"/>
      <c r="UPL4" s="2"/>
      <c r="UPM4" s="2"/>
      <c r="UPN4" s="2"/>
      <c r="UPO4" s="2"/>
      <c r="UPP4" s="2"/>
      <c r="UPQ4" s="2"/>
      <c r="UPR4" s="2"/>
      <c r="UPS4" s="2"/>
      <c r="UPT4" s="2"/>
      <c r="UPU4" s="2"/>
      <c r="UPV4" s="2"/>
      <c r="UPW4" s="2"/>
      <c r="UPX4" s="2"/>
      <c r="UPY4" s="2"/>
      <c r="UPZ4" s="2"/>
      <c r="UQA4" s="2"/>
      <c r="UQB4" s="2"/>
      <c r="UQC4" s="2"/>
      <c r="UQD4" s="2"/>
      <c r="UQE4" s="2"/>
      <c r="UQF4" s="2"/>
      <c r="UQG4" s="2"/>
      <c r="UQH4" s="2"/>
      <c r="UQI4" s="2"/>
      <c r="UQJ4" s="2"/>
      <c r="UQK4" s="2"/>
      <c r="UQL4" s="2"/>
      <c r="UQM4" s="2"/>
      <c r="UQN4" s="2"/>
      <c r="UQO4" s="2"/>
      <c r="UQP4" s="2"/>
      <c r="UQQ4" s="2"/>
      <c r="UQR4" s="2"/>
      <c r="UQS4" s="2"/>
      <c r="UQT4" s="2"/>
      <c r="UQU4" s="2"/>
      <c r="UQV4" s="2"/>
      <c r="UQW4" s="2"/>
      <c r="UQX4" s="2"/>
      <c r="UQY4" s="2"/>
      <c r="UQZ4" s="2"/>
      <c r="URA4" s="2"/>
      <c r="URB4" s="2"/>
      <c r="URC4" s="2"/>
      <c r="URD4" s="2"/>
      <c r="URE4" s="2"/>
      <c r="URF4" s="2"/>
      <c r="URG4" s="2"/>
      <c r="URH4" s="2"/>
      <c r="URI4" s="2"/>
      <c r="URJ4" s="2"/>
      <c r="URK4" s="2"/>
      <c r="URL4" s="2"/>
      <c r="URM4" s="2"/>
      <c r="URN4" s="2"/>
      <c r="URO4" s="2"/>
      <c r="URP4" s="2"/>
      <c r="URQ4" s="2"/>
      <c r="URR4" s="2"/>
      <c r="URS4" s="2"/>
      <c r="URT4" s="2"/>
      <c r="URU4" s="2"/>
      <c r="URV4" s="2"/>
      <c r="URW4" s="2"/>
      <c r="URX4" s="2"/>
      <c r="URY4" s="2"/>
      <c r="URZ4" s="2"/>
      <c r="USA4" s="2"/>
      <c r="USB4" s="2"/>
      <c r="USC4" s="2"/>
      <c r="USD4" s="2"/>
      <c r="USE4" s="2"/>
      <c r="USF4" s="2"/>
      <c r="USG4" s="2"/>
      <c r="USH4" s="2"/>
      <c r="USI4" s="2"/>
      <c r="USJ4" s="2"/>
      <c r="USK4" s="2"/>
      <c r="USL4" s="2"/>
      <c r="USM4" s="2"/>
      <c r="USN4" s="2"/>
      <c r="USO4" s="2"/>
      <c r="USP4" s="2"/>
      <c r="USQ4" s="2"/>
      <c r="USR4" s="2"/>
      <c r="USS4" s="2"/>
      <c r="UST4" s="2"/>
      <c r="USU4" s="2"/>
      <c r="USV4" s="2"/>
      <c r="USW4" s="2"/>
      <c r="USX4" s="2"/>
      <c r="USY4" s="2"/>
      <c r="USZ4" s="2"/>
      <c r="UTA4" s="2"/>
      <c r="UTB4" s="2"/>
      <c r="UTC4" s="2"/>
      <c r="UTD4" s="2"/>
      <c r="UTE4" s="2"/>
      <c r="UTF4" s="2"/>
      <c r="UTG4" s="2"/>
      <c r="UTH4" s="2"/>
      <c r="UTI4" s="2"/>
      <c r="UTJ4" s="2"/>
      <c r="UTK4" s="2"/>
      <c r="UTL4" s="2"/>
      <c r="UTM4" s="2"/>
      <c r="UTN4" s="2"/>
      <c r="UTO4" s="2"/>
      <c r="UTP4" s="2"/>
      <c r="UTQ4" s="2"/>
      <c r="UTR4" s="2"/>
      <c r="UTS4" s="2"/>
      <c r="UTT4" s="2"/>
      <c r="UTU4" s="2"/>
      <c r="UTV4" s="2"/>
      <c r="UTW4" s="2"/>
      <c r="UTX4" s="2"/>
      <c r="UTY4" s="2"/>
      <c r="UTZ4" s="2"/>
      <c r="UUA4" s="2"/>
      <c r="UUB4" s="2"/>
      <c r="UUC4" s="2"/>
      <c r="UUD4" s="2"/>
      <c r="UUE4" s="2"/>
      <c r="UUF4" s="2"/>
      <c r="UUG4" s="2"/>
      <c r="UUH4" s="2"/>
      <c r="UUI4" s="2"/>
      <c r="UUJ4" s="2"/>
      <c r="UUK4" s="2"/>
      <c r="UUL4" s="2"/>
      <c r="UUM4" s="2"/>
      <c r="UUN4" s="2"/>
      <c r="UUO4" s="2"/>
      <c r="UUP4" s="2"/>
      <c r="UUQ4" s="2"/>
      <c r="UUR4" s="2"/>
      <c r="UUS4" s="2"/>
      <c r="UUT4" s="2"/>
      <c r="UUU4" s="2"/>
      <c r="UUV4" s="2"/>
      <c r="UUW4" s="2"/>
      <c r="UUX4" s="2"/>
      <c r="UUY4" s="2"/>
      <c r="UUZ4" s="2"/>
      <c r="UVA4" s="2"/>
      <c r="UVB4" s="2"/>
      <c r="UVC4" s="2"/>
      <c r="UVD4" s="2"/>
      <c r="UVE4" s="2"/>
      <c r="UVF4" s="2"/>
      <c r="UVG4" s="2"/>
      <c r="UVH4" s="2"/>
      <c r="UVI4" s="2"/>
      <c r="UVJ4" s="2"/>
      <c r="UVK4" s="2"/>
      <c r="UVL4" s="2"/>
      <c r="UVM4" s="2"/>
      <c r="UVN4" s="2"/>
      <c r="UVO4" s="2"/>
      <c r="UVP4" s="2"/>
      <c r="UVQ4" s="2"/>
      <c r="UVR4" s="2"/>
      <c r="UVS4" s="2"/>
      <c r="UVT4" s="2"/>
      <c r="UVU4" s="2"/>
      <c r="UVV4" s="2"/>
      <c r="UVW4" s="2"/>
      <c r="UVX4" s="2"/>
      <c r="UVY4" s="2"/>
      <c r="UVZ4" s="2"/>
      <c r="UWA4" s="2"/>
      <c r="UWB4" s="2"/>
      <c r="UWC4" s="2"/>
      <c r="UWD4" s="2"/>
      <c r="UWE4" s="2"/>
      <c r="UWF4" s="2"/>
      <c r="UWG4" s="2"/>
      <c r="UWH4" s="2"/>
      <c r="UWI4" s="2"/>
      <c r="UWJ4" s="2"/>
      <c r="UWK4" s="2"/>
      <c r="UWL4" s="2"/>
      <c r="UWM4" s="2"/>
      <c r="UWN4" s="2"/>
      <c r="UWO4" s="2"/>
      <c r="UWP4" s="2"/>
      <c r="UWQ4" s="2"/>
      <c r="UWR4" s="2"/>
      <c r="UWS4" s="2"/>
      <c r="UWT4" s="2"/>
      <c r="UWU4" s="2"/>
      <c r="UWV4" s="2"/>
      <c r="UWW4" s="2"/>
      <c r="UWX4" s="2"/>
      <c r="UWY4" s="2"/>
      <c r="UWZ4" s="2"/>
      <c r="UXA4" s="2"/>
      <c r="UXB4" s="2"/>
      <c r="UXC4" s="2"/>
      <c r="UXD4" s="2"/>
      <c r="UXE4" s="2"/>
      <c r="UXF4" s="2"/>
      <c r="UXG4" s="2"/>
      <c r="UXH4" s="2"/>
      <c r="UXI4" s="2"/>
      <c r="UXJ4" s="2"/>
      <c r="UXK4" s="2"/>
      <c r="UXL4" s="2"/>
      <c r="UXM4" s="2"/>
      <c r="UXN4" s="2"/>
      <c r="UXO4" s="2"/>
      <c r="UXP4" s="2"/>
      <c r="UXQ4" s="2"/>
      <c r="UXR4" s="2"/>
      <c r="UXS4" s="2"/>
      <c r="UXT4" s="2"/>
      <c r="UXU4" s="2"/>
      <c r="UXV4" s="2"/>
      <c r="UXW4" s="2"/>
      <c r="UXX4" s="2"/>
      <c r="UXY4" s="2"/>
      <c r="UXZ4" s="2"/>
      <c r="UYA4" s="2"/>
      <c r="UYB4" s="2"/>
      <c r="UYC4" s="2"/>
      <c r="UYD4" s="2"/>
      <c r="UYE4" s="2"/>
      <c r="UYF4" s="2"/>
      <c r="UYG4" s="2"/>
      <c r="UYH4" s="2"/>
      <c r="UYI4" s="2"/>
      <c r="UYJ4" s="2"/>
      <c r="UYK4" s="2"/>
      <c r="UYL4" s="2"/>
      <c r="UYM4" s="2"/>
      <c r="UYN4" s="2"/>
      <c r="UYO4" s="2"/>
      <c r="UYP4" s="2"/>
      <c r="UYQ4" s="2"/>
      <c r="UYR4" s="2"/>
      <c r="UYS4" s="2"/>
      <c r="UYT4" s="2"/>
      <c r="UYU4" s="2"/>
      <c r="UYV4" s="2"/>
      <c r="UYW4" s="2"/>
      <c r="UYX4" s="2"/>
      <c r="UYY4" s="2"/>
      <c r="UYZ4" s="2"/>
      <c r="UZA4" s="2"/>
      <c r="UZB4" s="2"/>
      <c r="UZC4" s="2"/>
      <c r="UZD4" s="2"/>
      <c r="UZE4" s="2"/>
      <c r="UZF4" s="2"/>
      <c r="UZG4" s="2"/>
      <c r="UZH4" s="2"/>
      <c r="UZI4" s="2"/>
      <c r="UZJ4" s="2"/>
      <c r="UZK4" s="2"/>
      <c r="UZL4" s="2"/>
      <c r="UZM4" s="2"/>
      <c r="UZN4" s="2"/>
      <c r="UZO4" s="2"/>
      <c r="UZP4" s="2"/>
      <c r="UZQ4" s="2"/>
      <c r="UZR4" s="2"/>
      <c r="UZS4" s="2"/>
      <c r="UZT4" s="2"/>
      <c r="UZU4" s="2"/>
      <c r="UZV4" s="2"/>
      <c r="UZW4" s="2"/>
      <c r="UZX4" s="2"/>
      <c r="UZY4" s="2"/>
      <c r="UZZ4" s="2"/>
      <c r="VAA4" s="2"/>
      <c r="VAB4" s="2"/>
      <c r="VAC4" s="2"/>
      <c r="VAD4" s="2"/>
      <c r="VAE4" s="2"/>
      <c r="VAF4" s="2"/>
      <c r="VAG4" s="2"/>
      <c r="VAH4" s="2"/>
      <c r="VAI4" s="2"/>
      <c r="VAJ4" s="2"/>
      <c r="VAK4" s="2"/>
      <c r="VAL4" s="2"/>
      <c r="VAM4" s="2"/>
      <c r="VAN4" s="2"/>
      <c r="VAO4" s="2"/>
      <c r="VAP4" s="2"/>
      <c r="VAQ4" s="2"/>
      <c r="VAR4" s="2"/>
      <c r="VAS4" s="2"/>
      <c r="VAT4" s="2"/>
      <c r="VAU4" s="2"/>
      <c r="VAV4" s="2"/>
      <c r="VAW4" s="2"/>
      <c r="VAX4" s="2"/>
      <c r="VAY4" s="2"/>
      <c r="VAZ4" s="2"/>
      <c r="VBA4" s="2"/>
      <c r="VBB4" s="2"/>
      <c r="VBC4" s="2"/>
      <c r="VBD4" s="2"/>
      <c r="VBE4" s="2"/>
      <c r="VBF4" s="2"/>
      <c r="VBG4" s="2"/>
      <c r="VBH4" s="2"/>
      <c r="VBI4" s="2"/>
      <c r="VBJ4" s="2"/>
      <c r="VBK4" s="2"/>
      <c r="VBL4" s="2"/>
      <c r="VBM4" s="2"/>
      <c r="VBN4" s="2"/>
      <c r="VBO4" s="2"/>
      <c r="VBP4" s="2"/>
      <c r="VBQ4" s="2"/>
      <c r="VBR4" s="2"/>
      <c r="VBS4" s="2"/>
      <c r="VBT4" s="2"/>
      <c r="VBU4" s="2"/>
      <c r="VBV4" s="2"/>
      <c r="VBW4" s="2"/>
      <c r="VBX4" s="2"/>
      <c r="VBY4" s="2"/>
      <c r="VBZ4" s="2"/>
      <c r="VCA4" s="2"/>
      <c r="VCB4" s="2"/>
      <c r="VCC4" s="2"/>
      <c r="VCD4" s="2"/>
      <c r="VCE4" s="2"/>
      <c r="VCF4" s="2"/>
      <c r="VCG4" s="2"/>
      <c r="VCH4" s="2"/>
      <c r="VCI4" s="2"/>
      <c r="VCJ4" s="2"/>
      <c r="VCK4" s="2"/>
      <c r="VCL4" s="2"/>
      <c r="VCM4" s="2"/>
      <c r="VCN4" s="2"/>
      <c r="VCO4" s="2"/>
      <c r="VCP4" s="2"/>
      <c r="VCQ4" s="2"/>
      <c r="VCR4" s="2"/>
      <c r="VCS4" s="2"/>
      <c r="VCT4" s="2"/>
      <c r="VCU4" s="2"/>
      <c r="VCV4" s="2"/>
      <c r="VCW4" s="2"/>
      <c r="VCX4" s="2"/>
      <c r="VCY4" s="2"/>
      <c r="VCZ4" s="2"/>
      <c r="VDA4" s="2"/>
      <c r="VDB4" s="2"/>
      <c r="VDC4" s="2"/>
      <c r="VDD4" s="2"/>
      <c r="VDE4" s="2"/>
      <c r="VDF4" s="2"/>
      <c r="VDG4" s="2"/>
      <c r="VDH4" s="2"/>
      <c r="VDI4" s="2"/>
      <c r="VDJ4" s="2"/>
      <c r="VDK4" s="2"/>
      <c r="VDL4" s="2"/>
      <c r="VDM4" s="2"/>
      <c r="VDN4" s="2"/>
      <c r="VDO4" s="2"/>
      <c r="VDP4" s="2"/>
      <c r="VDQ4" s="2"/>
      <c r="VDR4" s="2"/>
      <c r="VDS4" s="2"/>
      <c r="VDT4" s="2"/>
      <c r="VDU4" s="2"/>
      <c r="VDV4" s="2"/>
      <c r="VDW4" s="2"/>
      <c r="VDX4" s="2"/>
      <c r="VDY4" s="2"/>
      <c r="VDZ4" s="2"/>
      <c r="VEA4" s="2"/>
      <c r="VEB4" s="2"/>
      <c r="VEC4" s="2"/>
      <c r="VED4" s="2"/>
      <c r="VEE4" s="2"/>
      <c r="VEF4" s="2"/>
      <c r="VEG4" s="2"/>
      <c r="VEH4" s="2"/>
      <c r="VEI4" s="2"/>
      <c r="VEJ4" s="2"/>
      <c r="VEK4" s="2"/>
      <c r="VEL4" s="2"/>
      <c r="VEM4" s="2"/>
      <c r="VEN4" s="2"/>
      <c r="VEO4" s="2"/>
      <c r="VEP4" s="2"/>
      <c r="VEQ4" s="2"/>
      <c r="VER4" s="2"/>
      <c r="VES4" s="2"/>
      <c r="VET4" s="2"/>
      <c r="VEU4" s="2"/>
      <c r="VEV4" s="2"/>
      <c r="VEW4" s="2"/>
      <c r="VEX4" s="2"/>
      <c r="VEY4" s="2"/>
      <c r="VEZ4" s="2"/>
      <c r="VFA4" s="2"/>
      <c r="VFB4" s="2"/>
      <c r="VFC4" s="2"/>
      <c r="VFD4" s="2"/>
      <c r="VFE4" s="2"/>
      <c r="VFF4" s="2"/>
      <c r="VFG4" s="2"/>
      <c r="VFH4" s="2"/>
      <c r="VFI4" s="2"/>
      <c r="VFJ4" s="2"/>
      <c r="VFK4" s="2"/>
      <c r="VFL4" s="2"/>
      <c r="VFM4" s="2"/>
      <c r="VFN4" s="2"/>
      <c r="VFO4" s="2"/>
      <c r="VFP4" s="2"/>
      <c r="VFQ4" s="2"/>
      <c r="VFR4" s="2"/>
      <c r="VFS4" s="2"/>
      <c r="VFT4" s="2"/>
      <c r="VFU4" s="2"/>
      <c r="VFV4" s="2"/>
      <c r="VFW4" s="2"/>
      <c r="VFX4" s="2"/>
      <c r="VFY4" s="2"/>
      <c r="VFZ4" s="2"/>
      <c r="VGA4" s="2"/>
      <c r="VGB4" s="2"/>
      <c r="VGC4" s="2"/>
      <c r="VGD4" s="2"/>
      <c r="VGE4" s="2"/>
      <c r="VGF4" s="2"/>
      <c r="VGG4" s="2"/>
      <c r="VGH4" s="2"/>
      <c r="VGI4" s="2"/>
      <c r="VGJ4" s="2"/>
      <c r="VGK4" s="2"/>
      <c r="VGL4" s="2"/>
      <c r="VGM4" s="2"/>
      <c r="VGN4" s="2"/>
      <c r="VGO4" s="2"/>
      <c r="VGP4" s="2"/>
      <c r="VGQ4" s="2"/>
      <c r="VGR4" s="2"/>
      <c r="VGS4" s="2"/>
      <c r="VGT4" s="2"/>
      <c r="VGU4" s="2"/>
      <c r="VGV4" s="2"/>
      <c r="VGW4" s="2"/>
      <c r="VGX4" s="2"/>
      <c r="VGY4" s="2"/>
      <c r="VGZ4" s="2"/>
      <c r="VHA4" s="2"/>
      <c r="VHB4" s="2"/>
      <c r="VHC4" s="2"/>
      <c r="VHD4" s="2"/>
      <c r="VHE4" s="2"/>
      <c r="VHF4" s="2"/>
      <c r="VHG4" s="2"/>
      <c r="VHH4" s="2"/>
      <c r="VHI4" s="2"/>
      <c r="VHJ4" s="2"/>
      <c r="VHK4" s="2"/>
      <c r="VHL4" s="2"/>
      <c r="VHM4" s="2"/>
      <c r="VHN4" s="2"/>
      <c r="VHO4" s="2"/>
      <c r="VHP4" s="2"/>
      <c r="VHQ4" s="2"/>
      <c r="VHR4" s="2"/>
      <c r="VHS4" s="2"/>
      <c r="VHT4" s="2"/>
      <c r="VHU4" s="2"/>
      <c r="VHV4" s="2"/>
      <c r="VHW4" s="2"/>
      <c r="VHX4" s="2"/>
      <c r="VHY4" s="2"/>
      <c r="VHZ4" s="2"/>
      <c r="VIA4" s="2"/>
      <c r="VIB4" s="2"/>
      <c r="VIC4" s="2"/>
      <c r="VID4" s="2"/>
      <c r="VIE4" s="2"/>
      <c r="VIF4" s="2"/>
      <c r="VIG4" s="2"/>
      <c r="VIH4" s="2"/>
      <c r="VII4" s="2"/>
      <c r="VIJ4" s="2"/>
      <c r="VIK4" s="2"/>
      <c r="VIL4" s="2"/>
      <c r="VIM4" s="2"/>
      <c r="VIN4" s="2"/>
      <c r="VIO4" s="2"/>
      <c r="VIP4" s="2"/>
      <c r="VIQ4" s="2"/>
      <c r="VIR4" s="2"/>
      <c r="VIS4" s="2"/>
      <c r="VIT4" s="2"/>
      <c r="VIU4" s="2"/>
      <c r="VIV4" s="2"/>
      <c r="VIW4" s="2"/>
      <c r="VIX4" s="2"/>
      <c r="VIY4" s="2"/>
      <c r="VIZ4" s="2"/>
      <c r="VJA4" s="2"/>
      <c r="VJB4" s="2"/>
      <c r="VJC4" s="2"/>
      <c r="VJD4" s="2"/>
      <c r="VJE4" s="2"/>
      <c r="VJF4" s="2"/>
      <c r="VJG4" s="2"/>
      <c r="VJH4" s="2"/>
      <c r="VJI4" s="2"/>
      <c r="VJJ4" s="2"/>
      <c r="VJK4" s="2"/>
      <c r="VJL4" s="2"/>
      <c r="VJM4" s="2"/>
      <c r="VJN4" s="2"/>
      <c r="VJO4" s="2"/>
      <c r="VJP4" s="2"/>
      <c r="VJQ4" s="2"/>
      <c r="VJR4" s="2"/>
      <c r="VJS4" s="2"/>
      <c r="VJT4" s="2"/>
      <c r="VJU4" s="2"/>
      <c r="VJV4" s="2"/>
      <c r="VJW4" s="2"/>
      <c r="VJX4" s="2"/>
      <c r="VJY4" s="2"/>
      <c r="VJZ4" s="2"/>
      <c r="VKA4" s="2"/>
      <c r="VKB4" s="2"/>
      <c r="VKC4" s="2"/>
      <c r="VKD4" s="2"/>
      <c r="VKE4" s="2"/>
      <c r="VKF4" s="2"/>
      <c r="VKG4" s="2"/>
      <c r="VKH4" s="2"/>
      <c r="VKI4" s="2"/>
      <c r="VKJ4" s="2"/>
      <c r="VKK4" s="2"/>
      <c r="VKL4" s="2"/>
      <c r="VKM4" s="2"/>
      <c r="VKN4" s="2"/>
      <c r="VKO4" s="2"/>
      <c r="VKP4" s="2"/>
      <c r="VKQ4" s="2"/>
      <c r="VKR4" s="2"/>
      <c r="VKS4" s="2"/>
      <c r="VKT4" s="2"/>
      <c r="VKU4" s="2"/>
      <c r="VKV4" s="2"/>
      <c r="VKW4" s="2"/>
      <c r="VKX4" s="2"/>
      <c r="VKY4" s="2"/>
      <c r="VKZ4" s="2"/>
      <c r="VLA4" s="2"/>
      <c r="VLB4" s="2"/>
      <c r="VLC4" s="2"/>
      <c r="VLD4" s="2"/>
      <c r="VLE4" s="2"/>
      <c r="VLF4" s="2"/>
      <c r="VLG4" s="2"/>
      <c r="VLH4" s="2"/>
      <c r="VLI4" s="2"/>
      <c r="VLJ4" s="2"/>
      <c r="VLK4" s="2"/>
      <c r="VLL4" s="2"/>
      <c r="VLM4" s="2"/>
      <c r="VLN4" s="2"/>
      <c r="VLO4" s="2"/>
      <c r="VLP4" s="2"/>
      <c r="VLQ4" s="2"/>
      <c r="VLR4" s="2"/>
      <c r="VLS4" s="2"/>
      <c r="VLT4" s="2"/>
      <c r="VLU4" s="2"/>
      <c r="VLV4" s="2"/>
      <c r="VLW4" s="2"/>
      <c r="VLX4" s="2"/>
      <c r="VLY4" s="2"/>
      <c r="VLZ4" s="2"/>
      <c r="VMA4" s="2"/>
      <c r="VMB4" s="2"/>
      <c r="VMC4" s="2"/>
      <c r="VMD4" s="2"/>
      <c r="VME4" s="2"/>
      <c r="VMF4" s="2"/>
      <c r="VMG4" s="2"/>
      <c r="VMH4" s="2"/>
      <c r="VMI4" s="2"/>
      <c r="VMJ4" s="2"/>
      <c r="VMK4" s="2"/>
      <c r="VML4" s="2"/>
      <c r="VMM4" s="2"/>
      <c r="VMN4" s="2"/>
      <c r="VMO4" s="2"/>
      <c r="VMP4" s="2"/>
      <c r="VMQ4" s="2"/>
      <c r="VMR4" s="2"/>
      <c r="VMS4" s="2"/>
      <c r="VMT4" s="2"/>
      <c r="VMU4" s="2"/>
      <c r="VMV4" s="2"/>
      <c r="VMW4" s="2"/>
      <c r="VMX4" s="2"/>
      <c r="VMY4" s="2"/>
      <c r="VMZ4" s="2"/>
      <c r="VNA4" s="2"/>
      <c r="VNB4" s="2"/>
      <c r="VNC4" s="2"/>
      <c r="VND4" s="2"/>
      <c r="VNE4" s="2"/>
      <c r="VNF4" s="2"/>
      <c r="VNG4" s="2"/>
      <c r="VNH4" s="2"/>
      <c r="VNI4" s="2"/>
      <c r="VNJ4" s="2"/>
      <c r="VNK4" s="2"/>
      <c r="VNL4" s="2"/>
      <c r="VNM4" s="2"/>
      <c r="VNN4" s="2"/>
      <c r="VNO4" s="2"/>
      <c r="VNP4" s="2"/>
      <c r="VNQ4" s="2"/>
      <c r="VNR4" s="2"/>
      <c r="VNS4" s="2"/>
      <c r="VNT4" s="2"/>
      <c r="VNU4" s="2"/>
      <c r="VNV4" s="2"/>
      <c r="VNW4" s="2"/>
      <c r="VNX4" s="2"/>
      <c r="VNY4" s="2"/>
      <c r="VNZ4" s="2"/>
      <c r="VOA4" s="2"/>
      <c r="VOB4" s="2"/>
      <c r="VOC4" s="2"/>
      <c r="VOD4" s="2"/>
      <c r="VOE4" s="2"/>
      <c r="VOF4" s="2"/>
      <c r="VOG4" s="2"/>
      <c r="VOH4" s="2"/>
      <c r="VOI4" s="2"/>
      <c r="VOJ4" s="2"/>
      <c r="VOK4" s="2"/>
      <c r="VOL4" s="2"/>
      <c r="VOM4" s="2"/>
      <c r="VON4" s="2"/>
      <c r="VOO4" s="2"/>
      <c r="VOP4" s="2"/>
      <c r="VOQ4" s="2"/>
      <c r="VOR4" s="2"/>
      <c r="VOS4" s="2"/>
      <c r="VOT4" s="2"/>
      <c r="VOU4" s="2"/>
      <c r="VOV4" s="2"/>
      <c r="VOW4" s="2"/>
      <c r="VOX4" s="2"/>
      <c r="VOY4" s="2"/>
      <c r="VOZ4" s="2"/>
      <c r="VPA4" s="2"/>
      <c r="VPB4" s="2"/>
      <c r="VPC4" s="2"/>
      <c r="VPD4" s="2"/>
      <c r="VPE4" s="2"/>
      <c r="VPF4" s="2"/>
      <c r="VPG4" s="2"/>
      <c r="VPH4" s="2"/>
      <c r="VPI4" s="2"/>
      <c r="VPJ4" s="2"/>
      <c r="VPK4" s="2"/>
      <c r="VPL4" s="2"/>
      <c r="VPM4" s="2"/>
      <c r="VPN4" s="2"/>
      <c r="VPO4" s="2"/>
      <c r="VPP4" s="2"/>
      <c r="VPQ4" s="2"/>
      <c r="VPR4" s="2"/>
      <c r="VPS4" s="2"/>
      <c r="VPT4" s="2"/>
      <c r="VPU4" s="2"/>
      <c r="VPV4" s="2"/>
      <c r="VPW4" s="2"/>
      <c r="VPX4" s="2"/>
      <c r="VPY4" s="2"/>
      <c r="VPZ4" s="2"/>
      <c r="VQA4" s="2"/>
      <c r="VQB4" s="2"/>
      <c r="VQC4" s="2"/>
      <c r="VQD4" s="2"/>
      <c r="VQE4" s="2"/>
      <c r="VQF4" s="2"/>
      <c r="VQG4" s="2"/>
      <c r="VQH4" s="2"/>
      <c r="VQI4" s="2"/>
      <c r="VQJ4" s="2"/>
      <c r="VQK4" s="2"/>
      <c r="VQL4" s="2"/>
      <c r="VQM4" s="2"/>
      <c r="VQN4" s="2"/>
      <c r="VQO4" s="2"/>
      <c r="VQP4" s="2"/>
      <c r="VQQ4" s="2"/>
      <c r="VQR4" s="2"/>
      <c r="VQS4" s="2"/>
      <c r="VQT4" s="2"/>
      <c r="VQU4" s="2"/>
      <c r="VQV4" s="2"/>
      <c r="VQW4" s="2"/>
      <c r="VQX4" s="2"/>
      <c r="VQY4" s="2"/>
      <c r="VQZ4" s="2"/>
      <c r="VRA4" s="2"/>
      <c r="VRB4" s="2"/>
      <c r="VRC4" s="2"/>
      <c r="VRD4" s="2"/>
      <c r="VRE4" s="2"/>
      <c r="VRF4" s="2"/>
      <c r="VRG4" s="2"/>
      <c r="VRH4" s="2"/>
      <c r="VRI4" s="2"/>
      <c r="VRJ4" s="2"/>
      <c r="VRK4" s="2"/>
      <c r="VRL4" s="2"/>
      <c r="VRM4" s="2"/>
      <c r="VRN4" s="2"/>
      <c r="VRO4" s="2"/>
      <c r="VRP4" s="2"/>
      <c r="VRQ4" s="2"/>
      <c r="VRR4" s="2"/>
      <c r="VRS4" s="2"/>
      <c r="VRT4" s="2"/>
      <c r="VRU4" s="2"/>
      <c r="VRV4" s="2"/>
      <c r="VRW4" s="2"/>
      <c r="VRX4" s="2"/>
      <c r="VRY4" s="2"/>
      <c r="VRZ4" s="2"/>
      <c r="VSA4" s="2"/>
      <c r="VSB4" s="2"/>
      <c r="VSC4" s="2"/>
      <c r="VSD4" s="2"/>
      <c r="VSE4" s="2"/>
      <c r="VSF4" s="2"/>
      <c r="VSG4" s="2"/>
      <c r="VSH4" s="2"/>
      <c r="VSI4" s="2"/>
      <c r="VSJ4" s="2"/>
      <c r="VSK4" s="2"/>
      <c r="VSL4" s="2"/>
      <c r="VSM4" s="2"/>
      <c r="VSN4" s="2"/>
      <c r="VSO4" s="2"/>
      <c r="VSP4" s="2"/>
      <c r="VSQ4" s="2"/>
      <c r="VSR4" s="2"/>
      <c r="VSS4" s="2"/>
      <c r="VST4" s="2"/>
      <c r="VSU4" s="2"/>
      <c r="VSV4" s="2"/>
      <c r="VSW4" s="2"/>
      <c r="VSX4" s="2"/>
      <c r="VSY4" s="2"/>
      <c r="VSZ4" s="2"/>
      <c r="VTA4" s="2"/>
      <c r="VTB4" s="2"/>
      <c r="VTC4" s="2"/>
      <c r="VTD4" s="2"/>
      <c r="VTE4" s="2"/>
      <c r="VTF4" s="2"/>
      <c r="VTG4" s="2"/>
      <c r="VTH4" s="2"/>
      <c r="VTI4" s="2"/>
      <c r="VTJ4" s="2"/>
      <c r="VTK4" s="2"/>
      <c r="VTL4" s="2"/>
      <c r="VTM4" s="2"/>
      <c r="VTN4" s="2"/>
      <c r="VTO4" s="2"/>
      <c r="VTP4" s="2"/>
      <c r="VTQ4" s="2"/>
      <c r="VTR4" s="2"/>
      <c r="VTS4" s="2"/>
      <c r="VTT4" s="2"/>
      <c r="VTU4" s="2"/>
      <c r="VTV4" s="2"/>
      <c r="VTW4" s="2"/>
      <c r="VTX4" s="2"/>
      <c r="VTY4" s="2"/>
      <c r="VTZ4" s="2"/>
      <c r="VUA4" s="2"/>
      <c r="VUB4" s="2"/>
      <c r="VUC4" s="2"/>
      <c r="VUD4" s="2"/>
      <c r="VUE4" s="2"/>
      <c r="VUF4" s="2"/>
      <c r="VUG4" s="2"/>
      <c r="VUH4" s="2"/>
      <c r="VUI4" s="2"/>
      <c r="VUJ4" s="2"/>
      <c r="VUK4" s="2"/>
      <c r="VUL4" s="2"/>
      <c r="VUM4" s="2"/>
      <c r="VUN4" s="2"/>
      <c r="VUO4" s="2"/>
      <c r="VUP4" s="2"/>
      <c r="VUQ4" s="2"/>
      <c r="VUR4" s="2"/>
      <c r="VUS4" s="2"/>
      <c r="VUT4" s="2"/>
      <c r="VUU4" s="2"/>
      <c r="VUV4" s="2"/>
      <c r="VUW4" s="2"/>
      <c r="VUX4" s="2"/>
      <c r="VUY4" s="2"/>
      <c r="VUZ4" s="2"/>
      <c r="VVA4" s="2"/>
      <c r="VVB4" s="2"/>
      <c r="VVC4" s="2"/>
      <c r="VVD4" s="2"/>
      <c r="VVE4" s="2"/>
      <c r="VVF4" s="2"/>
      <c r="VVG4" s="2"/>
      <c r="VVH4" s="2"/>
      <c r="VVI4" s="2"/>
      <c r="VVJ4" s="2"/>
      <c r="VVK4" s="2"/>
      <c r="VVL4" s="2"/>
      <c r="VVM4" s="2"/>
      <c r="VVN4" s="2"/>
      <c r="VVO4" s="2"/>
      <c r="VVP4" s="2"/>
      <c r="VVQ4" s="2"/>
      <c r="VVR4" s="2"/>
      <c r="VVS4" s="2"/>
      <c r="VVT4" s="2"/>
      <c r="VVU4" s="2"/>
      <c r="VVV4" s="2"/>
      <c r="VVW4" s="2"/>
      <c r="VVX4" s="2"/>
      <c r="VVY4" s="2"/>
      <c r="VVZ4" s="2"/>
      <c r="VWA4" s="2"/>
      <c r="VWB4" s="2"/>
      <c r="VWC4" s="2"/>
      <c r="VWD4" s="2"/>
      <c r="VWE4" s="2"/>
      <c r="VWF4" s="2"/>
      <c r="VWG4" s="2"/>
      <c r="VWH4" s="2"/>
      <c r="VWI4" s="2"/>
      <c r="VWJ4" s="2"/>
      <c r="VWK4" s="2"/>
      <c r="VWL4" s="2"/>
      <c r="VWM4" s="2"/>
      <c r="VWN4" s="2"/>
      <c r="VWO4" s="2"/>
      <c r="VWP4" s="2"/>
      <c r="VWQ4" s="2"/>
      <c r="VWR4" s="2"/>
      <c r="VWS4" s="2"/>
      <c r="VWT4" s="2"/>
      <c r="VWU4" s="2"/>
      <c r="VWV4" s="2"/>
      <c r="VWW4" s="2"/>
      <c r="VWX4" s="2"/>
      <c r="VWY4" s="2"/>
      <c r="VWZ4" s="2"/>
      <c r="VXA4" s="2"/>
      <c r="VXB4" s="2"/>
      <c r="VXC4" s="2"/>
      <c r="VXD4" s="2"/>
      <c r="VXE4" s="2"/>
      <c r="VXF4" s="2"/>
      <c r="VXG4" s="2"/>
      <c r="VXH4" s="2"/>
      <c r="VXI4" s="2"/>
      <c r="VXJ4" s="2"/>
      <c r="VXK4" s="2"/>
      <c r="VXL4" s="2"/>
      <c r="VXM4" s="2"/>
      <c r="VXN4" s="2"/>
      <c r="VXO4" s="2"/>
      <c r="VXP4" s="2"/>
      <c r="VXQ4" s="2"/>
      <c r="VXR4" s="2"/>
      <c r="VXS4" s="2"/>
      <c r="VXT4" s="2"/>
      <c r="VXU4" s="2"/>
      <c r="VXV4" s="2"/>
      <c r="VXW4" s="2"/>
      <c r="VXX4" s="2"/>
      <c r="VXY4" s="2"/>
      <c r="VXZ4" s="2"/>
      <c r="VYA4" s="2"/>
      <c r="VYB4" s="2"/>
      <c r="VYC4" s="2"/>
      <c r="VYD4" s="2"/>
      <c r="VYE4" s="2"/>
      <c r="VYF4" s="2"/>
      <c r="VYG4" s="2"/>
      <c r="VYH4" s="2"/>
      <c r="VYI4" s="2"/>
      <c r="VYJ4" s="2"/>
      <c r="VYK4" s="2"/>
      <c r="VYL4" s="2"/>
      <c r="VYM4" s="2"/>
      <c r="VYN4" s="2"/>
      <c r="VYO4" s="2"/>
      <c r="VYP4" s="2"/>
      <c r="VYQ4" s="2"/>
      <c r="VYR4" s="2"/>
      <c r="VYS4" s="2"/>
      <c r="VYT4" s="2"/>
      <c r="VYU4" s="2"/>
      <c r="VYV4" s="2"/>
      <c r="VYW4" s="2"/>
      <c r="VYX4" s="2"/>
      <c r="VYY4" s="2"/>
      <c r="VYZ4" s="2"/>
      <c r="VZA4" s="2"/>
      <c r="VZB4" s="2"/>
      <c r="VZC4" s="2"/>
      <c r="VZD4" s="2"/>
      <c r="VZE4" s="2"/>
      <c r="VZF4" s="2"/>
      <c r="VZG4" s="2"/>
      <c r="VZH4" s="2"/>
      <c r="VZI4" s="2"/>
      <c r="VZJ4" s="2"/>
      <c r="VZK4" s="2"/>
      <c r="VZL4" s="2"/>
      <c r="VZM4" s="2"/>
      <c r="VZN4" s="2"/>
      <c r="VZO4" s="2"/>
      <c r="VZP4" s="2"/>
      <c r="VZQ4" s="2"/>
      <c r="VZR4" s="2"/>
      <c r="VZS4" s="2"/>
      <c r="VZT4" s="2"/>
      <c r="VZU4" s="2"/>
      <c r="VZV4" s="2"/>
      <c r="VZW4" s="2"/>
      <c r="VZX4" s="2"/>
      <c r="VZY4" s="2"/>
      <c r="VZZ4" s="2"/>
      <c r="WAA4" s="2"/>
      <c r="WAB4" s="2"/>
      <c r="WAC4" s="2"/>
      <c r="WAD4" s="2"/>
      <c r="WAE4" s="2"/>
      <c r="WAF4" s="2"/>
      <c r="WAG4" s="2"/>
      <c r="WAH4" s="2"/>
      <c r="WAI4" s="2"/>
      <c r="WAJ4" s="2"/>
      <c r="WAK4" s="2"/>
      <c r="WAL4" s="2"/>
      <c r="WAM4" s="2"/>
      <c r="WAN4" s="2"/>
      <c r="WAO4" s="2"/>
      <c r="WAP4" s="2"/>
      <c r="WAQ4" s="2"/>
      <c r="WAR4" s="2"/>
      <c r="WAS4" s="2"/>
      <c r="WAT4" s="2"/>
      <c r="WAU4" s="2"/>
      <c r="WAV4" s="2"/>
      <c r="WAW4" s="2"/>
      <c r="WAX4" s="2"/>
      <c r="WAY4" s="2"/>
      <c r="WAZ4" s="2"/>
      <c r="WBA4" s="2"/>
      <c r="WBB4" s="2"/>
      <c r="WBC4" s="2"/>
      <c r="WBD4" s="2"/>
      <c r="WBE4" s="2"/>
      <c r="WBF4" s="2"/>
      <c r="WBG4" s="2"/>
      <c r="WBH4" s="2"/>
      <c r="WBI4" s="2"/>
      <c r="WBJ4" s="2"/>
      <c r="WBK4" s="2"/>
      <c r="WBL4" s="2"/>
      <c r="WBM4" s="2"/>
      <c r="WBN4" s="2"/>
      <c r="WBO4" s="2"/>
      <c r="WBP4" s="2"/>
      <c r="WBQ4" s="2"/>
      <c r="WBR4" s="2"/>
      <c r="WBS4" s="2"/>
      <c r="WBT4" s="2"/>
      <c r="WBU4" s="2"/>
      <c r="WBV4" s="2"/>
      <c r="WBW4" s="2"/>
      <c r="WBX4" s="2"/>
      <c r="WBY4" s="2"/>
      <c r="WBZ4" s="2"/>
      <c r="WCA4" s="2"/>
      <c r="WCB4" s="2"/>
      <c r="WCC4" s="2"/>
      <c r="WCD4" s="2"/>
      <c r="WCE4" s="2"/>
      <c r="WCF4" s="2"/>
      <c r="WCG4" s="2"/>
      <c r="WCH4" s="2"/>
      <c r="WCI4" s="2"/>
      <c r="WCJ4" s="2"/>
      <c r="WCK4" s="2"/>
      <c r="WCL4" s="2"/>
      <c r="WCM4" s="2"/>
      <c r="WCN4" s="2"/>
      <c r="WCO4" s="2"/>
      <c r="WCP4" s="2"/>
      <c r="WCQ4" s="2"/>
      <c r="WCR4" s="2"/>
      <c r="WCS4" s="2"/>
      <c r="WCT4" s="2"/>
      <c r="WCU4" s="2"/>
      <c r="WCV4" s="2"/>
      <c r="WCW4" s="2"/>
      <c r="WCX4" s="2"/>
      <c r="WCY4" s="2"/>
      <c r="WCZ4" s="2"/>
      <c r="WDA4" s="2"/>
      <c r="WDB4" s="2"/>
      <c r="WDC4" s="2"/>
      <c r="WDD4" s="2"/>
      <c r="WDE4" s="2"/>
      <c r="WDF4" s="2"/>
      <c r="WDG4" s="2"/>
      <c r="WDH4" s="2"/>
      <c r="WDI4" s="2"/>
      <c r="WDJ4" s="2"/>
      <c r="WDK4" s="2"/>
      <c r="WDL4" s="2"/>
      <c r="WDM4" s="2"/>
      <c r="WDN4" s="2"/>
      <c r="WDO4" s="2"/>
      <c r="WDP4" s="2"/>
      <c r="WDQ4" s="2"/>
      <c r="WDR4" s="2"/>
      <c r="WDS4" s="2"/>
      <c r="WDT4" s="2"/>
      <c r="WDU4" s="2"/>
      <c r="WDV4" s="2"/>
      <c r="WDW4" s="2"/>
      <c r="WDX4" s="2"/>
      <c r="WDY4" s="2"/>
      <c r="WDZ4" s="2"/>
      <c r="WEA4" s="2"/>
      <c r="WEB4" s="2"/>
      <c r="WEC4" s="2"/>
      <c r="WED4" s="2"/>
      <c r="WEE4" s="2"/>
      <c r="WEF4" s="2"/>
      <c r="WEG4" s="2"/>
      <c r="WEH4" s="2"/>
      <c r="WEI4" s="2"/>
      <c r="WEJ4" s="2"/>
      <c r="WEK4" s="2"/>
      <c r="WEL4" s="2"/>
      <c r="WEM4" s="2"/>
      <c r="WEN4" s="2"/>
      <c r="WEO4" s="2"/>
      <c r="WEP4" s="2"/>
      <c r="WEQ4" s="2"/>
      <c r="WER4" s="2"/>
      <c r="WES4" s="2"/>
      <c r="WET4" s="2"/>
      <c r="WEU4" s="2"/>
      <c r="WEV4" s="2"/>
      <c r="WEW4" s="2"/>
      <c r="WEX4" s="2"/>
      <c r="WEY4" s="2"/>
      <c r="WEZ4" s="2"/>
      <c r="WFA4" s="2"/>
      <c r="WFB4" s="2"/>
      <c r="WFC4" s="2"/>
      <c r="WFD4" s="2"/>
      <c r="WFE4" s="2"/>
      <c r="WFF4" s="2"/>
      <c r="WFG4" s="2"/>
      <c r="WFH4" s="2"/>
      <c r="WFI4" s="2"/>
      <c r="WFJ4" s="2"/>
      <c r="WFK4" s="2"/>
      <c r="WFL4" s="2"/>
      <c r="WFM4" s="2"/>
      <c r="WFN4" s="2"/>
      <c r="WFO4" s="2"/>
      <c r="WFP4" s="2"/>
      <c r="WFQ4" s="2"/>
      <c r="WFR4" s="2"/>
      <c r="WFS4" s="2"/>
      <c r="WFT4" s="2"/>
      <c r="WFU4" s="2"/>
      <c r="WFV4" s="2"/>
      <c r="WFW4" s="2"/>
      <c r="WFX4" s="2"/>
      <c r="WFY4" s="2"/>
      <c r="WFZ4" s="2"/>
      <c r="WGA4" s="2"/>
      <c r="WGB4" s="2"/>
      <c r="WGC4" s="2"/>
      <c r="WGD4" s="2"/>
      <c r="WGE4" s="2"/>
      <c r="WGF4" s="2"/>
      <c r="WGG4" s="2"/>
      <c r="WGH4" s="2"/>
      <c r="WGI4" s="2"/>
      <c r="WGJ4" s="2"/>
      <c r="WGK4" s="2"/>
      <c r="WGL4" s="2"/>
      <c r="WGM4" s="2"/>
      <c r="WGN4" s="2"/>
      <c r="WGO4" s="2"/>
      <c r="WGP4" s="2"/>
      <c r="WGQ4" s="2"/>
      <c r="WGR4" s="2"/>
      <c r="WGS4" s="2"/>
      <c r="WGT4" s="2"/>
      <c r="WGU4" s="2"/>
      <c r="WGV4" s="2"/>
      <c r="WGW4" s="2"/>
      <c r="WGX4" s="2"/>
      <c r="WGY4" s="2"/>
      <c r="WGZ4" s="2"/>
      <c r="WHA4" s="2"/>
      <c r="WHB4" s="2"/>
      <c r="WHC4" s="2"/>
      <c r="WHD4" s="2"/>
      <c r="WHE4" s="2"/>
      <c r="WHF4" s="2"/>
      <c r="WHG4" s="2"/>
      <c r="WHH4" s="2"/>
      <c r="WHI4" s="2"/>
      <c r="WHJ4" s="2"/>
      <c r="WHK4" s="2"/>
      <c r="WHL4" s="2"/>
      <c r="WHM4" s="2"/>
      <c r="WHN4" s="2"/>
      <c r="WHO4" s="2"/>
      <c r="WHP4" s="2"/>
      <c r="WHQ4" s="2"/>
      <c r="WHR4" s="2"/>
      <c r="WHS4" s="2"/>
      <c r="WHT4" s="2"/>
      <c r="WHU4" s="2"/>
      <c r="WHV4" s="2"/>
      <c r="WHW4" s="2"/>
      <c r="WHX4" s="2"/>
      <c r="WHY4" s="2"/>
      <c r="WHZ4" s="2"/>
      <c r="WIA4" s="2"/>
      <c r="WIB4" s="2"/>
      <c r="WIC4" s="2"/>
      <c r="WID4" s="2"/>
      <c r="WIE4" s="2"/>
      <c r="WIF4" s="2"/>
      <c r="WIG4" s="2"/>
      <c r="WIH4" s="2"/>
      <c r="WII4" s="2"/>
      <c r="WIJ4" s="2"/>
      <c r="WIK4" s="2"/>
      <c r="WIL4" s="2"/>
      <c r="WIM4" s="2"/>
      <c r="WIN4" s="2"/>
      <c r="WIO4" s="2"/>
      <c r="WIP4" s="2"/>
      <c r="WIQ4" s="2"/>
      <c r="WIR4" s="2"/>
      <c r="WIS4" s="2"/>
      <c r="WIT4" s="2"/>
      <c r="WIU4" s="2"/>
      <c r="WIV4" s="2"/>
      <c r="WIW4" s="2"/>
      <c r="WIX4" s="2"/>
      <c r="WIY4" s="2"/>
      <c r="WIZ4" s="2"/>
      <c r="WJA4" s="2"/>
      <c r="WJB4" s="2"/>
      <c r="WJC4" s="2"/>
      <c r="WJD4" s="2"/>
      <c r="WJE4" s="2"/>
      <c r="WJF4" s="2"/>
      <c r="WJG4" s="2"/>
      <c r="WJH4" s="2"/>
      <c r="WJI4" s="2"/>
      <c r="WJJ4" s="2"/>
      <c r="WJK4" s="2"/>
      <c r="WJL4" s="2"/>
      <c r="WJM4" s="2"/>
      <c r="WJN4" s="2"/>
      <c r="WJO4" s="2"/>
      <c r="WJP4" s="2"/>
      <c r="WJQ4" s="2"/>
      <c r="WJR4" s="2"/>
      <c r="WJS4" s="2"/>
      <c r="WJT4" s="2"/>
      <c r="WJU4" s="2"/>
      <c r="WJV4" s="2"/>
      <c r="WJW4" s="2"/>
      <c r="WJX4" s="2"/>
      <c r="WJY4" s="2"/>
      <c r="WJZ4" s="2"/>
      <c r="WKA4" s="2"/>
      <c r="WKB4" s="2"/>
      <c r="WKC4" s="2"/>
      <c r="WKD4" s="2"/>
      <c r="WKE4" s="2"/>
      <c r="WKF4" s="2"/>
      <c r="WKG4" s="2"/>
      <c r="WKH4" s="2"/>
      <c r="WKI4" s="2"/>
      <c r="WKJ4" s="2"/>
      <c r="WKK4" s="2"/>
      <c r="WKL4" s="2"/>
      <c r="WKM4" s="2"/>
      <c r="WKN4" s="2"/>
      <c r="WKO4" s="2"/>
      <c r="WKP4" s="2"/>
      <c r="WKQ4" s="2"/>
      <c r="WKR4" s="2"/>
      <c r="WKS4" s="2"/>
      <c r="WKT4" s="2"/>
      <c r="WKU4" s="2"/>
      <c r="WKV4" s="2"/>
      <c r="WKW4" s="2"/>
      <c r="WKX4" s="2"/>
      <c r="WKY4" s="2"/>
      <c r="WKZ4" s="2"/>
      <c r="WLA4" s="2"/>
      <c r="WLB4" s="2"/>
      <c r="WLC4" s="2"/>
      <c r="WLD4" s="2"/>
      <c r="WLE4" s="2"/>
      <c r="WLF4" s="2"/>
      <c r="WLG4" s="2"/>
      <c r="WLH4" s="2"/>
      <c r="WLI4" s="2"/>
      <c r="WLJ4" s="2"/>
      <c r="WLK4" s="2"/>
      <c r="WLL4" s="2"/>
      <c r="WLM4" s="2"/>
      <c r="WLN4" s="2"/>
      <c r="WLO4" s="2"/>
      <c r="WLP4" s="2"/>
      <c r="WLQ4" s="2"/>
      <c r="WLR4" s="2"/>
      <c r="WLS4" s="2"/>
      <c r="WLT4" s="2"/>
      <c r="WLU4" s="2"/>
      <c r="WLV4" s="2"/>
      <c r="WLW4" s="2"/>
      <c r="WLX4" s="2"/>
      <c r="WLY4" s="2"/>
      <c r="WLZ4" s="2"/>
      <c r="WMA4" s="2"/>
      <c r="WMB4" s="2"/>
      <c r="WMC4" s="2"/>
      <c r="WMD4" s="2"/>
      <c r="WME4" s="2"/>
      <c r="WMF4" s="2"/>
      <c r="WMG4" s="2"/>
      <c r="WMH4" s="2"/>
      <c r="WMI4" s="2"/>
      <c r="WMJ4" s="2"/>
      <c r="WMK4" s="2"/>
      <c r="WML4" s="2"/>
      <c r="WMM4" s="2"/>
      <c r="WMN4" s="2"/>
      <c r="WMO4" s="2"/>
      <c r="WMP4" s="2"/>
      <c r="WMQ4" s="2"/>
      <c r="WMR4" s="2"/>
      <c r="WMS4" s="2"/>
      <c r="WMT4" s="2"/>
      <c r="WMU4" s="2"/>
      <c r="WMV4" s="2"/>
      <c r="WMW4" s="2"/>
      <c r="WMX4" s="2"/>
      <c r="WMY4" s="2"/>
      <c r="WMZ4" s="2"/>
      <c r="WNA4" s="2"/>
      <c r="WNB4" s="2"/>
      <c r="WNC4" s="2"/>
      <c r="WND4" s="2"/>
      <c r="WNE4" s="2"/>
      <c r="WNF4" s="2"/>
      <c r="WNG4" s="2"/>
      <c r="WNH4" s="2"/>
      <c r="WNI4" s="2"/>
      <c r="WNJ4" s="2"/>
      <c r="WNK4" s="2"/>
      <c r="WNL4" s="2"/>
      <c r="WNM4" s="2"/>
      <c r="WNN4" s="2"/>
      <c r="WNO4" s="2"/>
      <c r="WNP4" s="2"/>
      <c r="WNQ4" s="2"/>
      <c r="WNR4" s="2"/>
      <c r="WNS4" s="2"/>
      <c r="WNT4" s="2"/>
      <c r="WNU4" s="2"/>
      <c r="WNV4" s="2"/>
      <c r="WNW4" s="2"/>
      <c r="WNX4" s="2"/>
      <c r="WNY4" s="2"/>
      <c r="WNZ4" s="2"/>
      <c r="WOA4" s="2"/>
      <c r="WOB4" s="2"/>
      <c r="WOC4" s="2"/>
      <c r="WOD4" s="2"/>
      <c r="WOE4" s="2"/>
      <c r="WOF4" s="2"/>
      <c r="WOG4" s="2"/>
      <c r="WOH4" s="2"/>
      <c r="WOI4" s="2"/>
      <c r="WOJ4" s="2"/>
      <c r="WOK4" s="2"/>
      <c r="WOL4" s="2"/>
      <c r="WOM4" s="2"/>
      <c r="WON4" s="2"/>
      <c r="WOO4" s="2"/>
      <c r="WOP4" s="2"/>
      <c r="WOQ4" s="2"/>
      <c r="WOR4" s="2"/>
      <c r="WOS4" s="2"/>
      <c r="WOT4" s="2"/>
      <c r="WOU4" s="2"/>
      <c r="WOV4" s="2"/>
      <c r="WOW4" s="2"/>
      <c r="WOX4" s="2"/>
      <c r="WOY4" s="2"/>
      <c r="WOZ4" s="2"/>
      <c r="WPA4" s="2"/>
      <c r="WPB4" s="2"/>
      <c r="WPC4" s="2"/>
      <c r="WPD4" s="2"/>
      <c r="WPE4" s="2"/>
      <c r="WPF4" s="2"/>
      <c r="WPG4" s="2"/>
      <c r="WPH4" s="2"/>
      <c r="WPI4" s="2"/>
      <c r="WPJ4" s="2"/>
      <c r="WPK4" s="2"/>
      <c r="WPL4" s="2"/>
      <c r="WPM4" s="2"/>
      <c r="WPN4" s="2"/>
      <c r="WPO4" s="2"/>
      <c r="WPP4" s="2"/>
      <c r="WPQ4" s="2"/>
      <c r="WPR4" s="2"/>
      <c r="WPS4" s="2"/>
      <c r="WPT4" s="2"/>
      <c r="WPU4" s="2"/>
      <c r="WPV4" s="2"/>
      <c r="WPW4" s="2"/>
      <c r="WPX4" s="2"/>
      <c r="WPY4" s="2"/>
      <c r="WPZ4" s="2"/>
      <c r="WQA4" s="2"/>
      <c r="WQB4" s="2"/>
      <c r="WQC4" s="2"/>
      <c r="WQD4" s="2"/>
      <c r="WQE4" s="2"/>
      <c r="WQF4" s="2"/>
      <c r="WQG4" s="2"/>
      <c r="WQH4" s="2"/>
      <c r="WQI4" s="2"/>
      <c r="WQJ4" s="2"/>
      <c r="WQK4" s="2"/>
      <c r="WQL4" s="2"/>
      <c r="WQM4" s="2"/>
      <c r="WQN4" s="2"/>
      <c r="WQO4" s="2"/>
      <c r="WQP4" s="2"/>
      <c r="WQQ4" s="2"/>
      <c r="WQR4" s="2"/>
      <c r="WQS4" s="2"/>
      <c r="WQT4" s="2"/>
      <c r="WQU4" s="2"/>
      <c r="WQV4" s="2"/>
      <c r="WQW4" s="2"/>
      <c r="WQX4" s="2"/>
      <c r="WQY4" s="2"/>
      <c r="WQZ4" s="2"/>
      <c r="WRA4" s="2"/>
      <c r="WRB4" s="2"/>
      <c r="WRC4" s="2"/>
      <c r="WRD4" s="2"/>
      <c r="WRE4" s="2"/>
      <c r="WRF4" s="2"/>
      <c r="WRG4" s="2"/>
      <c r="WRH4" s="2"/>
      <c r="WRI4" s="2"/>
      <c r="WRJ4" s="2"/>
      <c r="WRK4" s="2"/>
      <c r="WRL4" s="2"/>
      <c r="WRM4" s="2"/>
      <c r="WRN4" s="2"/>
      <c r="WRO4" s="2"/>
      <c r="WRP4" s="2"/>
      <c r="WRQ4" s="2"/>
      <c r="WRR4" s="2"/>
      <c r="WRS4" s="2"/>
      <c r="WRT4" s="2"/>
      <c r="WRU4" s="2"/>
      <c r="WRV4" s="2"/>
      <c r="WRW4" s="2"/>
      <c r="WRX4" s="2"/>
      <c r="WRY4" s="2"/>
      <c r="WRZ4" s="2"/>
      <c r="WSA4" s="2"/>
      <c r="WSB4" s="2"/>
      <c r="WSC4" s="2"/>
      <c r="WSD4" s="2"/>
      <c r="WSE4" s="2"/>
      <c r="WSF4" s="2"/>
      <c r="WSG4" s="2"/>
      <c r="WSH4" s="2"/>
      <c r="WSI4" s="2"/>
      <c r="WSJ4" s="2"/>
      <c r="WSK4" s="2"/>
      <c r="WSL4" s="2"/>
      <c r="WSM4" s="2"/>
      <c r="WSN4" s="2"/>
      <c r="WSO4" s="2"/>
      <c r="WSP4" s="2"/>
      <c r="WSQ4" s="2"/>
      <c r="WSR4" s="2"/>
      <c r="WSS4" s="2"/>
      <c r="WST4" s="2"/>
      <c r="WSU4" s="2"/>
      <c r="WSV4" s="2"/>
      <c r="WSW4" s="2"/>
      <c r="WSX4" s="2"/>
      <c r="WSY4" s="2"/>
      <c r="WSZ4" s="2"/>
      <c r="WTA4" s="2"/>
      <c r="WTB4" s="2"/>
      <c r="WTC4" s="2"/>
      <c r="WTD4" s="2"/>
      <c r="WTE4" s="2"/>
      <c r="WTF4" s="2"/>
      <c r="WTG4" s="2"/>
      <c r="WTH4" s="2"/>
      <c r="WTI4" s="2"/>
      <c r="WTJ4" s="2"/>
      <c r="WTK4" s="2"/>
      <c r="WTL4" s="2"/>
      <c r="WTM4" s="2"/>
      <c r="WTN4" s="2"/>
      <c r="WTO4" s="2"/>
      <c r="WTP4" s="2"/>
      <c r="WTQ4" s="2"/>
      <c r="WTR4" s="2"/>
      <c r="WTS4" s="2"/>
      <c r="WTT4" s="2"/>
      <c r="WTU4" s="2"/>
      <c r="WTV4" s="2"/>
      <c r="WTW4" s="2"/>
      <c r="WTX4" s="2"/>
      <c r="WTY4" s="2"/>
      <c r="WTZ4" s="2"/>
      <c r="WUA4" s="2"/>
      <c r="WUB4" s="2"/>
      <c r="WUC4" s="2"/>
      <c r="WUD4" s="2"/>
      <c r="WUE4" s="2"/>
      <c r="WUF4" s="2"/>
      <c r="WUG4" s="2"/>
      <c r="WUH4" s="2"/>
      <c r="WUI4" s="2"/>
      <c r="WUJ4" s="2"/>
      <c r="WUK4" s="2"/>
      <c r="WUL4" s="2"/>
      <c r="WUM4" s="2"/>
      <c r="WUN4" s="2"/>
      <c r="WUO4" s="2"/>
      <c r="WUP4" s="2"/>
      <c r="WUQ4" s="2"/>
      <c r="WUR4" s="2"/>
      <c r="WUS4" s="2"/>
      <c r="WUT4" s="2"/>
      <c r="WUU4" s="2"/>
      <c r="WUV4" s="2"/>
      <c r="WUW4" s="2"/>
      <c r="WUX4" s="2"/>
      <c r="WUY4" s="2"/>
      <c r="WUZ4" s="2"/>
      <c r="WVA4" s="2"/>
      <c r="WVB4" s="2"/>
      <c r="WVC4" s="2"/>
      <c r="WVD4" s="2"/>
      <c r="WVE4" s="2"/>
      <c r="WVF4" s="2"/>
      <c r="WVG4" s="2"/>
      <c r="WVH4" s="2"/>
      <c r="WVI4" s="2"/>
      <c r="WVJ4" s="2"/>
      <c r="WVK4" s="2"/>
      <c r="WVL4" s="2"/>
      <c r="WVM4" s="2"/>
      <c r="WVN4" s="2"/>
      <c r="WVO4" s="2"/>
      <c r="WVP4" s="2"/>
      <c r="WVQ4" s="2"/>
      <c r="WVR4" s="2"/>
      <c r="WVS4" s="2"/>
      <c r="WVT4" s="2"/>
      <c r="WVU4" s="2"/>
      <c r="WVV4" s="2"/>
      <c r="WVW4" s="2"/>
      <c r="WVX4" s="2"/>
      <c r="WVY4" s="2"/>
      <c r="WVZ4" s="2"/>
      <c r="WWA4" s="2"/>
      <c r="WWB4" s="2"/>
      <c r="WWC4" s="2"/>
      <c r="WWD4" s="2"/>
      <c r="WWE4" s="2"/>
      <c r="WWF4" s="2"/>
      <c r="WWG4" s="2"/>
      <c r="WWH4" s="2"/>
      <c r="WWI4" s="2"/>
      <c r="WWJ4" s="2"/>
      <c r="WWK4" s="2"/>
      <c r="WWL4" s="2"/>
      <c r="WWM4" s="2"/>
      <c r="WWN4" s="2"/>
      <c r="WWO4" s="2"/>
      <c r="WWP4" s="2"/>
      <c r="WWQ4" s="2"/>
      <c r="WWR4" s="2"/>
      <c r="WWS4" s="2"/>
      <c r="WWT4" s="2"/>
      <c r="WWU4" s="2"/>
      <c r="WWV4" s="2"/>
      <c r="WWW4" s="2"/>
      <c r="WWX4" s="2"/>
      <c r="WWY4" s="2"/>
      <c r="WWZ4" s="2"/>
      <c r="WXA4" s="2"/>
      <c r="WXB4" s="2"/>
      <c r="WXC4" s="2"/>
      <c r="WXD4" s="2"/>
      <c r="WXE4" s="2"/>
      <c r="WXF4" s="2"/>
      <c r="WXG4" s="2"/>
      <c r="WXH4" s="2"/>
      <c r="WXI4" s="2"/>
      <c r="WXJ4" s="2"/>
      <c r="WXK4" s="2"/>
      <c r="WXL4" s="2"/>
      <c r="WXM4" s="2"/>
      <c r="WXN4" s="2"/>
      <c r="WXO4" s="2"/>
      <c r="WXP4" s="2"/>
      <c r="WXQ4" s="2"/>
      <c r="WXR4" s="2"/>
      <c r="WXS4" s="2"/>
      <c r="WXT4" s="2"/>
      <c r="WXU4" s="2"/>
      <c r="WXV4" s="2"/>
      <c r="WXW4" s="2"/>
      <c r="WXX4" s="2"/>
      <c r="WXY4" s="2"/>
      <c r="WXZ4" s="2"/>
      <c r="WYA4" s="2"/>
      <c r="WYB4" s="2"/>
      <c r="WYC4" s="2"/>
      <c r="WYD4" s="2"/>
      <c r="WYE4" s="2"/>
      <c r="WYF4" s="2"/>
      <c r="WYG4" s="2"/>
      <c r="WYH4" s="2"/>
      <c r="WYI4" s="2"/>
      <c r="WYJ4" s="2"/>
      <c r="WYK4" s="2"/>
      <c r="WYL4" s="2"/>
      <c r="WYM4" s="2"/>
      <c r="WYN4" s="2"/>
      <c r="WYO4" s="2"/>
      <c r="WYP4" s="2"/>
      <c r="WYQ4" s="2"/>
      <c r="WYR4" s="2"/>
      <c r="WYS4" s="2"/>
      <c r="WYT4" s="2"/>
      <c r="WYU4" s="2"/>
      <c r="WYV4" s="2"/>
      <c r="WYW4" s="2"/>
      <c r="WYX4" s="2"/>
      <c r="WYY4" s="2"/>
      <c r="WYZ4" s="2"/>
      <c r="WZA4" s="2"/>
      <c r="WZB4" s="2"/>
      <c r="WZC4" s="2"/>
      <c r="WZD4" s="2"/>
      <c r="WZE4" s="2"/>
      <c r="WZF4" s="2"/>
      <c r="WZG4" s="2"/>
      <c r="WZH4" s="2"/>
      <c r="WZI4" s="2"/>
      <c r="WZJ4" s="2"/>
      <c r="WZK4" s="2"/>
      <c r="WZL4" s="2"/>
      <c r="WZM4" s="2"/>
      <c r="WZN4" s="2"/>
      <c r="WZO4" s="2"/>
      <c r="WZP4" s="2"/>
      <c r="WZQ4" s="2"/>
      <c r="WZR4" s="2"/>
      <c r="WZS4" s="2"/>
      <c r="WZT4" s="2"/>
      <c r="WZU4" s="2"/>
      <c r="WZV4" s="2"/>
      <c r="WZW4" s="2"/>
      <c r="WZX4" s="2"/>
      <c r="WZY4" s="2"/>
      <c r="WZZ4" s="2"/>
      <c r="XAA4" s="2"/>
      <c r="XAB4" s="2"/>
      <c r="XAC4" s="2"/>
      <c r="XAD4" s="2"/>
      <c r="XAE4" s="2"/>
      <c r="XAF4" s="2"/>
      <c r="XAG4" s="2"/>
      <c r="XAH4" s="2"/>
      <c r="XAI4" s="2"/>
      <c r="XAJ4" s="2"/>
      <c r="XAK4" s="2"/>
      <c r="XAL4" s="2"/>
      <c r="XAM4" s="2"/>
      <c r="XAN4" s="2"/>
      <c r="XAO4" s="2"/>
      <c r="XAP4" s="2"/>
      <c r="XAQ4" s="2"/>
      <c r="XAR4" s="2"/>
      <c r="XAS4" s="2"/>
      <c r="XAT4" s="2"/>
      <c r="XAU4" s="2"/>
      <c r="XAV4" s="2"/>
      <c r="XAW4" s="2"/>
      <c r="XAX4" s="2"/>
      <c r="XAY4" s="2"/>
      <c r="XAZ4" s="2"/>
      <c r="XBA4" s="2"/>
      <c r="XBB4" s="2"/>
      <c r="XBC4" s="2"/>
      <c r="XBD4" s="2"/>
      <c r="XBE4" s="2"/>
      <c r="XBF4" s="2"/>
      <c r="XBG4" s="2"/>
      <c r="XBH4" s="2"/>
      <c r="XBI4" s="2"/>
      <c r="XBJ4" s="2"/>
      <c r="XBK4" s="2"/>
      <c r="XBL4" s="2"/>
      <c r="XBM4" s="2"/>
      <c r="XBN4" s="2"/>
      <c r="XBO4" s="2"/>
      <c r="XBP4" s="2"/>
      <c r="XBQ4" s="2"/>
      <c r="XBR4" s="2"/>
      <c r="XBS4" s="2"/>
      <c r="XBT4" s="2"/>
      <c r="XBU4" s="2"/>
      <c r="XBV4" s="2"/>
      <c r="XBW4" s="2"/>
      <c r="XBX4" s="2"/>
      <c r="XBY4" s="2"/>
      <c r="XBZ4" s="2"/>
      <c r="XCA4" s="2"/>
      <c r="XCB4" s="2"/>
      <c r="XCC4" s="2"/>
      <c r="XCD4" s="2"/>
      <c r="XCE4" s="2"/>
      <c r="XCF4" s="2"/>
      <c r="XCG4" s="2"/>
      <c r="XCH4" s="2"/>
      <c r="XCI4" s="2"/>
      <c r="XCJ4" s="2"/>
      <c r="XCK4" s="2"/>
      <c r="XCL4" s="2"/>
      <c r="XCM4" s="2"/>
      <c r="XCN4" s="2"/>
      <c r="XCO4" s="2"/>
      <c r="XCP4" s="2"/>
      <c r="XCQ4" s="2"/>
      <c r="XCR4" s="2"/>
      <c r="XCS4" s="2"/>
      <c r="XCT4" s="2"/>
      <c r="XCU4" s="2"/>
      <c r="XCV4" s="2"/>
      <c r="XCW4" s="2"/>
      <c r="XCX4" s="2"/>
      <c r="XCY4" s="2"/>
      <c r="XCZ4" s="2"/>
      <c r="XDA4" s="2"/>
    </row>
    <row r="5" spans="1:16329" x14ac:dyDescent="0.2">
      <c r="A5" s="35">
        <v>44083</v>
      </c>
      <c r="B5" s="123">
        <v>6506</v>
      </c>
      <c r="C5" s="149"/>
      <c r="D5" s="28">
        <v>2795376</v>
      </c>
      <c r="E5" s="29"/>
      <c r="F5" s="32">
        <v>6377</v>
      </c>
      <c r="G5" s="18"/>
      <c r="H5" s="28">
        <v>29660802</v>
      </c>
      <c r="I5" s="29"/>
      <c r="J5" s="32">
        <v>5670</v>
      </c>
      <c r="K5" s="19"/>
      <c r="L5" s="28">
        <v>2460981</v>
      </c>
      <c r="M5" s="29"/>
      <c r="N5" s="32">
        <v>6260</v>
      </c>
      <c r="O5" s="18">
        <v>0</v>
      </c>
      <c r="P5" s="28">
        <v>759805</v>
      </c>
      <c r="Q5" s="29"/>
      <c r="R5" s="32">
        <v>5600</v>
      </c>
      <c r="S5" s="19"/>
      <c r="T5" s="28">
        <v>1158284</v>
      </c>
      <c r="U5" s="29"/>
      <c r="V5" s="32">
        <v>6620</v>
      </c>
      <c r="W5" s="18"/>
      <c r="X5" s="28">
        <v>372392</v>
      </c>
      <c r="Y5" s="29"/>
      <c r="Z5" s="32">
        <v>6380</v>
      </c>
      <c r="AA5" s="18"/>
      <c r="AB5" s="28">
        <v>9529717</v>
      </c>
      <c r="AC5" s="29"/>
      <c r="AD5" s="32">
        <v>5665</v>
      </c>
      <c r="AE5" s="18"/>
      <c r="AF5" s="28">
        <v>2924218</v>
      </c>
      <c r="AG5" s="29"/>
      <c r="AH5" s="32">
        <v>6271</v>
      </c>
      <c r="AI5" s="18"/>
      <c r="AJ5" s="28">
        <v>60191</v>
      </c>
      <c r="AK5" s="29"/>
      <c r="AL5" s="32">
        <v>5585</v>
      </c>
      <c r="AM5" s="18"/>
      <c r="AN5" s="28">
        <v>64238</v>
      </c>
      <c r="AO5" s="29"/>
      <c r="AP5" s="32">
        <v>5500</v>
      </c>
      <c r="AQ5" s="18"/>
      <c r="AR5" s="28">
        <v>511</v>
      </c>
      <c r="AS5" s="29"/>
    </row>
    <row r="6" spans="1:16329" x14ac:dyDescent="0.2">
      <c r="A6" s="35">
        <v>44084</v>
      </c>
      <c r="B6" s="123">
        <v>6559.5</v>
      </c>
      <c r="C6" s="149"/>
      <c r="D6" s="28">
        <v>602990</v>
      </c>
      <c r="E6" s="29"/>
      <c r="F6" s="32">
        <v>6415</v>
      </c>
      <c r="G6" s="18"/>
      <c r="H6" s="28">
        <v>31655656</v>
      </c>
      <c r="I6" s="29"/>
      <c r="J6" s="32">
        <v>5639</v>
      </c>
      <c r="K6" s="19"/>
      <c r="L6" s="28">
        <v>4142565</v>
      </c>
      <c r="M6" s="29"/>
      <c r="N6" s="32">
        <v>6270</v>
      </c>
      <c r="O6" s="18">
        <v>0</v>
      </c>
      <c r="P6" s="28">
        <v>494327</v>
      </c>
      <c r="Q6" s="29"/>
      <c r="R6" s="32">
        <v>5571</v>
      </c>
      <c r="S6" s="19"/>
      <c r="T6" s="28">
        <v>362108</v>
      </c>
      <c r="U6" s="29"/>
      <c r="V6" s="32">
        <v>6668.5</v>
      </c>
      <c r="W6" s="18"/>
      <c r="X6" s="28">
        <v>75356</v>
      </c>
      <c r="Y6" s="29"/>
      <c r="Z6" s="32">
        <v>6420</v>
      </c>
      <c r="AA6" s="18"/>
      <c r="AB6" s="28">
        <v>6560171</v>
      </c>
      <c r="AC6" s="29"/>
      <c r="AD6" s="32">
        <v>5634</v>
      </c>
      <c r="AE6" s="18"/>
      <c r="AF6" s="28">
        <v>9081622</v>
      </c>
      <c r="AG6" s="29"/>
      <c r="AH6" s="32">
        <v>6420</v>
      </c>
      <c r="AI6" s="18"/>
      <c r="AJ6" s="28">
        <v>146152</v>
      </c>
      <c r="AK6" s="29"/>
      <c r="AL6" s="32">
        <v>5605</v>
      </c>
      <c r="AM6" s="18"/>
      <c r="AN6" s="28">
        <v>86232</v>
      </c>
      <c r="AO6" s="29"/>
      <c r="AP6" s="32">
        <v>5600</v>
      </c>
      <c r="AQ6" s="18"/>
      <c r="AR6" s="28">
        <v>70552</v>
      </c>
      <c r="AS6" s="29"/>
    </row>
    <row r="7" spans="1:16329" x14ac:dyDescent="0.2">
      <c r="A7" s="35">
        <v>44085</v>
      </c>
      <c r="B7" s="123">
        <v>6493</v>
      </c>
      <c r="C7" s="149"/>
      <c r="D7" s="28">
        <v>1388009</v>
      </c>
      <c r="E7" s="29"/>
      <c r="F7" s="32">
        <v>6401</v>
      </c>
      <c r="G7" s="18"/>
      <c r="H7" s="28">
        <v>36047588</v>
      </c>
      <c r="I7" s="29"/>
      <c r="J7" s="32">
        <v>5570</v>
      </c>
      <c r="K7" s="19"/>
      <c r="L7" s="28">
        <v>822237</v>
      </c>
      <c r="M7" s="29"/>
      <c r="N7" s="32">
        <v>6190</v>
      </c>
      <c r="O7" s="18">
        <v>0</v>
      </c>
      <c r="P7" s="28">
        <v>985682</v>
      </c>
      <c r="Q7" s="29"/>
      <c r="R7" s="32">
        <v>5510</v>
      </c>
      <c r="S7" s="19"/>
      <c r="T7" s="28">
        <v>661775</v>
      </c>
      <c r="U7" s="29"/>
      <c r="V7" s="32">
        <v>6700</v>
      </c>
      <c r="W7" s="18"/>
      <c r="X7" s="28">
        <v>120730</v>
      </c>
      <c r="Y7" s="29"/>
      <c r="Z7" s="32">
        <v>6430</v>
      </c>
      <c r="AA7" s="18"/>
      <c r="AB7" s="28">
        <v>3229911</v>
      </c>
      <c r="AC7" s="29"/>
      <c r="AD7" s="32">
        <v>5590</v>
      </c>
      <c r="AE7" s="18"/>
      <c r="AF7" s="28">
        <v>1628650</v>
      </c>
      <c r="AG7" s="29"/>
      <c r="AH7" s="32">
        <v>6385</v>
      </c>
      <c r="AI7" s="18"/>
      <c r="AJ7" s="28">
        <v>33828</v>
      </c>
      <c r="AK7" s="29"/>
      <c r="AL7" s="32">
        <v>5610</v>
      </c>
      <c r="AM7" s="18"/>
      <c r="AN7" s="28">
        <v>493669</v>
      </c>
      <c r="AO7" s="29"/>
      <c r="AP7" s="32">
        <v>5574</v>
      </c>
      <c r="AQ7" s="18"/>
      <c r="AR7" s="28">
        <v>40801</v>
      </c>
      <c r="AS7" s="29"/>
    </row>
    <row r="8" spans="1:16329" x14ac:dyDescent="0.2">
      <c r="A8" s="35">
        <v>44088</v>
      </c>
      <c r="B8" s="123">
        <v>6430</v>
      </c>
      <c r="C8" s="149">
        <v>51.8</v>
      </c>
      <c r="D8" s="28">
        <v>3102251</v>
      </c>
      <c r="E8" s="29">
        <v>2531519</v>
      </c>
      <c r="F8" s="32">
        <v>6391</v>
      </c>
      <c r="G8" s="18">
        <v>51.87</v>
      </c>
      <c r="H8" s="28">
        <v>43373692</v>
      </c>
      <c r="I8" s="29">
        <v>15364395</v>
      </c>
      <c r="J8" s="32">
        <v>5520</v>
      </c>
      <c r="K8" s="19">
        <v>44.54</v>
      </c>
      <c r="L8" s="28">
        <v>1107962</v>
      </c>
      <c r="M8" s="29">
        <v>210559</v>
      </c>
      <c r="N8" s="32">
        <v>6124.5</v>
      </c>
      <c r="O8" s="18">
        <v>49.2</v>
      </c>
      <c r="P8" s="28">
        <v>1176755</v>
      </c>
      <c r="Q8" s="29">
        <v>811772</v>
      </c>
      <c r="R8" s="32">
        <v>5430</v>
      </c>
      <c r="S8" s="18">
        <v>43.99</v>
      </c>
      <c r="T8" s="28">
        <v>384442</v>
      </c>
      <c r="U8" s="29">
        <v>99087</v>
      </c>
      <c r="V8" s="32">
        <v>6755</v>
      </c>
      <c r="W8" s="18"/>
      <c r="X8" s="28">
        <v>1629846</v>
      </c>
      <c r="Y8" s="29"/>
      <c r="Z8" s="32">
        <v>6380</v>
      </c>
      <c r="AA8" s="18"/>
      <c r="AB8" s="28">
        <v>8180197</v>
      </c>
      <c r="AC8" s="29"/>
      <c r="AD8" s="32">
        <v>5565</v>
      </c>
      <c r="AE8" s="18"/>
      <c r="AF8" s="28">
        <v>2266936</v>
      </c>
      <c r="AG8" s="29"/>
      <c r="AH8" s="32">
        <v>6490</v>
      </c>
      <c r="AI8" s="18"/>
      <c r="AJ8" s="28">
        <v>268781</v>
      </c>
      <c r="AK8" s="29"/>
      <c r="AL8" s="32">
        <v>5705</v>
      </c>
      <c r="AM8" s="18"/>
      <c r="AN8" s="28">
        <v>909944</v>
      </c>
      <c r="AO8" s="29"/>
      <c r="AP8" s="32">
        <v>5550</v>
      </c>
      <c r="AQ8" s="18"/>
      <c r="AR8" s="28">
        <v>63553</v>
      </c>
      <c r="AS8" s="29"/>
    </row>
    <row r="9" spans="1:16329" x14ac:dyDescent="0.2">
      <c r="A9" s="35">
        <v>44089</v>
      </c>
      <c r="B9" s="123">
        <v>6250</v>
      </c>
      <c r="C9" s="149">
        <v>51.4</v>
      </c>
      <c r="D9" s="28">
        <v>2311654</v>
      </c>
      <c r="E9" s="29">
        <v>953638</v>
      </c>
      <c r="F9" s="32">
        <v>6235</v>
      </c>
      <c r="G9" s="18">
        <v>51.08</v>
      </c>
      <c r="H9" s="28">
        <v>45305728</v>
      </c>
      <c r="I9" s="29">
        <v>9702506</v>
      </c>
      <c r="J9" s="32">
        <v>5429</v>
      </c>
      <c r="K9" s="18">
        <v>44.55</v>
      </c>
      <c r="L9" s="28">
        <v>1229516</v>
      </c>
      <c r="M9" s="29">
        <v>1388720</v>
      </c>
      <c r="N9" s="32">
        <v>5950</v>
      </c>
      <c r="O9" s="18">
        <v>48.35</v>
      </c>
      <c r="P9" s="28">
        <v>1630721</v>
      </c>
      <c r="Q9" s="29">
        <v>1698882</v>
      </c>
      <c r="R9" s="32">
        <v>5329.5</v>
      </c>
      <c r="S9" s="18">
        <v>43.1</v>
      </c>
      <c r="T9" s="28">
        <v>516798</v>
      </c>
      <c r="U9" s="29">
        <v>47647</v>
      </c>
      <c r="V9" s="32">
        <v>6601</v>
      </c>
      <c r="W9" s="18">
        <v>53.75</v>
      </c>
      <c r="X9" s="28">
        <v>300892</v>
      </c>
      <c r="Y9" s="29">
        <v>235555</v>
      </c>
      <c r="Z9" s="32">
        <v>6260</v>
      </c>
      <c r="AA9" s="18">
        <v>50</v>
      </c>
      <c r="AB9" s="28">
        <v>7716574</v>
      </c>
      <c r="AC9" s="29">
        <v>167334</v>
      </c>
      <c r="AD9" s="32">
        <v>5565</v>
      </c>
      <c r="AE9" s="18">
        <v>45</v>
      </c>
      <c r="AF9" s="28">
        <v>3318234</v>
      </c>
      <c r="AG9" s="29">
        <v>1435713</v>
      </c>
      <c r="AH9" s="32">
        <v>6389</v>
      </c>
      <c r="AI9" s="18">
        <v>50.6</v>
      </c>
      <c r="AJ9" s="28">
        <v>76382</v>
      </c>
      <c r="AK9" s="29">
        <v>19173</v>
      </c>
      <c r="AL9" s="32">
        <v>5699</v>
      </c>
      <c r="AM9" s="18">
        <v>45</v>
      </c>
      <c r="AN9" s="28">
        <v>284344</v>
      </c>
      <c r="AO9" s="29">
        <v>284775</v>
      </c>
      <c r="AP9" s="32">
        <v>5450</v>
      </c>
      <c r="AQ9" s="18"/>
      <c r="AR9" s="28">
        <v>107218</v>
      </c>
      <c r="AS9" s="29"/>
    </row>
    <row r="10" spans="1:16329" x14ac:dyDescent="0.2">
      <c r="A10" s="35">
        <v>44090</v>
      </c>
      <c r="B10" s="123">
        <v>6141</v>
      </c>
      <c r="C10" s="149">
        <v>48.85</v>
      </c>
      <c r="D10" s="28">
        <v>1051351</v>
      </c>
      <c r="E10" s="29">
        <v>4410780</v>
      </c>
      <c r="F10" s="32">
        <v>6120</v>
      </c>
      <c r="G10" s="18">
        <v>47.96</v>
      </c>
      <c r="H10" s="28">
        <v>22676280</v>
      </c>
      <c r="I10" s="29">
        <v>15496065</v>
      </c>
      <c r="J10" s="32">
        <v>5340</v>
      </c>
      <c r="K10" s="18">
        <v>41.9</v>
      </c>
      <c r="L10" s="28">
        <v>636736</v>
      </c>
      <c r="M10" s="29">
        <v>655094</v>
      </c>
      <c r="N10" s="32">
        <v>5810</v>
      </c>
      <c r="O10" s="18">
        <v>45.15</v>
      </c>
      <c r="P10" s="28">
        <v>473079</v>
      </c>
      <c r="Q10" s="29">
        <v>989133</v>
      </c>
      <c r="R10" s="32">
        <v>5218.5</v>
      </c>
      <c r="S10" s="18">
        <v>41</v>
      </c>
      <c r="T10" s="28">
        <v>57655</v>
      </c>
      <c r="U10" s="29">
        <v>125079</v>
      </c>
      <c r="V10" s="32">
        <v>6420</v>
      </c>
      <c r="W10" s="18">
        <v>51</v>
      </c>
      <c r="X10" s="28">
        <v>186924</v>
      </c>
      <c r="Y10" s="29">
        <v>22664</v>
      </c>
      <c r="Z10" s="32">
        <v>6120</v>
      </c>
      <c r="AA10" s="18">
        <v>48.1</v>
      </c>
      <c r="AB10" s="28">
        <v>2913535</v>
      </c>
      <c r="AC10" s="29">
        <v>53736</v>
      </c>
      <c r="AD10" s="32">
        <v>5500</v>
      </c>
      <c r="AE10" s="18">
        <v>42.99</v>
      </c>
      <c r="AF10" s="28">
        <v>1017353</v>
      </c>
      <c r="AG10" s="29">
        <v>530798</v>
      </c>
      <c r="AH10" s="32">
        <v>6200</v>
      </c>
      <c r="AI10" s="18">
        <v>48.5</v>
      </c>
      <c r="AJ10" s="28">
        <v>14043</v>
      </c>
      <c r="AK10" s="29">
        <v>30341</v>
      </c>
      <c r="AL10" s="32">
        <v>5510</v>
      </c>
      <c r="AM10" s="18">
        <v>42.75</v>
      </c>
      <c r="AN10" s="28">
        <v>81147</v>
      </c>
      <c r="AO10" s="29">
        <v>271185</v>
      </c>
      <c r="AP10" s="32">
        <v>5300</v>
      </c>
      <c r="AQ10" s="18">
        <v>41</v>
      </c>
      <c r="AR10" s="28">
        <v>54283</v>
      </c>
      <c r="AS10" s="29">
        <v>95974</v>
      </c>
    </row>
    <row r="11" spans="1:16329" x14ac:dyDescent="0.2">
      <c r="A11" s="35">
        <v>44091</v>
      </c>
      <c r="B11" s="123">
        <v>6060</v>
      </c>
      <c r="C11" s="149">
        <v>48.51</v>
      </c>
      <c r="D11" s="28">
        <v>1266595</v>
      </c>
      <c r="E11" s="29">
        <v>2251186</v>
      </c>
      <c r="F11" s="32">
        <v>5925</v>
      </c>
      <c r="G11" s="18">
        <v>46.9</v>
      </c>
      <c r="H11" s="28">
        <v>40474944</v>
      </c>
      <c r="I11" s="29">
        <v>12899745</v>
      </c>
      <c r="J11" s="32">
        <v>5201</v>
      </c>
      <c r="K11" s="18">
        <v>41.75</v>
      </c>
      <c r="L11" s="28">
        <v>1838266</v>
      </c>
      <c r="M11" s="29">
        <v>1668340</v>
      </c>
      <c r="N11" s="32">
        <v>5600</v>
      </c>
      <c r="O11" s="18">
        <v>44.25</v>
      </c>
      <c r="P11" s="28">
        <v>878602</v>
      </c>
      <c r="Q11" s="29">
        <v>1504068</v>
      </c>
      <c r="R11" s="32">
        <v>5030</v>
      </c>
      <c r="S11" s="18">
        <v>40</v>
      </c>
      <c r="T11" s="28">
        <v>105480</v>
      </c>
      <c r="U11" s="29">
        <v>222370</v>
      </c>
      <c r="V11" s="32">
        <v>6250</v>
      </c>
      <c r="W11" s="18">
        <v>48.01</v>
      </c>
      <c r="X11" s="28">
        <v>296859</v>
      </c>
      <c r="Y11" s="29">
        <v>88881</v>
      </c>
      <c r="Z11" s="32">
        <v>5940</v>
      </c>
      <c r="AA11" s="18">
        <v>46.25</v>
      </c>
      <c r="AB11" s="28">
        <v>2602480</v>
      </c>
      <c r="AC11" s="29">
        <v>1386322</v>
      </c>
      <c r="AD11" s="32">
        <v>5200</v>
      </c>
      <c r="AE11" s="18">
        <v>41.5</v>
      </c>
      <c r="AF11" s="28">
        <v>986844</v>
      </c>
      <c r="AG11" s="29">
        <v>1217661</v>
      </c>
      <c r="AH11" s="32">
        <v>5940</v>
      </c>
      <c r="AI11" s="18">
        <v>48</v>
      </c>
      <c r="AJ11" s="28">
        <v>27931</v>
      </c>
      <c r="AK11" s="29">
        <v>100</v>
      </c>
      <c r="AL11" s="32">
        <v>5300</v>
      </c>
      <c r="AM11" s="18">
        <v>40.6</v>
      </c>
      <c r="AN11" s="28">
        <v>53348</v>
      </c>
      <c r="AO11" s="29">
        <v>162750</v>
      </c>
      <c r="AP11" s="32">
        <v>5140</v>
      </c>
      <c r="AQ11" s="18">
        <v>40.299999999999997</v>
      </c>
      <c r="AR11" s="28">
        <v>110548</v>
      </c>
      <c r="AS11" s="29">
        <v>10850</v>
      </c>
    </row>
    <row r="12" spans="1:16329" x14ac:dyDescent="0.2">
      <c r="A12" s="35">
        <v>44092</v>
      </c>
      <c r="B12" s="123">
        <v>6210</v>
      </c>
      <c r="C12" s="149">
        <v>48.35</v>
      </c>
      <c r="D12" s="28">
        <v>1020678</v>
      </c>
      <c r="E12" s="29">
        <v>3322836</v>
      </c>
      <c r="F12" s="32">
        <v>6110</v>
      </c>
      <c r="G12" s="18">
        <v>47.1</v>
      </c>
      <c r="H12" s="28">
        <v>29795600</v>
      </c>
      <c r="I12" s="29">
        <v>14962801</v>
      </c>
      <c r="J12" s="32">
        <v>5340</v>
      </c>
      <c r="K12" s="18">
        <v>41.6</v>
      </c>
      <c r="L12" s="28">
        <v>2704714</v>
      </c>
      <c r="M12" s="29">
        <v>504305</v>
      </c>
      <c r="N12" s="32">
        <v>5745</v>
      </c>
      <c r="O12" s="18">
        <v>44.25</v>
      </c>
      <c r="P12" s="28">
        <v>821910</v>
      </c>
      <c r="Q12" s="29">
        <v>642017</v>
      </c>
      <c r="R12" s="32">
        <v>5110</v>
      </c>
      <c r="S12" s="18">
        <v>40</v>
      </c>
      <c r="T12" s="28">
        <v>167004</v>
      </c>
      <c r="U12" s="29">
        <v>441521</v>
      </c>
      <c r="V12" s="32">
        <v>6375</v>
      </c>
      <c r="W12" s="18">
        <v>48.45</v>
      </c>
      <c r="X12" s="28">
        <v>384000</v>
      </c>
      <c r="Y12" s="29">
        <v>60602</v>
      </c>
      <c r="Z12" s="32">
        <v>6149</v>
      </c>
      <c r="AA12" s="18">
        <v>46.89</v>
      </c>
      <c r="AB12" s="28">
        <v>1482457</v>
      </c>
      <c r="AC12" s="29">
        <v>1264142</v>
      </c>
      <c r="AD12" s="32">
        <v>5390</v>
      </c>
      <c r="AE12" s="18">
        <v>41</v>
      </c>
      <c r="AF12" s="28">
        <v>1031999</v>
      </c>
      <c r="AG12" s="29">
        <v>693956</v>
      </c>
      <c r="AH12" s="32">
        <v>6100</v>
      </c>
      <c r="AI12" s="18">
        <v>47.1</v>
      </c>
      <c r="AJ12" s="28">
        <v>398514</v>
      </c>
      <c r="AK12" s="29">
        <v>174195</v>
      </c>
      <c r="AL12" s="32">
        <v>5350</v>
      </c>
      <c r="AM12" s="18">
        <v>40.6</v>
      </c>
      <c r="AN12" s="28">
        <v>183921</v>
      </c>
      <c r="AO12" s="29">
        <v>147088</v>
      </c>
      <c r="AP12" s="32">
        <v>5250</v>
      </c>
      <c r="AQ12" s="18">
        <v>40.799999999999997</v>
      </c>
      <c r="AR12" s="28">
        <v>63251</v>
      </c>
      <c r="AS12" s="29">
        <v>14700</v>
      </c>
    </row>
    <row r="13" spans="1:16329" x14ac:dyDescent="0.2">
      <c r="A13" s="35">
        <v>44095</v>
      </c>
      <c r="B13" s="123">
        <v>6230</v>
      </c>
      <c r="C13" s="149">
        <v>47.4</v>
      </c>
      <c r="D13" s="28">
        <v>589972</v>
      </c>
      <c r="E13" s="29">
        <v>660227</v>
      </c>
      <c r="F13" s="32">
        <v>6041</v>
      </c>
      <c r="G13" s="18">
        <v>46.12</v>
      </c>
      <c r="H13" s="28">
        <v>26353152</v>
      </c>
      <c r="I13" s="29">
        <v>18581780</v>
      </c>
      <c r="J13" s="32">
        <v>5315</v>
      </c>
      <c r="K13" s="18">
        <v>40.24</v>
      </c>
      <c r="L13" s="28">
        <v>478203</v>
      </c>
      <c r="M13" s="29">
        <v>277639</v>
      </c>
      <c r="N13" s="32">
        <v>5800</v>
      </c>
      <c r="O13" s="18">
        <v>43.35</v>
      </c>
      <c r="P13" s="28">
        <v>714178</v>
      </c>
      <c r="Q13" s="29">
        <v>1449133</v>
      </c>
      <c r="R13" s="32">
        <v>5088</v>
      </c>
      <c r="S13" s="18">
        <v>38.6</v>
      </c>
      <c r="T13" s="28">
        <v>188167</v>
      </c>
      <c r="U13" s="29">
        <v>90822</v>
      </c>
      <c r="V13" s="32">
        <v>6310</v>
      </c>
      <c r="W13" s="18">
        <v>47</v>
      </c>
      <c r="X13" s="28">
        <v>184331</v>
      </c>
      <c r="Y13" s="29">
        <v>43038</v>
      </c>
      <c r="Z13" s="32">
        <v>6075</v>
      </c>
      <c r="AA13" s="18">
        <v>45.75</v>
      </c>
      <c r="AB13" s="28">
        <v>3142872</v>
      </c>
      <c r="AC13" s="29">
        <v>544923</v>
      </c>
      <c r="AD13" s="32">
        <v>5350</v>
      </c>
      <c r="AE13" s="18">
        <v>40.49</v>
      </c>
      <c r="AF13" s="28">
        <v>702625</v>
      </c>
      <c r="AG13" s="29">
        <v>602298</v>
      </c>
      <c r="AH13" s="32">
        <v>6150</v>
      </c>
      <c r="AI13" s="18">
        <v>45.91</v>
      </c>
      <c r="AJ13" s="28">
        <v>30773</v>
      </c>
      <c r="AK13" s="29">
        <v>6383</v>
      </c>
      <c r="AL13" s="32">
        <v>5200</v>
      </c>
      <c r="AM13" s="18">
        <v>39</v>
      </c>
      <c r="AN13" s="28">
        <v>32781</v>
      </c>
      <c r="AO13" s="29">
        <v>171298</v>
      </c>
      <c r="AP13" s="32">
        <v>5200</v>
      </c>
      <c r="AQ13" s="18">
        <v>39</v>
      </c>
      <c r="AR13" s="28">
        <v>53541</v>
      </c>
      <c r="AS13" s="29">
        <v>58663</v>
      </c>
    </row>
    <row r="14" spans="1:16329" x14ac:dyDescent="0.2">
      <c r="A14" s="35">
        <v>44096</v>
      </c>
      <c r="B14" s="123">
        <v>6260</v>
      </c>
      <c r="C14" s="149">
        <v>46.5</v>
      </c>
      <c r="D14" s="28">
        <v>1445327</v>
      </c>
      <c r="E14" s="29">
        <v>753978</v>
      </c>
      <c r="F14" s="32">
        <v>6100</v>
      </c>
      <c r="G14" s="18">
        <v>45.39</v>
      </c>
      <c r="H14" s="28">
        <v>33424176</v>
      </c>
      <c r="I14" s="29">
        <v>19570260</v>
      </c>
      <c r="J14" s="32">
        <v>5300</v>
      </c>
      <c r="K14" s="18">
        <v>38.5</v>
      </c>
      <c r="L14" s="28">
        <v>1151537</v>
      </c>
      <c r="M14" s="29">
        <v>1562885</v>
      </c>
      <c r="N14" s="32">
        <v>5775</v>
      </c>
      <c r="O14" s="18">
        <v>42.65</v>
      </c>
      <c r="P14" s="28">
        <v>933151</v>
      </c>
      <c r="Q14" s="29">
        <v>1390400</v>
      </c>
      <c r="R14" s="32">
        <v>5080</v>
      </c>
      <c r="S14" s="18">
        <v>37.75</v>
      </c>
      <c r="T14" s="28">
        <v>474101</v>
      </c>
      <c r="U14" s="29">
        <v>160916</v>
      </c>
      <c r="V14" s="32">
        <v>6360</v>
      </c>
      <c r="W14" s="18">
        <v>47</v>
      </c>
      <c r="X14" s="28">
        <v>73552</v>
      </c>
      <c r="Y14" s="29">
        <v>51735</v>
      </c>
      <c r="Z14" s="32">
        <v>6100</v>
      </c>
      <c r="AA14" s="18">
        <v>45.33</v>
      </c>
      <c r="AB14" s="28">
        <v>7065450</v>
      </c>
      <c r="AC14" s="29">
        <v>947290</v>
      </c>
      <c r="AD14" s="32">
        <v>5425</v>
      </c>
      <c r="AE14" s="18">
        <v>39.299999999999997</v>
      </c>
      <c r="AF14" s="28">
        <v>1472920</v>
      </c>
      <c r="AG14" s="29">
        <v>632187</v>
      </c>
      <c r="AH14" s="32">
        <v>6280</v>
      </c>
      <c r="AI14" s="18">
        <v>46.9</v>
      </c>
      <c r="AJ14" s="28">
        <v>80324</v>
      </c>
      <c r="AK14" s="29">
        <v>34228</v>
      </c>
      <c r="AL14" s="32">
        <v>5333</v>
      </c>
      <c r="AM14" s="18">
        <v>39.1</v>
      </c>
      <c r="AN14" s="28">
        <v>423708</v>
      </c>
      <c r="AO14" s="29">
        <v>48312</v>
      </c>
      <c r="AP14" s="32">
        <v>5320</v>
      </c>
      <c r="AQ14" s="18">
        <v>40.6</v>
      </c>
      <c r="AR14" s="28">
        <v>76310</v>
      </c>
      <c r="AS14" s="29">
        <v>60405</v>
      </c>
    </row>
    <row r="15" spans="1:16329" x14ac:dyDescent="0.2">
      <c r="A15" s="35">
        <v>44097</v>
      </c>
      <c r="B15" s="123">
        <v>6412</v>
      </c>
      <c r="C15" s="149">
        <v>47.6</v>
      </c>
      <c r="D15" s="28">
        <v>1654127</v>
      </c>
      <c r="E15" s="29">
        <v>942747</v>
      </c>
      <c r="F15" s="32">
        <v>6270</v>
      </c>
      <c r="G15" s="18">
        <v>46.55</v>
      </c>
      <c r="H15" s="28">
        <v>43523344</v>
      </c>
      <c r="I15" s="29">
        <v>27391918</v>
      </c>
      <c r="J15" s="32">
        <v>5401</v>
      </c>
      <c r="K15" s="18">
        <v>39.75</v>
      </c>
      <c r="L15" s="28">
        <v>1502112</v>
      </c>
      <c r="M15" s="29">
        <v>2693664</v>
      </c>
      <c r="N15" s="32">
        <v>5874</v>
      </c>
      <c r="O15" s="18">
        <v>43</v>
      </c>
      <c r="P15" s="28">
        <v>1639517</v>
      </c>
      <c r="Q15" s="29">
        <v>6374115</v>
      </c>
      <c r="R15" s="32">
        <v>5300</v>
      </c>
      <c r="S15" s="18">
        <v>38.549999999999997</v>
      </c>
      <c r="T15" s="28">
        <v>698915</v>
      </c>
      <c r="U15" s="29">
        <v>354064</v>
      </c>
      <c r="V15" s="32">
        <v>6550</v>
      </c>
      <c r="W15" s="18">
        <v>47.1</v>
      </c>
      <c r="X15" s="28">
        <v>84076</v>
      </c>
      <c r="Y15" s="29">
        <v>35280</v>
      </c>
      <c r="Z15" s="32">
        <v>6245</v>
      </c>
      <c r="AA15" s="18">
        <v>46.3</v>
      </c>
      <c r="AB15" s="28">
        <v>4520227</v>
      </c>
      <c r="AC15" s="29">
        <v>1548946</v>
      </c>
      <c r="AD15" s="32">
        <v>5490</v>
      </c>
      <c r="AE15" s="18">
        <v>40.4</v>
      </c>
      <c r="AF15" s="28">
        <v>2338354</v>
      </c>
      <c r="AG15" s="29">
        <v>1805998</v>
      </c>
      <c r="AH15" s="32">
        <v>6300</v>
      </c>
      <c r="AI15" s="18">
        <v>47</v>
      </c>
      <c r="AJ15" s="28">
        <v>86827</v>
      </c>
      <c r="AK15" s="29">
        <v>293756</v>
      </c>
      <c r="AL15" s="32">
        <v>5500</v>
      </c>
      <c r="AM15" s="18">
        <v>40.200000000000003</v>
      </c>
      <c r="AN15" s="28">
        <v>343031</v>
      </c>
      <c r="AO15" s="29">
        <v>436033</v>
      </c>
      <c r="AP15" s="32">
        <v>5350</v>
      </c>
      <c r="AQ15" s="18">
        <v>38.1</v>
      </c>
      <c r="AR15" s="28">
        <v>45552</v>
      </c>
      <c r="AS15" s="29">
        <v>59406</v>
      </c>
    </row>
    <row r="16" spans="1:16329" x14ac:dyDescent="0.2">
      <c r="A16" s="35">
        <v>44098</v>
      </c>
      <c r="B16" s="123">
        <v>6200</v>
      </c>
      <c r="C16" s="149">
        <v>47.57</v>
      </c>
      <c r="D16" s="28">
        <v>743975</v>
      </c>
      <c r="E16" s="29">
        <v>339686</v>
      </c>
      <c r="F16" s="32">
        <v>6020</v>
      </c>
      <c r="G16" s="18">
        <v>46</v>
      </c>
      <c r="H16" s="28">
        <v>44108504</v>
      </c>
      <c r="I16" s="29">
        <v>26013004</v>
      </c>
      <c r="J16" s="32">
        <v>5450</v>
      </c>
      <c r="K16" s="18">
        <v>41.9</v>
      </c>
      <c r="L16" s="28">
        <v>1978419</v>
      </c>
      <c r="M16" s="29">
        <v>1937822</v>
      </c>
      <c r="N16" s="32">
        <v>5717.5</v>
      </c>
      <c r="O16" s="18">
        <v>43.4</v>
      </c>
      <c r="P16" s="28">
        <v>1137731</v>
      </c>
      <c r="Q16" s="29">
        <v>1826241</v>
      </c>
      <c r="R16" s="32">
        <v>5260</v>
      </c>
      <c r="S16" s="18">
        <v>39.450000000000003</v>
      </c>
      <c r="T16" s="28">
        <v>653996</v>
      </c>
      <c r="U16" s="29">
        <v>259233</v>
      </c>
      <c r="V16" s="32">
        <v>6350</v>
      </c>
      <c r="W16" s="18">
        <v>47.8</v>
      </c>
      <c r="X16" s="28">
        <v>76473</v>
      </c>
      <c r="Y16" s="29">
        <v>174994</v>
      </c>
      <c r="Z16" s="32">
        <v>6015.5</v>
      </c>
      <c r="AA16" s="18">
        <v>45.7</v>
      </c>
      <c r="AB16" s="28">
        <v>8417537</v>
      </c>
      <c r="AC16" s="29">
        <v>7508058</v>
      </c>
      <c r="AD16" s="32">
        <v>5620</v>
      </c>
      <c r="AE16" s="18">
        <v>41</v>
      </c>
      <c r="AF16" s="28">
        <v>2872733</v>
      </c>
      <c r="AG16" s="29">
        <v>1441604</v>
      </c>
      <c r="AH16" s="32">
        <v>6020</v>
      </c>
      <c r="AI16" s="18">
        <v>47</v>
      </c>
      <c r="AJ16" s="28">
        <v>284457</v>
      </c>
      <c r="AK16" s="29">
        <v>233366</v>
      </c>
      <c r="AL16" s="32">
        <v>5525</v>
      </c>
      <c r="AM16" s="18">
        <v>42.01</v>
      </c>
      <c r="AN16" s="28">
        <v>1021252</v>
      </c>
      <c r="AO16" s="29">
        <v>218335</v>
      </c>
      <c r="AP16" s="32">
        <v>5350</v>
      </c>
      <c r="AQ16" s="18">
        <v>41.5</v>
      </c>
      <c r="AR16" s="28">
        <v>36562</v>
      </c>
      <c r="AS16" s="29">
        <v>57372</v>
      </c>
    </row>
    <row r="17" spans="1:45" x14ac:dyDescent="0.2">
      <c r="A17" s="35">
        <v>44099</v>
      </c>
      <c r="B17" s="123">
        <v>6245</v>
      </c>
      <c r="C17" s="149">
        <v>46.44</v>
      </c>
      <c r="D17" s="28">
        <v>438653</v>
      </c>
      <c r="E17" s="29">
        <v>225372</v>
      </c>
      <c r="F17" s="32">
        <v>6115</v>
      </c>
      <c r="G17" s="18">
        <v>45.2</v>
      </c>
      <c r="H17" s="28">
        <v>40880668</v>
      </c>
      <c r="I17" s="29">
        <v>16426439</v>
      </c>
      <c r="J17" s="32">
        <v>5530</v>
      </c>
      <c r="K17" s="18">
        <v>41.5</v>
      </c>
      <c r="L17" s="28">
        <v>882672</v>
      </c>
      <c r="M17" s="29">
        <v>183830</v>
      </c>
      <c r="N17" s="32">
        <v>5769</v>
      </c>
      <c r="O17" s="18">
        <v>42.89</v>
      </c>
      <c r="P17" s="28">
        <v>1453517</v>
      </c>
      <c r="Q17" s="29">
        <v>1298158</v>
      </c>
      <c r="R17" s="32">
        <v>5299</v>
      </c>
      <c r="S17" s="18">
        <v>40</v>
      </c>
      <c r="T17" s="28">
        <v>517883</v>
      </c>
      <c r="U17" s="29">
        <v>680339</v>
      </c>
      <c r="V17" s="32">
        <v>6450</v>
      </c>
      <c r="W17" s="18">
        <v>48</v>
      </c>
      <c r="X17" s="28">
        <v>901663</v>
      </c>
      <c r="Y17" s="29">
        <v>9806</v>
      </c>
      <c r="Z17" s="32">
        <v>6100</v>
      </c>
      <c r="AA17" s="18">
        <v>45.29</v>
      </c>
      <c r="AB17" s="28">
        <v>11953468</v>
      </c>
      <c r="AC17" s="29">
        <v>4831729</v>
      </c>
      <c r="AD17" s="32">
        <v>5600</v>
      </c>
      <c r="AE17" s="18">
        <v>41.25</v>
      </c>
      <c r="AF17" s="28">
        <v>2200450</v>
      </c>
      <c r="AG17" s="29">
        <v>855985</v>
      </c>
      <c r="AH17" s="32">
        <v>6200</v>
      </c>
      <c r="AI17" s="18">
        <v>47</v>
      </c>
      <c r="AJ17" s="28">
        <v>107444</v>
      </c>
      <c r="AK17" s="29">
        <v>23843</v>
      </c>
      <c r="AL17" s="32">
        <v>5620</v>
      </c>
      <c r="AM17" s="18">
        <v>42.5</v>
      </c>
      <c r="AN17" s="28">
        <v>218010</v>
      </c>
      <c r="AO17" s="29">
        <v>757394</v>
      </c>
      <c r="AP17" s="32">
        <v>5460</v>
      </c>
      <c r="AQ17" s="18">
        <v>42</v>
      </c>
      <c r="AR17" s="28">
        <v>66306</v>
      </c>
      <c r="AS17" s="29">
        <v>148773</v>
      </c>
    </row>
    <row r="18" spans="1:45" x14ac:dyDescent="0.2">
      <c r="A18" s="35">
        <v>44102</v>
      </c>
      <c r="B18" s="123">
        <v>6307</v>
      </c>
      <c r="C18" s="149">
        <v>46.29</v>
      </c>
      <c r="D18" s="28">
        <v>1217126</v>
      </c>
      <c r="E18" s="29">
        <v>619444</v>
      </c>
      <c r="F18" s="32">
        <v>6165</v>
      </c>
      <c r="G18" s="18">
        <v>44.9</v>
      </c>
      <c r="H18" s="28">
        <v>31525812</v>
      </c>
      <c r="I18" s="29">
        <v>21648882</v>
      </c>
      <c r="J18" s="32">
        <v>5605</v>
      </c>
      <c r="K18" s="18">
        <v>41</v>
      </c>
      <c r="L18" s="28">
        <v>482580</v>
      </c>
      <c r="M18" s="29">
        <v>1023967</v>
      </c>
      <c r="N18" s="32">
        <v>5829.5</v>
      </c>
      <c r="O18" s="18">
        <v>42.43</v>
      </c>
      <c r="P18" s="28">
        <v>1348701</v>
      </c>
      <c r="Q18" s="29">
        <v>697287</v>
      </c>
      <c r="R18" s="32">
        <v>5328</v>
      </c>
      <c r="S18" s="18">
        <v>39.5</v>
      </c>
      <c r="T18" s="28">
        <v>422110</v>
      </c>
      <c r="U18" s="29">
        <v>572618</v>
      </c>
      <c r="V18" s="32">
        <v>6601</v>
      </c>
      <c r="W18" s="18">
        <v>48.3</v>
      </c>
      <c r="X18" s="28">
        <v>128725</v>
      </c>
      <c r="Y18" s="29">
        <v>78480</v>
      </c>
      <c r="Z18" s="32">
        <v>6155</v>
      </c>
      <c r="AA18" s="18">
        <v>44.85</v>
      </c>
      <c r="AB18" s="28">
        <v>9569854</v>
      </c>
      <c r="AC18" s="29">
        <v>986606</v>
      </c>
      <c r="AD18" s="32">
        <v>5665</v>
      </c>
      <c r="AE18" s="18">
        <v>41</v>
      </c>
      <c r="AF18" s="28">
        <v>1269397</v>
      </c>
      <c r="AG18" s="29">
        <v>683992</v>
      </c>
      <c r="AH18" s="32">
        <v>6182</v>
      </c>
      <c r="AI18" s="18">
        <v>45.6</v>
      </c>
      <c r="AJ18" s="28">
        <v>34652</v>
      </c>
      <c r="AK18" s="29">
        <v>13399</v>
      </c>
      <c r="AL18" s="32">
        <v>5700</v>
      </c>
      <c r="AM18" s="18">
        <v>42</v>
      </c>
      <c r="AN18" s="28">
        <v>32672</v>
      </c>
      <c r="AO18" s="29">
        <v>71688</v>
      </c>
      <c r="AP18" s="32">
        <v>5580</v>
      </c>
      <c r="AQ18" s="18">
        <v>41.6</v>
      </c>
      <c r="AR18" s="28">
        <v>8661</v>
      </c>
      <c r="AS18" s="29">
        <v>113128</v>
      </c>
    </row>
    <row r="19" spans="1:45" x14ac:dyDescent="0.2">
      <c r="A19" s="35">
        <v>44103</v>
      </c>
      <c r="B19" s="123">
        <v>6364</v>
      </c>
      <c r="C19" s="149">
        <v>46</v>
      </c>
      <c r="D19" s="28">
        <v>458119</v>
      </c>
      <c r="E19" s="29">
        <v>1354685</v>
      </c>
      <c r="F19" s="32">
        <v>6200</v>
      </c>
      <c r="G19" s="18">
        <v>44.67</v>
      </c>
      <c r="H19" s="28">
        <v>44005388</v>
      </c>
      <c r="I19" s="29">
        <v>19914396</v>
      </c>
      <c r="J19" s="32">
        <v>5545</v>
      </c>
      <c r="K19" s="18">
        <v>39.9</v>
      </c>
      <c r="L19" s="28">
        <v>1305354</v>
      </c>
      <c r="M19" s="29">
        <v>244199</v>
      </c>
      <c r="N19" s="32">
        <v>5865</v>
      </c>
      <c r="O19" s="18">
        <v>41.8</v>
      </c>
      <c r="P19" s="28">
        <v>704606</v>
      </c>
      <c r="Q19" s="29">
        <v>959298</v>
      </c>
      <c r="R19" s="32">
        <v>5420</v>
      </c>
      <c r="S19" s="18">
        <v>39.04</v>
      </c>
      <c r="T19" s="28">
        <v>256925</v>
      </c>
      <c r="U19" s="29">
        <v>322431</v>
      </c>
      <c r="V19" s="32">
        <v>6650</v>
      </c>
      <c r="W19" s="18">
        <v>47.5</v>
      </c>
      <c r="X19" s="28">
        <v>124005</v>
      </c>
      <c r="Y19" s="29">
        <v>10046</v>
      </c>
      <c r="Z19" s="32">
        <v>6199</v>
      </c>
      <c r="AA19" s="18">
        <v>44.47</v>
      </c>
      <c r="AB19" s="28">
        <v>4744554</v>
      </c>
      <c r="AC19" s="29">
        <v>3479407</v>
      </c>
      <c r="AD19" s="32">
        <v>5690</v>
      </c>
      <c r="AE19" s="18">
        <v>40.9</v>
      </c>
      <c r="AF19" s="28">
        <v>7202041</v>
      </c>
      <c r="AG19" s="29">
        <v>1579448</v>
      </c>
      <c r="AH19" s="32">
        <v>6365</v>
      </c>
      <c r="AI19" s="18">
        <v>45.15</v>
      </c>
      <c r="AJ19" s="28">
        <v>147833</v>
      </c>
      <c r="AK19" s="29">
        <v>69304</v>
      </c>
      <c r="AL19" s="32">
        <v>5830</v>
      </c>
      <c r="AM19" s="18">
        <v>42</v>
      </c>
      <c r="AN19" s="28">
        <v>132851</v>
      </c>
      <c r="AO19" s="29">
        <v>284481</v>
      </c>
      <c r="AP19" s="32">
        <v>5700.5</v>
      </c>
      <c r="AQ19" s="18">
        <v>42</v>
      </c>
      <c r="AR19" s="28">
        <v>54328</v>
      </c>
      <c r="AS19" s="29">
        <v>177904</v>
      </c>
    </row>
    <row r="20" spans="1:45" x14ac:dyDescent="0.2">
      <c r="A20" s="35">
        <v>44104</v>
      </c>
      <c r="B20" s="123">
        <v>6419</v>
      </c>
      <c r="C20" s="149">
        <v>45.86</v>
      </c>
      <c r="D20" s="28">
        <v>448782</v>
      </c>
      <c r="E20" s="29">
        <v>695464</v>
      </c>
      <c r="F20" s="32">
        <v>6190</v>
      </c>
      <c r="G20" s="18">
        <v>44.6</v>
      </c>
      <c r="H20" s="28">
        <v>43959908</v>
      </c>
      <c r="I20" s="29">
        <v>20848444</v>
      </c>
      <c r="J20" s="32">
        <v>5600</v>
      </c>
      <c r="K20" s="18">
        <v>40.74</v>
      </c>
      <c r="L20" s="28">
        <v>846477</v>
      </c>
      <c r="M20" s="29">
        <v>534607</v>
      </c>
      <c r="N20" s="32">
        <v>5920</v>
      </c>
      <c r="O20" s="18">
        <v>42.4</v>
      </c>
      <c r="P20" s="28">
        <v>5036634</v>
      </c>
      <c r="Q20" s="29">
        <v>1501762</v>
      </c>
      <c r="R20" s="32">
        <v>5430</v>
      </c>
      <c r="S20" s="18">
        <v>39.020000000000003</v>
      </c>
      <c r="T20" s="28">
        <v>382389</v>
      </c>
      <c r="U20" s="29">
        <v>451024</v>
      </c>
      <c r="V20" s="32">
        <v>6690</v>
      </c>
      <c r="W20" s="18">
        <v>47.9</v>
      </c>
      <c r="X20" s="28">
        <v>305876</v>
      </c>
      <c r="Y20" s="29">
        <v>75977</v>
      </c>
      <c r="Z20" s="32">
        <v>6219</v>
      </c>
      <c r="AA20" s="18">
        <v>44.71</v>
      </c>
      <c r="AB20" s="28">
        <v>10173400</v>
      </c>
      <c r="AC20" s="29">
        <v>1574286</v>
      </c>
      <c r="AD20" s="32">
        <v>5660</v>
      </c>
      <c r="AE20" s="18">
        <v>40.78</v>
      </c>
      <c r="AF20" s="28">
        <v>2669985</v>
      </c>
      <c r="AG20" s="29">
        <v>1278136</v>
      </c>
      <c r="AH20" s="32">
        <v>6380</v>
      </c>
      <c r="AI20" s="18">
        <v>46.45</v>
      </c>
      <c r="AJ20" s="28">
        <v>84940</v>
      </c>
      <c r="AK20" s="29">
        <v>58644</v>
      </c>
      <c r="AL20" s="32">
        <v>5815</v>
      </c>
      <c r="AM20" s="18">
        <v>43.99</v>
      </c>
      <c r="AN20" s="28">
        <v>218354</v>
      </c>
      <c r="AO20" s="29">
        <v>96303</v>
      </c>
      <c r="AP20" s="32">
        <v>5719</v>
      </c>
      <c r="AQ20" s="18">
        <v>42.05</v>
      </c>
      <c r="AR20" s="28">
        <v>28410</v>
      </c>
      <c r="AS20" s="29">
        <v>28948</v>
      </c>
    </row>
    <row r="21" spans="1:45" x14ac:dyDescent="0.2">
      <c r="A21" s="35">
        <v>44105</v>
      </c>
      <c r="B21" s="123">
        <v>6390</v>
      </c>
      <c r="C21" s="149">
        <v>46.25</v>
      </c>
      <c r="D21" s="28">
        <v>584064</v>
      </c>
      <c r="E21" s="29">
        <v>1021239</v>
      </c>
      <c r="F21" s="32">
        <v>6215</v>
      </c>
      <c r="G21" s="18">
        <v>44.7</v>
      </c>
      <c r="H21" s="28">
        <v>41286008</v>
      </c>
      <c r="I21" s="29">
        <v>24068948</v>
      </c>
      <c r="J21" s="32">
        <v>5581</v>
      </c>
      <c r="K21" s="18">
        <v>40.799999999999997</v>
      </c>
      <c r="L21" s="28">
        <v>1613509</v>
      </c>
      <c r="M21" s="29">
        <v>3089893</v>
      </c>
      <c r="N21" s="123">
        <v>5979.5</v>
      </c>
      <c r="O21" s="18">
        <v>42.9</v>
      </c>
      <c r="P21" s="28">
        <v>729761</v>
      </c>
      <c r="Q21" s="29">
        <v>721231</v>
      </c>
      <c r="R21" s="123">
        <v>5525</v>
      </c>
      <c r="S21" s="18">
        <v>39.799999999999997</v>
      </c>
      <c r="T21" s="28">
        <v>702617</v>
      </c>
      <c r="U21" s="29">
        <v>493885</v>
      </c>
      <c r="V21" s="123">
        <v>6730</v>
      </c>
      <c r="W21" s="18">
        <v>48.32</v>
      </c>
      <c r="X21" s="28">
        <v>378517</v>
      </c>
      <c r="Y21" s="29">
        <v>120736</v>
      </c>
      <c r="Z21" s="123">
        <v>6210.5</v>
      </c>
      <c r="AA21" s="18">
        <v>44.4</v>
      </c>
      <c r="AB21" s="28">
        <v>6248843</v>
      </c>
      <c r="AC21" s="29">
        <v>3428511</v>
      </c>
      <c r="AD21" s="123">
        <v>5600</v>
      </c>
      <c r="AE21" s="18">
        <v>40.25</v>
      </c>
      <c r="AF21" s="28">
        <v>7075293</v>
      </c>
      <c r="AG21" s="29">
        <v>2626406</v>
      </c>
      <c r="AH21" s="123">
        <v>6400</v>
      </c>
      <c r="AI21" s="18">
        <v>46.5</v>
      </c>
      <c r="AJ21" s="28">
        <v>245782</v>
      </c>
      <c r="AK21" s="29">
        <v>3950</v>
      </c>
      <c r="AL21" s="123">
        <v>5839</v>
      </c>
      <c r="AM21" s="18">
        <v>43.9</v>
      </c>
      <c r="AN21" s="28">
        <v>440790</v>
      </c>
      <c r="AO21" s="29">
        <v>1234678</v>
      </c>
      <c r="AP21" s="123">
        <v>5632</v>
      </c>
      <c r="AQ21" s="18">
        <v>42.2</v>
      </c>
      <c r="AR21" s="28">
        <v>28407</v>
      </c>
      <c r="AS21" s="29">
        <v>35668</v>
      </c>
    </row>
    <row r="22" spans="1:45" x14ac:dyDescent="0.2">
      <c r="A22" s="35">
        <v>44106</v>
      </c>
      <c r="B22" s="123">
        <v>6427</v>
      </c>
      <c r="C22" s="149">
        <v>45.45</v>
      </c>
      <c r="D22" s="28">
        <v>1673654</v>
      </c>
      <c r="E22" s="29">
        <v>635925</v>
      </c>
      <c r="F22" s="32">
        <v>6120</v>
      </c>
      <c r="G22" s="18">
        <v>44.3</v>
      </c>
      <c r="H22" s="28">
        <v>58244876</v>
      </c>
      <c r="I22" s="29">
        <v>24914652</v>
      </c>
      <c r="J22" s="32">
        <v>5555</v>
      </c>
      <c r="K22" s="18">
        <v>40.049999999999997</v>
      </c>
      <c r="L22" s="28">
        <v>2541636</v>
      </c>
      <c r="M22" s="29">
        <v>410050</v>
      </c>
      <c r="N22" s="123">
        <v>6017</v>
      </c>
      <c r="O22" s="18">
        <v>42.15</v>
      </c>
      <c r="P22" s="28">
        <v>968909</v>
      </c>
      <c r="Q22" s="29">
        <v>1396984</v>
      </c>
      <c r="R22" s="123">
        <v>5560</v>
      </c>
      <c r="S22" s="18">
        <v>40</v>
      </c>
      <c r="T22" s="28">
        <v>474509</v>
      </c>
      <c r="U22" s="29">
        <v>547886</v>
      </c>
      <c r="V22" s="123">
        <v>6820</v>
      </c>
      <c r="W22" s="18">
        <v>47.32</v>
      </c>
      <c r="X22" s="28">
        <v>223581</v>
      </c>
      <c r="Y22" s="29">
        <v>42437</v>
      </c>
      <c r="Z22" s="123">
        <v>6150</v>
      </c>
      <c r="AA22" s="18">
        <v>43.99</v>
      </c>
      <c r="AB22" s="28">
        <v>8344751</v>
      </c>
      <c r="AC22" s="29">
        <v>2377301</v>
      </c>
      <c r="AD22" s="123">
        <v>5590</v>
      </c>
      <c r="AE22" s="18">
        <v>39.700000000000003</v>
      </c>
      <c r="AF22" s="28">
        <v>3589141</v>
      </c>
      <c r="AG22" s="29">
        <v>538575</v>
      </c>
      <c r="AH22" s="123">
        <v>6350</v>
      </c>
      <c r="AI22" s="18">
        <v>45.8</v>
      </c>
      <c r="AJ22" s="28">
        <v>52455</v>
      </c>
      <c r="AK22" s="29">
        <v>30880</v>
      </c>
      <c r="AL22" s="123">
        <v>5899</v>
      </c>
      <c r="AM22" s="18">
        <v>42</v>
      </c>
      <c r="AN22" s="28">
        <v>550171</v>
      </c>
      <c r="AO22" s="29">
        <v>382962</v>
      </c>
      <c r="AP22" s="123">
        <v>5680</v>
      </c>
      <c r="AQ22" s="18">
        <v>39.75</v>
      </c>
      <c r="AR22" s="28">
        <v>21540</v>
      </c>
      <c r="AS22" s="29">
        <v>1489</v>
      </c>
    </row>
    <row r="23" spans="1:45" x14ac:dyDescent="0.2">
      <c r="A23" s="35">
        <v>44109</v>
      </c>
      <c r="B23" s="123">
        <v>6430</v>
      </c>
      <c r="C23" s="149">
        <v>45.39</v>
      </c>
      <c r="D23" s="28">
        <v>386716</v>
      </c>
      <c r="E23" s="29">
        <v>444599</v>
      </c>
      <c r="F23" s="32">
        <v>6251</v>
      </c>
      <c r="G23" s="18">
        <v>44.4</v>
      </c>
      <c r="H23" s="28">
        <v>44046332</v>
      </c>
      <c r="I23" s="29">
        <v>29123460</v>
      </c>
      <c r="J23" s="32">
        <v>5625</v>
      </c>
      <c r="K23" s="18">
        <v>39.5</v>
      </c>
      <c r="L23" s="28">
        <v>1391743</v>
      </c>
      <c r="M23" s="29">
        <v>643094</v>
      </c>
      <c r="N23" s="123">
        <v>5980</v>
      </c>
      <c r="O23" s="18">
        <v>41.65</v>
      </c>
      <c r="P23" s="28">
        <v>1444702</v>
      </c>
      <c r="Q23" s="29">
        <v>2154361</v>
      </c>
      <c r="R23" s="123">
        <v>5614</v>
      </c>
      <c r="S23" s="18">
        <v>40</v>
      </c>
      <c r="T23" s="28">
        <v>472267</v>
      </c>
      <c r="U23" s="29">
        <v>464143</v>
      </c>
      <c r="V23" s="123">
        <v>6836</v>
      </c>
      <c r="W23" s="18">
        <v>47.99</v>
      </c>
      <c r="X23" s="28">
        <v>97739</v>
      </c>
      <c r="Y23" s="29">
        <v>49726</v>
      </c>
      <c r="Z23" s="123">
        <v>6215</v>
      </c>
      <c r="AA23" s="18">
        <v>43.45</v>
      </c>
      <c r="AB23" s="28">
        <v>3556907</v>
      </c>
      <c r="AC23" s="29">
        <v>2122748</v>
      </c>
      <c r="AD23" s="123">
        <v>5650</v>
      </c>
      <c r="AE23" s="18">
        <v>39.39</v>
      </c>
      <c r="AF23" s="28">
        <v>2421274</v>
      </c>
      <c r="AG23" s="29">
        <v>825122</v>
      </c>
      <c r="AH23" s="123">
        <v>6300</v>
      </c>
      <c r="AI23" s="18">
        <v>44</v>
      </c>
      <c r="AJ23" s="28">
        <v>212176</v>
      </c>
      <c r="AK23" s="29">
        <v>285327</v>
      </c>
      <c r="AL23" s="123">
        <v>5910</v>
      </c>
      <c r="AM23" s="18">
        <v>41.75</v>
      </c>
      <c r="AN23" s="28">
        <v>139413</v>
      </c>
      <c r="AO23" s="29">
        <v>226357</v>
      </c>
      <c r="AP23" s="123">
        <v>5580</v>
      </c>
      <c r="AQ23" s="18">
        <v>39.799999999999997</v>
      </c>
      <c r="AR23" s="28">
        <v>63309</v>
      </c>
      <c r="AS23" s="29">
        <v>51065</v>
      </c>
    </row>
    <row r="24" spans="1:45" x14ac:dyDescent="0.2">
      <c r="A24" s="35">
        <v>44110</v>
      </c>
      <c r="B24" s="123">
        <v>6399</v>
      </c>
      <c r="C24" s="149">
        <v>45.3</v>
      </c>
      <c r="D24" s="28">
        <v>689715</v>
      </c>
      <c r="E24" s="29">
        <v>337835</v>
      </c>
      <c r="F24" s="32">
        <v>6230</v>
      </c>
      <c r="G24" s="18">
        <v>44.45</v>
      </c>
      <c r="H24" s="28">
        <v>41495540</v>
      </c>
      <c r="I24" s="29">
        <v>30843112</v>
      </c>
      <c r="J24" s="32">
        <v>5589</v>
      </c>
      <c r="K24" s="18">
        <v>39.96</v>
      </c>
      <c r="L24" s="28">
        <v>1031082</v>
      </c>
      <c r="M24" s="29">
        <v>650156</v>
      </c>
      <c r="N24" s="123">
        <v>5830</v>
      </c>
      <c r="O24" s="18">
        <v>41.4</v>
      </c>
      <c r="P24" s="28">
        <v>647793</v>
      </c>
      <c r="Q24" s="29">
        <v>1859315</v>
      </c>
      <c r="R24" s="123">
        <v>5600</v>
      </c>
      <c r="S24" s="18">
        <v>39.99</v>
      </c>
      <c r="T24" s="28">
        <v>310559</v>
      </c>
      <c r="U24" s="29">
        <v>196586</v>
      </c>
      <c r="V24" s="123">
        <v>6730</v>
      </c>
      <c r="W24" s="18">
        <v>47.6</v>
      </c>
      <c r="X24" s="28">
        <v>124503</v>
      </c>
      <c r="Y24" s="29">
        <v>36944</v>
      </c>
      <c r="Z24" s="123">
        <v>6169</v>
      </c>
      <c r="AA24" s="18">
        <v>44</v>
      </c>
      <c r="AB24" s="28">
        <v>5679376</v>
      </c>
      <c r="AC24" s="29">
        <v>2940794</v>
      </c>
      <c r="AD24" s="123">
        <v>5600</v>
      </c>
      <c r="AE24" s="18">
        <v>40.1</v>
      </c>
      <c r="AF24" s="28">
        <v>7302587</v>
      </c>
      <c r="AG24" s="29">
        <v>3148408</v>
      </c>
      <c r="AH24" s="123">
        <v>6195</v>
      </c>
      <c r="AI24" s="18">
        <v>44</v>
      </c>
      <c r="AJ24" s="28">
        <v>86831</v>
      </c>
      <c r="AK24" s="29">
        <v>34186</v>
      </c>
      <c r="AL24" s="123">
        <v>5895</v>
      </c>
      <c r="AM24" s="18">
        <v>41.78</v>
      </c>
      <c r="AN24" s="28">
        <v>432235</v>
      </c>
      <c r="AO24" s="29">
        <v>48765</v>
      </c>
      <c r="AP24" s="123">
        <v>5625</v>
      </c>
      <c r="AQ24" s="18">
        <v>39.950000000000003</v>
      </c>
      <c r="AR24" s="28">
        <v>10706</v>
      </c>
      <c r="AS24" s="29">
        <v>26462</v>
      </c>
    </row>
    <row r="25" spans="1:45" x14ac:dyDescent="0.2">
      <c r="A25" s="35">
        <v>44111</v>
      </c>
      <c r="B25" s="123">
        <v>6370</v>
      </c>
      <c r="C25" s="149">
        <v>45.44</v>
      </c>
      <c r="D25" s="28">
        <v>596292</v>
      </c>
      <c r="E25" s="29">
        <v>520398</v>
      </c>
      <c r="F25" s="32">
        <v>6226</v>
      </c>
      <c r="G25" s="18">
        <v>44.8</v>
      </c>
      <c r="H25" s="28">
        <v>32744472</v>
      </c>
      <c r="I25" s="29">
        <v>26660432</v>
      </c>
      <c r="J25" s="32">
        <v>5531</v>
      </c>
      <c r="K25" s="18">
        <v>40.1</v>
      </c>
      <c r="L25" s="28">
        <v>349763</v>
      </c>
      <c r="M25" s="29">
        <v>522472</v>
      </c>
      <c r="N25" s="123">
        <v>5830</v>
      </c>
      <c r="O25" s="18">
        <v>41.6</v>
      </c>
      <c r="P25" s="28">
        <v>859800</v>
      </c>
      <c r="Q25" s="29">
        <v>1815305</v>
      </c>
      <c r="R25" s="123">
        <v>5569</v>
      </c>
      <c r="S25" s="18">
        <v>39.9</v>
      </c>
      <c r="T25" s="28">
        <v>470758</v>
      </c>
      <c r="U25" s="29">
        <v>1125891</v>
      </c>
      <c r="V25" s="123">
        <v>6710</v>
      </c>
      <c r="W25" s="18">
        <v>47.7</v>
      </c>
      <c r="X25" s="28">
        <v>65571</v>
      </c>
      <c r="Y25" s="29">
        <v>35569</v>
      </c>
      <c r="Z25" s="123">
        <v>6215</v>
      </c>
      <c r="AA25" s="18">
        <v>44.5</v>
      </c>
      <c r="AB25" s="28">
        <v>12351252</v>
      </c>
      <c r="AC25" s="29">
        <v>1199412</v>
      </c>
      <c r="AD25" s="123">
        <v>5631</v>
      </c>
      <c r="AE25" s="18">
        <v>40.299999999999997</v>
      </c>
      <c r="AF25" s="28">
        <v>5931075</v>
      </c>
      <c r="AG25" s="29">
        <v>881801</v>
      </c>
      <c r="AH25" s="123">
        <v>6199</v>
      </c>
      <c r="AI25" s="18">
        <v>44</v>
      </c>
      <c r="AJ25" s="28">
        <v>261596</v>
      </c>
      <c r="AK25" s="29">
        <v>34676</v>
      </c>
      <c r="AL25" s="123">
        <v>5744</v>
      </c>
      <c r="AM25" s="18">
        <v>40.97</v>
      </c>
      <c r="AN25" s="28">
        <v>196169</v>
      </c>
      <c r="AO25" s="29">
        <v>7472</v>
      </c>
      <c r="AP25" s="123">
        <v>5550</v>
      </c>
      <c r="AQ25" s="18">
        <v>40.5</v>
      </c>
      <c r="AR25" s="28">
        <v>52932</v>
      </c>
      <c r="AS25" s="29">
        <v>62363</v>
      </c>
    </row>
    <row r="26" spans="1:45" x14ac:dyDescent="0.2">
      <c r="A26" s="35">
        <v>44112</v>
      </c>
      <c r="B26" s="123">
        <v>6430</v>
      </c>
      <c r="C26" s="149">
        <v>45.32</v>
      </c>
      <c r="D26" s="28">
        <v>782506</v>
      </c>
      <c r="E26" s="29">
        <v>429061</v>
      </c>
      <c r="F26" s="32">
        <v>6300</v>
      </c>
      <c r="G26" s="18">
        <v>44.7</v>
      </c>
      <c r="H26" s="28">
        <v>20591468</v>
      </c>
      <c r="I26" s="29">
        <v>27493344</v>
      </c>
      <c r="J26" s="32">
        <v>5630</v>
      </c>
      <c r="K26" s="18">
        <v>39.880000000000003</v>
      </c>
      <c r="L26" s="28">
        <v>785007</v>
      </c>
      <c r="M26" s="29">
        <v>252378</v>
      </c>
      <c r="N26" s="123">
        <v>5885</v>
      </c>
      <c r="O26" s="18">
        <v>41.44</v>
      </c>
      <c r="P26" s="28">
        <v>1675651</v>
      </c>
      <c r="Q26" s="29">
        <v>1077652</v>
      </c>
      <c r="R26" s="123">
        <v>5550</v>
      </c>
      <c r="S26" s="18">
        <v>39.5</v>
      </c>
      <c r="T26" s="28">
        <v>443069</v>
      </c>
      <c r="U26" s="29">
        <v>153670</v>
      </c>
      <c r="V26" s="123">
        <v>6772.5</v>
      </c>
      <c r="W26" s="18">
        <v>48.75</v>
      </c>
      <c r="X26" s="28">
        <v>58221</v>
      </c>
      <c r="Y26" s="29">
        <v>11157</v>
      </c>
      <c r="Z26" s="123">
        <v>6301</v>
      </c>
      <c r="AA26" s="18">
        <v>44.8</v>
      </c>
      <c r="AB26" s="28">
        <v>10189547</v>
      </c>
      <c r="AC26" s="29">
        <v>3543174</v>
      </c>
      <c r="AD26" s="123">
        <v>5710</v>
      </c>
      <c r="AE26" s="18">
        <v>40.270000000000003</v>
      </c>
      <c r="AF26" s="28">
        <v>8566427</v>
      </c>
      <c r="AG26" s="29">
        <v>390836</v>
      </c>
      <c r="AH26" s="123">
        <v>6295</v>
      </c>
      <c r="AI26" s="18">
        <v>44.39</v>
      </c>
      <c r="AJ26" s="28">
        <v>619631</v>
      </c>
      <c r="AK26" s="29">
        <v>126194</v>
      </c>
      <c r="AL26" s="123">
        <v>5740</v>
      </c>
      <c r="AM26" s="18">
        <v>41</v>
      </c>
      <c r="AN26" s="28">
        <v>230589</v>
      </c>
      <c r="AO26" s="29">
        <v>312355</v>
      </c>
      <c r="AP26" s="123">
        <v>5696.5</v>
      </c>
      <c r="AQ26" s="18">
        <v>41</v>
      </c>
      <c r="AR26" s="28">
        <v>13111</v>
      </c>
      <c r="AS26" s="29">
        <v>198738</v>
      </c>
    </row>
    <row r="27" spans="1:45" x14ac:dyDescent="0.2">
      <c r="A27" s="35">
        <v>44113</v>
      </c>
      <c r="B27" s="123">
        <v>6560</v>
      </c>
      <c r="C27" s="149">
        <v>45.63</v>
      </c>
      <c r="D27" s="28">
        <v>572303</v>
      </c>
      <c r="E27" s="29">
        <v>471970</v>
      </c>
      <c r="F27" s="32">
        <v>6415</v>
      </c>
      <c r="G27" s="18">
        <v>44.73</v>
      </c>
      <c r="H27" s="28">
        <v>54079688</v>
      </c>
      <c r="I27" s="29">
        <v>46651816</v>
      </c>
      <c r="J27" s="32">
        <v>5780</v>
      </c>
      <c r="K27" s="18">
        <v>40</v>
      </c>
      <c r="L27" s="28">
        <v>842427</v>
      </c>
      <c r="M27" s="29">
        <v>644588</v>
      </c>
      <c r="N27" s="123">
        <v>6020</v>
      </c>
      <c r="O27" s="18">
        <v>41.56</v>
      </c>
      <c r="P27" s="28">
        <v>4253370</v>
      </c>
      <c r="Q27" s="29">
        <v>1170045</v>
      </c>
      <c r="R27" s="123">
        <v>5695</v>
      </c>
      <c r="S27" s="18">
        <v>39.5</v>
      </c>
      <c r="T27" s="28">
        <v>1122144</v>
      </c>
      <c r="U27" s="29">
        <v>334035</v>
      </c>
      <c r="V27" s="123">
        <v>7030</v>
      </c>
      <c r="W27" s="18">
        <v>48.6</v>
      </c>
      <c r="X27" s="28">
        <v>59800</v>
      </c>
      <c r="Y27" s="29">
        <v>27702</v>
      </c>
      <c r="Z27" s="123">
        <v>6480</v>
      </c>
      <c r="AA27" s="18">
        <v>45.02</v>
      </c>
      <c r="AB27" s="28">
        <v>12842009</v>
      </c>
      <c r="AC27" s="29">
        <v>1446711</v>
      </c>
      <c r="AD27" s="123">
        <v>5930</v>
      </c>
      <c r="AE27" s="18">
        <v>40.700000000000003</v>
      </c>
      <c r="AF27" s="28">
        <v>4607213</v>
      </c>
      <c r="AG27" s="29">
        <v>1492683</v>
      </c>
      <c r="AH27" s="123">
        <v>6530</v>
      </c>
      <c r="AI27" s="18">
        <v>45</v>
      </c>
      <c r="AJ27" s="28">
        <v>143125</v>
      </c>
      <c r="AK27" s="29">
        <v>98901</v>
      </c>
      <c r="AL27" s="123">
        <v>5953</v>
      </c>
      <c r="AM27" s="18">
        <v>41.59</v>
      </c>
      <c r="AN27" s="28">
        <v>849730</v>
      </c>
      <c r="AO27" s="29">
        <v>132996</v>
      </c>
      <c r="AP27" s="123">
        <v>6000</v>
      </c>
      <c r="AQ27" s="18">
        <v>41.5</v>
      </c>
      <c r="AR27" s="28">
        <v>29478</v>
      </c>
      <c r="AS27" s="29">
        <v>106851</v>
      </c>
    </row>
    <row r="28" spans="1:45" x14ac:dyDescent="0.2">
      <c r="A28" s="35">
        <v>44117</v>
      </c>
      <c r="B28" s="123">
        <v>6600</v>
      </c>
      <c r="C28" s="149">
        <v>45.45</v>
      </c>
      <c r="D28" s="28">
        <v>1025472</v>
      </c>
      <c r="E28" s="29">
        <v>671252</v>
      </c>
      <c r="F28" s="32">
        <v>6485</v>
      </c>
      <c r="G28" s="18">
        <v>44.74</v>
      </c>
      <c r="H28" s="28">
        <v>47782144</v>
      </c>
      <c r="I28" s="29">
        <v>37153072</v>
      </c>
      <c r="J28" s="32">
        <v>5761</v>
      </c>
      <c r="K28" s="18">
        <v>39.700000000000003</v>
      </c>
      <c r="L28" s="28">
        <v>728326</v>
      </c>
      <c r="M28" s="29">
        <v>821869</v>
      </c>
      <c r="N28" s="123">
        <v>6065</v>
      </c>
      <c r="O28" s="18">
        <v>41.56</v>
      </c>
      <c r="P28" s="28">
        <v>763656</v>
      </c>
      <c r="Q28" s="29">
        <v>2183477</v>
      </c>
      <c r="R28" s="123">
        <v>5716</v>
      </c>
      <c r="S28" s="18">
        <v>39.25</v>
      </c>
      <c r="T28" s="28">
        <v>245293</v>
      </c>
      <c r="U28" s="29">
        <v>317307</v>
      </c>
      <c r="V28" s="123">
        <v>7070</v>
      </c>
      <c r="W28" s="18">
        <v>48.4</v>
      </c>
      <c r="X28" s="28">
        <v>131013</v>
      </c>
      <c r="Y28" s="29">
        <v>138857</v>
      </c>
      <c r="Z28" s="123">
        <v>6589.5</v>
      </c>
      <c r="AA28" s="18">
        <v>45.01</v>
      </c>
      <c r="AB28" s="28">
        <v>9130210</v>
      </c>
      <c r="AC28" s="29">
        <v>2691006</v>
      </c>
      <c r="AD28" s="123">
        <v>5950</v>
      </c>
      <c r="AE28" s="18">
        <v>40.57</v>
      </c>
      <c r="AF28" s="28">
        <v>6306799</v>
      </c>
      <c r="AG28" s="29">
        <v>2858107</v>
      </c>
      <c r="AH28" s="123">
        <v>6610</v>
      </c>
      <c r="AI28" s="18">
        <v>45</v>
      </c>
      <c r="AJ28" s="28">
        <v>355648</v>
      </c>
      <c r="AK28" s="29">
        <v>21871</v>
      </c>
      <c r="AL28" s="123">
        <v>5925</v>
      </c>
      <c r="AM28" s="18">
        <v>41.4</v>
      </c>
      <c r="AN28" s="28">
        <v>643353</v>
      </c>
      <c r="AO28" s="29">
        <v>437378</v>
      </c>
      <c r="AP28" s="123">
        <v>5950</v>
      </c>
      <c r="AQ28" s="18">
        <v>41.5</v>
      </c>
      <c r="AR28" s="28">
        <v>29070</v>
      </c>
      <c r="AS28" s="29">
        <v>205970</v>
      </c>
    </row>
    <row r="29" spans="1:45" x14ac:dyDescent="0.2">
      <c r="A29" s="35">
        <v>44118</v>
      </c>
      <c r="B29" s="123">
        <v>6700</v>
      </c>
      <c r="C29" s="149">
        <v>44.9</v>
      </c>
      <c r="D29" s="28">
        <v>1662540</v>
      </c>
      <c r="E29" s="29">
        <v>443367</v>
      </c>
      <c r="F29" s="32">
        <v>6680</v>
      </c>
      <c r="G29" s="18">
        <v>44.45</v>
      </c>
      <c r="H29" s="28">
        <v>43634184</v>
      </c>
      <c r="I29" s="29">
        <v>35066792</v>
      </c>
      <c r="J29" s="32">
        <v>5870</v>
      </c>
      <c r="K29" s="18">
        <v>39.380000000000003</v>
      </c>
      <c r="L29" s="28">
        <v>1050328</v>
      </c>
      <c r="M29" s="29">
        <v>449103</v>
      </c>
      <c r="N29" s="123">
        <v>6135</v>
      </c>
      <c r="O29" s="18">
        <v>41.08</v>
      </c>
      <c r="P29" s="28">
        <v>1331733</v>
      </c>
      <c r="Q29" s="29">
        <v>1618256</v>
      </c>
      <c r="R29" s="123">
        <v>5675</v>
      </c>
      <c r="S29" s="18">
        <v>38.200000000000003</v>
      </c>
      <c r="T29" s="28">
        <v>2241444</v>
      </c>
      <c r="U29" s="29">
        <v>126045</v>
      </c>
      <c r="V29" s="123">
        <v>7250</v>
      </c>
      <c r="W29" s="18">
        <v>48.4</v>
      </c>
      <c r="X29" s="28">
        <v>986593</v>
      </c>
      <c r="Y29" s="29">
        <v>36071</v>
      </c>
      <c r="Z29" s="123">
        <v>6740</v>
      </c>
      <c r="AA29" s="18">
        <v>45.5</v>
      </c>
      <c r="AB29" s="28">
        <v>8789512</v>
      </c>
      <c r="AC29" s="29">
        <v>2577732</v>
      </c>
      <c r="AD29" s="123">
        <v>6050</v>
      </c>
      <c r="AE29" s="18">
        <v>40.51</v>
      </c>
      <c r="AF29" s="28">
        <v>11411359</v>
      </c>
      <c r="AG29" s="29">
        <v>1744184</v>
      </c>
      <c r="AH29" s="123">
        <v>6650</v>
      </c>
      <c r="AI29" s="18">
        <v>45</v>
      </c>
      <c r="AJ29" s="28">
        <v>227151</v>
      </c>
      <c r="AK29" s="29">
        <v>174050</v>
      </c>
      <c r="AL29" s="123">
        <v>5900</v>
      </c>
      <c r="AM29" s="18">
        <v>40.1</v>
      </c>
      <c r="AN29" s="28">
        <v>3169001</v>
      </c>
      <c r="AO29" s="29">
        <v>1115787</v>
      </c>
      <c r="AP29" s="123">
        <v>5969</v>
      </c>
      <c r="AQ29" s="18">
        <v>41</v>
      </c>
      <c r="AR29" s="28">
        <v>62425</v>
      </c>
      <c r="AS29" s="29">
        <v>282937</v>
      </c>
    </row>
    <row r="30" spans="1:45" x14ac:dyDescent="0.2">
      <c r="A30" s="35">
        <v>44119</v>
      </c>
      <c r="B30" s="123">
        <v>6953</v>
      </c>
      <c r="C30" s="149">
        <v>44.56</v>
      </c>
      <c r="D30" s="28">
        <v>2333217</v>
      </c>
      <c r="E30" s="29">
        <v>614481</v>
      </c>
      <c r="F30" s="32">
        <v>6880.5</v>
      </c>
      <c r="G30" s="18">
        <v>44.4</v>
      </c>
      <c r="H30" s="28">
        <v>63821280</v>
      </c>
      <c r="I30" s="29">
        <v>40746992</v>
      </c>
      <c r="J30" s="32">
        <v>5880</v>
      </c>
      <c r="K30" s="18">
        <v>38.4</v>
      </c>
      <c r="L30" s="28">
        <v>1144939</v>
      </c>
      <c r="M30" s="29">
        <v>534440</v>
      </c>
      <c r="N30" s="123">
        <v>6225</v>
      </c>
      <c r="O30" s="18">
        <v>40.39</v>
      </c>
      <c r="P30" s="28">
        <v>1380897</v>
      </c>
      <c r="Q30" s="29">
        <v>1526178</v>
      </c>
      <c r="R30" s="123">
        <v>5600</v>
      </c>
      <c r="S30" s="18">
        <v>36.5</v>
      </c>
      <c r="T30" s="28">
        <v>6627793</v>
      </c>
      <c r="U30" s="29">
        <v>576218</v>
      </c>
      <c r="V30" s="123">
        <v>7250</v>
      </c>
      <c r="W30" s="18">
        <v>46.46</v>
      </c>
      <c r="X30" s="28">
        <v>93945</v>
      </c>
      <c r="Y30" s="29">
        <v>78952</v>
      </c>
      <c r="Z30" s="123">
        <v>6923</v>
      </c>
      <c r="AA30" s="18">
        <v>44.5</v>
      </c>
      <c r="AB30" s="28">
        <v>10525629</v>
      </c>
      <c r="AC30" s="29">
        <v>3643252</v>
      </c>
      <c r="AD30" s="123">
        <v>6140</v>
      </c>
      <c r="AE30" s="18">
        <v>38.9</v>
      </c>
      <c r="AF30" s="28">
        <v>7737616</v>
      </c>
      <c r="AG30" s="29">
        <v>2089570</v>
      </c>
      <c r="AH30" s="123">
        <v>6800</v>
      </c>
      <c r="AI30" s="18">
        <v>45.1</v>
      </c>
      <c r="AJ30" s="28">
        <v>49115</v>
      </c>
      <c r="AK30" s="29">
        <v>394737</v>
      </c>
      <c r="AL30" s="123">
        <v>6000</v>
      </c>
      <c r="AM30" s="18">
        <v>39.450000000000003</v>
      </c>
      <c r="AN30" s="28">
        <v>1915465</v>
      </c>
      <c r="AO30" s="29">
        <v>152343</v>
      </c>
      <c r="AP30" s="123">
        <v>6080</v>
      </c>
      <c r="AQ30" s="18">
        <v>39.5</v>
      </c>
      <c r="AR30" s="28">
        <v>86888</v>
      </c>
      <c r="AS30" s="29">
        <v>38889</v>
      </c>
    </row>
    <row r="31" spans="1:45" x14ac:dyDescent="0.2">
      <c r="A31" s="35">
        <v>44120</v>
      </c>
      <c r="B31" s="123">
        <v>6815</v>
      </c>
      <c r="C31" s="149">
        <v>44.3</v>
      </c>
      <c r="D31" s="28">
        <v>1049049</v>
      </c>
      <c r="E31" s="29">
        <v>837169</v>
      </c>
      <c r="F31" s="32">
        <v>6720</v>
      </c>
      <c r="G31" s="18">
        <v>44.19</v>
      </c>
      <c r="H31" s="28">
        <v>70157800</v>
      </c>
      <c r="I31" s="29">
        <v>35414792</v>
      </c>
      <c r="J31" s="32">
        <v>5873</v>
      </c>
      <c r="K31" s="18">
        <v>37.67</v>
      </c>
      <c r="L31" s="28">
        <v>1914071</v>
      </c>
      <c r="M31" s="29">
        <v>639870</v>
      </c>
      <c r="N31" s="123">
        <v>6095</v>
      </c>
      <c r="O31" s="18">
        <v>39.799999999999997</v>
      </c>
      <c r="P31" s="28">
        <v>1952915</v>
      </c>
      <c r="Q31" s="29">
        <v>1323665</v>
      </c>
      <c r="R31" s="123">
        <v>5517</v>
      </c>
      <c r="S31" s="18">
        <v>35.799999999999997</v>
      </c>
      <c r="T31" s="28">
        <v>4513633</v>
      </c>
      <c r="U31" s="29">
        <v>367602</v>
      </c>
      <c r="V31" s="123">
        <v>7250</v>
      </c>
      <c r="W31" s="18">
        <v>47</v>
      </c>
      <c r="X31" s="28">
        <v>892848</v>
      </c>
      <c r="Y31" s="29">
        <v>51786</v>
      </c>
      <c r="Z31" s="123">
        <v>6885</v>
      </c>
      <c r="AA31" s="18">
        <v>44.3</v>
      </c>
      <c r="AB31" s="28">
        <v>10627906</v>
      </c>
      <c r="AC31" s="29">
        <v>1758132</v>
      </c>
      <c r="AD31" s="123">
        <v>6010</v>
      </c>
      <c r="AE31" s="18">
        <v>38.799999999999997</v>
      </c>
      <c r="AF31" s="28">
        <v>7513220</v>
      </c>
      <c r="AG31" s="29">
        <v>1541789</v>
      </c>
      <c r="AH31" s="123">
        <v>7000</v>
      </c>
      <c r="AI31" s="18">
        <v>44.9</v>
      </c>
      <c r="AJ31" s="28">
        <v>361111</v>
      </c>
      <c r="AK31" s="29">
        <v>144001</v>
      </c>
      <c r="AL31" s="123">
        <v>6099</v>
      </c>
      <c r="AM31" s="18">
        <v>38.159999999999997</v>
      </c>
      <c r="AN31" s="28">
        <v>838413</v>
      </c>
      <c r="AO31" s="29">
        <v>415937</v>
      </c>
      <c r="AP31" s="123">
        <v>6085</v>
      </c>
      <c r="AQ31" s="18">
        <v>38.5</v>
      </c>
      <c r="AR31" s="28">
        <v>5320</v>
      </c>
      <c r="AS31" s="29">
        <v>1480</v>
      </c>
    </row>
    <row r="32" spans="1:45" x14ac:dyDescent="0.2">
      <c r="A32" s="35">
        <v>44123</v>
      </c>
      <c r="B32" s="123">
        <v>6790</v>
      </c>
      <c r="C32" s="149">
        <v>43.51</v>
      </c>
      <c r="D32" s="28">
        <v>534226</v>
      </c>
      <c r="E32" s="29">
        <v>353701</v>
      </c>
      <c r="F32" s="32">
        <v>6650</v>
      </c>
      <c r="G32" s="18">
        <v>43.35</v>
      </c>
      <c r="H32" s="28">
        <v>48890732</v>
      </c>
      <c r="I32" s="29">
        <v>36628068</v>
      </c>
      <c r="J32" s="32">
        <v>5700</v>
      </c>
      <c r="K32" s="18">
        <v>36.950000000000003</v>
      </c>
      <c r="L32" s="28">
        <v>947710</v>
      </c>
      <c r="M32" s="29">
        <v>945188</v>
      </c>
      <c r="N32" s="123">
        <v>6095</v>
      </c>
      <c r="O32" s="18">
        <v>38.85</v>
      </c>
      <c r="P32" s="28">
        <v>1282796</v>
      </c>
      <c r="Q32" s="29">
        <v>583481</v>
      </c>
      <c r="R32" s="123">
        <v>5394</v>
      </c>
      <c r="S32" s="18">
        <v>35.799999999999997</v>
      </c>
      <c r="T32" s="28">
        <v>3165794</v>
      </c>
      <c r="U32" s="29">
        <v>392571</v>
      </c>
      <c r="V32" s="123">
        <v>7030</v>
      </c>
      <c r="W32" s="18">
        <v>45.1</v>
      </c>
      <c r="X32" s="28">
        <v>197779</v>
      </c>
      <c r="Y32" s="29">
        <v>32421</v>
      </c>
      <c r="Z32" s="123">
        <v>6795</v>
      </c>
      <c r="AA32" s="18">
        <v>43.8</v>
      </c>
      <c r="AB32" s="28">
        <v>15218383</v>
      </c>
      <c r="AC32" s="29">
        <v>3585880</v>
      </c>
      <c r="AD32" s="123">
        <v>6000</v>
      </c>
      <c r="AE32" s="18">
        <v>38.01</v>
      </c>
      <c r="AF32" s="28">
        <v>9368222</v>
      </c>
      <c r="AG32" s="29">
        <v>879857</v>
      </c>
      <c r="AH32" s="123">
        <v>6760</v>
      </c>
      <c r="AI32" s="18">
        <v>43.4</v>
      </c>
      <c r="AJ32" s="28">
        <v>3521</v>
      </c>
      <c r="AK32" s="29">
        <v>105949</v>
      </c>
      <c r="AL32" s="123">
        <v>5864.5</v>
      </c>
      <c r="AM32" s="18">
        <v>38</v>
      </c>
      <c r="AN32" s="28">
        <v>2362520</v>
      </c>
      <c r="AO32" s="29">
        <v>137389</v>
      </c>
      <c r="AP32" s="123">
        <v>5965</v>
      </c>
      <c r="AQ32" s="18">
        <v>37.5</v>
      </c>
      <c r="AR32" s="28">
        <v>25925</v>
      </c>
      <c r="AS32" s="29">
        <v>9387</v>
      </c>
    </row>
    <row r="33" spans="1:45" x14ac:dyDescent="0.2">
      <c r="A33" s="35">
        <v>44124</v>
      </c>
      <c r="B33" s="123">
        <v>6700</v>
      </c>
      <c r="C33" s="149">
        <v>41.7</v>
      </c>
      <c r="D33" s="28">
        <v>4726958</v>
      </c>
      <c r="E33" s="29">
        <v>486192</v>
      </c>
      <c r="F33" s="32">
        <v>6659</v>
      </c>
      <c r="G33" s="18">
        <v>41.38</v>
      </c>
      <c r="H33" s="28">
        <v>48375296</v>
      </c>
      <c r="I33" s="29">
        <v>43269232</v>
      </c>
      <c r="J33" s="32">
        <v>5715</v>
      </c>
      <c r="K33" s="18">
        <v>36.04</v>
      </c>
      <c r="L33" s="28">
        <v>451539</v>
      </c>
      <c r="M33" s="29">
        <v>774542</v>
      </c>
      <c r="N33" s="123">
        <v>6030</v>
      </c>
      <c r="O33" s="18">
        <v>37.799999999999997</v>
      </c>
      <c r="P33" s="28">
        <v>1086363</v>
      </c>
      <c r="Q33" s="29">
        <v>442262</v>
      </c>
      <c r="R33" s="123">
        <v>5430</v>
      </c>
      <c r="S33" s="18">
        <v>34.799999999999997</v>
      </c>
      <c r="T33" s="28">
        <v>1647547</v>
      </c>
      <c r="U33" s="29">
        <v>181084</v>
      </c>
      <c r="V33" s="123">
        <v>7130</v>
      </c>
      <c r="W33" s="18">
        <v>44.5</v>
      </c>
      <c r="X33" s="28">
        <v>455987</v>
      </c>
      <c r="Y33" s="29">
        <v>28430</v>
      </c>
      <c r="Z33" s="123">
        <v>6692</v>
      </c>
      <c r="AA33" s="18">
        <v>41.7</v>
      </c>
      <c r="AB33" s="28">
        <v>11854220</v>
      </c>
      <c r="AC33" s="29">
        <v>3329984</v>
      </c>
      <c r="AD33" s="123">
        <v>5990</v>
      </c>
      <c r="AE33" s="18">
        <v>37</v>
      </c>
      <c r="AF33" s="28">
        <v>6425123</v>
      </c>
      <c r="AG33" s="29">
        <v>3698556</v>
      </c>
      <c r="AH33" s="123">
        <v>6899</v>
      </c>
      <c r="AI33" s="18">
        <v>42.65</v>
      </c>
      <c r="AJ33" s="28">
        <v>33679</v>
      </c>
      <c r="AK33" s="29">
        <v>107377</v>
      </c>
      <c r="AL33" s="123">
        <v>5970</v>
      </c>
      <c r="AM33" s="18">
        <v>37</v>
      </c>
      <c r="AN33" s="28">
        <v>625904</v>
      </c>
      <c r="AO33" s="29">
        <v>157656</v>
      </c>
      <c r="AP33" s="123">
        <v>5825.5</v>
      </c>
      <c r="AQ33" s="18">
        <v>37</v>
      </c>
      <c r="AR33" s="28">
        <v>228798</v>
      </c>
      <c r="AS33" s="29">
        <v>3389</v>
      </c>
    </row>
    <row r="34" spans="1:45" x14ac:dyDescent="0.2">
      <c r="A34" s="35">
        <v>44125</v>
      </c>
      <c r="B34" s="123">
        <v>6829</v>
      </c>
      <c r="C34" s="149">
        <v>41.18</v>
      </c>
      <c r="D34" s="28">
        <v>1281903</v>
      </c>
      <c r="E34" s="29">
        <v>627118</v>
      </c>
      <c r="F34" s="32">
        <v>6555</v>
      </c>
      <c r="G34" s="18">
        <v>40.299999999999997</v>
      </c>
      <c r="H34" s="28">
        <v>79399896</v>
      </c>
      <c r="I34" s="29">
        <v>44927880</v>
      </c>
      <c r="J34" s="32">
        <v>5730</v>
      </c>
      <c r="K34" s="18">
        <v>34.5</v>
      </c>
      <c r="L34" s="28">
        <v>4777305</v>
      </c>
      <c r="M34" s="29">
        <v>338145</v>
      </c>
      <c r="N34" s="123">
        <v>6099</v>
      </c>
      <c r="O34" s="18">
        <v>36.75</v>
      </c>
      <c r="P34" s="28">
        <v>969604</v>
      </c>
      <c r="Q34" s="29">
        <v>1031410</v>
      </c>
      <c r="R34" s="123">
        <v>5609</v>
      </c>
      <c r="S34" s="18">
        <v>33.950000000000003</v>
      </c>
      <c r="T34" s="28">
        <v>1579700</v>
      </c>
      <c r="U34" s="29">
        <v>351983</v>
      </c>
      <c r="V34" s="123">
        <v>7390</v>
      </c>
      <c r="W34" s="18">
        <v>44.3</v>
      </c>
      <c r="X34" s="28">
        <v>876539</v>
      </c>
      <c r="Y34" s="29">
        <v>37314</v>
      </c>
      <c r="Z34" s="123">
        <v>6790</v>
      </c>
      <c r="AA34" s="18">
        <v>40.549999999999997</v>
      </c>
      <c r="AB34" s="28">
        <v>6770565</v>
      </c>
      <c r="AC34" s="29">
        <v>1032296</v>
      </c>
      <c r="AD34" s="123">
        <v>5980</v>
      </c>
      <c r="AE34" s="18">
        <v>36.299999999999997</v>
      </c>
      <c r="AF34" s="28">
        <v>3226420</v>
      </c>
      <c r="AG34" s="29">
        <v>2508362</v>
      </c>
      <c r="AH34" s="123">
        <v>7200</v>
      </c>
      <c r="AI34" s="18">
        <v>43</v>
      </c>
      <c r="AJ34" s="28">
        <v>564855</v>
      </c>
      <c r="AK34" s="29">
        <v>715628</v>
      </c>
      <c r="AL34" s="123">
        <v>6175</v>
      </c>
      <c r="AM34" s="18">
        <v>37</v>
      </c>
      <c r="AN34" s="28">
        <v>550374</v>
      </c>
      <c r="AO34" s="29">
        <v>178767</v>
      </c>
      <c r="AP34" s="123">
        <v>6000</v>
      </c>
      <c r="AQ34" s="18">
        <v>36</v>
      </c>
      <c r="AR34" s="28">
        <v>549092</v>
      </c>
      <c r="AS34" s="29">
        <v>6503</v>
      </c>
    </row>
    <row r="35" spans="1:45" x14ac:dyDescent="0.2">
      <c r="A35" s="35">
        <v>44126</v>
      </c>
      <c r="B35" s="123">
        <v>6939</v>
      </c>
      <c r="C35" s="149">
        <v>42.1</v>
      </c>
      <c r="D35" s="28">
        <v>1281903</v>
      </c>
      <c r="E35" s="29">
        <v>1826143</v>
      </c>
      <c r="F35" s="32">
        <v>6540</v>
      </c>
      <c r="G35" s="18">
        <v>40.1</v>
      </c>
      <c r="H35" s="28">
        <v>62595648</v>
      </c>
      <c r="I35" s="29">
        <v>47730272</v>
      </c>
      <c r="J35" s="32">
        <v>5760</v>
      </c>
      <c r="K35" s="18">
        <v>35</v>
      </c>
      <c r="L35" s="28">
        <v>6738902</v>
      </c>
      <c r="M35" s="29">
        <v>771860</v>
      </c>
      <c r="N35" s="123">
        <v>6099</v>
      </c>
      <c r="O35" s="18">
        <v>37.74</v>
      </c>
      <c r="P35" s="28">
        <v>1450894</v>
      </c>
      <c r="Q35" s="29">
        <v>1184580</v>
      </c>
      <c r="R35" s="123">
        <v>5615</v>
      </c>
      <c r="S35" s="18">
        <v>34.6</v>
      </c>
      <c r="T35" s="28">
        <v>1974491</v>
      </c>
      <c r="U35" s="29">
        <v>673971</v>
      </c>
      <c r="V35" s="123">
        <v>7699</v>
      </c>
      <c r="W35" s="18">
        <v>48</v>
      </c>
      <c r="X35" s="28">
        <v>120884</v>
      </c>
      <c r="Y35" s="29">
        <v>162013</v>
      </c>
      <c r="Z35" s="123">
        <v>6825</v>
      </c>
      <c r="AA35" s="18">
        <v>41.5</v>
      </c>
      <c r="AB35" s="28">
        <v>2968186</v>
      </c>
      <c r="AC35" s="29">
        <v>1858967</v>
      </c>
      <c r="AD35" s="123">
        <v>6177</v>
      </c>
      <c r="AE35" s="18">
        <v>37.200000000000003</v>
      </c>
      <c r="AF35" s="28">
        <v>1602407</v>
      </c>
      <c r="AG35" s="29">
        <v>1119978</v>
      </c>
      <c r="AH35" s="123">
        <v>7250</v>
      </c>
      <c r="AI35" s="18">
        <v>43.5</v>
      </c>
      <c r="AJ35" s="28">
        <v>66036</v>
      </c>
      <c r="AK35" s="29">
        <v>2131093</v>
      </c>
      <c r="AL35" s="123">
        <v>6250</v>
      </c>
      <c r="AM35" s="18">
        <v>37</v>
      </c>
      <c r="AN35" s="28">
        <v>670278</v>
      </c>
      <c r="AO35" s="29">
        <v>202763</v>
      </c>
      <c r="AP35" s="123">
        <v>6050</v>
      </c>
      <c r="AQ35" s="18">
        <v>36.5</v>
      </c>
      <c r="AR35" s="28">
        <v>366048</v>
      </c>
      <c r="AS35" s="29">
        <v>53681</v>
      </c>
    </row>
    <row r="36" spans="1:45" x14ac:dyDescent="0.2">
      <c r="A36" s="35">
        <v>44127</v>
      </c>
      <c r="B36" s="123">
        <v>6805</v>
      </c>
      <c r="C36" s="149">
        <v>43.66</v>
      </c>
      <c r="D36" s="28">
        <v>1662664</v>
      </c>
      <c r="E36" s="29">
        <v>3086700</v>
      </c>
      <c r="F36" s="32">
        <v>6230</v>
      </c>
      <c r="G36" s="18">
        <v>40.15</v>
      </c>
      <c r="H36" s="28">
        <v>81893816</v>
      </c>
      <c r="I36" s="29">
        <v>39416328</v>
      </c>
      <c r="J36" s="32">
        <v>5650</v>
      </c>
      <c r="K36" s="18">
        <v>35.450000000000003</v>
      </c>
      <c r="L36" s="28">
        <v>6414310</v>
      </c>
      <c r="M36" s="29">
        <v>2311004</v>
      </c>
      <c r="N36" s="123">
        <v>5905</v>
      </c>
      <c r="O36" s="18">
        <v>37.28</v>
      </c>
      <c r="P36" s="28">
        <v>1746056</v>
      </c>
      <c r="Q36" s="29">
        <v>1384185</v>
      </c>
      <c r="R36" s="123">
        <v>5460</v>
      </c>
      <c r="S36" s="18">
        <v>34.15</v>
      </c>
      <c r="T36" s="28">
        <v>222196</v>
      </c>
      <c r="U36" s="29">
        <v>390967</v>
      </c>
      <c r="V36" s="123">
        <v>7690</v>
      </c>
      <c r="W36" s="18">
        <v>49</v>
      </c>
      <c r="X36" s="28">
        <v>36065</v>
      </c>
      <c r="Y36" s="29">
        <v>968144</v>
      </c>
      <c r="Z36" s="123">
        <v>6710</v>
      </c>
      <c r="AA36" s="18">
        <v>42.5</v>
      </c>
      <c r="AB36" s="28">
        <v>2886008</v>
      </c>
      <c r="AC36" s="29">
        <v>1929517</v>
      </c>
      <c r="AD36" s="123">
        <v>6030</v>
      </c>
      <c r="AE36" s="18">
        <v>37.75</v>
      </c>
      <c r="AF36" s="28">
        <v>1864799</v>
      </c>
      <c r="AG36" s="29">
        <v>1854072</v>
      </c>
      <c r="AH36" s="123">
        <v>7160</v>
      </c>
      <c r="AI36" s="18">
        <v>45.5</v>
      </c>
      <c r="AJ36" s="28">
        <v>127162</v>
      </c>
      <c r="AK36" s="29">
        <v>167943</v>
      </c>
      <c r="AL36" s="123">
        <v>6200</v>
      </c>
      <c r="AM36" s="18">
        <v>37.549999999999997</v>
      </c>
      <c r="AN36" s="28">
        <v>62261</v>
      </c>
      <c r="AO36" s="29">
        <v>38076</v>
      </c>
      <c r="AP36" s="123">
        <v>5919</v>
      </c>
      <c r="AQ36" s="18">
        <v>36.6</v>
      </c>
      <c r="AR36" s="28">
        <v>9890</v>
      </c>
      <c r="AS36" s="29">
        <v>14456</v>
      </c>
    </row>
    <row r="37" spans="1:45" x14ac:dyDescent="0.2">
      <c r="A37" s="35">
        <v>44130</v>
      </c>
      <c r="B37" s="123">
        <v>6425</v>
      </c>
      <c r="C37" s="149">
        <v>40.56</v>
      </c>
      <c r="D37" s="28">
        <v>445341</v>
      </c>
      <c r="E37" s="29">
        <v>358025</v>
      </c>
      <c r="F37" s="32">
        <v>6010</v>
      </c>
      <c r="G37" s="18">
        <v>38.229999999999997</v>
      </c>
      <c r="H37" s="28">
        <v>50372024</v>
      </c>
      <c r="I37" s="29">
        <v>24301469</v>
      </c>
      <c r="J37" s="32">
        <v>5450</v>
      </c>
      <c r="K37" s="18">
        <v>34.200000000000003</v>
      </c>
      <c r="L37" s="28">
        <v>515705</v>
      </c>
      <c r="M37" s="29">
        <v>229983</v>
      </c>
      <c r="N37" s="123">
        <v>5635</v>
      </c>
      <c r="O37" s="18">
        <v>36</v>
      </c>
      <c r="P37" s="28">
        <v>1203662</v>
      </c>
      <c r="Q37" s="29">
        <v>576824</v>
      </c>
      <c r="R37" s="123">
        <v>5220</v>
      </c>
      <c r="S37" s="18">
        <v>33.4</v>
      </c>
      <c r="T37" s="28">
        <v>149642</v>
      </c>
      <c r="U37" s="29">
        <v>223162</v>
      </c>
      <c r="V37" s="123">
        <v>7431</v>
      </c>
      <c r="W37" s="18">
        <v>47</v>
      </c>
      <c r="X37" s="28">
        <v>21681</v>
      </c>
      <c r="Y37" s="29">
        <v>20086</v>
      </c>
      <c r="Z37" s="123">
        <v>6455</v>
      </c>
      <c r="AA37" s="18">
        <v>40.5</v>
      </c>
      <c r="AB37" s="28">
        <v>8482994</v>
      </c>
      <c r="AC37" s="29">
        <v>825668</v>
      </c>
      <c r="AD37" s="123">
        <v>5650</v>
      </c>
      <c r="AE37" s="18">
        <v>36.479999999999997</v>
      </c>
      <c r="AF37" s="28">
        <v>10657389</v>
      </c>
      <c r="AG37" s="29">
        <v>272400</v>
      </c>
      <c r="AH37" s="123">
        <v>7050</v>
      </c>
      <c r="AI37" s="18">
        <v>44.5</v>
      </c>
      <c r="AJ37" s="28">
        <v>122440</v>
      </c>
      <c r="AK37" s="29">
        <v>201800</v>
      </c>
      <c r="AL37" s="123">
        <v>6000</v>
      </c>
      <c r="AM37" s="18">
        <v>38.200000000000003</v>
      </c>
      <c r="AN37" s="28">
        <v>30681</v>
      </c>
      <c r="AO37" s="29">
        <v>105291</v>
      </c>
      <c r="AP37" s="123">
        <v>5919</v>
      </c>
      <c r="AQ37" s="18">
        <v>36</v>
      </c>
      <c r="AR37" s="28">
        <v>13742</v>
      </c>
      <c r="AS37" s="29">
        <v>13641</v>
      </c>
    </row>
    <row r="38" spans="1:45" x14ac:dyDescent="0.2">
      <c r="A38" s="35">
        <v>44131</v>
      </c>
      <c r="B38" s="123">
        <v>6492</v>
      </c>
      <c r="C38" s="149">
        <v>43</v>
      </c>
      <c r="D38" s="28">
        <v>1393420</v>
      </c>
      <c r="E38" s="29">
        <v>1590669</v>
      </c>
      <c r="F38" s="32">
        <v>6000</v>
      </c>
      <c r="G38" s="18">
        <v>39.22</v>
      </c>
      <c r="H38" s="28">
        <v>43561132</v>
      </c>
      <c r="I38" s="29">
        <v>30689292</v>
      </c>
      <c r="J38" s="32">
        <v>5300</v>
      </c>
      <c r="K38" s="18">
        <v>35.200000000000003</v>
      </c>
      <c r="L38" s="28">
        <v>659781</v>
      </c>
      <c r="M38" s="29">
        <v>578289</v>
      </c>
      <c r="N38" s="123">
        <v>5530</v>
      </c>
      <c r="O38" s="18">
        <v>36.6</v>
      </c>
      <c r="P38" s="28">
        <v>1382429</v>
      </c>
      <c r="Q38" s="29">
        <v>1164066</v>
      </c>
      <c r="R38" s="123">
        <v>5100</v>
      </c>
      <c r="S38" s="18">
        <v>34</v>
      </c>
      <c r="T38" s="28">
        <v>211537</v>
      </c>
      <c r="U38" s="29"/>
      <c r="V38" s="123">
        <v>6910</v>
      </c>
      <c r="W38" s="18">
        <v>45</v>
      </c>
      <c r="X38" s="28"/>
      <c r="Y38" s="29"/>
      <c r="Z38" s="123">
        <v>6258</v>
      </c>
      <c r="AA38" s="18">
        <v>40.5</v>
      </c>
      <c r="AB38" s="28"/>
      <c r="AC38" s="29"/>
      <c r="AD38" s="123">
        <v>5600</v>
      </c>
      <c r="AE38" s="18">
        <v>35.770000000000003</v>
      </c>
      <c r="AF38" s="28"/>
      <c r="AG38" s="29"/>
      <c r="AH38" s="123">
        <v>6510</v>
      </c>
      <c r="AI38" s="18">
        <v>44.45</v>
      </c>
      <c r="AJ38" s="28"/>
      <c r="AK38" s="29"/>
      <c r="AL38" s="123">
        <v>5750</v>
      </c>
      <c r="AM38" s="18">
        <v>37.5</v>
      </c>
      <c r="AN38" s="28"/>
      <c r="AO38" s="29"/>
      <c r="AP38" s="123">
        <v>5500</v>
      </c>
      <c r="AQ38" s="18">
        <v>35.1</v>
      </c>
      <c r="AR38" s="28"/>
      <c r="AS38" s="29"/>
    </row>
    <row r="39" spans="1:45" x14ac:dyDescent="0.2">
      <c r="A39" s="35">
        <v>44132</v>
      </c>
      <c r="B39" s="123">
        <v>6425</v>
      </c>
      <c r="C39" s="149">
        <v>44.2</v>
      </c>
      <c r="D39" s="28">
        <v>443033</v>
      </c>
      <c r="E39" s="29">
        <v>2017051</v>
      </c>
      <c r="F39" s="32">
        <v>5620</v>
      </c>
      <c r="G39" s="18">
        <v>38.799999999999997</v>
      </c>
      <c r="H39" s="28">
        <v>66610248</v>
      </c>
      <c r="I39" s="29">
        <v>32435176</v>
      </c>
      <c r="J39" s="32">
        <v>5200</v>
      </c>
      <c r="K39" s="18">
        <v>35</v>
      </c>
      <c r="L39" s="28">
        <v>1369401</v>
      </c>
      <c r="M39" s="29">
        <v>325223</v>
      </c>
      <c r="N39" s="123">
        <v>5300</v>
      </c>
      <c r="O39" s="18">
        <v>36.1</v>
      </c>
      <c r="P39" s="28">
        <v>1985408</v>
      </c>
      <c r="Q39" s="29">
        <v>1248854</v>
      </c>
      <c r="R39" s="123">
        <v>4915</v>
      </c>
      <c r="S39" s="18">
        <v>33.79</v>
      </c>
      <c r="T39" s="28">
        <v>685956</v>
      </c>
      <c r="U39" s="29"/>
      <c r="V39" s="123">
        <v>7000</v>
      </c>
      <c r="W39" s="18">
        <v>48</v>
      </c>
      <c r="X39" s="28"/>
      <c r="Y39" s="29"/>
      <c r="Z39" s="123">
        <v>6050</v>
      </c>
      <c r="AA39" s="18">
        <v>40.5</v>
      </c>
      <c r="AB39" s="28"/>
      <c r="AC39" s="29"/>
      <c r="AD39" s="123">
        <v>5330</v>
      </c>
      <c r="AE39" s="18">
        <v>36</v>
      </c>
      <c r="AF39" s="28"/>
      <c r="AG39" s="29"/>
      <c r="AH39" s="123">
        <v>6110</v>
      </c>
      <c r="AI39" s="18">
        <v>40</v>
      </c>
      <c r="AJ39" s="28"/>
      <c r="AK39" s="29"/>
      <c r="AL39" s="123">
        <v>5460</v>
      </c>
      <c r="AM39" s="18">
        <v>36.5</v>
      </c>
      <c r="AN39" s="28"/>
      <c r="AO39" s="29"/>
      <c r="AP39" s="123">
        <v>5300</v>
      </c>
      <c r="AQ39" s="18">
        <v>35.15</v>
      </c>
      <c r="AR39" s="28"/>
      <c r="AS39" s="29"/>
    </row>
    <row r="40" spans="1:45" x14ac:dyDescent="0.2">
      <c r="A40" s="35">
        <v>44133</v>
      </c>
      <c r="B40" s="123">
        <v>6475</v>
      </c>
      <c r="C40" s="149">
        <v>45.5</v>
      </c>
      <c r="D40" s="28">
        <v>1022529</v>
      </c>
      <c r="E40" s="29">
        <v>1844992</v>
      </c>
      <c r="F40" s="32">
        <v>5580</v>
      </c>
      <c r="G40" s="18">
        <v>38.74</v>
      </c>
      <c r="H40" s="28">
        <v>57971720</v>
      </c>
      <c r="I40" s="29">
        <v>24101124</v>
      </c>
      <c r="J40" s="32">
        <v>5150</v>
      </c>
      <c r="K40" s="18">
        <v>35.01</v>
      </c>
      <c r="L40" s="28">
        <v>701707</v>
      </c>
      <c r="M40" s="29">
        <v>297759</v>
      </c>
      <c r="N40" s="123">
        <v>5245</v>
      </c>
      <c r="O40" s="18">
        <v>36.090000000000003</v>
      </c>
      <c r="P40" s="28">
        <v>1409621</v>
      </c>
      <c r="Q40" s="29">
        <v>1114368</v>
      </c>
      <c r="R40" s="123">
        <v>4918</v>
      </c>
      <c r="S40" s="18">
        <v>33.65</v>
      </c>
      <c r="T40" s="28">
        <v>304690</v>
      </c>
      <c r="U40" s="29"/>
      <c r="V40" s="123">
        <v>6900</v>
      </c>
      <c r="W40" s="18">
        <v>46.7</v>
      </c>
      <c r="X40" s="28"/>
      <c r="Y40" s="29"/>
      <c r="Z40" s="123">
        <v>5704</v>
      </c>
      <c r="AA40" s="18">
        <v>39.58</v>
      </c>
      <c r="AB40" s="28"/>
      <c r="AC40" s="29"/>
      <c r="AD40" s="123">
        <v>5250</v>
      </c>
      <c r="AE40" s="18">
        <v>35.58</v>
      </c>
      <c r="AF40" s="28"/>
      <c r="AG40" s="29"/>
      <c r="AH40" s="123">
        <v>6400</v>
      </c>
      <c r="AI40" s="18">
        <v>41</v>
      </c>
      <c r="AJ40" s="28"/>
      <c r="AK40" s="29"/>
      <c r="AL40" s="123">
        <v>5450</v>
      </c>
      <c r="AM40" s="18">
        <v>36.799999999999997</v>
      </c>
      <c r="AN40" s="28"/>
      <c r="AO40" s="29"/>
      <c r="AP40" s="123">
        <v>5250</v>
      </c>
      <c r="AQ40" s="18">
        <v>35.799999999999997</v>
      </c>
      <c r="AR40" s="28"/>
      <c r="AS40" s="29"/>
    </row>
    <row r="41" spans="1:45" x14ac:dyDescent="0.2">
      <c r="A41" s="35">
        <v>44134</v>
      </c>
      <c r="B41" s="123">
        <v>6410</v>
      </c>
      <c r="C41" s="149">
        <v>44.9</v>
      </c>
      <c r="D41" s="28">
        <v>833236</v>
      </c>
      <c r="E41" s="29">
        <v>4349002</v>
      </c>
      <c r="F41" s="32">
        <v>5450</v>
      </c>
      <c r="G41" s="18">
        <v>38.049999999999997</v>
      </c>
      <c r="H41" s="28">
        <v>53158016</v>
      </c>
      <c r="I41" s="29">
        <v>24465708</v>
      </c>
      <c r="J41" s="32">
        <v>5021</v>
      </c>
      <c r="K41" s="18">
        <v>35.1</v>
      </c>
      <c r="L41" s="28">
        <v>615092</v>
      </c>
      <c r="M41" s="29">
        <v>241231</v>
      </c>
      <c r="N41" s="123">
        <v>5183</v>
      </c>
      <c r="O41" s="18">
        <v>35.979999999999997</v>
      </c>
      <c r="P41" s="28">
        <v>962045</v>
      </c>
      <c r="Q41" s="29">
        <v>1329842</v>
      </c>
      <c r="R41" s="123">
        <v>4838</v>
      </c>
      <c r="S41" s="18">
        <v>33.5</v>
      </c>
      <c r="T41" s="28">
        <v>296942</v>
      </c>
      <c r="U41" s="29"/>
      <c r="V41" s="123">
        <v>6690</v>
      </c>
      <c r="W41" s="18">
        <v>46.5</v>
      </c>
      <c r="X41" s="28"/>
      <c r="Y41" s="29"/>
      <c r="Z41" s="123">
        <v>5790</v>
      </c>
      <c r="AA41" s="18">
        <v>39.85</v>
      </c>
      <c r="AB41" s="28"/>
      <c r="AC41" s="29"/>
      <c r="AD41" s="123">
        <v>5089</v>
      </c>
      <c r="AE41" s="18">
        <v>35.18</v>
      </c>
      <c r="AF41" s="28"/>
      <c r="AG41" s="29"/>
      <c r="AH41" s="123">
        <v>6100</v>
      </c>
      <c r="AI41" s="18">
        <v>41.5</v>
      </c>
      <c r="AJ41" s="28"/>
      <c r="AK41" s="29"/>
      <c r="AL41" s="123">
        <v>5200</v>
      </c>
      <c r="AM41" s="18">
        <v>36.86</v>
      </c>
      <c r="AN41" s="28"/>
      <c r="AO41" s="29"/>
      <c r="AP41" s="123">
        <v>5215</v>
      </c>
      <c r="AQ41" s="18">
        <v>36</v>
      </c>
      <c r="AR41" s="28"/>
      <c r="AS41" s="29"/>
    </row>
    <row r="42" spans="1:45" x14ac:dyDescent="0.2">
      <c r="A42" s="35">
        <v>44137</v>
      </c>
      <c r="B42" s="123">
        <v>6115</v>
      </c>
      <c r="C42" s="149">
        <v>43.71</v>
      </c>
      <c r="D42" s="28">
        <v>366369</v>
      </c>
      <c r="E42" s="29">
        <v>1760520</v>
      </c>
      <c r="F42" s="32">
        <v>5380</v>
      </c>
      <c r="G42" s="18">
        <v>38.64</v>
      </c>
      <c r="H42" s="28">
        <v>56642272</v>
      </c>
      <c r="I42" s="29">
        <v>27479569</v>
      </c>
      <c r="J42" s="32">
        <v>4975</v>
      </c>
      <c r="K42" s="18">
        <v>35.06</v>
      </c>
      <c r="L42" s="28">
        <v>610909</v>
      </c>
      <c r="M42" s="29">
        <v>254513</v>
      </c>
      <c r="N42" s="123">
        <v>5189</v>
      </c>
      <c r="O42" s="18">
        <v>36.25</v>
      </c>
      <c r="P42" s="28">
        <v>432223</v>
      </c>
      <c r="Q42" s="29">
        <v>684809</v>
      </c>
      <c r="R42" s="123">
        <v>4785</v>
      </c>
      <c r="S42" s="18">
        <v>33.6</v>
      </c>
      <c r="T42" s="28">
        <v>258952</v>
      </c>
      <c r="U42" s="29"/>
      <c r="V42" s="123">
        <v>6435</v>
      </c>
      <c r="W42" s="18">
        <v>44.83</v>
      </c>
      <c r="X42" s="28"/>
      <c r="Y42" s="29"/>
      <c r="Z42" s="123">
        <v>5706</v>
      </c>
      <c r="AA42" s="18">
        <v>40.47</v>
      </c>
      <c r="AB42" s="28"/>
      <c r="AC42" s="29"/>
      <c r="AD42" s="123">
        <v>5100</v>
      </c>
      <c r="AE42" s="18">
        <v>35.4</v>
      </c>
      <c r="AF42" s="28"/>
      <c r="AG42" s="29"/>
      <c r="AH42" s="123">
        <v>5805</v>
      </c>
      <c r="AI42" s="18">
        <v>40.94</v>
      </c>
      <c r="AJ42" s="28"/>
      <c r="AK42" s="29"/>
      <c r="AL42" s="123">
        <v>5300</v>
      </c>
      <c r="AM42" s="18">
        <v>37.25</v>
      </c>
      <c r="AN42" s="28"/>
      <c r="AO42" s="29"/>
      <c r="AP42" s="123">
        <v>5140</v>
      </c>
      <c r="AQ42" s="18">
        <v>36.35</v>
      </c>
      <c r="AR42" s="28"/>
      <c r="AS42" s="29"/>
    </row>
    <row r="43" spans="1:45" x14ac:dyDescent="0.2">
      <c r="A43" s="35">
        <v>44138</v>
      </c>
      <c r="B43" s="123">
        <v>6284</v>
      </c>
      <c r="C43" s="149">
        <v>44.8</v>
      </c>
      <c r="D43" s="28">
        <v>840900</v>
      </c>
      <c r="E43" s="29">
        <v>5065127</v>
      </c>
      <c r="F43" s="32">
        <v>5380</v>
      </c>
      <c r="G43" s="18">
        <v>38.380000000000003</v>
      </c>
      <c r="H43" s="28">
        <v>87152224</v>
      </c>
      <c r="I43" s="29">
        <v>31340808</v>
      </c>
      <c r="J43" s="32">
        <v>5055</v>
      </c>
      <c r="K43" s="18">
        <v>35.5</v>
      </c>
      <c r="L43" s="28">
        <v>351655</v>
      </c>
      <c r="M43" s="29">
        <v>261724</v>
      </c>
      <c r="N43" s="123">
        <v>5280</v>
      </c>
      <c r="O43" s="18">
        <v>36.85</v>
      </c>
      <c r="P43" s="28">
        <v>1956466</v>
      </c>
      <c r="Q43" s="29">
        <v>1337007</v>
      </c>
      <c r="R43" s="123">
        <v>4850</v>
      </c>
      <c r="S43" s="18">
        <v>34.020000000000003</v>
      </c>
      <c r="T43" s="28">
        <v>487323</v>
      </c>
      <c r="U43" s="29"/>
      <c r="V43" s="123">
        <v>6400.5</v>
      </c>
      <c r="W43" s="18">
        <v>44.76</v>
      </c>
      <c r="X43" s="28"/>
      <c r="Y43" s="29"/>
      <c r="Z43" s="123">
        <v>5815</v>
      </c>
      <c r="AA43" s="18">
        <v>41.15</v>
      </c>
      <c r="AB43" s="28"/>
      <c r="AC43" s="29"/>
      <c r="AD43" s="123">
        <v>5236</v>
      </c>
      <c r="AE43" s="18">
        <v>36.1</v>
      </c>
      <c r="AF43" s="28"/>
      <c r="AG43" s="29"/>
      <c r="AH43" s="123">
        <v>5850</v>
      </c>
      <c r="AI43" s="18">
        <v>42</v>
      </c>
      <c r="AJ43" s="28"/>
      <c r="AK43" s="29"/>
      <c r="AL43" s="123">
        <v>5300</v>
      </c>
      <c r="AM43" s="18">
        <v>37.5</v>
      </c>
      <c r="AN43" s="28"/>
      <c r="AO43" s="29"/>
      <c r="AP43" s="123">
        <v>5300</v>
      </c>
      <c r="AQ43" s="18">
        <v>36.450000000000003</v>
      </c>
      <c r="AR43" s="28"/>
      <c r="AS43" s="29"/>
    </row>
    <row r="44" spans="1:45" x14ac:dyDescent="0.2">
      <c r="A44" s="35">
        <v>44139</v>
      </c>
      <c r="B44" s="123">
        <v>6400</v>
      </c>
      <c r="C44" s="149">
        <v>44.9</v>
      </c>
      <c r="D44" s="28">
        <v>1029692</v>
      </c>
      <c r="E44" s="29">
        <v>1048818</v>
      </c>
      <c r="F44" s="32">
        <v>5365</v>
      </c>
      <c r="G44" s="18">
        <v>38.39</v>
      </c>
      <c r="H44" s="28">
        <v>116408192</v>
      </c>
      <c r="I44" s="29">
        <v>30897226</v>
      </c>
      <c r="J44" s="32">
        <v>5115</v>
      </c>
      <c r="K44" s="18">
        <v>35.6</v>
      </c>
      <c r="L44" s="28">
        <v>548014</v>
      </c>
      <c r="M44" s="29">
        <v>798414</v>
      </c>
      <c r="N44" s="123">
        <v>5300</v>
      </c>
      <c r="O44" s="18">
        <v>37.25</v>
      </c>
      <c r="P44" s="28">
        <v>989688</v>
      </c>
      <c r="Q44" s="29">
        <v>759241</v>
      </c>
      <c r="R44" s="123">
        <v>4875</v>
      </c>
      <c r="S44" s="18">
        <v>34</v>
      </c>
      <c r="T44" s="28">
        <v>763759</v>
      </c>
      <c r="U44" s="29"/>
      <c r="V44" s="123">
        <v>6425</v>
      </c>
      <c r="W44" s="18">
        <v>45.5</v>
      </c>
      <c r="X44" s="28"/>
      <c r="Y44" s="29"/>
      <c r="Z44" s="123">
        <v>5895</v>
      </c>
      <c r="AA44" s="18">
        <v>40.92</v>
      </c>
      <c r="AB44" s="28"/>
      <c r="AC44" s="29"/>
      <c r="AD44" s="123">
        <v>5300</v>
      </c>
      <c r="AE44" s="18">
        <v>36.82</v>
      </c>
      <c r="AF44" s="28"/>
      <c r="AG44" s="29"/>
      <c r="AH44" s="123">
        <v>6150</v>
      </c>
      <c r="AI44" s="18">
        <v>43</v>
      </c>
      <c r="AJ44" s="28"/>
      <c r="AK44" s="29"/>
      <c r="AL44" s="123">
        <v>5350</v>
      </c>
      <c r="AM44" s="18">
        <v>37.6</v>
      </c>
      <c r="AN44" s="28"/>
      <c r="AO44" s="29"/>
      <c r="AP44" s="123">
        <v>5400</v>
      </c>
      <c r="AQ44" s="18">
        <v>37.5</v>
      </c>
      <c r="AR44" s="28"/>
      <c r="AS44" s="29"/>
    </row>
    <row r="45" spans="1:45" x14ac:dyDescent="0.2">
      <c r="A45" s="35">
        <v>44140</v>
      </c>
      <c r="B45" s="123">
        <v>6460</v>
      </c>
      <c r="C45" s="149">
        <v>45.5</v>
      </c>
      <c r="D45" s="28">
        <v>1263405</v>
      </c>
      <c r="E45" s="29">
        <v>1698987</v>
      </c>
      <c r="F45" s="32">
        <v>5390</v>
      </c>
      <c r="G45" s="18">
        <v>37.99</v>
      </c>
      <c r="H45" s="28">
        <v>87753064</v>
      </c>
      <c r="I45" s="29">
        <v>29120152</v>
      </c>
      <c r="J45" s="32">
        <v>5175</v>
      </c>
      <c r="K45" s="18">
        <v>36.25</v>
      </c>
      <c r="L45" s="28">
        <v>443167</v>
      </c>
      <c r="M45" s="29">
        <v>905777</v>
      </c>
      <c r="N45" s="123">
        <v>5335</v>
      </c>
      <c r="O45" s="18">
        <v>37.4</v>
      </c>
      <c r="P45" s="28">
        <v>755031</v>
      </c>
      <c r="Q45" s="29">
        <v>312041</v>
      </c>
      <c r="R45" s="123">
        <v>4980</v>
      </c>
      <c r="S45" s="18">
        <v>34.61</v>
      </c>
      <c r="T45" s="28">
        <v>666844</v>
      </c>
      <c r="U45" s="29"/>
      <c r="V45" s="123">
        <v>6900</v>
      </c>
      <c r="W45" s="18">
        <v>45.6</v>
      </c>
      <c r="X45" s="28"/>
      <c r="Y45" s="29"/>
      <c r="Z45" s="123">
        <v>5890</v>
      </c>
      <c r="AA45" s="18">
        <v>40.65</v>
      </c>
      <c r="AB45" s="28"/>
      <c r="AC45" s="29"/>
      <c r="AD45" s="123">
        <v>5400</v>
      </c>
      <c r="AE45" s="18">
        <v>37.69</v>
      </c>
      <c r="AF45" s="28"/>
      <c r="AG45" s="29"/>
      <c r="AH45" s="123">
        <v>6200</v>
      </c>
      <c r="AI45" s="18">
        <v>44.3</v>
      </c>
      <c r="AJ45" s="28"/>
      <c r="AK45" s="29"/>
      <c r="AL45" s="123">
        <v>5690</v>
      </c>
      <c r="AM45" s="18">
        <v>39.299999999999997</v>
      </c>
      <c r="AN45" s="28"/>
      <c r="AO45" s="29"/>
      <c r="AP45" s="123">
        <v>5400</v>
      </c>
      <c r="AQ45" s="18">
        <v>37.5</v>
      </c>
      <c r="AR45" s="28"/>
      <c r="AS45" s="29"/>
    </row>
    <row r="46" spans="1:45" x14ac:dyDescent="0.2">
      <c r="A46" s="35">
        <v>44141</v>
      </c>
      <c r="B46" s="123">
        <v>6368</v>
      </c>
      <c r="C46" s="149">
        <v>45.41</v>
      </c>
      <c r="D46" s="28">
        <v>1461815</v>
      </c>
      <c r="E46" s="29">
        <v>1781193</v>
      </c>
      <c r="F46" s="32">
        <v>5380</v>
      </c>
      <c r="G46" s="18">
        <v>38</v>
      </c>
      <c r="H46" s="28">
        <v>28537284</v>
      </c>
      <c r="I46" s="29">
        <v>14146712</v>
      </c>
      <c r="J46" s="32">
        <v>5150</v>
      </c>
      <c r="K46" s="18">
        <v>35.799999999999997</v>
      </c>
      <c r="L46" s="28">
        <v>126188</v>
      </c>
      <c r="M46" s="29">
        <v>209222</v>
      </c>
      <c r="N46" s="123">
        <v>5347</v>
      </c>
      <c r="O46" s="18">
        <v>37.380000000000003</v>
      </c>
      <c r="P46" s="28">
        <v>374558</v>
      </c>
      <c r="Q46" s="29">
        <v>1071319</v>
      </c>
      <c r="R46" s="123">
        <v>4998</v>
      </c>
      <c r="S46" s="18">
        <v>34.590000000000003</v>
      </c>
      <c r="T46" s="28">
        <v>253526</v>
      </c>
      <c r="U46" s="29"/>
      <c r="V46" s="123">
        <v>6450</v>
      </c>
      <c r="W46" s="18">
        <v>45.6</v>
      </c>
      <c r="X46" s="28"/>
      <c r="Y46" s="29"/>
      <c r="Z46" s="123">
        <v>5850</v>
      </c>
      <c r="AA46" s="18">
        <v>40.5</v>
      </c>
      <c r="AB46" s="28"/>
      <c r="AC46" s="29"/>
      <c r="AD46" s="123">
        <v>5405</v>
      </c>
      <c r="AE46" s="18">
        <v>37.700000000000003</v>
      </c>
      <c r="AF46" s="28"/>
      <c r="AG46" s="29"/>
      <c r="AH46" s="123">
        <v>5680</v>
      </c>
      <c r="AI46" s="18">
        <v>39.299999999999997</v>
      </c>
      <c r="AJ46" s="28"/>
      <c r="AK46" s="29"/>
      <c r="AL46" s="123">
        <v>5680</v>
      </c>
      <c r="AM46" s="18">
        <v>39.299999999999997</v>
      </c>
      <c r="AN46" s="28"/>
      <c r="AO46" s="29"/>
      <c r="AP46" s="123">
        <v>5400</v>
      </c>
      <c r="AQ46" s="18">
        <v>37.5</v>
      </c>
      <c r="AR46" s="28"/>
      <c r="AS46" s="29"/>
    </row>
    <row r="47" spans="1:45" x14ac:dyDescent="0.2">
      <c r="A47" s="35">
        <v>44144</v>
      </c>
      <c r="B47" s="123">
        <v>6431</v>
      </c>
      <c r="C47" s="149">
        <v>45.7</v>
      </c>
      <c r="D47" s="28">
        <v>1067245</v>
      </c>
      <c r="E47" s="29">
        <v>2226688</v>
      </c>
      <c r="F47" s="32">
        <v>5445</v>
      </c>
      <c r="G47" s="18">
        <v>38.35</v>
      </c>
      <c r="H47" s="28">
        <v>51388616</v>
      </c>
      <c r="I47" s="29">
        <v>30985402</v>
      </c>
      <c r="J47" s="32">
        <v>5350</v>
      </c>
      <c r="K47" s="18">
        <v>37.25</v>
      </c>
      <c r="L47" s="28">
        <v>2074096</v>
      </c>
      <c r="M47" s="29">
        <v>419920</v>
      </c>
      <c r="N47" s="123">
        <v>5401</v>
      </c>
      <c r="O47" s="18">
        <v>37.9</v>
      </c>
      <c r="P47" s="28">
        <v>780052</v>
      </c>
      <c r="Q47" s="29">
        <v>854613</v>
      </c>
      <c r="R47" s="123">
        <v>5010</v>
      </c>
      <c r="S47" s="18">
        <v>34.75</v>
      </c>
      <c r="T47" s="28">
        <v>586065</v>
      </c>
      <c r="U47" s="29"/>
      <c r="V47" s="123">
        <v>6651</v>
      </c>
      <c r="W47" s="18">
        <v>46</v>
      </c>
      <c r="X47" s="28"/>
      <c r="Y47" s="29"/>
      <c r="Z47" s="123">
        <v>5980</v>
      </c>
      <c r="AA47" s="18">
        <v>41.64</v>
      </c>
      <c r="AB47" s="28"/>
      <c r="AC47" s="29"/>
      <c r="AD47" s="123">
        <v>5370</v>
      </c>
      <c r="AE47" s="18">
        <v>38.270000000000003</v>
      </c>
      <c r="AF47" s="28"/>
      <c r="AG47" s="29"/>
      <c r="AH47" s="123">
        <v>6175</v>
      </c>
      <c r="AI47" s="18">
        <v>44</v>
      </c>
      <c r="AJ47" s="28"/>
      <c r="AK47" s="29"/>
      <c r="AL47" s="123">
        <v>5605</v>
      </c>
      <c r="AM47" s="18">
        <v>39.200000000000003</v>
      </c>
      <c r="AN47" s="28"/>
      <c r="AO47" s="29"/>
      <c r="AP47" s="123">
        <v>5400</v>
      </c>
      <c r="AQ47" s="18">
        <v>37.9</v>
      </c>
      <c r="AR47" s="28"/>
      <c r="AS47" s="29"/>
    </row>
    <row r="48" spans="1:45" x14ac:dyDescent="0.2">
      <c r="A48" s="35">
        <v>44145</v>
      </c>
      <c r="B48" s="123">
        <v>6388.5</v>
      </c>
      <c r="C48" s="149">
        <v>45.15</v>
      </c>
      <c r="D48" s="28">
        <v>1500837</v>
      </c>
      <c r="E48" s="29">
        <v>3634966</v>
      </c>
      <c r="F48" s="32">
        <v>5431</v>
      </c>
      <c r="G48" s="18">
        <v>38.4</v>
      </c>
      <c r="H48" s="28">
        <v>73240184</v>
      </c>
      <c r="I48" s="29">
        <v>19927984</v>
      </c>
      <c r="J48" s="32">
        <v>5280</v>
      </c>
      <c r="K48" s="18">
        <v>37.1</v>
      </c>
      <c r="L48" s="28">
        <v>590022</v>
      </c>
      <c r="M48" s="29">
        <v>461105</v>
      </c>
      <c r="N48" s="123">
        <v>5500</v>
      </c>
      <c r="O48" s="18">
        <v>38.5</v>
      </c>
      <c r="P48" s="28">
        <v>3812448</v>
      </c>
      <c r="Q48" s="29">
        <v>545224</v>
      </c>
      <c r="R48" s="123">
        <v>5030</v>
      </c>
      <c r="S48" s="18">
        <v>35.200000000000003</v>
      </c>
      <c r="T48" s="28">
        <v>439324</v>
      </c>
      <c r="U48" s="29"/>
      <c r="V48" s="123">
        <v>6650</v>
      </c>
      <c r="W48" s="18">
        <v>46.49</v>
      </c>
      <c r="X48" s="28"/>
      <c r="Y48" s="29"/>
      <c r="Z48" s="123">
        <v>5979</v>
      </c>
      <c r="AA48" s="18">
        <v>41.5</v>
      </c>
      <c r="AB48" s="28"/>
      <c r="AC48" s="29"/>
      <c r="AD48" s="123">
        <v>5501</v>
      </c>
      <c r="AE48" s="18">
        <v>38.4</v>
      </c>
      <c r="AF48" s="28"/>
      <c r="AG48" s="29"/>
      <c r="AH48" s="123">
        <v>6000</v>
      </c>
      <c r="AI48" s="18">
        <v>43.01</v>
      </c>
      <c r="AJ48" s="28"/>
      <c r="AK48" s="29"/>
      <c r="AL48" s="123">
        <v>5645</v>
      </c>
      <c r="AM48" s="18">
        <v>39.49</v>
      </c>
      <c r="AN48" s="28"/>
      <c r="AO48" s="29"/>
      <c r="AP48" s="123">
        <v>5420</v>
      </c>
      <c r="AQ48" s="18">
        <v>38</v>
      </c>
      <c r="AR48" s="28"/>
      <c r="AS48" s="29"/>
    </row>
    <row r="49" spans="1:45" x14ac:dyDescent="0.2">
      <c r="A49" s="35">
        <v>44146</v>
      </c>
      <c r="B49" s="123">
        <v>6330</v>
      </c>
      <c r="C49" s="149">
        <v>44.8</v>
      </c>
      <c r="D49" s="28">
        <v>3436057</v>
      </c>
      <c r="E49" s="29">
        <v>2954089</v>
      </c>
      <c r="F49" s="32">
        <v>5705</v>
      </c>
      <c r="G49" s="18">
        <v>39.200000000000003</v>
      </c>
      <c r="H49" s="28">
        <v>42125360</v>
      </c>
      <c r="I49" s="29">
        <v>26339668</v>
      </c>
      <c r="J49" s="32">
        <v>5292</v>
      </c>
      <c r="K49" s="18">
        <v>37.299999999999997</v>
      </c>
      <c r="L49" s="28">
        <v>1208041</v>
      </c>
      <c r="M49" s="29">
        <v>358989</v>
      </c>
      <c r="N49" s="123">
        <v>5690</v>
      </c>
      <c r="O49" s="18">
        <v>38.450000000000003</v>
      </c>
      <c r="P49" s="28">
        <v>1988073</v>
      </c>
      <c r="Q49" s="29">
        <v>327522</v>
      </c>
      <c r="R49" s="123">
        <v>5100</v>
      </c>
      <c r="S49" s="18">
        <v>35.39</v>
      </c>
      <c r="T49" s="28">
        <v>599952</v>
      </c>
      <c r="U49" s="29"/>
      <c r="V49" s="123">
        <v>6650</v>
      </c>
      <c r="W49" s="18">
        <v>46.2</v>
      </c>
      <c r="X49" s="28"/>
      <c r="Y49" s="29"/>
      <c r="Z49" s="123">
        <v>5990</v>
      </c>
      <c r="AA49" s="18">
        <v>41.9</v>
      </c>
      <c r="AB49" s="28"/>
      <c r="AC49" s="29"/>
      <c r="AD49" s="123">
        <v>5620</v>
      </c>
      <c r="AE49" s="18">
        <v>38.75</v>
      </c>
      <c r="AF49" s="28"/>
      <c r="AG49" s="29"/>
      <c r="AH49" s="123">
        <v>6190</v>
      </c>
      <c r="AI49" s="18">
        <v>43.5</v>
      </c>
      <c r="AJ49" s="28"/>
      <c r="AK49" s="29"/>
      <c r="AL49" s="123">
        <v>5605.5</v>
      </c>
      <c r="AM49" s="18">
        <v>39.1</v>
      </c>
      <c r="AN49" s="28"/>
      <c r="AO49" s="29"/>
      <c r="AP49" s="123">
        <v>5399</v>
      </c>
      <c r="AQ49" s="18">
        <v>38</v>
      </c>
      <c r="AR49" s="28"/>
      <c r="AS49" s="29"/>
    </row>
    <row r="50" spans="1:45" x14ac:dyDescent="0.2">
      <c r="A50" s="35">
        <v>44147</v>
      </c>
      <c r="B50" s="123">
        <v>6200</v>
      </c>
      <c r="C50" s="149">
        <v>44</v>
      </c>
      <c r="D50" s="28">
        <v>2294322</v>
      </c>
      <c r="E50" s="29">
        <v>692657</v>
      </c>
      <c r="F50" s="32">
        <v>5585</v>
      </c>
      <c r="G50" s="18">
        <v>39.47</v>
      </c>
      <c r="H50" s="28">
        <v>69275968</v>
      </c>
      <c r="I50" s="29">
        <v>35554692</v>
      </c>
      <c r="J50" s="32">
        <v>5211</v>
      </c>
      <c r="K50" s="18">
        <v>36.6</v>
      </c>
      <c r="L50" s="28">
        <v>944852</v>
      </c>
      <c r="M50" s="29">
        <v>855521</v>
      </c>
      <c r="N50" s="123">
        <v>5560</v>
      </c>
      <c r="O50" s="18">
        <v>39</v>
      </c>
      <c r="P50" s="28">
        <v>1269924</v>
      </c>
      <c r="Q50" s="29">
        <v>854433</v>
      </c>
      <c r="R50" s="123">
        <v>5095</v>
      </c>
      <c r="S50" s="18">
        <v>35.65</v>
      </c>
      <c r="T50" s="28">
        <v>1047664</v>
      </c>
      <c r="U50" s="29"/>
      <c r="V50" s="123">
        <v>6550</v>
      </c>
      <c r="W50" s="18">
        <v>46.25</v>
      </c>
      <c r="X50" s="28"/>
      <c r="Y50" s="29"/>
      <c r="Z50" s="123">
        <v>5970</v>
      </c>
      <c r="AA50" s="18">
        <v>42.25</v>
      </c>
      <c r="AB50" s="28"/>
      <c r="AC50" s="29"/>
      <c r="AD50" s="123">
        <v>5455</v>
      </c>
      <c r="AE50" s="18">
        <v>38.450000000000003</v>
      </c>
      <c r="AF50" s="28"/>
      <c r="AG50" s="29"/>
      <c r="AH50" s="123">
        <v>6140</v>
      </c>
      <c r="AI50" s="18">
        <v>43</v>
      </c>
      <c r="AJ50" s="28"/>
      <c r="AK50" s="29"/>
      <c r="AL50" s="123">
        <v>5650</v>
      </c>
      <c r="AM50" s="18">
        <v>40</v>
      </c>
      <c r="AN50" s="28"/>
      <c r="AO50" s="29"/>
      <c r="AP50" s="123">
        <v>5400</v>
      </c>
      <c r="AQ50" s="18">
        <v>38.25</v>
      </c>
      <c r="AR50" s="28"/>
      <c r="AS50" s="29"/>
    </row>
    <row r="51" spans="1:45" x14ac:dyDescent="0.2">
      <c r="A51" s="35">
        <v>44148</v>
      </c>
      <c r="B51" s="123">
        <v>6379</v>
      </c>
      <c r="C51" s="149">
        <v>45</v>
      </c>
      <c r="D51" s="28">
        <v>1409468</v>
      </c>
      <c r="E51" s="29">
        <v>837888</v>
      </c>
      <c r="F51" s="32">
        <v>5635</v>
      </c>
      <c r="G51" s="18">
        <v>39.9</v>
      </c>
      <c r="H51" s="28">
        <v>63864188</v>
      </c>
      <c r="I51" s="29">
        <v>32497368</v>
      </c>
      <c r="J51" s="32">
        <v>5234.5</v>
      </c>
      <c r="K51" s="18">
        <v>36.83</v>
      </c>
      <c r="L51" s="28">
        <v>1010401</v>
      </c>
      <c r="M51" s="29">
        <v>691341</v>
      </c>
      <c r="N51" s="123">
        <v>5631</v>
      </c>
      <c r="O51" s="18">
        <v>39.67</v>
      </c>
      <c r="P51" s="28">
        <v>1549039</v>
      </c>
      <c r="Q51" s="29">
        <v>724472</v>
      </c>
      <c r="R51" s="123">
        <v>5140</v>
      </c>
      <c r="S51" s="18">
        <v>35.89</v>
      </c>
      <c r="T51" s="28">
        <v>1007719</v>
      </c>
      <c r="U51" s="29"/>
      <c r="V51" s="123">
        <v>6650</v>
      </c>
      <c r="W51" s="18">
        <v>46.25</v>
      </c>
      <c r="X51" s="28"/>
      <c r="Y51" s="29"/>
      <c r="Z51" s="123">
        <v>6050</v>
      </c>
      <c r="AA51" s="18">
        <v>42.5</v>
      </c>
      <c r="AB51" s="28"/>
      <c r="AC51" s="29"/>
      <c r="AD51" s="123">
        <v>5575</v>
      </c>
      <c r="AE51" s="18">
        <v>38.880000000000003</v>
      </c>
      <c r="AF51" s="28"/>
      <c r="AG51" s="29"/>
      <c r="AH51" s="123">
        <v>6200</v>
      </c>
      <c r="AI51" s="18">
        <v>44.65</v>
      </c>
      <c r="AJ51" s="28"/>
      <c r="AK51" s="29"/>
      <c r="AL51" s="123">
        <v>5685</v>
      </c>
      <c r="AM51" s="18">
        <v>40</v>
      </c>
      <c r="AN51" s="28"/>
      <c r="AO51" s="29"/>
      <c r="AP51" s="123">
        <v>5500</v>
      </c>
      <c r="AQ51" s="18">
        <v>39</v>
      </c>
      <c r="AR51" s="28"/>
      <c r="AS51" s="29"/>
    </row>
    <row r="52" spans="1:45" x14ac:dyDescent="0.2">
      <c r="A52" s="35">
        <v>44151</v>
      </c>
      <c r="B52" s="123">
        <v>6405</v>
      </c>
      <c r="C52" s="149">
        <v>45</v>
      </c>
      <c r="D52" s="28"/>
      <c r="E52" s="29"/>
      <c r="F52" s="32">
        <v>5750</v>
      </c>
      <c r="G52" s="18">
        <v>40.26</v>
      </c>
      <c r="H52" s="28"/>
      <c r="I52" s="29"/>
      <c r="J52" s="32">
        <v>5349</v>
      </c>
      <c r="K52" s="18">
        <v>37.25</v>
      </c>
      <c r="L52" s="28"/>
      <c r="M52" s="29"/>
      <c r="N52" s="123">
        <v>5720</v>
      </c>
      <c r="O52" s="18">
        <v>39.799999999999997</v>
      </c>
      <c r="P52" s="28"/>
      <c r="Q52" s="29"/>
      <c r="R52" s="123">
        <v>5180</v>
      </c>
      <c r="S52" s="18">
        <v>36.18</v>
      </c>
      <c r="T52" s="28"/>
      <c r="U52" s="29"/>
      <c r="V52" s="123">
        <v>6635</v>
      </c>
      <c r="W52" s="18">
        <v>46.01</v>
      </c>
      <c r="X52" s="28"/>
      <c r="Y52" s="29"/>
      <c r="Z52" s="123">
        <v>6175</v>
      </c>
      <c r="AA52" s="18">
        <v>42.84</v>
      </c>
      <c r="AB52" s="28"/>
      <c r="AC52" s="29"/>
      <c r="AD52" s="123">
        <v>5600</v>
      </c>
      <c r="AE52" s="18">
        <v>39.130000000000003</v>
      </c>
      <c r="AF52" s="28"/>
      <c r="AG52" s="29"/>
      <c r="AH52" s="123">
        <v>6225</v>
      </c>
      <c r="AI52" s="18">
        <v>44.5</v>
      </c>
      <c r="AJ52" s="28"/>
      <c r="AK52" s="29"/>
      <c r="AL52" s="123">
        <v>5775</v>
      </c>
      <c r="AM52" s="18">
        <v>40.1</v>
      </c>
      <c r="AN52" s="28"/>
      <c r="AO52" s="29"/>
      <c r="AP52" s="123">
        <v>5600</v>
      </c>
      <c r="AQ52" s="18">
        <v>39.25</v>
      </c>
      <c r="AR52" s="28"/>
      <c r="AS52" s="29"/>
    </row>
    <row r="53" spans="1:45" x14ac:dyDescent="0.2">
      <c r="A53" s="35">
        <v>44152</v>
      </c>
      <c r="B53" s="123">
        <v>6329.5</v>
      </c>
      <c r="C53" s="149">
        <v>44.05</v>
      </c>
      <c r="D53" s="28"/>
      <c r="E53" s="29"/>
      <c r="F53" s="32">
        <v>5790</v>
      </c>
      <c r="G53" s="18">
        <v>40.18</v>
      </c>
      <c r="H53" s="28"/>
      <c r="I53" s="29"/>
      <c r="J53" s="32">
        <v>5415</v>
      </c>
      <c r="K53" s="18">
        <v>37.200000000000003</v>
      </c>
      <c r="L53" s="28"/>
      <c r="M53" s="29"/>
      <c r="N53" s="123">
        <v>5729</v>
      </c>
      <c r="O53" s="18">
        <v>39.65</v>
      </c>
      <c r="P53" s="28"/>
      <c r="Q53" s="29"/>
      <c r="R53" s="123">
        <v>5144.5</v>
      </c>
      <c r="S53" s="18">
        <v>35.799999999999997</v>
      </c>
      <c r="T53" s="28"/>
      <c r="U53" s="29"/>
      <c r="V53" s="123">
        <v>6580</v>
      </c>
      <c r="W53" s="18">
        <v>45.7</v>
      </c>
      <c r="X53" s="28"/>
      <c r="Y53" s="29"/>
      <c r="Z53" s="123">
        <v>6070</v>
      </c>
      <c r="AA53" s="18">
        <v>41.69</v>
      </c>
      <c r="AB53" s="28"/>
      <c r="AC53" s="29"/>
      <c r="AD53" s="123">
        <v>5600</v>
      </c>
      <c r="AE53" s="18">
        <v>38.450000000000003</v>
      </c>
      <c r="AF53" s="28"/>
      <c r="AG53" s="29"/>
      <c r="AH53" s="123">
        <v>6250</v>
      </c>
      <c r="AI53" s="18">
        <v>42.92</v>
      </c>
      <c r="AJ53" s="28"/>
      <c r="AK53" s="29"/>
      <c r="AL53" s="123">
        <v>5775</v>
      </c>
      <c r="AM53" s="18">
        <v>39.340000000000003</v>
      </c>
      <c r="AN53" s="28"/>
      <c r="AO53" s="29"/>
      <c r="AP53" s="123">
        <v>5600</v>
      </c>
      <c r="AQ53" s="18">
        <v>39</v>
      </c>
      <c r="AR53" s="28"/>
      <c r="AS53" s="29"/>
    </row>
    <row r="54" spans="1:45" x14ac:dyDescent="0.2">
      <c r="A54" s="35">
        <v>44153</v>
      </c>
      <c r="B54" s="123">
        <v>6394</v>
      </c>
      <c r="C54" s="149">
        <v>43.5</v>
      </c>
      <c r="D54" s="28"/>
      <c r="E54" s="29"/>
      <c r="F54" s="32">
        <v>5800</v>
      </c>
      <c r="G54" s="18">
        <v>39.74</v>
      </c>
      <c r="H54" s="28"/>
      <c r="I54" s="29"/>
      <c r="J54" s="32">
        <v>5520.5</v>
      </c>
      <c r="K54" s="18">
        <v>37.5</v>
      </c>
      <c r="L54" s="28"/>
      <c r="M54" s="29"/>
      <c r="N54" s="123">
        <v>5780</v>
      </c>
      <c r="O54" s="18">
        <v>39.4</v>
      </c>
      <c r="P54" s="28"/>
      <c r="Q54" s="29"/>
      <c r="R54" s="123">
        <v>5250</v>
      </c>
      <c r="S54" s="18">
        <v>35.65</v>
      </c>
      <c r="T54" s="28"/>
      <c r="U54" s="29"/>
      <c r="V54" s="123">
        <v>6600</v>
      </c>
      <c r="W54" s="18">
        <v>45.5</v>
      </c>
      <c r="X54" s="28"/>
      <c r="Y54" s="29"/>
      <c r="Z54" s="123">
        <v>6095</v>
      </c>
      <c r="AA54" s="18">
        <v>41.41</v>
      </c>
      <c r="AB54" s="28"/>
      <c r="AC54" s="29"/>
      <c r="AD54" s="123">
        <v>5580</v>
      </c>
      <c r="AE54" s="18">
        <v>38.15</v>
      </c>
      <c r="AF54" s="28"/>
      <c r="AG54" s="29"/>
      <c r="AH54" s="123">
        <v>6249</v>
      </c>
      <c r="AI54" s="18">
        <v>42.54</v>
      </c>
      <c r="AJ54" s="28"/>
      <c r="AK54" s="29"/>
      <c r="AL54" s="123">
        <v>5771</v>
      </c>
      <c r="AM54" s="18">
        <v>39.200000000000003</v>
      </c>
      <c r="AN54" s="28"/>
      <c r="AO54" s="29"/>
      <c r="AP54" s="123">
        <v>5550</v>
      </c>
      <c r="AQ54" s="18">
        <v>38</v>
      </c>
      <c r="AR54" s="28"/>
      <c r="AS54" s="29"/>
    </row>
    <row r="55" spans="1:45" x14ac:dyDescent="0.2">
      <c r="A55" s="35">
        <v>44154</v>
      </c>
      <c r="B55" s="123">
        <v>6290</v>
      </c>
      <c r="C55" s="149">
        <v>42.3</v>
      </c>
      <c r="D55" s="28"/>
      <c r="E55" s="29"/>
      <c r="F55" s="32">
        <v>5777.5</v>
      </c>
      <c r="G55" s="18">
        <v>39.43</v>
      </c>
      <c r="H55" s="28"/>
      <c r="I55" s="29"/>
      <c r="J55" s="32">
        <v>5450</v>
      </c>
      <c r="K55" s="18">
        <v>36.89</v>
      </c>
      <c r="L55" s="28"/>
      <c r="M55" s="29"/>
      <c r="N55" s="123">
        <v>5744</v>
      </c>
      <c r="O55" s="18">
        <v>39</v>
      </c>
      <c r="P55" s="28"/>
      <c r="Q55" s="29"/>
      <c r="R55" s="123">
        <v>5218</v>
      </c>
      <c r="S55" s="18">
        <v>35.25</v>
      </c>
      <c r="T55" s="28"/>
      <c r="U55" s="29"/>
      <c r="V55" s="123">
        <v>6550</v>
      </c>
      <c r="W55" s="18">
        <v>44.5</v>
      </c>
      <c r="X55" s="28"/>
      <c r="Y55" s="29"/>
      <c r="Z55" s="123">
        <v>6024</v>
      </c>
      <c r="AA55" s="18">
        <v>40.9</v>
      </c>
      <c r="AB55" s="28"/>
      <c r="AC55" s="29"/>
      <c r="AD55" s="123">
        <v>5520</v>
      </c>
      <c r="AE55" s="18">
        <v>37.299999999999997</v>
      </c>
      <c r="AF55" s="28"/>
      <c r="AG55" s="29"/>
      <c r="AH55" s="123">
        <v>6199.5</v>
      </c>
      <c r="AI55" s="18">
        <v>41.53</v>
      </c>
      <c r="AJ55" s="28"/>
      <c r="AK55" s="29"/>
      <c r="AL55" s="123">
        <v>5710</v>
      </c>
      <c r="AM55" s="18">
        <v>37.9</v>
      </c>
      <c r="AN55" s="28"/>
      <c r="AO55" s="29"/>
      <c r="AP55" s="123">
        <v>5544</v>
      </c>
      <c r="AQ55" s="18">
        <v>37.5</v>
      </c>
      <c r="AR55" s="28"/>
      <c r="AS55" s="29"/>
    </row>
    <row r="56" spans="1:45" x14ac:dyDescent="0.2">
      <c r="A56" s="35">
        <v>44155</v>
      </c>
      <c r="B56" s="123">
        <v>6285.5</v>
      </c>
      <c r="C56" s="149">
        <v>42.2</v>
      </c>
      <c r="D56" s="28"/>
      <c r="E56" s="29"/>
      <c r="F56" s="32">
        <v>5747</v>
      </c>
      <c r="G56" s="18">
        <v>39.049999999999997</v>
      </c>
      <c r="H56" s="28"/>
      <c r="I56" s="29"/>
      <c r="J56" s="32">
        <v>5438</v>
      </c>
      <c r="K56" s="18">
        <v>36.75</v>
      </c>
      <c r="L56" s="28"/>
      <c r="M56" s="29"/>
      <c r="N56" s="123">
        <v>5690</v>
      </c>
      <c r="O56" s="18">
        <v>38.79</v>
      </c>
      <c r="P56" s="28"/>
      <c r="Q56" s="29"/>
      <c r="R56" s="123">
        <v>5229.5</v>
      </c>
      <c r="S56" s="18">
        <v>35.200000000000003</v>
      </c>
      <c r="T56" s="28"/>
      <c r="U56" s="29"/>
      <c r="V56" s="123">
        <v>6520</v>
      </c>
      <c r="W56" s="18">
        <v>44.01</v>
      </c>
      <c r="X56" s="28"/>
      <c r="Y56" s="29"/>
      <c r="Z56" s="123">
        <v>6021</v>
      </c>
      <c r="AA56" s="18">
        <v>40.85</v>
      </c>
      <c r="AB56" s="28"/>
      <c r="AC56" s="29"/>
      <c r="AD56" s="123">
        <v>5540</v>
      </c>
      <c r="AE56" s="18">
        <v>37.65</v>
      </c>
      <c r="AF56" s="28"/>
      <c r="AG56" s="29"/>
      <c r="AH56" s="123">
        <v>6174</v>
      </c>
      <c r="AI56" s="18">
        <v>42</v>
      </c>
      <c r="AJ56" s="28"/>
      <c r="AK56" s="29"/>
      <c r="AL56" s="123">
        <v>5529.5</v>
      </c>
      <c r="AM56" s="18">
        <v>37.5</v>
      </c>
      <c r="AN56" s="28"/>
      <c r="AO56" s="29"/>
      <c r="AP56" s="123">
        <v>5529.5</v>
      </c>
      <c r="AQ56" s="18">
        <v>37.5</v>
      </c>
      <c r="AR56" s="28"/>
      <c r="AS56" s="29"/>
    </row>
    <row r="57" spans="1:45" x14ac:dyDescent="0.2">
      <c r="A57" s="35">
        <v>44159</v>
      </c>
      <c r="B57" s="123">
        <v>6309.5</v>
      </c>
      <c r="C57" s="149">
        <v>42.65</v>
      </c>
      <c r="D57" s="28"/>
      <c r="E57" s="29"/>
      <c r="F57" s="32">
        <v>5745</v>
      </c>
      <c r="G57" s="18">
        <v>38.85</v>
      </c>
      <c r="H57" s="28"/>
      <c r="I57" s="29"/>
      <c r="J57" s="32">
        <v>5339</v>
      </c>
      <c r="K57" s="18">
        <v>36.18</v>
      </c>
      <c r="L57" s="28"/>
      <c r="M57" s="29"/>
      <c r="N57" s="123">
        <v>5590</v>
      </c>
      <c r="O57" s="18">
        <v>38.049999999999997</v>
      </c>
      <c r="P57" s="28"/>
      <c r="Q57" s="29"/>
      <c r="R57" s="123">
        <v>5200</v>
      </c>
      <c r="S57" s="18">
        <v>35</v>
      </c>
      <c r="T57" s="28"/>
      <c r="U57" s="29"/>
      <c r="V57" s="123">
        <v>6629</v>
      </c>
      <c r="W57" s="18">
        <v>44.31</v>
      </c>
      <c r="X57" s="28"/>
      <c r="Y57" s="29"/>
      <c r="Z57" s="123">
        <v>6095</v>
      </c>
      <c r="AA57" s="18">
        <v>41.2</v>
      </c>
      <c r="AB57" s="28"/>
      <c r="AC57" s="29"/>
      <c r="AD57" s="123">
        <v>5531</v>
      </c>
      <c r="AE57" s="18">
        <v>37.549999999999997</v>
      </c>
      <c r="AF57" s="28"/>
      <c r="AG57" s="29"/>
      <c r="AH57" s="123">
        <v>6200</v>
      </c>
      <c r="AI57" s="18">
        <v>41.5</v>
      </c>
      <c r="AJ57" s="28"/>
      <c r="AK57" s="29"/>
      <c r="AL57" s="123">
        <v>5650</v>
      </c>
      <c r="AM57" s="18">
        <v>38.5</v>
      </c>
      <c r="AN57" s="28"/>
      <c r="AO57" s="29"/>
      <c r="AP57" s="123">
        <v>5500</v>
      </c>
      <c r="AQ57" s="18">
        <v>37.299999999999997</v>
      </c>
      <c r="AR57" s="28"/>
      <c r="AS57" s="29"/>
    </row>
    <row r="58" spans="1:45" x14ac:dyDescent="0.2">
      <c r="A58" s="35">
        <v>44160</v>
      </c>
      <c r="B58" s="123">
        <v>6325</v>
      </c>
      <c r="C58" s="149">
        <v>43.3</v>
      </c>
      <c r="D58" s="28"/>
      <c r="E58" s="29"/>
      <c r="F58" s="32">
        <v>5750</v>
      </c>
      <c r="G58" s="18">
        <v>39.200000000000003</v>
      </c>
      <c r="H58" s="28"/>
      <c r="I58" s="29"/>
      <c r="J58" s="32">
        <v>5298</v>
      </c>
      <c r="K58" s="18">
        <v>36.4</v>
      </c>
      <c r="L58" s="28"/>
      <c r="M58" s="29"/>
      <c r="N58" s="123">
        <v>5502</v>
      </c>
      <c r="O58" s="18">
        <v>38</v>
      </c>
      <c r="P58" s="28"/>
      <c r="Q58" s="29"/>
      <c r="R58" s="123">
        <v>5189</v>
      </c>
      <c r="S58" s="18">
        <v>35.4</v>
      </c>
      <c r="T58" s="28"/>
      <c r="U58" s="29"/>
      <c r="V58" s="123">
        <v>6560</v>
      </c>
      <c r="W58" s="18">
        <v>45</v>
      </c>
      <c r="X58" s="28"/>
      <c r="Y58" s="29"/>
      <c r="Z58" s="123">
        <v>5975</v>
      </c>
      <c r="AA58" s="18">
        <v>40.799999999999997</v>
      </c>
      <c r="AB58" s="28"/>
      <c r="AC58" s="29"/>
      <c r="AD58" s="123">
        <v>5425</v>
      </c>
      <c r="AE58" s="18">
        <v>37.25</v>
      </c>
      <c r="AF58" s="28"/>
      <c r="AG58" s="29"/>
      <c r="AH58" s="123">
        <v>6125</v>
      </c>
      <c r="AI58" s="18">
        <v>41.6</v>
      </c>
      <c r="AJ58" s="28"/>
      <c r="AK58" s="29"/>
      <c r="AL58" s="123">
        <v>5590</v>
      </c>
      <c r="AM58" s="18">
        <v>38</v>
      </c>
      <c r="AN58" s="28"/>
      <c r="AO58" s="29"/>
      <c r="AP58" s="123">
        <v>5534</v>
      </c>
      <c r="AQ58" s="18">
        <v>37.700000000000003</v>
      </c>
      <c r="AR58" s="28"/>
      <c r="AS58" s="29"/>
    </row>
    <row r="59" spans="1:45" x14ac:dyDescent="0.2">
      <c r="A59" s="35">
        <v>44161</v>
      </c>
      <c r="B59" s="123">
        <v>6332</v>
      </c>
      <c r="C59" s="149">
        <v>43.2</v>
      </c>
      <c r="D59" s="28"/>
      <c r="E59" s="29"/>
      <c r="F59" s="32">
        <v>5717</v>
      </c>
      <c r="G59" s="18">
        <v>39</v>
      </c>
      <c r="H59" s="28"/>
      <c r="I59" s="29"/>
      <c r="J59" s="32">
        <v>5240</v>
      </c>
      <c r="K59" s="18">
        <v>35.71</v>
      </c>
      <c r="L59" s="28"/>
      <c r="M59" s="29"/>
      <c r="N59" s="123">
        <v>5530</v>
      </c>
      <c r="O59" s="18">
        <v>37.51</v>
      </c>
      <c r="P59" s="28"/>
      <c r="Q59" s="29"/>
      <c r="R59" s="123">
        <v>5139</v>
      </c>
      <c r="S59" s="18">
        <v>34.9</v>
      </c>
      <c r="T59" s="28"/>
      <c r="U59" s="29"/>
      <c r="V59" s="123">
        <v>6589</v>
      </c>
      <c r="W59" s="18">
        <v>45.1</v>
      </c>
      <c r="X59" s="28"/>
      <c r="Y59" s="29"/>
      <c r="Z59" s="123">
        <v>6071</v>
      </c>
      <c r="AA59" s="18">
        <v>41.2</v>
      </c>
      <c r="AB59" s="28"/>
      <c r="AC59" s="29"/>
      <c r="AD59" s="123">
        <v>5495</v>
      </c>
      <c r="AE59" s="18">
        <v>37.4</v>
      </c>
      <c r="AF59" s="28"/>
      <c r="AG59" s="29"/>
      <c r="AH59" s="123">
        <v>6125</v>
      </c>
      <c r="AI59" s="18">
        <v>41.5</v>
      </c>
      <c r="AJ59" s="28"/>
      <c r="AK59" s="29"/>
      <c r="AL59" s="123">
        <v>5575</v>
      </c>
      <c r="AM59" s="18">
        <v>37.5</v>
      </c>
      <c r="AN59" s="28"/>
      <c r="AO59" s="29"/>
      <c r="AP59" s="123">
        <v>5400</v>
      </c>
      <c r="AQ59" s="18">
        <v>37</v>
      </c>
      <c r="AR59" s="28"/>
      <c r="AS59" s="29"/>
    </row>
    <row r="60" spans="1:45" x14ac:dyDescent="0.2">
      <c r="A60" s="35">
        <v>44162</v>
      </c>
      <c r="B60" s="123">
        <v>6250</v>
      </c>
      <c r="C60" s="149">
        <v>42.97</v>
      </c>
      <c r="D60" s="28"/>
      <c r="E60" s="29"/>
      <c r="F60" s="32">
        <v>5674</v>
      </c>
      <c r="G60" s="18">
        <v>39.01</v>
      </c>
      <c r="H60" s="28"/>
      <c r="I60" s="29"/>
      <c r="J60" s="32">
        <v>5289</v>
      </c>
      <c r="K60" s="18">
        <v>36.229999999999997</v>
      </c>
      <c r="L60" s="28"/>
      <c r="M60" s="29"/>
      <c r="N60" s="123">
        <v>5475</v>
      </c>
      <c r="O60" s="18">
        <v>37.5</v>
      </c>
      <c r="P60" s="28"/>
      <c r="Q60" s="29"/>
      <c r="R60" s="123">
        <v>5139</v>
      </c>
      <c r="S60" s="18">
        <v>35</v>
      </c>
      <c r="T60" s="28"/>
      <c r="U60" s="29"/>
      <c r="V60" s="123">
        <v>6630</v>
      </c>
      <c r="W60" s="18">
        <v>45.1</v>
      </c>
      <c r="X60" s="28"/>
      <c r="Y60" s="29"/>
      <c r="Z60" s="123">
        <v>6105</v>
      </c>
      <c r="AA60" s="18">
        <v>41.49</v>
      </c>
      <c r="AB60" s="28"/>
      <c r="AC60" s="29"/>
      <c r="AD60" s="123">
        <v>5575</v>
      </c>
      <c r="AE60" s="18">
        <v>37.83</v>
      </c>
      <c r="AF60" s="28"/>
      <c r="AG60" s="29"/>
      <c r="AH60" s="123">
        <v>6125</v>
      </c>
      <c r="AI60" s="18">
        <v>41.5</v>
      </c>
      <c r="AJ60" s="28"/>
      <c r="AK60" s="29"/>
      <c r="AL60" s="123">
        <v>5635</v>
      </c>
      <c r="AM60" s="18">
        <v>38</v>
      </c>
      <c r="AN60" s="28"/>
      <c r="AO60" s="29"/>
      <c r="AP60" s="123">
        <v>5430</v>
      </c>
      <c r="AQ60" s="18">
        <v>37</v>
      </c>
      <c r="AR60" s="28"/>
      <c r="AS60" s="29"/>
    </row>
    <row r="61" spans="1:45" x14ac:dyDescent="0.2">
      <c r="A61" s="35">
        <v>44165</v>
      </c>
      <c r="B61" s="123">
        <v>6181</v>
      </c>
      <c r="C61" s="149">
        <v>42.2</v>
      </c>
      <c r="D61" s="28"/>
      <c r="E61" s="29"/>
      <c r="F61" s="32">
        <v>5581</v>
      </c>
      <c r="G61" s="18">
        <v>38.61</v>
      </c>
      <c r="H61" s="28"/>
      <c r="I61" s="29"/>
      <c r="J61" s="32">
        <v>5209</v>
      </c>
      <c r="K61" s="18">
        <v>35.99</v>
      </c>
      <c r="L61" s="28"/>
      <c r="M61" s="29"/>
      <c r="N61" s="123">
        <v>5370.5</v>
      </c>
      <c r="O61" s="18">
        <v>37.15</v>
      </c>
      <c r="P61" s="28"/>
      <c r="Q61" s="29"/>
      <c r="R61" s="123">
        <v>5050</v>
      </c>
      <c r="S61" s="18">
        <v>35</v>
      </c>
      <c r="T61" s="28"/>
      <c r="U61" s="29"/>
      <c r="V61" s="123">
        <v>6500</v>
      </c>
      <c r="W61" s="18">
        <v>44.16</v>
      </c>
      <c r="X61" s="28"/>
      <c r="Y61" s="29"/>
      <c r="Z61" s="123">
        <v>5950</v>
      </c>
      <c r="AA61" s="18">
        <v>40.700000000000003</v>
      </c>
      <c r="AB61" s="28"/>
      <c r="AC61" s="29"/>
      <c r="AD61" s="123">
        <v>5359</v>
      </c>
      <c r="AE61" s="18">
        <v>36.700000000000003</v>
      </c>
      <c r="AF61" s="28"/>
      <c r="AG61" s="29"/>
      <c r="AH61" s="123">
        <v>6125</v>
      </c>
      <c r="AI61" s="18">
        <v>41.9</v>
      </c>
      <c r="AJ61" s="28"/>
      <c r="AK61" s="29"/>
      <c r="AL61" s="123">
        <v>5574</v>
      </c>
      <c r="AM61" s="18">
        <v>38</v>
      </c>
      <c r="AN61" s="28"/>
      <c r="AO61" s="29"/>
      <c r="AP61" s="123">
        <v>5400</v>
      </c>
      <c r="AQ61" s="18">
        <v>37.49</v>
      </c>
      <c r="AR61" s="28"/>
      <c r="AS61" s="29"/>
    </row>
    <row r="62" spans="1:45" x14ac:dyDescent="0.2">
      <c r="A62" s="35">
        <v>44166</v>
      </c>
      <c r="B62" s="123">
        <v>6100</v>
      </c>
      <c r="C62" s="149">
        <v>41.86</v>
      </c>
      <c r="D62" s="28"/>
      <c r="E62" s="29"/>
      <c r="F62" s="32">
        <v>5568</v>
      </c>
      <c r="G62" s="18">
        <v>38.479999999999997</v>
      </c>
      <c r="H62" s="28"/>
      <c r="I62" s="29"/>
      <c r="J62" s="32">
        <v>5159.5</v>
      </c>
      <c r="K62" s="18">
        <v>35.36</v>
      </c>
      <c r="L62" s="28"/>
      <c r="M62" s="29"/>
      <c r="N62" s="123">
        <v>5400</v>
      </c>
      <c r="O62" s="18">
        <v>36.950000000000003</v>
      </c>
      <c r="P62" s="28"/>
      <c r="Q62" s="29"/>
      <c r="R62" s="123">
        <v>5029</v>
      </c>
      <c r="S62" s="18">
        <v>34.6</v>
      </c>
      <c r="T62" s="28"/>
      <c r="U62" s="29"/>
      <c r="V62" s="123">
        <v>6386</v>
      </c>
      <c r="W62" s="18">
        <v>44.22</v>
      </c>
      <c r="X62" s="28"/>
      <c r="Y62" s="29"/>
      <c r="Z62" s="123">
        <v>5890</v>
      </c>
      <c r="AA62" s="18">
        <v>40.68</v>
      </c>
      <c r="AB62" s="28"/>
      <c r="AC62" s="29"/>
      <c r="AD62" s="123">
        <v>5290</v>
      </c>
      <c r="AE62" s="18">
        <v>36.6</v>
      </c>
      <c r="AF62" s="28"/>
      <c r="AG62" s="29"/>
      <c r="AH62" s="123">
        <v>6000</v>
      </c>
      <c r="AI62" s="18">
        <v>41.6</v>
      </c>
      <c r="AJ62" s="28"/>
      <c r="AK62" s="29"/>
      <c r="AL62" s="123">
        <v>5405</v>
      </c>
      <c r="AM62" s="18">
        <v>37.4</v>
      </c>
      <c r="AN62" s="28"/>
      <c r="AO62" s="29"/>
      <c r="AP62" s="123">
        <v>5262</v>
      </c>
      <c r="AQ62" s="18">
        <v>36.25</v>
      </c>
      <c r="AR62" s="28"/>
      <c r="AS62" s="29"/>
    </row>
    <row r="63" spans="1:45" x14ac:dyDescent="0.2">
      <c r="A63" s="35">
        <v>44167</v>
      </c>
      <c r="B63" s="123">
        <v>6006</v>
      </c>
      <c r="C63" s="149">
        <v>41.76</v>
      </c>
      <c r="D63" s="28"/>
      <c r="E63" s="29"/>
      <c r="F63" s="32">
        <v>5579.5</v>
      </c>
      <c r="G63" s="18">
        <v>38.65</v>
      </c>
      <c r="H63" s="28"/>
      <c r="I63" s="29"/>
      <c r="J63" s="32">
        <v>5115</v>
      </c>
      <c r="K63" s="18">
        <v>35.6</v>
      </c>
      <c r="L63" s="28"/>
      <c r="M63" s="29"/>
      <c r="N63" s="123">
        <v>5385</v>
      </c>
      <c r="O63" s="18">
        <v>37.979999999999997</v>
      </c>
      <c r="P63" s="28"/>
      <c r="Q63" s="29"/>
      <c r="R63" s="123">
        <v>5000</v>
      </c>
      <c r="S63" s="18">
        <v>34.700000000000003</v>
      </c>
      <c r="T63" s="28"/>
      <c r="U63" s="29"/>
      <c r="V63" s="123">
        <v>6310</v>
      </c>
      <c r="W63" s="18">
        <v>44</v>
      </c>
      <c r="X63" s="28"/>
      <c r="Y63" s="29"/>
      <c r="Z63" s="123">
        <v>5840</v>
      </c>
      <c r="AA63" s="18">
        <v>40.61</v>
      </c>
      <c r="AB63" s="28"/>
      <c r="AC63" s="29"/>
      <c r="AD63" s="123">
        <v>5250</v>
      </c>
      <c r="AE63" s="18">
        <v>36.299999999999997</v>
      </c>
      <c r="AF63" s="28"/>
      <c r="AG63" s="29"/>
      <c r="AH63" s="123">
        <v>5830</v>
      </c>
      <c r="AI63" s="18">
        <v>40.799999999999997</v>
      </c>
      <c r="AJ63" s="28"/>
      <c r="AK63" s="29"/>
      <c r="AL63" s="123">
        <v>5380</v>
      </c>
      <c r="AM63" s="18">
        <v>36</v>
      </c>
      <c r="AN63" s="28"/>
      <c r="AO63" s="29"/>
      <c r="AP63" s="123">
        <v>5380</v>
      </c>
      <c r="AQ63" s="18">
        <v>36</v>
      </c>
      <c r="AR63" s="28"/>
      <c r="AS63" s="29"/>
    </row>
    <row r="64" spans="1:45" x14ac:dyDescent="0.2">
      <c r="A64" s="35">
        <v>44168</v>
      </c>
      <c r="B64" s="123">
        <v>5850</v>
      </c>
      <c r="C64" s="149">
        <v>41.89</v>
      </c>
      <c r="D64" s="28"/>
      <c r="E64" s="29"/>
      <c r="F64" s="32">
        <v>5450</v>
      </c>
      <c r="G64" s="18">
        <v>39</v>
      </c>
      <c r="H64" s="28"/>
      <c r="I64" s="29"/>
      <c r="J64" s="32">
        <v>5015</v>
      </c>
      <c r="K64" s="18">
        <v>35.68</v>
      </c>
      <c r="L64" s="28"/>
      <c r="M64" s="29"/>
      <c r="N64" s="123">
        <v>5265</v>
      </c>
      <c r="O64" s="18">
        <v>37.700000000000003</v>
      </c>
      <c r="P64" s="28"/>
      <c r="Q64" s="29"/>
      <c r="R64" s="123">
        <v>4909</v>
      </c>
      <c r="S64" s="18">
        <v>34.99</v>
      </c>
      <c r="T64" s="28"/>
      <c r="U64" s="29"/>
      <c r="V64" s="123">
        <v>6277</v>
      </c>
      <c r="W64" s="18">
        <v>44</v>
      </c>
      <c r="X64" s="28"/>
      <c r="Y64" s="29"/>
      <c r="Z64" s="123">
        <v>5695</v>
      </c>
      <c r="AA64" s="18">
        <v>40.5</v>
      </c>
      <c r="AB64" s="28"/>
      <c r="AC64" s="29"/>
      <c r="AD64" s="123">
        <v>5121</v>
      </c>
      <c r="AE64" s="18">
        <v>36.36</v>
      </c>
      <c r="AF64" s="28"/>
      <c r="AG64" s="29"/>
      <c r="AH64" s="123">
        <v>5715</v>
      </c>
      <c r="AI64" s="18">
        <v>40.6</v>
      </c>
      <c r="AJ64" s="28"/>
      <c r="AK64" s="29"/>
      <c r="AL64" s="123">
        <v>5110</v>
      </c>
      <c r="AM64" s="18">
        <v>37.200000000000003</v>
      </c>
      <c r="AN64" s="28"/>
      <c r="AO64" s="29"/>
      <c r="AP64" s="123">
        <v>5100</v>
      </c>
      <c r="AQ64" s="18">
        <v>36.5</v>
      </c>
      <c r="AR64" s="28"/>
      <c r="AS64" s="29"/>
    </row>
    <row r="65" spans="1:45" x14ac:dyDescent="0.2">
      <c r="A65" s="35">
        <v>44169</v>
      </c>
      <c r="B65" s="123">
        <v>5920</v>
      </c>
      <c r="C65" s="149">
        <v>41.76</v>
      </c>
      <c r="D65" s="28"/>
      <c r="E65" s="29"/>
      <c r="F65" s="32">
        <v>5483</v>
      </c>
      <c r="G65" s="18">
        <v>38.6</v>
      </c>
      <c r="H65" s="28"/>
      <c r="I65" s="29"/>
      <c r="J65" s="32">
        <v>5030</v>
      </c>
      <c r="K65" s="18">
        <v>35.299999999999997</v>
      </c>
      <c r="L65" s="28"/>
      <c r="M65" s="29"/>
      <c r="N65" s="123">
        <v>5235</v>
      </c>
      <c r="O65" s="18">
        <v>37.130000000000003</v>
      </c>
      <c r="P65" s="28"/>
      <c r="Q65" s="29"/>
      <c r="R65" s="123">
        <v>4868</v>
      </c>
      <c r="S65" s="18">
        <v>34.47</v>
      </c>
      <c r="T65" s="28"/>
      <c r="U65" s="29"/>
      <c r="V65" s="123">
        <v>6150</v>
      </c>
      <c r="W65" s="18">
        <v>43.7</v>
      </c>
      <c r="X65" s="28"/>
      <c r="Y65" s="29"/>
      <c r="Z65" s="123">
        <v>5700</v>
      </c>
      <c r="AA65" s="18">
        <v>39.94</v>
      </c>
      <c r="AB65" s="28"/>
      <c r="AC65" s="29"/>
      <c r="AD65" s="123">
        <v>5084</v>
      </c>
      <c r="AE65" s="18">
        <v>35.99</v>
      </c>
      <c r="AF65" s="28"/>
      <c r="AG65" s="29"/>
      <c r="AH65" s="123">
        <v>5730</v>
      </c>
      <c r="AI65" s="18">
        <v>40.5</v>
      </c>
      <c r="AJ65" s="28"/>
      <c r="AK65" s="29"/>
      <c r="AL65" s="123">
        <v>5210</v>
      </c>
      <c r="AM65" s="18">
        <v>37</v>
      </c>
      <c r="AN65" s="28"/>
      <c r="AO65" s="29"/>
      <c r="AP65" s="123">
        <v>5145</v>
      </c>
      <c r="AQ65" s="18">
        <v>36.5</v>
      </c>
      <c r="AR65" s="28"/>
      <c r="AS65" s="29"/>
    </row>
    <row r="66" spans="1:45" x14ac:dyDescent="0.2">
      <c r="A66" s="35">
        <v>44174</v>
      </c>
      <c r="B66" s="123">
        <v>5845</v>
      </c>
      <c r="C66" s="149">
        <v>41.7</v>
      </c>
      <c r="D66" s="28"/>
      <c r="E66" s="29"/>
      <c r="F66" s="32">
        <v>5457</v>
      </c>
      <c r="G66" s="18">
        <v>39.119999999999997</v>
      </c>
      <c r="H66" s="28"/>
      <c r="I66" s="29"/>
      <c r="J66" s="32">
        <v>4900</v>
      </c>
      <c r="K66" s="18">
        <v>34.9</v>
      </c>
      <c r="L66" s="28"/>
      <c r="M66" s="29"/>
      <c r="N66" s="123">
        <v>5180</v>
      </c>
      <c r="O66" s="18">
        <v>37.200000000000003</v>
      </c>
      <c r="P66" s="28"/>
      <c r="Q66" s="29"/>
      <c r="R66" s="123">
        <v>4809</v>
      </c>
      <c r="S66" s="18">
        <v>34.47</v>
      </c>
      <c r="T66" s="28"/>
      <c r="U66" s="29"/>
      <c r="V66" s="123">
        <v>6022</v>
      </c>
      <c r="W66" s="18">
        <v>43.5</v>
      </c>
      <c r="X66" s="28"/>
      <c r="Y66" s="29"/>
      <c r="Z66" s="123">
        <v>5610</v>
      </c>
      <c r="AA66" s="18">
        <v>40</v>
      </c>
      <c r="AB66" s="28"/>
      <c r="AC66" s="29"/>
      <c r="AD66" s="123">
        <v>4970</v>
      </c>
      <c r="AE66" s="18">
        <v>35.700000000000003</v>
      </c>
      <c r="AF66" s="28"/>
      <c r="AG66" s="29"/>
      <c r="AH66" s="123">
        <v>5540</v>
      </c>
      <c r="AI66" s="18">
        <v>39.700000000000003</v>
      </c>
      <c r="AJ66" s="28"/>
      <c r="AK66" s="29"/>
      <c r="AL66" s="123">
        <v>5040</v>
      </c>
      <c r="AM66" s="18">
        <v>35.6</v>
      </c>
      <c r="AN66" s="28"/>
      <c r="AO66" s="29"/>
      <c r="AP66" s="123">
        <v>5000</v>
      </c>
      <c r="AQ66" s="18">
        <v>35.409999999999997</v>
      </c>
      <c r="AR66" s="28"/>
      <c r="AS66" s="29"/>
    </row>
    <row r="67" spans="1:45" x14ac:dyDescent="0.2">
      <c r="A67" s="35">
        <v>44175</v>
      </c>
      <c r="B67" s="123">
        <v>5825</v>
      </c>
      <c r="C67" s="149">
        <v>42.12</v>
      </c>
      <c r="D67" s="28"/>
      <c r="E67" s="29"/>
      <c r="F67" s="32">
        <v>5483</v>
      </c>
      <c r="G67" s="18">
        <v>39.67</v>
      </c>
      <c r="H67" s="28"/>
      <c r="I67" s="29"/>
      <c r="J67" s="32">
        <v>4920</v>
      </c>
      <c r="K67" s="18">
        <v>35.51</v>
      </c>
      <c r="L67" s="28"/>
      <c r="M67" s="29"/>
      <c r="N67" s="123">
        <v>5160</v>
      </c>
      <c r="O67" s="18">
        <v>37.35</v>
      </c>
      <c r="P67" s="28"/>
      <c r="Q67" s="29"/>
      <c r="R67" s="123">
        <v>4774</v>
      </c>
      <c r="S67" s="18">
        <v>34.75</v>
      </c>
      <c r="T67" s="28"/>
      <c r="U67" s="29"/>
      <c r="V67" s="123">
        <v>6000</v>
      </c>
      <c r="W67" s="18">
        <v>43.5</v>
      </c>
      <c r="X67" s="28"/>
      <c r="Y67" s="29"/>
      <c r="Z67" s="123">
        <v>5615</v>
      </c>
      <c r="AA67" s="18">
        <v>40.6</v>
      </c>
      <c r="AB67" s="28"/>
      <c r="AC67" s="29"/>
      <c r="AD67" s="123">
        <v>5050</v>
      </c>
      <c r="AE67" s="18">
        <v>36.700000000000003</v>
      </c>
      <c r="AF67" s="28"/>
      <c r="AG67" s="29"/>
      <c r="AH67" s="123">
        <v>5600</v>
      </c>
      <c r="AI67" s="18">
        <v>40.5</v>
      </c>
      <c r="AJ67" s="28"/>
      <c r="AK67" s="29"/>
      <c r="AL67" s="123">
        <v>5161</v>
      </c>
      <c r="AM67" s="18">
        <v>36.799999999999997</v>
      </c>
      <c r="AN67" s="28"/>
      <c r="AO67" s="29"/>
      <c r="AP67" s="123">
        <v>4900</v>
      </c>
      <c r="AQ67" s="18">
        <v>35.6</v>
      </c>
      <c r="AR67" s="28"/>
      <c r="AS67" s="29"/>
    </row>
    <row r="68" spans="1:45" x14ac:dyDescent="0.2">
      <c r="A68" s="35">
        <v>44176</v>
      </c>
      <c r="B68" s="123">
        <v>5890</v>
      </c>
      <c r="C68" s="149">
        <v>41.92</v>
      </c>
      <c r="D68" s="28"/>
      <c r="E68" s="29"/>
      <c r="F68" s="32">
        <v>5570</v>
      </c>
      <c r="G68" s="18">
        <v>39.85</v>
      </c>
      <c r="H68" s="28"/>
      <c r="I68" s="29"/>
      <c r="J68" s="32">
        <v>4975</v>
      </c>
      <c r="K68" s="18">
        <v>35.6</v>
      </c>
      <c r="L68" s="28"/>
      <c r="M68" s="29"/>
      <c r="N68" s="123">
        <v>5210</v>
      </c>
      <c r="O68" s="18">
        <v>37.32</v>
      </c>
      <c r="P68" s="28"/>
      <c r="Q68" s="29"/>
      <c r="R68" s="123">
        <v>4880</v>
      </c>
      <c r="S68" s="18">
        <v>34.92</v>
      </c>
      <c r="T68" s="28"/>
      <c r="U68" s="29"/>
      <c r="V68" s="123">
        <v>6150</v>
      </c>
      <c r="W68" s="18">
        <v>43.69</v>
      </c>
      <c r="X68" s="28"/>
      <c r="Y68" s="29"/>
      <c r="Z68" s="123">
        <v>5730</v>
      </c>
      <c r="AA68" s="18">
        <v>40.79</v>
      </c>
      <c r="AB68" s="28"/>
      <c r="AC68" s="29"/>
      <c r="AD68" s="123">
        <v>5201.5</v>
      </c>
      <c r="AE68" s="18">
        <v>37</v>
      </c>
      <c r="AF68" s="28"/>
      <c r="AG68" s="29"/>
      <c r="AH68" s="123">
        <v>5635</v>
      </c>
      <c r="AI68" s="18">
        <v>40.9</v>
      </c>
      <c r="AJ68" s="28"/>
      <c r="AK68" s="29"/>
      <c r="AL68" s="123">
        <v>5216</v>
      </c>
      <c r="AM68" s="18">
        <v>37.549999999999997</v>
      </c>
      <c r="AN68" s="28"/>
      <c r="AO68" s="29"/>
      <c r="AP68" s="123">
        <v>5000</v>
      </c>
      <c r="AQ68" s="18">
        <v>35.5</v>
      </c>
      <c r="AR68" s="28"/>
      <c r="AS68" s="29"/>
    </row>
    <row r="69" spans="1:45" x14ac:dyDescent="0.2">
      <c r="A69" s="35">
        <v>44179</v>
      </c>
      <c r="B69" s="123">
        <v>5860</v>
      </c>
      <c r="C69" s="149">
        <v>42.01</v>
      </c>
      <c r="D69" s="28"/>
      <c r="E69" s="29"/>
      <c r="F69" s="32">
        <v>5658</v>
      </c>
      <c r="G69" s="18">
        <v>40.33</v>
      </c>
      <c r="H69" s="28"/>
      <c r="I69" s="29"/>
      <c r="J69" s="32">
        <v>4995</v>
      </c>
      <c r="K69" s="18">
        <v>35.6</v>
      </c>
      <c r="L69" s="28"/>
      <c r="M69" s="29"/>
      <c r="N69" s="123">
        <v>5250</v>
      </c>
      <c r="O69" s="18">
        <v>37.42</v>
      </c>
      <c r="P69" s="28"/>
      <c r="Q69" s="29"/>
      <c r="R69" s="123">
        <v>4871</v>
      </c>
      <c r="S69" s="18">
        <v>34.799999999999997</v>
      </c>
      <c r="T69" s="28"/>
      <c r="U69" s="29"/>
      <c r="V69" s="123">
        <v>6210</v>
      </c>
      <c r="W69" s="18">
        <v>44.3</v>
      </c>
      <c r="X69" s="28"/>
      <c r="Y69" s="29"/>
      <c r="Z69" s="123">
        <v>5860</v>
      </c>
      <c r="AA69" s="18">
        <v>41.5</v>
      </c>
      <c r="AB69" s="28"/>
      <c r="AC69" s="29"/>
      <c r="AD69" s="123">
        <v>5230</v>
      </c>
      <c r="AE69" s="18">
        <v>37.1</v>
      </c>
      <c r="AF69" s="28"/>
      <c r="AG69" s="29"/>
      <c r="AH69" s="123">
        <v>5900</v>
      </c>
      <c r="AI69" s="18">
        <v>41</v>
      </c>
      <c r="AJ69" s="28"/>
      <c r="AK69" s="29"/>
      <c r="AL69" s="123">
        <v>5400</v>
      </c>
      <c r="AM69" s="18">
        <v>38.5</v>
      </c>
      <c r="AN69" s="28"/>
      <c r="AO69" s="29"/>
      <c r="AP69" s="123">
        <v>5098</v>
      </c>
      <c r="AQ69" s="18">
        <v>36.049999999999997</v>
      </c>
      <c r="AR69" s="28"/>
      <c r="AS69" s="29"/>
    </row>
    <row r="70" spans="1:45" x14ac:dyDescent="0.2">
      <c r="A70" s="35">
        <v>44180</v>
      </c>
      <c r="B70" s="123">
        <v>5880</v>
      </c>
      <c r="C70" s="149">
        <v>41.75</v>
      </c>
      <c r="D70" s="28"/>
      <c r="E70" s="29"/>
      <c r="F70" s="32">
        <v>5677</v>
      </c>
      <c r="G70" s="18">
        <v>40.03</v>
      </c>
      <c r="H70" s="28"/>
      <c r="I70" s="29"/>
      <c r="J70" s="32">
        <v>5000</v>
      </c>
      <c r="K70" s="18">
        <v>35.1</v>
      </c>
      <c r="L70" s="28"/>
      <c r="M70" s="29"/>
      <c r="N70" s="123">
        <v>5276</v>
      </c>
      <c r="O70" s="18">
        <v>37</v>
      </c>
      <c r="P70" s="28"/>
      <c r="Q70" s="29"/>
      <c r="R70" s="123">
        <v>4925</v>
      </c>
      <c r="S70" s="18">
        <v>34.799999999999997</v>
      </c>
      <c r="T70" s="28"/>
      <c r="U70" s="29"/>
      <c r="V70" s="123">
        <v>6220</v>
      </c>
      <c r="W70" s="18">
        <v>43.9</v>
      </c>
      <c r="X70" s="28"/>
      <c r="Y70" s="29"/>
      <c r="Z70" s="123">
        <v>5790</v>
      </c>
      <c r="AA70" s="18">
        <v>40.659999999999997</v>
      </c>
      <c r="AB70" s="28"/>
      <c r="AC70" s="29"/>
      <c r="AD70" s="123">
        <v>5210</v>
      </c>
      <c r="AE70" s="18">
        <v>36.69</v>
      </c>
      <c r="AF70" s="28"/>
      <c r="AG70" s="29"/>
      <c r="AH70" s="123">
        <v>5960</v>
      </c>
      <c r="AI70" s="18">
        <v>40.700000000000003</v>
      </c>
      <c r="AJ70" s="28"/>
      <c r="AK70" s="29"/>
      <c r="AL70" s="123">
        <v>5375</v>
      </c>
      <c r="AM70" s="18">
        <v>37.6</v>
      </c>
      <c r="AN70" s="28"/>
      <c r="AO70" s="29"/>
      <c r="AP70" s="123">
        <v>5175</v>
      </c>
      <c r="AQ70" s="18">
        <v>35.6</v>
      </c>
      <c r="AR70" s="28"/>
      <c r="AS70" s="29"/>
    </row>
    <row r="71" spans="1:45" x14ac:dyDescent="0.2">
      <c r="A71" s="35">
        <v>44181</v>
      </c>
      <c r="B71" s="123">
        <v>5835</v>
      </c>
      <c r="C71" s="149">
        <v>41.55</v>
      </c>
      <c r="D71" s="28"/>
      <c r="E71" s="29"/>
      <c r="F71" s="32">
        <v>5619.5</v>
      </c>
      <c r="G71" s="18">
        <v>39.78</v>
      </c>
      <c r="H71" s="28"/>
      <c r="I71" s="29"/>
      <c r="J71" s="32">
        <v>4950</v>
      </c>
      <c r="K71" s="18">
        <v>35.1</v>
      </c>
      <c r="L71" s="28"/>
      <c r="M71" s="29"/>
      <c r="N71" s="123">
        <v>5270</v>
      </c>
      <c r="O71" s="18">
        <v>37.28</v>
      </c>
      <c r="P71" s="28"/>
      <c r="Q71" s="29"/>
      <c r="R71" s="123">
        <v>4910</v>
      </c>
      <c r="S71" s="18">
        <v>34.799999999999997</v>
      </c>
      <c r="T71" s="28"/>
      <c r="U71" s="29"/>
      <c r="V71" s="123">
        <v>6150</v>
      </c>
      <c r="W71" s="18">
        <v>43.48</v>
      </c>
      <c r="X71" s="28"/>
      <c r="Y71" s="29"/>
      <c r="Z71" s="123">
        <v>5770</v>
      </c>
      <c r="AA71" s="18">
        <v>40.799999999999997</v>
      </c>
      <c r="AB71" s="28"/>
      <c r="AC71" s="29"/>
      <c r="AD71" s="123">
        <v>5165</v>
      </c>
      <c r="AE71" s="18">
        <v>36.6</v>
      </c>
      <c r="AF71" s="28"/>
      <c r="AG71" s="29"/>
      <c r="AH71" s="123">
        <v>5809</v>
      </c>
      <c r="AI71" s="18">
        <v>41.35</v>
      </c>
      <c r="AJ71" s="28"/>
      <c r="AK71" s="29"/>
      <c r="AL71" s="123">
        <v>5330</v>
      </c>
      <c r="AM71" s="18">
        <v>37.57</v>
      </c>
      <c r="AN71" s="28"/>
      <c r="AO71" s="29"/>
      <c r="AP71" s="123">
        <v>5100</v>
      </c>
      <c r="AQ71" s="18">
        <v>36.25</v>
      </c>
      <c r="AR71" s="28"/>
      <c r="AS71" s="29"/>
    </row>
    <row r="72" spans="1:45" x14ac:dyDescent="0.2">
      <c r="A72" s="35">
        <v>44182</v>
      </c>
      <c r="B72" s="123">
        <v>5820</v>
      </c>
      <c r="C72" s="149">
        <v>41.57</v>
      </c>
      <c r="D72" s="28"/>
      <c r="E72" s="29"/>
      <c r="F72" s="32">
        <v>5609</v>
      </c>
      <c r="G72" s="18">
        <v>39.840000000000003</v>
      </c>
      <c r="H72" s="28"/>
      <c r="I72" s="29"/>
      <c r="J72" s="32">
        <v>5038</v>
      </c>
      <c r="K72" s="18">
        <v>35.85</v>
      </c>
      <c r="L72" s="28"/>
      <c r="M72" s="29"/>
      <c r="N72" s="123">
        <v>5350</v>
      </c>
      <c r="O72" s="18">
        <v>37.9</v>
      </c>
      <c r="P72" s="28"/>
      <c r="Q72" s="29"/>
      <c r="R72" s="123">
        <v>4915</v>
      </c>
      <c r="S72" s="18">
        <v>35.049999999999997</v>
      </c>
      <c r="T72" s="28"/>
      <c r="U72" s="29"/>
      <c r="V72" s="123">
        <v>6110</v>
      </c>
      <c r="W72" s="18">
        <v>43.47</v>
      </c>
      <c r="X72" s="28"/>
      <c r="Y72" s="29"/>
      <c r="Z72" s="123">
        <v>5770</v>
      </c>
      <c r="AA72" s="18">
        <v>41.01</v>
      </c>
      <c r="AB72" s="28"/>
      <c r="AC72" s="29"/>
      <c r="AD72" s="123">
        <v>5195</v>
      </c>
      <c r="AE72" s="18">
        <v>36.9</v>
      </c>
      <c r="AF72" s="28"/>
      <c r="AG72" s="29"/>
      <c r="AH72" s="123">
        <v>5820</v>
      </c>
      <c r="AI72" s="18">
        <v>41.4</v>
      </c>
      <c r="AJ72" s="28"/>
      <c r="AK72" s="29"/>
      <c r="AL72" s="123">
        <v>5329</v>
      </c>
      <c r="AM72" s="18">
        <v>37.799999999999997</v>
      </c>
      <c r="AN72" s="28"/>
      <c r="AO72" s="29"/>
      <c r="AP72" s="123">
        <v>5051</v>
      </c>
      <c r="AQ72" s="18">
        <v>35.909999999999997</v>
      </c>
      <c r="AR72" s="28"/>
      <c r="AS72" s="29"/>
    </row>
    <row r="73" spans="1:45" x14ac:dyDescent="0.2">
      <c r="A73" s="35">
        <v>44183</v>
      </c>
      <c r="B73" s="123">
        <v>5857</v>
      </c>
      <c r="C73" s="149">
        <v>41.75</v>
      </c>
      <c r="D73" s="28"/>
      <c r="E73" s="29"/>
      <c r="F73" s="32">
        <v>5660</v>
      </c>
      <c r="G73" s="18">
        <v>40.22</v>
      </c>
      <c r="H73" s="28"/>
      <c r="I73" s="29"/>
      <c r="J73" s="32">
        <v>5133</v>
      </c>
      <c r="K73" s="18">
        <v>36.18</v>
      </c>
      <c r="L73" s="28"/>
      <c r="M73" s="29"/>
      <c r="N73" s="123">
        <v>5450</v>
      </c>
      <c r="O73" s="18">
        <v>38.26</v>
      </c>
      <c r="P73" s="28"/>
      <c r="Q73" s="29"/>
      <c r="R73" s="123">
        <v>5000</v>
      </c>
      <c r="S73" s="18">
        <v>35.5</v>
      </c>
      <c r="T73" s="28"/>
      <c r="U73" s="29"/>
      <c r="V73" s="123">
        <v>6349</v>
      </c>
      <c r="W73" s="18">
        <v>43.5</v>
      </c>
      <c r="X73" s="28"/>
      <c r="Y73" s="29"/>
      <c r="Z73" s="123">
        <v>5865</v>
      </c>
      <c r="AA73" s="18">
        <v>41.4</v>
      </c>
      <c r="AB73" s="28"/>
      <c r="AC73" s="29"/>
      <c r="AD73" s="123">
        <v>5250</v>
      </c>
      <c r="AE73" s="18">
        <v>37.11</v>
      </c>
      <c r="AF73" s="28"/>
      <c r="AG73" s="29"/>
      <c r="AH73" s="123">
        <v>5905</v>
      </c>
      <c r="AI73" s="18">
        <v>43</v>
      </c>
      <c r="AJ73" s="28"/>
      <c r="AK73" s="29"/>
      <c r="AL73" s="123">
        <v>5450</v>
      </c>
      <c r="AM73" s="18">
        <v>38.5</v>
      </c>
      <c r="AN73" s="28"/>
      <c r="AO73" s="29"/>
      <c r="AP73" s="123">
        <v>5180</v>
      </c>
      <c r="AQ73" s="18">
        <v>36.200000000000003</v>
      </c>
      <c r="AR73" s="28"/>
      <c r="AS73" s="29"/>
    </row>
    <row r="74" spans="1:45" x14ac:dyDescent="0.2">
      <c r="A74" s="35">
        <v>44186</v>
      </c>
      <c r="B74" s="123">
        <v>5870</v>
      </c>
      <c r="C74" s="149">
        <v>42.21</v>
      </c>
      <c r="D74" s="28"/>
      <c r="E74" s="29"/>
      <c r="F74" s="32">
        <v>5655</v>
      </c>
      <c r="G74" s="18">
        <v>40.729999999999997</v>
      </c>
      <c r="H74" s="28"/>
      <c r="I74" s="29"/>
      <c r="J74" s="32">
        <v>5130</v>
      </c>
      <c r="K74" s="18">
        <v>37</v>
      </c>
      <c r="L74" s="28"/>
      <c r="M74" s="29"/>
      <c r="N74" s="123">
        <v>5365</v>
      </c>
      <c r="O74" s="18">
        <v>38.61</v>
      </c>
      <c r="P74" s="28"/>
      <c r="Q74" s="29"/>
      <c r="R74" s="123">
        <v>4928</v>
      </c>
      <c r="S74" s="18">
        <v>35.549999999999997</v>
      </c>
      <c r="T74" s="28"/>
      <c r="U74" s="29"/>
      <c r="V74" s="123">
        <v>6200</v>
      </c>
      <c r="W74" s="18">
        <v>44.38</v>
      </c>
      <c r="X74" s="28"/>
      <c r="Y74" s="29"/>
      <c r="Z74" s="123">
        <v>5755</v>
      </c>
      <c r="AA74" s="18">
        <v>40.94</v>
      </c>
      <c r="AB74" s="28"/>
      <c r="AC74" s="29"/>
      <c r="AD74" s="123">
        <v>5250</v>
      </c>
      <c r="AE74" s="18">
        <v>37.75</v>
      </c>
      <c r="AF74" s="28"/>
      <c r="AG74" s="29"/>
      <c r="AH74" s="123">
        <v>5895</v>
      </c>
      <c r="AI74" s="18">
        <v>42.97</v>
      </c>
      <c r="AJ74" s="28"/>
      <c r="AK74" s="29"/>
      <c r="AL74" s="123">
        <v>5365</v>
      </c>
      <c r="AM74" s="18">
        <v>37.799999999999997</v>
      </c>
      <c r="AN74" s="28"/>
      <c r="AO74" s="29"/>
      <c r="AP74" s="123">
        <v>5297</v>
      </c>
      <c r="AQ74" s="18">
        <v>37.99</v>
      </c>
      <c r="AR74" s="28"/>
      <c r="AS74" s="29"/>
    </row>
    <row r="75" spans="1:45" x14ac:dyDescent="0.2">
      <c r="A75" s="35">
        <v>44187</v>
      </c>
      <c r="B75" s="123">
        <v>5911</v>
      </c>
      <c r="C75" s="149">
        <v>42.3</v>
      </c>
      <c r="D75" s="28"/>
      <c r="E75" s="29"/>
      <c r="F75" s="32">
        <v>5701</v>
      </c>
      <c r="G75" s="18">
        <v>40.71</v>
      </c>
      <c r="H75" s="28"/>
      <c r="I75" s="29"/>
      <c r="J75" s="32">
        <v>5145</v>
      </c>
      <c r="K75" s="18">
        <v>36.5</v>
      </c>
      <c r="L75" s="28"/>
      <c r="M75" s="29"/>
      <c r="N75" s="123">
        <v>5400</v>
      </c>
      <c r="O75" s="18">
        <v>38.65</v>
      </c>
      <c r="P75" s="28"/>
      <c r="Q75" s="29"/>
      <c r="R75" s="123">
        <v>5029</v>
      </c>
      <c r="S75" s="18">
        <v>35.950000000000003</v>
      </c>
      <c r="T75" s="28"/>
      <c r="U75" s="29"/>
      <c r="V75" s="123">
        <v>6150</v>
      </c>
      <c r="W75" s="18">
        <v>43.51</v>
      </c>
      <c r="X75" s="28"/>
      <c r="Y75" s="29"/>
      <c r="Z75" s="123">
        <v>5750</v>
      </c>
      <c r="AA75" s="18">
        <v>41.25</v>
      </c>
      <c r="AB75" s="28"/>
      <c r="AC75" s="29"/>
      <c r="AD75" s="123">
        <v>5300</v>
      </c>
      <c r="AE75" s="18">
        <v>37.549999999999997</v>
      </c>
      <c r="AF75" s="28"/>
      <c r="AG75" s="29"/>
      <c r="AH75" s="123">
        <v>5900</v>
      </c>
      <c r="AI75" s="18">
        <v>41.5</v>
      </c>
      <c r="AJ75" s="28"/>
      <c r="AK75" s="29"/>
      <c r="AL75" s="123">
        <v>5398</v>
      </c>
      <c r="AM75" s="18">
        <v>38.5</v>
      </c>
      <c r="AN75" s="28"/>
      <c r="AO75" s="29"/>
      <c r="AP75" s="123">
        <v>5290</v>
      </c>
      <c r="AQ75" s="18">
        <v>36.81</v>
      </c>
      <c r="AR75" s="28"/>
      <c r="AS75" s="29"/>
    </row>
    <row r="76" spans="1:45" x14ac:dyDescent="0.2">
      <c r="A76" s="35">
        <v>44188</v>
      </c>
      <c r="B76" s="123">
        <v>5950</v>
      </c>
      <c r="C76" s="149">
        <v>42.27</v>
      </c>
      <c r="D76" s="28"/>
      <c r="E76" s="29"/>
      <c r="F76" s="32">
        <v>5701</v>
      </c>
      <c r="G76" s="18">
        <v>40.619999999999997</v>
      </c>
      <c r="H76" s="28"/>
      <c r="I76" s="29"/>
      <c r="J76" s="32">
        <v>5170</v>
      </c>
      <c r="K76" s="18">
        <v>36.299999999999997</v>
      </c>
      <c r="L76" s="28"/>
      <c r="M76" s="29"/>
      <c r="N76" s="123">
        <v>5455</v>
      </c>
      <c r="O76" s="18">
        <v>38.58</v>
      </c>
      <c r="P76" s="28"/>
      <c r="Q76" s="29"/>
      <c r="R76" s="123">
        <v>5000</v>
      </c>
      <c r="S76" s="18">
        <v>35.700000000000003</v>
      </c>
      <c r="T76" s="28"/>
      <c r="U76" s="29"/>
      <c r="V76" s="123">
        <v>6249</v>
      </c>
      <c r="W76" s="18">
        <v>44</v>
      </c>
      <c r="X76" s="28"/>
      <c r="Y76" s="29"/>
      <c r="Z76" s="123">
        <v>5855</v>
      </c>
      <c r="AA76" s="18">
        <v>41.3</v>
      </c>
      <c r="AB76" s="28"/>
      <c r="AC76" s="29"/>
      <c r="AD76" s="123">
        <v>5310</v>
      </c>
      <c r="AE76" s="18">
        <v>37.25</v>
      </c>
      <c r="AF76" s="28"/>
      <c r="AG76" s="29"/>
      <c r="AH76" s="123">
        <v>5955</v>
      </c>
      <c r="AI76" s="18">
        <v>42.1</v>
      </c>
      <c r="AJ76" s="28"/>
      <c r="AK76" s="29"/>
      <c r="AL76" s="123">
        <v>5431</v>
      </c>
      <c r="AM76" s="18">
        <v>38.9</v>
      </c>
      <c r="AN76" s="28"/>
      <c r="AO76" s="29"/>
      <c r="AP76" s="123">
        <v>5295</v>
      </c>
      <c r="AQ76" s="18">
        <v>36.1</v>
      </c>
      <c r="AR76" s="28"/>
      <c r="AS76" s="29"/>
    </row>
    <row r="77" spans="1:45" x14ac:dyDescent="0.2">
      <c r="A77" s="35">
        <v>44193</v>
      </c>
      <c r="B77" s="123">
        <v>5990</v>
      </c>
      <c r="C77" s="149">
        <v>42.24</v>
      </c>
      <c r="D77" s="28"/>
      <c r="E77" s="29"/>
      <c r="F77" s="32">
        <v>5726</v>
      </c>
      <c r="G77" s="18">
        <v>40.9</v>
      </c>
      <c r="H77" s="28"/>
      <c r="I77" s="29"/>
      <c r="J77" s="32">
        <v>5210</v>
      </c>
      <c r="K77" s="18">
        <v>36.75</v>
      </c>
      <c r="L77" s="28"/>
      <c r="M77" s="29"/>
      <c r="N77" s="123">
        <v>5530</v>
      </c>
      <c r="O77" s="18">
        <v>39</v>
      </c>
      <c r="P77" s="28"/>
      <c r="Q77" s="29"/>
      <c r="R77" s="123">
        <v>5090</v>
      </c>
      <c r="S77" s="18">
        <v>35.700000000000003</v>
      </c>
      <c r="T77" s="28"/>
      <c r="U77" s="29"/>
      <c r="V77" s="123">
        <v>6290</v>
      </c>
      <c r="W77" s="18">
        <v>44</v>
      </c>
      <c r="X77" s="28"/>
      <c r="Y77" s="29"/>
      <c r="Z77" s="123">
        <v>5925</v>
      </c>
      <c r="AA77" s="18">
        <v>41.89</v>
      </c>
      <c r="AB77" s="28"/>
      <c r="AC77" s="29"/>
      <c r="AD77" s="123">
        <v>5299.5</v>
      </c>
      <c r="AE77" s="18">
        <v>37.1</v>
      </c>
      <c r="AF77" s="28"/>
      <c r="AG77" s="29"/>
      <c r="AH77" s="123">
        <v>5950</v>
      </c>
      <c r="AI77" s="18">
        <v>42</v>
      </c>
      <c r="AJ77" s="28"/>
      <c r="AK77" s="29"/>
      <c r="AL77" s="123">
        <v>5450</v>
      </c>
      <c r="AM77" s="18">
        <v>38.4</v>
      </c>
      <c r="AN77" s="28"/>
      <c r="AO77" s="29"/>
      <c r="AP77" s="123">
        <v>5255</v>
      </c>
      <c r="AQ77" s="18">
        <v>37.049999999999997</v>
      </c>
      <c r="AR77" s="28"/>
      <c r="AS77" s="29"/>
    </row>
    <row r="78" spans="1:45" x14ac:dyDescent="0.2">
      <c r="A78" s="35">
        <v>44194</v>
      </c>
      <c r="B78" s="123">
        <v>6015</v>
      </c>
      <c r="C78" s="149">
        <v>42.35</v>
      </c>
      <c r="D78" s="28"/>
      <c r="E78" s="29"/>
      <c r="F78" s="32">
        <v>5732</v>
      </c>
      <c r="G78" s="18">
        <v>40.93</v>
      </c>
      <c r="H78" s="28"/>
      <c r="I78" s="29"/>
      <c r="J78" s="32">
        <v>5215</v>
      </c>
      <c r="K78" s="18">
        <v>36.6</v>
      </c>
      <c r="L78" s="28"/>
      <c r="M78" s="29"/>
      <c r="N78" s="123">
        <v>5470</v>
      </c>
      <c r="O78" s="18">
        <v>38.799999999999997</v>
      </c>
      <c r="P78" s="28"/>
      <c r="Q78" s="29"/>
      <c r="R78" s="123">
        <v>5109.5</v>
      </c>
      <c r="S78" s="18">
        <v>35.75</v>
      </c>
      <c r="T78" s="28"/>
      <c r="U78" s="29"/>
      <c r="V78" s="123">
        <v>6360</v>
      </c>
      <c r="W78" s="18">
        <v>44.78</v>
      </c>
      <c r="X78" s="28"/>
      <c r="Y78" s="29"/>
      <c r="Z78" s="123">
        <v>5850</v>
      </c>
      <c r="AA78" s="18">
        <v>41.19</v>
      </c>
      <c r="AB78" s="28"/>
      <c r="AC78" s="29"/>
      <c r="AD78" s="123">
        <v>5275</v>
      </c>
      <c r="AE78" s="18">
        <v>36.99</v>
      </c>
      <c r="AF78" s="28"/>
      <c r="AG78" s="29"/>
      <c r="AH78" s="123">
        <v>5840</v>
      </c>
      <c r="AI78" s="18">
        <v>41.5</v>
      </c>
      <c r="AJ78" s="28"/>
      <c r="AK78" s="29"/>
      <c r="AL78" s="123">
        <v>5430</v>
      </c>
      <c r="AM78" s="18">
        <v>38.130000000000003</v>
      </c>
      <c r="AN78" s="28"/>
      <c r="AO78" s="29"/>
      <c r="AP78" s="123">
        <v>5340</v>
      </c>
      <c r="AQ78" s="18">
        <v>37.5</v>
      </c>
      <c r="AR78" s="28"/>
      <c r="AS78" s="29"/>
    </row>
    <row r="79" spans="1:45" s="78" customFormat="1" x14ac:dyDescent="0.2">
      <c r="A79" s="190">
        <v>44195</v>
      </c>
      <c r="B79" s="191">
        <v>5990</v>
      </c>
      <c r="C79" s="69">
        <v>42.35</v>
      </c>
      <c r="D79" s="192"/>
      <c r="E79" s="193"/>
      <c r="F79" s="194">
        <v>5731</v>
      </c>
      <c r="G79" s="195">
        <v>40.94</v>
      </c>
      <c r="H79" s="192"/>
      <c r="I79" s="193"/>
      <c r="J79" s="194">
        <v>5170</v>
      </c>
      <c r="K79" s="195">
        <v>36.5</v>
      </c>
      <c r="L79" s="192"/>
      <c r="M79" s="193"/>
      <c r="N79" s="191">
        <v>5385</v>
      </c>
      <c r="O79" s="195">
        <v>38.200000000000003</v>
      </c>
      <c r="P79" s="192"/>
      <c r="Q79" s="193"/>
      <c r="R79" s="191">
        <v>5100</v>
      </c>
      <c r="S79" s="195">
        <v>35.9</v>
      </c>
      <c r="T79" s="192"/>
      <c r="U79" s="193"/>
      <c r="V79" s="191">
        <v>6220</v>
      </c>
      <c r="W79" s="195">
        <v>44.9</v>
      </c>
      <c r="X79" s="192"/>
      <c r="Y79" s="193"/>
      <c r="Z79" s="191">
        <v>5901</v>
      </c>
      <c r="AA79" s="195">
        <v>41.59</v>
      </c>
      <c r="AB79" s="192"/>
      <c r="AC79" s="193"/>
      <c r="AD79" s="191">
        <v>5323</v>
      </c>
      <c r="AE79" s="195">
        <v>37.1</v>
      </c>
      <c r="AF79" s="192"/>
      <c r="AG79" s="193"/>
      <c r="AH79" s="191">
        <v>5898.5</v>
      </c>
      <c r="AI79" s="195">
        <v>41.6</v>
      </c>
      <c r="AJ79" s="192"/>
      <c r="AK79" s="193"/>
      <c r="AL79" s="191">
        <v>5450</v>
      </c>
      <c r="AM79" s="195">
        <v>38.979999999999997</v>
      </c>
      <c r="AN79" s="192"/>
      <c r="AO79" s="193"/>
      <c r="AP79" s="191">
        <v>5430</v>
      </c>
      <c r="AQ79" s="195">
        <v>37.700000000000003</v>
      </c>
      <c r="AR79" s="192"/>
      <c r="AS79" s="193"/>
    </row>
    <row r="80" spans="1:45" x14ac:dyDescent="0.2">
      <c r="A80" s="35">
        <v>44200</v>
      </c>
      <c r="B80" s="123">
        <v>5970</v>
      </c>
      <c r="C80" s="149">
        <v>41.36</v>
      </c>
      <c r="D80" s="28"/>
      <c r="E80" s="29"/>
      <c r="F80" s="32">
        <v>5771</v>
      </c>
      <c r="G80" s="18">
        <v>40.549999999999997</v>
      </c>
      <c r="H80" s="28"/>
      <c r="I80" s="29"/>
      <c r="J80" s="32">
        <v>5178</v>
      </c>
      <c r="K80" s="18">
        <v>36.1</v>
      </c>
      <c r="L80" s="28"/>
      <c r="M80" s="29"/>
      <c r="N80" s="123">
        <v>5357</v>
      </c>
      <c r="O80" s="18">
        <v>37.229999999999997</v>
      </c>
      <c r="P80" s="28"/>
      <c r="Q80" s="29"/>
      <c r="R80" s="123">
        <v>4970</v>
      </c>
      <c r="S80" s="18">
        <v>34.799999999999997</v>
      </c>
      <c r="T80" s="28"/>
      <c r="U80" s="29"/>
      <c r="V80" s="123">
        <v>6150</v>
      </c>
      <c r="W80" s="18">
        <v>43.11</v>
      </c>
      <c r="X80" s="28"/>
      <c r="Y80" s="29"/>
      <c r="Z80" s="123">
        <v>5859</v>
      </c>
      <c r="AA80" s="18">
        <v>40.5</v>
      </c>
      <c r="AB80" s="28"/>
      <c r="AC80" s="29"/>
      <c r="AD80" s="123">
        <v>5260</v>
      </c>
      <c r="AE80" s="18">
        <v>36.450000000000003</v>
      </c>
      <c r="AF80" s="28"/>
      <c r="AG80" s="29"/>
      <c r="AH80" s="123">
        <v>5850</v>
      </c>
      <c r="AI80" s="18">
        <v>40.65</v>
      </c>
      <c r="AJ80" s="28"/>
      <c r="AK80" s="29"/>
      <c r="AL80" s="123">
        <v>5400</v>
      </c>
      <c r="AM80" s="18">
        <v>37.659999999999997</v>
      </c>
      <c r="AN80" s="28"/>
      <c r="AO80" s="29"/>
      <c r="AP80" s="123">
        <v>5380</v>
      </c>
      <c r="AQ80" s="18">
        <v>36.200000000000003</v>
      </c>
      <c r="AR80" s="28"/>
      <c r="AS80" s="29"/>
    </row>
    <row r="81" spans="1:45" x14ac:dyDescent="0.2">
      <c r="A81" s="35">
        <v>44201</v>
      </c>
      <c r="B81" s="123">
        <v>5984</v>
      </c>
      <c r="C81" s="149">
        <v>41.25</v>
      </c>
      <c r="D81" s="28"/>
      <c r="E81" s="29"/>
      <c r="F81" s="32">
        <v>5778</v>
      </c>
      <c r="G81" s="18">
        <v>40.25</v>
      </c>
      <c r="H81" s="28"/>
      <c r="I81" s="29"/>
      <c r="J81" s="32">
        <v>5155</v>
      </c>
      <c r="K81" s="18">
        <v>35.64</v>
      </c>
      <c r="L81" s="28"/>
      <c r="M81" s="29"/>
      <c r="N81" s="123">
        <v>5390</v>
      </c>
      <c r="O81" s="18">
        <v>36.9</v>
      </c>
      <c r="P81" s="28"/>
      <c r="Q81" s="29"/>
      <c r="R81" s="123">
        <v>5000</v>
      </c>
      <c r="S81" s="18">
        <v>34.5</v>
      </c>
      <c r="T81" s="28"/>
      <c r="U81" s="29"/>
      <c r="V81" s="123">
        <v>6200</v>
      </c>
      <c r="W81" s="18">
        <v>42.8</v>
      </c>
      <c r="X81" s="28"/>
      <c r="Y81" s="29"/>
      <c r="Z81" s="123">
        <v>5875</v>
      </c>
      <c r="AA81" s="18">
        <v>40.270000000000003</v>
      </c>
      <c r="AB81" s="28"/>
      <c r="AC81" s="29"/>
      <c r="AD81" s="123">
        <v>5300</v>
      </c>
      <c r="AE81" s="18">
        <v>36.1</v>
      </c>
      <c r="AF81" s="28"/>
      <c r="AG81" s="29"/>
      <c r="AH81" s="123">
        <v>5859</v>
      </c>
      <c r="AI81" s="18">
        <v>40</v>
      </c>
      <c r="AJ81" s="28"/>
      <c r="AK81" s="29"/>
      <c r="AL81" s="123">
        <v>5410</v>
      </c>
      <c r="AM81" s="18">
        <v>37.299999999999997</v>
      </c>
      <c r="AN81" s="28"/>
      <c r="AO81" s="29"/>
      <c r="AP81" s="123">
        <v>5250</v>
      </c>
      <c r="AQ81" s="18">
        <v>36</v>
      </c>
      <c r="AR81" s="28"/>
      <c r="AS81" s="29"/>
    </row>
    <row r="82" spans="1:45" x14ac:dyDescent="0.2">
      <c r="A82" s="35">
        <v>44202</v>
      </c>
      <c r="B82" s="123">
        <v>6036</v>
      </c>
      <c r="C82" s="149">
        <v>41.5</v>
      </c>
      <c r="D82" s="28"/>
      <c r="E82" s="29"/>
      <c r="F82" s="32">
        <v>5790</v>
      </c>
      <c r="G82" s="18">
        <v>40.1</v>
      </c>
      <c r="H82" s="28"/>
      <c r="I82" s="29"/>
      <c r="J82" s="32">
        <v>5215</v>
      </c>
      <c r="K82" s="18">
        <v>35.75</v>
      </c>
      <c r="L82" s="28"/>
      <c r="M82" s="29"/>
      <c r="N82" s="123">
        <v>5425</v>
      </c>
      <c r="O82" s="18">
        <v>37.380000000000003</v>
      </c>
      <c r="P82" s="28"/>
      <c r="Q82" s="29"/>
      <c r="R82" s="123">
        <v>5020</v>
      </c>
      <c r="S82" s="18">
        <v>34.5</v>
      </c>
      <c r="T82" s="28"/>
      <c r="U82" s="29"/>
      <c r="V82" s="123">
        <v>6300</v>
      </c>
      <c r="W82" s="18">
        <v>43.85</v>
      </c>
      <c r="X82" s="28"/>
      <c r="Y82" s="29"/>
      <c r="Z82" s="123">
        <v>5980</v>
      </c>
      <c r="AA82" s="18">
        <v>40.950000000000003</v>
      </c>
      <c r="AB82" s="28"/>
      <c r="AC82" s="29"/>
      <c r="AD82" s="123">
        <v>5360</v>
      </c>
      <c r="AE82" s="18">
        <v>36.549999999999997</v>
      </c>
      <c r="AF82" s="28"/>
      <c r="AG82" s="29"/>
      <c r="AH82" s="123">
        <v>6040</v>
      </c>
      <c r="AI82" s="18">
        <v>40.299999999999997</v>
      </c>
      <c r="AJ82" s="28"/>
      <c r="AK82" s="29"/>
      <c r="AL82" s="123">
        <v>5458</v>
      </c>
      <c r="AM82" s="18">
        <v>37.200000000000003</v>
      </c>
      <c r="AN82" s="28"/>
      <c r="AO82" s="29"/>
      <c r="AP82" s="123">
        <v>5230</v>
      </c>
      <c r="AQ82" s="18">
        <v>35.61</v>
      </c>
      <c r="AR82" s="28"/>
      <c r="AS82" s="29"/>
    </row>
    <row r="83" spans="1:45" x14ac:dyDescent="0.2">
      <c r="A83" s="35">
        <v>44203</v>
      </c>
      <c r="B83" s="123">
        <v>6024</v>
      </c>
      <c r="C83" s="149">
        <v>41.23</v>
      </c>
      <c r="D83" s="28"/>
      <c r="E83" s="29"/>
      <c r="F83" s="32">
        <v>5768</v>
      </c>
      <c r="G83" s="18">
        <v>39.549999999999997</v>
      </c>
      <c r="H83" s="28"/>
      <c r="I83" s="29"/>
      <c r="J83" s="32">
        <v>5158.5</v>
      </c>
      <c r="K83" s="18">
        <v>35.11</v>
      </c>
      <c r="L83" s="28"/>
      <c r="M83" s="29"/>
      <c r="N83" s="123">
        <v>5470</v>
      </c>
      <c r="O83" s="18">
        <v>37.11</v>
      </c>
      <c r="P83" s="28"/>
      <c r="Q83" s="29"/>
      <c r="R83" s="123">
        <v>5119</v>
      </c>
      <c r="S83" s="18">
        <v>34.85</v>
      </c>
      <c r="T83" s="28"/>
      <c r="U83" s="29"/>
      <c r="V83" s="123">
        <v>6325</v>
      </c>
      <c r="W83" s="18">
        <v>43</v>
      </c>
      <c r="X83" s="28"/>
      <c r="Y83" s="29"/>
      <c r="Z83" s="123">
        <v>6005</v>
      </c>
      <c r="AA83" s="18">
        <v>40.6</v>
      </c>
      <c r="AB83" s="28"/>
      <c r="AC83" s="29"/>
      <c r="AD83" s="123">
        <v>5390</v>
      </c>
      <c r="AE83" s="18">
        <v>36.299999999999997</v>
      </c>
      <c r="AF83" s="28"/>
      <c r="AG83" s="29"/>
      <c r="AH83" s="123">
        <v>6050</v>
      </c>
      <c r="AI83" s="18">
        <v>40.799999999999997</v>
      </c>
      <c r="AJ83" s="28"/>
      <c r="AK83" s="29"/>
      <c r="AL83" s="123">
        <v>5579</v>
      </c>
      <c r="AM83" s="18">
        <v>38.25</v>
      </c>
      <c r="AN83" s="28"/>
      <c r="AO83" s="29"/>
      <c r="AP83" s="123">
        <f>+Monitor!$C$19</f>
        <v>5830</v>
      </c>
      <c r="AQ83" s="18">
        <f>+Monitor!$D$19</f>
        <v>36.1</v>
      </c>
      <c r="AR83" s="28"/>
      <c r="AS83" s="29"/>
    </row>
    <row r="84" spans="1:45" x14ac:dyDescent="0.2">
      <c r="A84" s="35">
        <v>44204</v>
      </c>
      <c r="B84" s="123">
        <v>6000</v>
      </c>
      <c r="C84" s="149">
        <v>40.85</v>
      </c>
      <c r="D84" s="28"/>
      <c r="E84" s="29"/>
      <c r="F84" s="32">
        <v>5730</v>
      </c>
      <c r="G84" s="18">
        <v>39.5</v>
      </c>
      <c r="H84" s="28"/>
      <c r="I84" s="29"/>
      <c r="J84" s="32">
        <v>5159</v>
      </c>
      <c r="K84" s="18">
        <v>35</v>
      </c>
      <c r="L84" s="28"/>
      <c r="M84" s="29"/>
      <c r="N84" s="123">
        <v>5430</v>
      </c>
      <c r="O84" s="18">
        <v>37.08</v>
      </c>
      <c r="P84" s="28"/>
      <c r="Q84" s="29"/>
      <c r="R84" s="123">
        <v>5145</v>
      </c>
      <c r="S84" s="18">
        <v>34.6</v>
      </c>
      <c r="T84" s="28"/>
      <c r="U84" s="29"/>
      <c r="V84" s="123">
        <v>6350</v>
      </c>
      <c r="W84" s="18">
        <v>43</v>
      </c>
      <c r="X84" s="28"/>
      <c r="Y84" s="29"/>
      <c r="Z84" s="123">
        <v>5975</v>
      </c>
      <c r="AA84" s="18">
        <v>40.46</v>
      </c>
      <c r="AB84" s="28"/>
      <c r="AC84" s="29"/>
      <c r="AD84" s="123">
        <v>5345</v>
      </c>
      <c r="AE84" s="18">
        <v>36.22</v>
      </c>
      <c r="AF84" s="28"/>
      <c r="AG84" s="29"/>
      <c r="AH84" s="123">
        <v>6080</v>
      </c>
      <c r="AI84" s="18">
        <v>41</v>
      </c>
      <c r="AJ84" s="28"/>
      <c r="AK84" s="29"/>
      <c r="AL84" s="123">
        <v>5600</v>
      </c>
      <c r="AM84" s="18">
        <v>39.5</v>
      </c>
      <c r="AN84" s="28"/>
      <c r="AO84" s="29"/>
      <c r="AP84" s="123">
        <v>5295</v>
      </c>
      <c r="AQ84" s="18">
        <v>36</v>
      </c>
      <c r="AR84" s="28"/>
      <c r="AS84" s="29"/>
    </row>
    <row r="85" spans="1:45" x14ac:dyDescent="0.2">
      <c r="A85" s="35">
        <v>44207</v>
      </c>
      <c r="B85" s="123">
        <v>5977</v>
      </c>
      <c r="C85" s="149">
        <v>40.79</v>
      </c>
      <c r="D85" s="28"/>
      <c r="E85" s="29"/>
      <c r="F85" s="32">
        <v>5692</v>
      </c>
      <c r="G85" s="18">
        <v>39.04</v>
      </c>
      <c r="H85" s="28"/>
      <c r="I85" s="29"/>
      <c r="J85" s="32">
        <v>5140</v>
      </c>
      <c r="K85" s="18">
        <v>35</v>
      </c>
      <c r="L85" s="28"/>
      <c r="M85" s="29"/>
      <c r="N85" s="123">
        <v>5360</v>
      </c>
      <c r="O85" s="18">
        <v>36.39</v>
      </c>
      <c r="P85" s="28"/>
      <c r="Q85" s="29"/>
      <c r="R85" s="123">
        <v>5099.5</v>
      </c>
      <c r="S85" s="18">
        <v>34.5</v>
      </c>
      <c r="T85" s="28"/>
      <c r="U85" s="29"/>
      <c r="V85" s="123">
        <v>6365</v>
      </c>
      <c r="W85" s="18">
        <v>43.1</v>
      </c>
      <c r="X85" s="28"/>
      <c r="Y85" s="29"/>
      <c r="Z85" s="123">
        <v>5891</v>
      </c>
      <c r="AA85" s="18">
        <v>40.270000000000003</v>
      </c>
      <c r="AB85" s="28"/>
      <c r="AC85" s="29"/>
      <c r="AD85" s="123">
        <v>5319.5</v>
      </c>
      <c r="AE85" s="18">
        <v>36</v>
      </c>
      <c r="AF85" s="28"/>
      <c r="AG85" s="29"/>
      <c r="AH85" s="123">
        <v>6000</v>
      </c>
      <c r="AI85" s="18">
        <v>40.549999999999997</v>
      </c>
      <c r="AJ85" s="28"/>
      <c r="AK85" s="29"/>
      <c r="AL85" s="123">
        <v>5500</v>
      </c>
      <c r="AM85" s="18">
        <v>37.5</v>
      </c>
      <c r="AN85" s="28"/>
      <c r="AO85" s="29"/>
      <c r="AP85" s="123">
        <v>5300</v>
      </c>
      <c r="AQ85" s="18">
        <v>36</v>
      </c>
      <c r="AR85" s="28"/>
      <c r="AS85" s="29"/>
    </row>
    <row r="86" spans="1:45" x14ac:dyDescent="0.2">
      <c r="A86" s="35">
        <v>44208</v>
      </c>
      <c r="B86" s="123">
        <v>5950</v>
      </c>
      <c r="C86" s="149">
        <v>40.950000000000003</v>
      </c>
      <c r="D86" s="28"/>
      <c r="E86" s="29"/>
      <c r="F86" s="32">
        <v>5660</v>
      </c>
      <c r="G86" s="18">
        <v>39.04</v>
      </c>
      <c r="H86" s="28"/>
      <c r="I86" s="29"/>
      <c r="J86" s="32">
        <v>5114</v>
      </c>
      <c r="K86" s="18">
        <v>34.799999999999997</v>
      </c>
      <c r="L86" s="28"/>
      <c r="M86" s="29"/>
      <c r="N86" s="123">
        <v>5330</v>
      </c>
      <c r="O86" s="18">
        <v>36.35</v>
      </c>
      <c r="P86" s="28"/>
      <c r="Q86" s="29"/>
      <c r="R86" s="123">
        <v>5050</v>
      </c>
      <c r="S86" s="18">
        <v>34.700000000000003</v>
      </c>
      <c r="T86" s="28"/>
      <c r="U86" s="29"/>
      <c r="V86" s="123">
        <v>6385</v>
      </c>
      <c r="W86" s="18">
        <v>39.450000000000003</v>
      </c>
      <c r="X86" s="28"/>
      <c r="Y86" s="29"/>
      <c r="Z86" s="123">
        <v>5905</v>
      </c>
      <c r="AA86" s="18">
        <v>40.35</v>
      </c>
      <c r="AB86" s="28"/>
      <c r="AC86" s="29"/>
      <c r="AD86" s="123">
        <v>5303</v>
      </c>
      <c r="AE86" s="18">
        <v>35.61</v>
      </c>
      <c r="AF86" s="28"/>
      <c r="AG86" s="29"/>
      <c r="AH86" s="123">
        <v>5970</v>
      </c>
      <c r="AI86" s="18">
        <v>40.15</v>
      </c>
      <c r="AJ86" s="28"/>
      <c r="AK86" s="29"/>
      <c r="AL86" s="123">
        <v>5500</v>
      </c>
      <c r="AM86" s="18">
        <v>37.049999999999997</v>
      </c>
      <c r="AN86" s="28"/>
      <c r="AO86" s="29"/>
      <c r="AP86" s="123">
        <v>5300</v>
      </c>
      <c r="AQ86" s="18">
        <v>35</v>
      </c>
      <c r="AR86" s="28"/>
      <c r="AS86" s="29"/>
    </row>
    <row r="87" spans="1:45" x14ac:dyDescent="0.2">
      <c r="A87" s="35">
        <v>44209</v>
      </c>
      <c r="B87" s="123">
        <v>5929</v>
      </c>
      <c r="C87" s="149">
        <v>40.54</v>
      </c>
      <c r="D87" s="28"/>
      <c r="E87" s="29"/>
      <c r="F87" s="32">
        <v>5641</v>
      </c>
      <c r="G87" s="18">
        <v>38.979999999999997</v>
      </c>
      <c r="H87" s="28"/>
      <c r="I87" s="29"/>
      <c r="J87" s="32">
        <v>5050</v>
      </c>
      <c r="K87" s="18">
        <v>34.4</v>
      </c>
      <c r="L87" s="28"/>
      <c r="M87" s="29"/>
      <c r="N87" s="123">
        <v>5255</v>
      </c>
      <c r="O87" s="18">
        <v>36.22</v>
      </c>
      <c r="P87" s="28"/>
      <c r="Q87" s="29"/>
      <c r="R87" s="123">
        <v>4950</v>
      </c>
      <c r="S87" s="18">
        <v>34.25</v>
      </c>
      <c r="T87" s="28"/>
      <c r="U87" s="29"/>
      <c r="V87" s="123">
        <v>6201</v>
      </c>
      <c r="W87" s="18">
        <v>42.2</v>
      </c>
      <c r="X87" s="28"/>
      <c r="Y87" s="29"/>
      <c r="Z87" s="123">
        <v>5753</v>
      </c>
      <c r="AA87" s="18">
        <v>39.36</v>
      </c>
      <c r="AB87" s="28"/>
      <c r="AC87" s="29"/>
      <c r="AD87" s="123">
        <v>5165</v>
      </c>
      <c r="AE87" s="18">
        <v>35.340000000000003</v>
      </c>
      <c r="AF87" s="28"/>
      <c r="AG87" s="29"/>
      <c r="AH87" s="123">
        <v>5870</v>
      </c>
      <c r="AI87" s="18">
        <v>40.299999999999997</v>
      </c>
      <c r="AJ87" s="28"/>
      <c r="AK87" s="29"/>
      <c r="AL87" s="123">
        <v>5325</v>
      </c>
      <c r="AM87" s="18">
        <v>36.5</v>
      </c>
      <c r="AN87" s="28"/>
      <c r="AO87" s="29"/>
      <c r="AP87" s="123">
        <v>5200</v>
      </c>
      <c r="AQ87" s="18">
        <v>35.6</v>
      </c>
      <c r="AR87" s="28"/>
      <c r="AS87" s="29"/>
    </row>
    <row r="88" spans="1:45" x14ac:dyDescent="0.2">
      <c r="A88" s="35">
        <v>44210</v>
      </c>
      <c r="B88" s="123">
        <v>5881</v>
      </c>
      <c r="C88" s="149">
        <v>40.229999999999997</v>
      </c>
      <c r="D88" s="28"/>
      <c r="E88" s="29"/>
      <c r="F88" s="32">
        <v>5635</v>
      </c>
      <c r="G88" s="18">
        <v>38.75</v>
      </c>
      <c r="H88" s="28"/>
      <c r="I88" s="29"/>
      <c r="J88" s="32">
        <v>5010</v>
      </c>
      <c r="K88" s="18">
        <v>34.39</v>
      </c>
      <c r="L88" s="28"/>
      <c r="M88" s="29"/>
      <c r="N88" s="123">
        <v>5190</v>
      </c>
      <c r="O88" s="18">
        <v>35.69</v>
      </c>
      <c r="P88" s="28"/>
      <c r="Q88" s="29"/>
      <c r="R88" s="123">
        <v>4930</v>
      </c>
      <c r="S88" s="18">
        <v>33.799999999999997</v>
      </c>
      <c r="T88" s="28"/>
      <c r="U88" s="29"/>
      <c r="V88" s="123">
        <v>6125</v>
      </c>
      <c r="W88" s="18">
        <v>41.66</v>
      </c>
      <c r="X88" s="28"/>
      <c r="Y88" s="29"/>
      <c r="Z88" s="123">
        <v>5724</v>
      </c>
      <c r="AA88" s="18">
        <v>39</v>
      </c>
      <c r="AB88" s="28"/>
      <c r="AC88" s="29"/>
      <c r="AD88" s="123">
        <v>5074</v>
      </c>
      <c r="AE88" s="18">
        <v>34.450000000000003</v>
      </c>
      <c r="AF88" s="28"/>
      <c r="AG88" s="29"/>
      <c r="AH88" s="123">
        <v>5775</v>
      </c>
      <c r="AI88" s="18">
        <v>39.6</v>
      </c>
      <c r="AJ88" s="28"/>
      <c r="AK88" s="29"/>
      <c r="AL88" s="123">
        <v>5200</v>
      </c>
      <c r="AM88" s="18">
        <v>35.99</v>
      </c>
      <c r="AN88" s="28"/>
      <c r="AO88" s="29"/>
      <c r="AP88" s="123">
        <v>5150</v>
      </c>
      <c r="AQ88" s="18">
        <v>34.950000000000003</v>
      </c>
      <c r="AR88" s="28"/>
      <c r="AS88" s="29"/>
    </row>
    <row r="89" spans="1:45" x14ac:dyDescent="0.2">
      <c r="A89" s="35">
        <v>44211</v>
      </c>
      <c r="B89" s="123">
        <v>5890</v>
      </c>
      <c r="C89" s="149">
        <v>40.08</v>
      </c>
      <c r="D89" s="28"/>
      <c r="E89" s="29"/>
      <c r="F89" s="32">
        <v>5625</v>
      </c>
      <c r="G89" s="18">
        <v>38.69</v>
      </c>
      <c r="H89" s="28"/>
      <c r="I89" s="29"/>
      <c r="J89" s="32">
        <v>5050</v>
      </c>
      <c r="K89" s="18">
        <v>34.25</v>
      </c>
      <c r="L89" s="28"/>
      <c r="M89" s="29"/>
      <c r="N89" s="123">
        <v>5220</v>
      </c>
      <c r="O89" s="18">
        <v>35.700000000000003</v>
      </c>
      <c r="P89" s="28"/>
      <c r="Q89" s="29"/>
      <c r="R89" s="123">
        <v>4940</v>
      </c>
      <c r="S89" s="18">
        <v>33.65</v>
      </c>
      <c r="T89" s="28"/>
      <c r="U89" s="29"/>
      <c r="V89" s="123">
        <v>6200</v>
      </c>
      <c r="W89" s="18">
        <v>42</v>
      </c>
      <c r="X89" s="28"/>
      <c r="Y89" s="29"/>
      <c r="Z89" s="123">
        <v>5784</v>
      </c>
      <c r="AA89" s="18">
        <v>39.090000000000003</v>
      </c>
      <c r="AB89" s="28"/>
      <c r="AC89" s="29"/>
      <c r="AD89" s="123">
        <v>5160</v>
      </c>
      <c r="AE89" s="18">
        <v>34.9</v>
      </c>
      <c r="AF89" s="28"/>
      <c r="AG89" s="29"/>
      <c r="AH89" s="123">
        <v>5800</v>
      </c>
      <c r="AI89" s="18">
        <v>39.5</v>
      </c>
      <c r="AJ89" s="28"/>
      <c r="AK89" s="29"/>
      <c r="AL89" s="123">
        <v>5420</v>
      </c>
      <c r="AM89" s="18">
        <v>37</v>
      </c>
      <c r="AN89" s="28"/>
      <c r="AO89" s="29"/>
      <c r="AP89" s="123">
        <v>5150</v>
      </c>
      <c r="AQ89" s="18">
        <v>35</v>
      </c>
      <c r="AR89" s="28"/>
      <c r="AS89" s="29"/>
    </row>
    <row r="90" spans="1:45" x14ac:dyDescent="0.2">
      <c r="A90" s="35">
        <v>44214</v>
      </c>
      <c r="B90" s="123">
        <v>5854</v>
      </c>
      <c r="C90" s="149">
        <v>40.1</v>
      </c>
      <c r="D90" s="28"/>
      <c r="E90" s="29"/>
      <c r="F90" s="32">
        <v>5640</v>
      </c>
      <c r="G90" s="18">
        <v>38.799999999999997</v>
      </c>
      <c r="H90" s="28"/>
      <c r="I90" s="29"/>
      <c r="J90" s="32">
        <v>4995</v>
      </c>
      <c r="K90" s="18">
        <v>34.25</v>
      </c>
      <c r="L90" s="28"/>
      <c r="M90" s="29"/>
      <c r="N90" s="123">
        <v>5230</v>
      </c>
      <c r="O90" s="18">
        <v>35.799999999999997</v>
      </c>
      <c r="P90" s="28"/>
      <c r="Q90" s="29"/>
      <c r="R90" s="123">
        <v>4955</v>
      </c>
      <c r="S90" s="18">
        <v>33.799999999999997</v>
      </c>
      <c r="T90" s="28"/>
      <c r="U90" s="29"/>
      <c r="V90" s="123">
        <v>6200</v>
      </c>
      <c r="W90" s="18">
        <v>42</v>
      </c>
      <c r="X90" s="28"/>
      <c r="Y90" s="29"/>
      <c r="Z90" s="123">
        <v>5820</v>
      </c>
      <c r="AA90" s="18">
        <v>39.68</v>
      </c>
      <c r="AB90" s="28"/>
      <c r="AC90" s="29"/>
      <c r="AD90" s="123">
        <v>5122</v>
      </c>
      <c r="AE90" s="18">
        <v>34.799999999999997</v>
      </c>
      <c r="AF90" s="28"/>
      <c r="AG90" s="29"/>
      <c r="AH90" s="123">
        <v>5899</v>
      </c>
      <c r="AI90" s="18">
        <v>40</v>
      </c>
      <c r="AJ90" s="28"/>
      <c r="AK90" s="29"/>
      <c r="AL90" s="123">
        <v>5355</v>
      </c>
      <c r="AM90" s="18">
        <v>36.31</v>
      </c>
      <c r="AN90" s="28"/>
      <c r="AO90" s="29"/>
      <c r="AP90" s="123">
        <v>5100</v>
      </c>
      <c r="AQ90" s="18">
        <v>34.299999999999997</v>
      </c>
      <c r="AR90" s="28"/>
      <c r="AS90" s="29"/>
    </row>
    <row r="91" spans="1:45" x14ac:dyDescent="0.2">
      <c r="A91" s="35">
        <v>44215</v>
      </c>
      <c r="B91" s="123">
        <v>5889</v>
      </c>
      <c r="C91" s="149">
        <v>40.200000000000003</v>
      </c>
      <c r="D91" s="28"/>
      <c r="E91" s="29"/>
      <c r="F91" s="32">
        <v>5643</v>
      </c>
      <c r="G91" s="18">
        <v>38.79</v>
      </c>
      <c r="H91" s="28"/>
      <c r="I91" s="29"/>
      <c r="J91" s="32">
        <v>5006</v>
      </c>
      <c r="K91" s="18">
        <v>34.4</v>
      </c>
      <c r="L91" s="28"/>
      <c r="M91" s="29"/>
      <c r="N91" s="123">
        <v>5275</v>
      </c>
      <c r="O91" s="18">
        <v>35.85</v>
      </c>
      <c r="P91" s="28"/>
      <c r="Q91" s="29"/>
      <c r="R91" s="123">
        <v>4962</v>
      </c>
      <c r="S91" s="18">
        <v>33.85</v>
      </c>
      <c r="T91" s="28"/>
      <c r="U91" s="29"/>
      <c r="V91" s="123">
        <v>6285</v>
      </c>
      <c r="W91" s="18">
        <v>43.1</v>
      </c>
      <c r="X91" s="28"/>
      <c r="Y91" s="29"/>
      <c r="Z91" s="123">
        <v>5869</v>
      </c>
      <c r="AA91" s="18">
        <v>39.950000000000003</v>
      </c>
      <c r="AB91" s="28"/>
      <c r="AC91" s="29"/>
      <c r="AD91" s="123">
        <v>5235</v>
      </c>
      <c r="AE91" s="18">
        <v>35.6</v>
      </c>
      <c r="AF91" s="28"/>
      <c r="AG91" s="29"/>
      <c r="AH91" s="123">
        <v>5890</v>
      </c>
      <c r="AI91" s="18">
        <v>40</v>
      </c>
      <c r="AJ91" s="28"/>
      <c r="AK91" s="29"/>
      <c r="AL91" s="123">
        <v>5470</v>
      </c>
      <c r="AM91" s="18">
        <v>37</v>
      </c>
      <c r="AN91" s="28"/>
      <c r="AO91" s="29"/>
      <c r="AP91" s="123">
        <v>5225</v>
      </c>
      <c r="AQ91" s="18">
        <v>35.65</v>
      </c>
      <c r="AR91" s="28"/>
      <c r="AS91" s="29"/>
    </row>
    <row r="92" spans="1:45" x14ac:dyDescent="0.2">
      <c r="A92" s="35">
        <v>44216</v>
      </c>
      <c r="B92" s="123">
        <v>5880</v>
      </c>
      <c r="C92" s="149">
        <v>40.200000000000003</v>
      </c>
      <c r="D92" s="28"/>
      <c r="E92" s="29"/>
      <c r="F92" s="32">
        <v>5645</v>
      </c>
      <c r="G92" s="18">
        <v>38.74</v>
      </c>
      <c r="H92" s="28"/>
      <c r="I92" s="29"/>
      <c r="J92" s="32">
        <v>4979</v>
      </c>
      <c r="K92" s="18">
        <v>34.1</v>
      </c>
      <c r="L92" s="28"/>
      <c r="M92" s="29"/>
      <c r="N92" s="123">
        <v>5308.5</v>
      </c>
      <c r="O92" s="18">
        <v>36.36</v>
      </c>
      <c r="P92" s="28"/>
      <c r="Q92" s="29"/>
      <c r="R92" s="123">
        <v>4942.5</v>
      </c>
      <c r="S92" s="18">
        <v>33.869999999999997</v>
      </c>
      <c r="T92" s="28"/>
      <c r="U92" s="29"/>
      <c r="V92" s="123">
        <v>6335</v>
      </c>
      <c r="W92" s="18">
        <v>42.87</v>
      </c>
      <c r="X92" s="28"/>
      <c r="Y92" s="29"/>
      <c r="Z92" s="123">
        <v>5890</v>
      </c>
      <c r="AA92" s="18">
        <v>40.119999999999997</v>
      </c>
      <c r="AB92" s="28"/>
      <c r="AC92" s="29"/>
      <c r="AD92" s="123">
        <v>5250</v>
      </c>
      <c r="AE92" s="18">
        <v>35.89</v>
      </c>
      <c r="AF92" s="28"/>
      <c r="AG92" s="29"/>
      <c r="AH92" s="123">
        <v>5995</v>
      </c>
      <c r="AI92" s="18">
        <v>40.89</v>
      </c>
      <c r="AJ92" s="28"/>
      <c r="AK92" s="29"/>
      <c r="AL92" s="123">
        <v>5575</v>
      </c>
      <c r="AM92" s="18">
        <v>37.9</v>
      </c>
      <c r="AN92" s="28"/>
      <c r="AO92" s="29"/>
      <c r="AP92" s="123">
        <v>5210</v>
      </c>
      <c r="AQ92" s="18">
        <v>35.1</v>
      </c>
      <c r="AR92" s="28"/>
      <c r="AS92" s="29"/>
    </row>
    <row r="93" spans="1:45" x14ac:dyDescent="0.2">
      <c r="A93" s="35">
        <v>44217</v>
      </c>
      <c r="B93" s="123">
        <v>5825</v>
      </c>
      <c r="C93" s="149">
        <v>39.9</v>
      </c>
      <c r="D93" s="28"/>
      <c r="E93" s="29"/>
      <c r="F93" s="32">
        <v>5647</v>
      </c>
      <c r="G93" s="18">
        <v>38.69</v>
      </c>
      <c r="H93" s="28"/>
      <c r="I93" s="29"/>
      <c r="J93" s="32">
        <v>4906</v>
      </c>
      <c r="K93" s="18">
        <v>33.700000000000003</v>
      </c>
      <c r="L93" s="28"/>
      <c r="M93" s="29"/>
      <c r="N93" s="123">
        <v>5275</v>
      </c>
      <c r="O93" s="18">
        <v>36.01</v>
      </c>
      <c r="P93" s="28"/>
      <c r="Q93" s="29"/>
      <c r="R93" s="123">
        <v>4915</v>
      </c>
      <c r="S93" s="18">
        <v>33.4</v>
      </c>
      <c r="T93" s="28"/>
      <c r="U93" s="29"/>
      <c r="V93" s="123">
        <v>6315</v>
      </c>
      <c r="W93" s="18">
        <v>38.76</v>
      </c>
      <c r="X93" s="28"/>
      <c r="Y93" s="29"/>
      <c r="Z93" s="123">
        <v>5885</v>
      </c>
      <c r="AA93" s="18">
        <v>39.9</v>
      </c>
      <c r="AB93" s="28"/>
      <c r="AC93" s="29"/>
      <c r="AD93" s="123">
        <v>5240</v>
      </c>
      <c r="AE93" s="18">
        <v>35.51</v>
      </c>
      <c r="AF93" s="28"/>
      <c r="AG93" s="29"/>
      <c r="AH93" s="123">
        <v>5992</v>
      </c>
      <c r="AI93" s="18">
        <v>40.5</v>
      </c>
      <c r="AJ93" s="28"/>
      <c r="AK93" s="29"/>
      <c r="AL93" s="123">
        <v>5460</v>
      </c>
      <c r="AM93" s="18">
        <v>37.5</v>
      </c>
      <c r="AN93" s="28"/>
      <c r="AO93" s="29"/>
      <c r="AP93" s="123">
        <v>5200</v>
      </c>
      <c r="AQ93" s="18">
        <v>36</v>
      </c>
      <c r="AR93" s="28"/>
      <c r="AS93" s="29"/>
    </row>
    <row r="94" spans="1:45" x14ac:dyDescent="0.2">
      <c r="A94" s="35">
        <v>44218</v>
      </c>
      <c r="B94" s="123">
        <v>5835</v>
      </c>
      <c r="C94" s="149">
        <v>40</v>
      </c>
      <c r="D94" s="28"/>
      <c r="E94" s="29"/>
      <c r="F94" s="32">
        <v>5644</v>
      </c>
      <c r="G94" s="18">
        <v>38.69</v>
      </c>
      <c r="H94" s="28"/>
      <c r="I94" s="29"/>
      <c r="J94" s="32">
        <v>4942.5</v>
      </c>
      <c r="K94" s="18">
        <v>34.04</v>
      </c>
      <c r="L94" s="28"/>
      <c r="M94" s="29"/>
      <c r="N94" s="123">
        <v>5326</v>
      </c>
      <c r="O94" s="18">
        <v>36.200000000000003</v>
      </c>
      <c r="P94" s="28"/>
      <c r="Q94" s="29"/>
      <c r="R94" s="123">
        <v>4929</v>
      </c>
      <c r="S94" s="18">
        <v>33.700000000000003</v>
      </c>
      <c r="T94" s="28"/>
      <c r="U94" s="29"/>
      <c r="V94" s="123">
        <v>6360</v>
      </c>
      <c r="W94" s="18">
        <v>43.5</v>
      </c>
      <c r="X94" s="28"/>
      <c r="Y94" s="29"/>
      <c r="Z94" s="123">
        <v>5940</v>
      </c>
      <c r="AA94" s="18">
        <v>40.5</v>
      </c>
      <c r="AB94" s="28"/>
      <c r="AC94" s="29"/>
      <c r="AD94" s="123">
        <v>5324.5</v>
      </c>
      <c r="AE94" s="18">
        <v>36.299999999999997</v>
      </c>
      <c r="AF94" s="28"/>
      <c r="AG94" s="29"/>
      <c r="AH94" s="123">
        <v>6025</v>
      </c>
      <c r="AI94" s="18">
        <v>42</v>
      </c>
      <c r="AJ94" s="28"/>
      <c r="AK94" s="29"/>
      <c r="AL94" s="123">
        <v>5600</v>
      </c>
      <c r="AM94" s="18">
        <v>38</v>
      </c>
      <c r="AN94" s="28"/>
      <c r="AO94" s="29"/>
      <c r="AP94" s="123">
        <v>5260</v>
      </c>
      <c r="AQ94" s="18">
        <v>34.299999999999997</v>
      </c>
      <c r="AR94" s="28"/>
      <c r="AS94" s="29"/>
    </row>
    <row r="95" spans="1:45" x14ac:dyDescent="0.2">
      <c r="A95" s="35">
        <v>44221</v>
      </c>
      <c r="B95" s="123">
        <v>5870</v>
      </c>
      <c r="C95" s="149">
        <v>39.89</v>
      </c>
      <c r="D95" s="28"/>
      <c r="E95" s="29"/>
      <c r="F95" s="32">
        <v>5656</v>
      </c>
      <c r="G95" s="18">
        <v>38.64</v>
      </c>
      <c r="H95" s="28"/>
      <c r="I95" s="29"/>
      <c r="J95" s="32">
        <v>4975</v>
      </c>
      <c r="K95" s="18">
        <v>34.200000000000003</v>
      </c>
      <c r="L95" s="28"/>
      <c r="M95" s="29"/>
      <c r="N95" s="123">
        <v>5380</v>
      </c>
      <c r="O95" s="18">
        <v>36.5</v>
      </c>
      <c r="P95" s="28"/>
      <c r="Q95" s="29"/>
      <c r="R95" s="123">
        <v>4915</v>
      </c>
      <c r="S95" s="18">
        <v>33.6</v>
      </c>
      <c r="T95" s="28"/>
      <c r="U95" s="29"/>
      <c r="V95" s="123">
        <v>6340</v>
      </c>
      <c r="W95" s="18">
        <v>43.37</v>
      </c>
      <c r="X95" s="28"/>
      <c r="Y95" s="29"/>
      <c r="Z95" s="123">
        <v>5972</v>
      </c>
      <c r="AA95" s="18">
        <v>40.4</v>
      </c>
      <c r="AB95" s="28"/>
      <c r="AC95" s="29"/>
      <c r="AD95" s="123">
        <v>5330</v>
      </c>
      <c r="AE95" s="18">
        <v>35.96</v>
      </c>
      <c r="AF95" s="28"/>
      <c r="AG95" s="29"/>
      <c r="AH95" s="123">
        <v>6075</v>
      </c>
      <c r="AI95" s="18">
        <v>41.15</v>
      </c>
      <c r="AJ95" s="28"/>
      <c r="AK95" s="29"/>
      <c r="AL95" s="123">
        <v>5625</v>
      </c>
      <c r="AM95" s="18">
        <v>38.200000000000003</v>
      </c>
      <c r="AN95" s="28"/>
      <c r="AO95" s="29"/>
      <c r="AP95" s="123">
        <v>5350</v>
      </c>
      <c r="AQ95" s="18">
        <v>36.299999999999997</v>
      </c>
      <c r="AR95" s="28"/>
      <c r="AS95" s="29"/>
    </row>
    <row r="96" spans="1:45" x14ac:dyDescent="0.2">
      <c r="A96" s="35">
        <v>44222</v>
      </c>
      <c r="B96" s="123">
        <v>5890</v>
      </c>
      <c r="C96" s="149">
        <v>39.85</v>
      </c>
      <c r="D96" s="28"/>
      <c r="E96" s="29"/>
      <c r="F96" s="32">
        <v>5667</v>
      </c>
      <c r="G96" s="18">
        <v>38.58</v>
      </c>
      <c r="H96" s="28"/>
      <c r="I96" s="29"/>
      <c r="J96" s="32">
        <v>5030</v>
      </c>
      <c r="K96" s="18">
        <v>34.049999999999997</v>
      </c>
      <c r="L96" s="28"/>
      <c r="M96" s="29"/>
      <c r="N96" s="123">
        <v>5405</v>
      </c>
      <c r="O96" s="18">
        <v>36.380000000000003</v>
      </c>
      <c r="P96" s="28"/>
      <c r="Q96" s="29"/>
      <c r="R96" s="123">
        <v>4970</v>
      </c>
      <c r="S96" s="18">
        <v>33.6</v>
      </c>
      <c r="T96" s="28"/>
      <c r="U96" s="29"/>
      <c r="V96" s="123">
        <v>6375</v>
      </c>
      <c r="W96" s="18">
        <v>43.15</v>
      </c>
      <c r="X96" s="28"/>
      <c r="Y96" s="29"/>
      <c r="Z96" s="123">
        <v>6010</v>
      </c>
      <c r="AA96" s="18">
        <v>40.4</v>
      </c>
      <c r="AB96" s="28"/>
      <c r="AC96" s="29"/>
      <c r="AD96" s="123">
        <v>5300</v>
      </c>
      <c r="AE96" s="18">
        <v>36.11</v>
      </c>
      <c r="AF96" s="28"/>
      <c r="AG96" s="29"/>
      <c r="AH96" s="123">
        <v>6138</v>
      </c>
      <c r="AI96" s="18">
        <v>41.7</v>
      </c>
      <c r="AJ96" s="28"/>
      <c r="AK96" s="29"/>
      <c r="AL96" s="123">
        <v>5650</v>
      </c>
      <c r="AM96" s="18">
        <v>38.18</v>
      </c>
      <c r="AN96" s="28"/>
      <c r="AO96" s="29"/>
      <c r="AP96" s="123">
        <v>5375</v>
      </c>
      <c r="AQ96" s="18">
        <v>36.4</v>
      </c>
      <c r="AR96" s="28"/>
      <c r="AS96" s="29"/>
    </row>
    <row r="97" spans="1:45" x14ac:dyDescent="0.2">
      <c r="A97" s="35">
        <v>44223</v>
      </c>
      <c r="B97" s="123">
        <v>5865</v>
      </c>
      <c r="C97" s="149">
        <v>39.840000000000003</v>
      </c>
      <c r="D97" s="28"/>
      <c r="E97" s="29"/>
      <c r="F97" s="32">
        <v>5664</v>
      </c>
      <c r="G97" s="18">
        <v>38.43</v>
      </c>
      <c r="H97" s="28"/>
      <c r="I97" s="29"/>
      <c r="J97" s="32">
        <v>5051</v>
      </c>
      <c r="K97" s="18">
        <v>34</v>
      </c>
      <c r="L97" s="28"/>
      <c r="M97" s="29"/>
      <c r="N97" s="123">
        <v>5435</v>
      </c>
      <c r="O97" s="18">
        <v>36.67</v>
      </c>
      <c r="P97" s="28"/>
      <c r="Q97" s="29"/>
      <c r="R97" s="123">
        <v>4955</v>
      </c>
      <c r="S97" s="18">
        <v>33.89</v>
      </c>
      <c r="T97" s="28"/>
      <c r="U97" s="29"/>
      <c r="V97" s="123">
        <v>6385</v>
      </c>
      <c r="W97" s="18">
        <v>43</v>
      </c>
      <c r="X97" s="28"/>
      <c r="Y97" s="29"/>
      <c r="Z97" s="123">
        <v>5984.5</v>
      </c>
      <c r="AA97" s="18">
        <v>40.299999999999997</v>
      </c>
      <c r="AB97" s="28"/>
      <c r="AC97" s="29"/>
      <c r="AD97" s="123">
        <v>5333</v>
      </c>
      <c r="AE97" s="18">
        <v>35.799999999999997</v>
      </c>
      <c r="AF97" s="28"/>
      <c r="AG97" s="29"/>
      <c r="AH97" s="123">
        <v>6000</v>
      </c>
      <c r="AI97" s="18">
        <v>41.35</v>
      </c>
      <c r="AJ97" s="28"/>
      <c r="AK97" s="29"/>
      <c r="AL97" s="123">
        <v>5660</v>
      </c>
      <c r="AM97" s="18">
        <v>38</v>
      </c>
      <c r="AN97" s="28"/>
      <c r="AO97" s="29"/>
      <c r="AP97" s="123">
        <v>5350</v>
      </c>
      <c r="AQ97" s="18">
        <v>35.5</v>
      </c>
      <c r="AR97" s="28"/>
      <c r="AS97" s="29"/>
    </row>
    <row r="98" spans="1:45" x14ac:dyDescent="0.2">
      <c r="A98" s="35">
        <v>44224</v>
      </c>
      <c r="B98" s="123">
        <v>5855</v>
      </c>
      <c r="C98" s="149">
        <v>39.450000000000003</v>
      </c>
      <c r="D98" s="28"/>
      <c r="E98" s="29"/>
      <c r="F98" s="32">
        <v>5660</v>
      </c>
      <c r="G98" s="18">
        <v>38.270000000000003</v>
      </c>
      <c r="H98" s="28"/>
      <c r="I98" s="29"/>
      <c r="J98" s="32">
        <v>5044</v>
      </c>
      <c r="K98" s="18">
        <v>33.9</v>
      </c>
      <c r="L98" s="28"/>
      <c r="M98" s="29"/>
      <c r="N98" s="123">
        <v>5475</v>
      </c>
      <c r="O98" s="18">
        <v>36.75</v>
      </c>
      <c r="P98" s="28"/>
      <c r="Q98" s="29"/>
      <c r="R98" s="123">
        <v>4995</v>
      </c>
      <c r="S98" s="18">
        <v>33.700000000000003</v>
      </c>
      <c r="T98" s="28"/>
      <c r="U98" s="29"/>
      <c r="V98" s="123">
        <v>6400</v>
      </c>
      <c r="W98" s="18">
        <v>43</v>
      </c>
      <c r="X98" s="28"/>
      <c r="Y98" s="29"/>
      <c r="Z98" s="123">
        <v>5970</v>
      </c>
      <c r="AA98" s="18">
        <v>40.04</v>
      </c>
      <c r="AB98" s="28"/>
      <c r="AC98" s="29"/>
      <c r="AD98" s="123">
        <v>5330</v>
      </c>
      <c r="AE98" s="18">
        <v>35.75</v>
      </c>
      <c r="AF98" s="28"/>
      <c r="AG98" s="29"/>
      <c r="AH98" s="123">
        <v>6080</v>
      </c>
      <c r="AI98" s="18">
        <v>41.48</v>
      </c>
      <c r="AJ98" s="28"/>
      <c r="AK98" s="29"/>
      <c r="AL98" s="123">
        <v>5690</v>
      </c>
      <c r="AM98" s="18">
        <v>38</v>
      </c>
      <c r="AN98" s="28"/>
      <c r="AO98" s="29"/>
      <c r="AP98" s="123">
        <v>5349</v>
      </c>
      <c r="AQ98" s="18">
        <v>35</v>
      </c>
      <c r="AR98" s="28"/>
      <c r="AS98" s="29"/>
    </row>
    <row r="99" spans="1:45" x14ac:dyDescent="0.2">
      <c r="A99" s="35">
        <v>44225</v>
      </c>
      <c r="B99" s="123">
        <v>5877.5</v>
      </c>
      <c r="C99" s="149">
        <v>39.549999999999997</v>
      </c>
      <c r="D99" s="28"/>
      <c r="E99" s="29"/>
      <c r="F99" s="32">
        <v>5640</v>
      </c>
      <c r="G99" s="18">
        <v>38.14</v>
      </c>
      <c r="H99" s="28"/>
      <c r="I99" s="29"/>
      <c r="J99" s="32">
        <v>4999</v>
      </c>
      <c r="K99" s="18">
        <v>33.630000000000003</v>
      </c>
      <c r="L99" s="28"/>
      <c r="M99" s="29"/>
      <c r="N99" s="123">
        <v>5451</v>
      </c>
      <c r="O99" s="18">
        <v>36.700000000000003</v>
      </c>
      <c r="P99" s="28"/>
      <c r="Q99" s="29"/>
      <c r="R99" s="123">
        <v>4950</v>
      </c>
      <c r="S99" s="18">
        <v>33.49</v>
      </c>
      <c r="T99" s="28"/>
      <c r="U99" s="29"/>
      <c r="V99" s="123">
        <v>6351</v>
      </c>
      <c r="W99" s="18">
        <v>43</v>
      </c>
      <c r="X99" s="28"/>
      <c r="Y99" s="29"/>
      <c r="Z99" s="123">
        <v>5950</v>
      </c>
      <c r="AA99" s="18">
        <v>40.04</v>
      </c>
      <c r="AB99" s="28"/>
      <c r="AC99" s="29"/>
      <c r="AD99" s="123">
        <v>5284</v>
      </c>
      <c r="AE99" s="18">
        <v>35.700000000000003</v>
      </c>
      <c r="AF99" s="28"/>
      <c r="AG99" s="29"/>
      <c r="AH99" s="123">
        <v>6000</v>
      </c>
      <c r="AI99" s="18">
        <v>40.700000000000003</v>
      </c>
      <c r="AJ99" s="28"/>
      <c r="AK99" s="29"/>
      <c r="AL99" s="123">
        <v>5610</v>
      </c>
      <c r="AM99" s="18">
        <v>38</v>
      </c>
      <c r="AN99" s="28"/>
      <c r="AO99" s="29"/>
      <c r="AP99" s="123">
        <v>5220</v>
      </c>
      <c r="AQ99" s="18">
        <v>35</v>
      </c>
      <c r="AR99" s="28"/>
      <c r="AS99" s="29"/>
    </row>
    <row r="100" spans="1:45" x14ac:dyDescent="0.2">
      <c r="A100" s="35">
        <v>44228</v>
      </c>
      <c r="B100" s="123">
        <v>5895</v>
      </c>
      <c r="C100" s="149">
        <v>39.78</v>
      </c>
      <c r="D100" s="28"/>
      <c r="E100" s="29"/>
      <c r="F100" s="32">
        <v>5650</v>
      </c>
      <c r="G100" s="18">
        <v>38.090000000000003</v>
      </c>
      <c r="H100" s="28"/>
      <c r="I100" s="29"/>
      <c r="J100" s="32">
        <v>5028</v>
      </c>
      <c r="K100" s="18">
        <v>33.799999999999997</v>
      </c>
      <c r="L100" s="28"/>
      <c r="M100" s="29"/>
      <c r="N100" s="123">
        <v>5463</v>
      </c>
      <c r="O100" s="18">
        <v>36.75</v>
      </c>
      <c r="P100" s="28"/>
      <c r="Q100" s="29"/>
      <c r="R100" s="123">
        <v>4964</v>
      </c>
      <c r="S100" s="18">
        <v>33.6</v>
      </c>
      <c r="T100" s="28"/>
      <c r="U100" s="29"/>
      <c r="V100" s="123">
        <v>6400</v>
      </c>
      <c r="W100" s="18">
        <v>43</v>
      </c>
      <c r="X100" s="28"/>
      <c r="Y100" s="29"/>
      <c r="Z100" s="123">
        <v>5999.5</v>
      </c>
      <c r="AA100" s="18">
        <v>40.4</v>
      </c>
      <c r="AB100" s="28"/>
      <c r="AC100" s="29"/>
      <c r="AD100" s="123">
        <v>5350</v>
      </c>
      <c r="AE100" s="18">
        <v>35.75</v>
      </c>
      <c r="AF100" s="28"/>
      <c r="AG100" s="29"/>
      <c r="AH100" s="123">
        <v>6000</v>
      </c>
      <c r="AI100" s="18">
        <v>40.700000000000003</v>
      </c>
      <c r="AJ100" s="28"/>
      <c r="AK100" s="29"/>
      <c r="AL100" s="123">
        <v>5575</v>
      </c>
      <c r="AM100" s="18">
        <v>36.42</v>
      </c>
      <c r="AN100" s="28"/>
      <c r="AO100" s="29"/>
      <c r="AP100" s="123">
        <v>5200</v>
      </c>
      <c r="AQ100" s="18">
        <v>35</v>
      </c>
      <c r="AR100" s="28"/>
      <c r="AS100" s="29"/>
    </row>
    <row r="101" spans="1:45" x14ac:dyDescent="0.2">
      <c r="A101" s="35">
        <v>44229</v>
      </c>
      <c r="B101" s="123">
        <v>5941</v>
      </c>
      <c r="C101" s="149">
        <v>39.85</v>
      </c>
      <c r="D101" s="28"/>
      <c r="E101" s="29"/>
      <c r="F101" s="32">
        <v>5651</v>
      </c>
      <c r="G101" s="18">
        <v>37.97</v>
      </c>
      <c r="H101" s="28"/>
      <c r="I101" s="29"/>
      <c r="J101" s="32">
        <v>5027</v>
      </c>
      <c r="K101" s="18">
        <v>33.799999999999997</v>
      </c>
      <c r="L101" s="28"/>
      <c r="M101" s="29"/>
      <c r="N101" s="123">
        <v>5474.5</v>
      </c>
      <c r="O101" s="18">
        <v>36.65</v>
      </c>
      <c r="P101" s="28"/>
      <c r="Q101" s="29"/>
      <c r="R101" s="123">
        <v>4993</v>
      </c>
      <c r="S101" s="18">
        <v>33.549999999999997</v>
      </c>
      <c r="T101" s="28"/>
      <c r="U101" s="29"/>
      <c r="V101" s="123">
        <v>6390</v>
      </c>
      <c r="W101" s="18">
        <v>42.75</v>
      </c>
      <c r="X101" s="28"/>
      <c r="Y101" s="29"/>
      <c r="Z101" s="123">
        <v>5981</v>
      </c>
      <c r="AA101" s="18">
        <v>39.94</v>
      </c>
      <c r="AB101" s="28"/>
      <c r="AC101" s="29"/>
      <c r="AD101" s="123">
        <v>5345</v>
      </c>
      <c r="AE101" s="18">
        <v>35.89</v>
      </c>
      <c r="AF101" s="28"/>
      <c r="AG101" s="29"/>
      <c r="AH101" s="123">
        <v>6050</v>
      </c>
      <c r="AI101" s="18">
        <v>40.75</v>
      </c>
      <c r="AJ101" s="28"/>
      <c r="AK101" s="29"/>
      <c r="AL101" s="123">
        <v>5540</v>
      </c>
      <c r="AM101" s="18">
        <v>36.51</v>
      </c>
      <c r="AN101" s="28"/>
      <c r="AO101" s="29"/>
      <c r="AP101" s="123">
        <v>5300</v>
      </c>
      <c r="AQ101" s="18">
        <v>35.5</v>
      </c>
      <c r="AR101" s="28"/>
      <c r="AS101" s="29"/>
    </row>
    <row r="102" spans="1:45" x14ac:dyDescent="0.2">
      <c r="A102" s="35">
        <v>44230</v>
      </c>
      <c r="B102" s="123">
        <v>5899</v>
      </c>
      <c r="C102" s="149">
        <v>39.6</v>
      </c>
      <c r="D102" s="28"/>
      <c r="E102" s="29"/>
      <c r="F102" s="32">
        <v>5642</v>
      </c>
      <c r="G102" s="18">
        <v>37.78</v>
      </c>
      <c r="H102" s="28"/>
      <c r="I102" s="29"/>
      <c r="J102" s="32">
        <v>5074</v>
      </c>
      <c r="K102" s="18">
        <v>33.9</v>
      </c>
      <c r="L102" s="28"/>
      <c r="M102" s="29"/>
      <c r="N102" s="123">
        <v>5415</v>
      </c>
      <c r="O102" s="18">
        <v>36.549999999999997</v>
      </c>
      <c r="P102" s="28"/>
      <c r="Q102" s="29"/>
      <c r="R102" s="123">
        <v>4990</v>
      </c>
      <c r="S102" s="18">
        <v>33.35</v>
      </c>
      <c r="T102" s="28"/>
      <c r="U102" s="29"/>
      <c r="V102" s="123">
        <v>6400</v>
      </c>
      <c r="W102" s="18">
        <v>42.25</v>
      </c>
      <c r="X102" s="28"/>
      <c r="Y102" s="29"/>
      <c r="Z102" s="123">
        <v>5955</v>
      </c>
      <c r="AA102" s="18">
        <v>39.61</v>
      </c>
      <c r="AB102" s="28"/>
      <c r="AC102" s="29"/>
      <c r="AD102" s="123">
        <v>5340</v>
      </c>
      <c r="AE102" s="18">
        <v>35.549999999999997</v>
      </c>
      <c r="AF102" s="28"/>
      <c r="AG102" s="29"/>
      <c r="AH102" s="123">
        <v>6050</v>
      </c>
      <c r="AI102" s="18">
        <v>40.799999999999997</v>
      </c>
      <c r="AJ102" s="28"/>
      <c r="AK102" s="29"/>
      <c r="AL102" s="123">
        <v>5550</v>
      </c>
      <c r="AM102" s="18">
        <v>36.9</v>
      </c>
      <c r="AN102" s="28"/>
      <c r="AO102" s="29"/>
      <c r="AP102" s="123">
        <v>5250</v>
      </c>
      <c r="AQ102" s="18">
        <v>35.25</v>
      </c>
      <c r="AR102" s="28"/>
      <c r="AS102" s="29"/>
    </row>
    <row r="103" spans="1:45" x14ac:dyDescent="0.2">
      <c r="A103" s="35">
        <v>44231</v>
      </c>
      <c r="B103" s="123">
        <v>5922</v>
      </c>
      <c r="C103" s="149">
        <v>39.479999999999997</v>
      </c>
      <c r="D103" s="28"/>
      <c r="E103" s="29"/>
      <c r="F103" s="32">
        <v>5640</v>
      </c>
      <c r="G103" s="18">
        <v>37.64</v>
      </c>
      <c r="H103" s="28"/>
      <c r="I103" s="29"/>
      <c r="J103" s="32">
        <v>5115</v>
      </c>
      <c r="K103" s="18">
        <v>34.1</v>
      </c>
      <c r="L103" s="28"/>
      <c r="M103" s="29"/>
      <c r="N103" s="123">
        <v>5400</v>
      </c>
      <c r="O103" s="18">
        <v>36.28</v>
      </c>
      <c r="P103" s="28"/>
      <c r="Q103" s="29"/>
      <c r="R103" s="123">
        <v>5025</v>
      </c>
      <c r="S103" s="18">
        <v>33.69</v>
      </c>
      <c r="T103" s="28"/>
      <c r="U103" s="29"/>
      <c r="V103" s="123">
        <v>6375</v>
      </c>
      <c r="W103" s="18">
        <v>38.409999999999997</v>
      </c>
      <c r="X103" s="28"/>
      <c r="Y103" s="29"/>
      <c r="Z103" s="123">
        <v>5995</v>
      </c>
      <c r="AA103" s="18">
        <v>39.72</v>
      </c>
      <c r="AB103" s="28"/>
      <c r="AC103" s="29"/>
      <c r="AD103" s="123">
        <v>5315</v>
      </c>
      <c r="AE103" s="18">
        <v>35.299999999999997</v>
      </c>
      <c r="AF103" s="28"/>
      <c r="AG103" s="29"/>
      <c r="AH103" s="123">
        <v>6100</v>
      </c>
      <c r="AI103" s="18">
        <v>40.700000000000003</v>
      </c>
      <c r="AJ103" s="28"/>
      <c r="AK103" s="29"/>
      <c r="AL103" s="123">
        <v>5600</v>
      </c>
      <c r="AM103" s="18">
        <v>37.35</v>
      </c>
      <c r="AN103" s="28"/>
      <c r="AO103" s="29"/>
      <c r="AP103" s="123">
        <v>5300</v>
      </c>
      <c r="AQ103" s="18">
        <v>35.4</v>
      </c>
      <c r="AR103" s="28"/>
      <c r="AS103" s="29"/>
    </row>
    <row r="104" spans="1:45" x14ac:dyDescent="0.2">
      <c r="A104" s="35">
        <v>44232</v>
      </c>
      <c r="B104" s="123">
        <v>5945</v>
      </c>
      <c r="C104" s="149">
        <v>39.479999999999997</v>
      </c>
      <c r="D104" s="28"/>
      <c r="E104" s="29"/>
      <c r="F104" s="32">
        <v>5628</v>
      </c>
      <c r="G104" s="18">
        <v>37.619999999999997</v>
      </c>
      <c r="H104" s="28"/>
      <c r="I104" s="29"/>
      <c r="J104" s="32">
        <v>5115</v>
      </c>
      <c r="K104" s="18">
        <v>34.11</v>
      </c>
      <c r="L104" s="28"/>
      <c r="M104" s="29"/>
      <c r="N104" s="123">
        <v>5394</v>
      </c>
      <c r="O104" s="18">
        <v>36</v>
      </c>
      <c r="P104" s="28"/>
      <c r="Q104" s="29"/>
      <c r="R104" s="123">
        <v>5050</v>
      </c>
      <c r="S104" s="18">
        <v>33.75</v>
      </c>
      <c r="T104" s="28"/>
      <c r="U104" s="29"/>
      <c r="V104" s="123">
        <v>6600</v>
      </c>
      <c r="W104" s="18">
        <v>43.52</v>
      </c>
      <c r="X104" s="28"/>
      <c r="Y104" s="29"/>
      <c r="Z104" s="123">
        <v>6035</v>
      </c>
      <c r="AA104" s="18">
        <v>39.979999999999997</v>
      </c>
      <c r="AB104" s="28"/>
      <c r="AC104" s="29"/>
      <c r="AD104" s="123">
        <v>5360</v>
      </c>
      <c r="AE104" s="18">
        <v>35.549999999999997</v>
      </c>
      <c r="AF104" s="28"/>
      <c r="AG104" s="29"/>
      <c r="AH104" s="123">
        <v>6150</v>
      </c>
      <c r="AI104" s="18">
        <v>40.75</v>
      </c>
      <c r="AJ104" s="28"/>
      <c r="AK104" s="29"/>
      <c r="AL104" s="123">
        <v>5672</v>
      </c>
      <c r="AM104" s="18">
        <v>37.4</v>
      </c>
      <c r="AN104" s="28"/>
      <c r="AO104" s="29"/>
      <c r="AP104" s="123">
        <v>5300</v>
      </c>
      <c r="AQ104" s="18">
        <v>35.9</v>
      </c>
      <c r="AR104" s="28"/>
      <c r="AS104" s="29"/>
    </row>
    <row r="105" spans="1:45" x14ac:dyDescent="0.2">
      <c r="A105" s="35">
        <v>44235</v>
      </c>
      <c r="B105" s="123">
        <v>5911</v>
      </c>
      <c r="C105" s="149">
        <v>39.549999999999997</v>
      </c>
      <c r="D105" s="28"/>
      <c r="E105" s="29"/>
      <c r="F105" s="32">
        <v>5628</v>
      </c>
      <c r="G105" s="18">
        <v>37.65</v>
      </c>
      <c r="H105" s="28"/>
      <c r="I105" s="29"/>
      <c r="J105" s="32">
        <v>5071</v>
      </c>
      <c r="K105" s="18">
        <v>34.1</v>
      </c>
      <c r="L105" s="28"/>
      <c r="M105" s="29"/>
      <c r="N105" s="123">
        <v>5380</v>
      </c>
      <c r="O105" s="18">
        <v>36</v>
      </c>
      <c r="P105" s="28"/>
      <c r="Q105" s="29"/>
      <c r="R105" s="123">
        <v>5030</v>
      </c>
      <c r="S105" s="18">
        <v>33.700000000000003</v>
      </c>
      <c r="T105" s="28"/>
      <c r="U105" s="29"/>
      <c r="V105" s="123">
        <v>6420</v>
      </c>
      <c r="W105" s="18">
        <v>43.12</v>
      </c>
      <c r="X105" s="28"/>
      <c r="Y105" s="29"/>
      <c r="Z105" s="123">
        <v>6030</v>
      </c>
      <c r="AA105" s="18">
        <v>40.17</v>
      </c>
      <c r="AB105" s="28"/>
      <c r="AC105" s="29"/>
      <c r="AD105" s="123">
        <v>5340</v>
      </c>
      <c r="AE105" s="18">
        <v>35.6</v>
      </c>
      <c r="AF105" s="28"/>
      <c r="AG105" s="29"/>
      <c r="AH105" s="123">
        <v>6100</v>
      </c>
      <c r="AI105" s="18">
        <v>41</v>
      </c>
      <c r="AJ105" s="28"/>
      <c r="AK105" s="29"/>
      <c r="AL105" s="123">
        <v>5585</v>
      </c>
      <c r="AM105" s="18">
        <v>37.200000000000003</v>
      </c>
      <c r="AN105" s="28"/>
      <c r="AO105" s="29"/>
      <c r="AP105" s="123">
        <v>5250</v>
      </c>
      <c r="AQ105" s="18">
        <v>35</v>
      </c>
      <c r="AR105" s="28"/>
      <c r="AS105" s="29"/>
    </row>
    <row r="106" spans="1:45" x14ac:dyDescent="0.2">
      <c r="A106" s="35">
        <v>44236</v>
      </c>
      <c r="B106" s="123">
        <v>5912</v>
      </c>
      <c r="C106" s="149">
        <v>39.47</v>
      </c>
      <c r="D106" s="28"/>
      <c r="E106" s="29"/>
      <c r="F106" s="32">
        <v>5628</v>
      </c>
      <c r="G106" s="18">
        <v>37.520000000000003</v>
      </c>
      <c r="H106" s="28"/>
      <c r="I106" s="29"/>
      <c r="J106" s="32">
        <v>5064</v>
      </c>
      <c r="K106" s="18">
        <v>33.81</v>
      </c>
      <c r="L106" s="28"/>
      <c r="M106" s="29"/>
      <c r="N106" s="123">
        <v>5342</v>
      </c>
      <c r="O106" s="18">
        <v>35.799999999999997</v>
      </c>
      <c r="P106" s="28"/>
      <c r="Q106" s="29"/>
      <c r="R106" s="123">
        <v>5034</v>
      </c>
      <c r="S106" s="18">
        <v>33.68</v>
      </c>
      <c r="T106" s="28"/>
      <c r="U106" s="29"/>
      <c r="V106" s="123">
        <v>6400</v>
      </c>
      <c r="W106" s="18">
        <v>42.8</v>
      </c>
      <c r="X106" s="28"/>
      <c r="Y106" s="29"/>
      <c r="Z106" s="123">
        <v>5986</v>
      </c>
      <c r="AA106" s="18">
        <v>39.89</v>
      </c>
      <c r="AB106" s="28"/>
      <c r="AC106" s="29"/>
      <c r="AD106" s="123">
        <v>5300</v>
      </c>
      <c r="AE106" s="18">
        <v>35.200000000000003</v>
      </c>
      <c r="AF106" s="28"/>
      <c r="AG106" s="29"/>
      <c r="AH106" s="123">
        <v>6085</v>
      </c>
      <c r="AI106" s="18">
        <v>40.799999999999997</v>
      </c>
      <c r="AJ106" s="28"/>
      <c r="AK106" s="29"/>
      <c r="AL106" s="123">
        <v>5620</v>
      </c>
      <c r="AM106" s="18">
        <v>37.4</v>
      </c>
      <c r="AN106" s="28"/>
      <c r="AO106" s="29"/>
      <c r="AP106" s="123">
        <v>5255</v>
      </c>
      <c r="AQ106" s="18">
        <v>35.01</v>
      </c>
      <c r="AR106" s="28"/>
      <c r="AS106" s="29"/>
    </row>
    <row r="107" spans="1:45" x14ac:dyDescent="0.2">
      <c r="A107" s="35">
        <v>44237</v>
      </c>
      <c r="B107" s="123">
        <v>5910</v>
      </c>
      <c r="C107" s="149">
        <v>39.409999999999997</v>
      </c>
      <c r="D107" s="28"/>
      <c r="E107" s="29"/>
      <c r="F107" s="32">
        <v>5608</v>
      </c>
      <c r="G107" s="18">
        <v>37.450000000000003</v>
      </c>
      <c r="H107" s="28"/>
      <c r="I107" s="29"/>
      <c r="J107" s="32">
        <v>5029</v>
      </c>
      <c r="K107" s="18">
        <v>33.89</v>
      </c>
      <c r="L107" s="28"/>
      <c r="M107" s="29"/>
      <c r="N107" s="123">
        <v>5322</v>
      </c>
      <c r="O107" s="18">
        <v>35.5</v>
      </c>
      <c r="P107" s="28"/>
      <c r="Q107" s="29"/>
      <c r="R107" s="123">
        <v>5009.5</v>
      </c>
      <c r="S107" s="18">
        <v>33.43</v>
      </c>
      <c r="T107" s="28"/>
      <c r="U107" s="29"/>
      <c r="V107" s="123">
        <v>6479</v>
      </c>
      <c r="W107" s="18">
        <v>42.8</v>
      </c>
      <c r="X107" s="28"/>
      <c r="Y107" s="29"/>
      <c r="Z107" s="123">
        <v>5965</v>
      </c>
      <c r="AA107" s="18">
        <v>39.659999999999997</v>
      </c>
      <c r="AB107" s="28"/>
      <c r="AC107" s="29"/>
      <c r="AD107" s="123">
        <v>5280</v>
      </c>
      <c r="AE107" s="18">
        <v>35.06</v>
      </c>
      <c r="AF107" s="28"/>
      <c r="AG107" s="29"/>
      <c r="AH107" s="123">
        <v>6030</v>
      </c>
      <c r="AI107" s="18">
        <v>41</v>
      </c>
      <c r="AJ107" s="28"/>
      <c r="AK107" s="29"/>
      <c r="AL107" s="123">
        <v>5575</v>
      </c>
      <c r="AM107" s="18">
        <v>37</v>
      </c>
      <c r="AN107" s="28"/>
      <c r="AO107" s="29"/>
      <c r="AP107" s="123">
        <v>5220</v>
      </c>
      <c r="AQ107" s="18">
        <v>35.549999999999997</v>
      </c>
      <c r="AR107" s="28"/>
      <c r="AS107" s="29"/>
    </row>
    <row r="108" spans="1:45" x14ac:dyDescent="0.2">
      <c r="A108" s="35">
        <v>44238</v>
      </c>
      <c r="B108" s="123">
        <v>5780</v>
      </c>
      <c r="C108" s="149">
        <v>39.1</v>
      </c>
      <c r="D108" s="28"/>
      <c r="E108" s="29"/>
      <c r="F108" s="32">
        <v>5490</v>
      </c>
      <c r="G108" s="18">
        <v>37.01</v>
      </c>
      <c r="H108" s="28"/>
      <c r="I108" s="29"/>
      <c r="J108" s="32">
        <v>4950</v>
      </c>
      <c r="K108" s="18">
        <v>33.799999999999997</v>
      </c>
      <c r="L108" s="28"/>
      <c r="M108" s="29"/>
      <c r="N108" s="123">
        <v>5220</v>
      </c>
      <c r="O108" s="18">
        <v>35.5</v>
      </c>
      <c r="P108" s="28"/>
      <c r="Q108" s="29"/>
      <c r="R108" s="123">
        <v>4959</v>
      </c>
      <c r="S108" s="18">
        <v>33.51</v>
      </c>
      <c r="T108" s="28"/>
      <c r="U108" s="29"/>
      <c r="V108" s="123">
        <v>6340</v>
      </c>
      <c r="W108" s="18">
        <v>42.55</v>
      </c>
      <c r="X108" s="28"/>
      <c r="Y108" s="29"/>
      <c r="Z108" s="123">
        <v>5870</v>
      </c>
      <c r="AA108" s="18">
        <v>39.58</v>
      </c>
      <c r="AB108" s="28"/>
      <c r="AC108" s="29"/>
      <c r="AD108" s="123">
        <v>5170</v>
      </c>
      <c r="AE108" s="18">
        <v>34.950000000000003</v>
      </c>
      <c r="AF108" s="28"/>
      <c r="AG108" s="29"/>
      <c r="AH108" s="123">
        <v>5995</v>
      </c>
      <c r="AI108" s="18">
        <v>40.950000000000003</v>
      </c>
      <c r="AJ108" s="28"/>
      <c r="AK108" s="29"/>
      <c r="AL108" s="123">
        <v>5510</v>
      </c>
      <c r="AM108" s="18">
        <v>37.5</v>
      </c>
      <c r="AN108" s="28"/>
      <c r="AO108" s="29"/>
      <c r="AP108" s="123">
        <v>5150</v>
      </c>
      <c r="AQ108" s="18">
        <v>35</v>
      </c>
      <c r="AR108" s="28"/>
      <c r="AS108" s="29"/>
    </row>
    <row r="109" spans="1:45" x14ac:dyDescent="0.2">
      <c r="A109" s="35">
        <v>44239</v>
      </c>
      <c r="B109" s="123">
        <v>5690</v>
      </c>
      <c r="C109" s="149">
        <v>39</v>
      </c>
      <c r="D109" s="28"/>
      <c r="E109" s="29"/>
      <c r="F109" s="32">
        <v>5382</v>
      </c>
      <c r="G109" s="18">
        <v>36.450000000000003</v>
      </c>
      <c r="H109" s="28"/>
      <c r="I109" s="29"/>
      <c r="J109" s="32">
        <v>4909.5</v>
      </c>
      <c r="K109" s="18">
        <v>33.549999999999997</v>
      </c>
      <c r="L109" s="28"/>
      <c r="M109" s="29"/>
      <c r="N109" s="123">
        <v>5150</v>
      </c>
      <c r="O109" s="18">
        <v>35.299999999999997</v>
      </c>
      <c r="P109" s="28"/>
      <c r="Q109" s="29"/>
      <c r="R109" s="123">
        <v>4940</v>
      </c>
      <c r="S109" s="18">
        <v>33.4</v>
      </c>
      <c r="T109" s="28"/>
      <c r="U109" s="29"/>
      <c r="V109" s="123">
        <v>6340</v>
      </c>
      <c r="W109" s="18">
        <v>43.2</v>
      </c>
      <c r="X109" s="28"/>
      <c r="Y109" s="29"/>
      <c r="Z109" s="123">
        <v>5830</v>
      </c>
      <c r="AA109" s="18">
        <v>39.799999999999997</v>
      </c>
      <c r="AB109" s="28"/>
      <c r="AC109" s="29"/>
      <c r="AD109" s="123">
        <v>5089</v>
      </c>
      <c r="AE109" s="18">
        <v>34.81</v>
      </c>
      <c r="AF109" s="28"/>
      <c r="AG109" s="29"/>
      <c r="AH109" s="123">
        <v>6040</v>
      </c>
      <c r="AI109" s="18">
        <v>41.1</v>
      </c>
      <c r="AJ109" s="28"/>
      <c r="AK109" s="29"/>
      <c r="AL109" s="123">
        <v>5465</v>
      </c>
      <c r="AM109" s="18">
        <v>37.4</v>
      </c>
      <c r="AN109" s="28"/>
      <c r="AO109" s="29"/>
      <c r="AP109" s="123">
        <v>5100</v>
      </c>
      <c r="AQ109" s="18">
        <v>34</v>
      </c>
      <c r="AR109" s="28"/>
      <c r="AS109" s="29"/>
    </row>
    <row r="110" spans="1:45" x14ac:dyDescent="0.2">
      <c r="A110" s="35">
        <v>44244</v>
      </c>
      <c r="B110" s="123">
        <v>5500</v>
      </c>
      <c r="C110" s="149">
        <v>38.69</v>
      </c>
      <c r="D110" s="28"/>
      <c r="E110" s="29"/>
      <c r="F110" s="32">
        <v>5185</v>
      </c>
      <c r="G110" s="18">
        <v>36.14</v>
      </c>
      <c r="H110" s="28"/>
      <c r="I110" s="29"/>
      <c r="J110" s="32">
        <v>4684</v>
      </c>
      <c r="K110" s="18">
        <v>32.9</v>
      </c>
      <c r="L110" s="28"/>
      <c r="M110" s="29"/>
      <c r="N110" s="123">
        <v>4955</v>
      </c>
      <c r="O110" s="18">
        <v>34.69</v>
      </c>
      <c r="P110" s="28"/>
      <c r="Q110" s="29"/>
      <c r="R110" s="123">
        <v>4700</v>
      </c>
      <c r="S110" s="18">
        <v>32.85</v>
      </c>
      <c r="T110" s="28"/>
      <c r="U110" s="29"/>
      <c r="V110" s="123">
        <v>6086</v>
      </c>
      <c r="W110" s="18">
        <v>42.4</v>
      </c>
      <c r="X110" s="28"/>
      <c r="Y110" s="29"/>
      <c r="Z110" s="123">
        <v>5650</v>
      </c>
      <c r="AA110" s="18">
        <v>39.229999999999997</v>
      </c>
      <c r="AB110" s="28"/>
      <c r="AC110" s="29"/>
      <c r="AD110" s="123">
        <v>4889</v>
      </c>
      <c r="AE110" s="18">
        <v>34.01</v>
      </c>
      <c r="AF110" s="28"/>
      <c r="AG110" s="29"/>
      <c r="AH110" s="123">
        <v>5759</v>
      </c>
      <c r="AI110" s="18">
        <v>40</v>
      </c>
      <c r="AJ110" s="28"/>
      <c r="AK110" s="29"/>
      <c r="AL110" s="123">
        <v>5300</v>
      </c>
      <c r="AM110" s="18">
        <v>36.5</v>
      </c>
      <c r="AN110" s="28"/>
      <c r="AO110" s="29"/>
      <c r="AP110" s="123">
        <v>4900</v>
      </c>
      <c r="AQ110" s="18">
        <v>34.25</v>
      </c>
      <c r="AR110" s="28"/>
      <c r="AS110" s="29"/>
    </row>
    <row r="111" spans="1:45" x14ac:dyDescent="0.2">
      <c r="A111" s="35">
        <v>44245</v>
      </c>
      <c r="B111" s="123">
        <v>5510</v>
      </c>
      <c r="C111" s="149">
        <v>38.950000000000003</v>
      </c>
      <c r="D111" s="28"/>
      <c r="E111" s="29"/>
      <c r="F111" s="32">
        <v>5210</v>
      </c>
      <c r="G111" s="18">
        <v>36.75</v>
      </c>
      <c r="H111" s="28"/>
      <c r="I111" s="29"/>
      <c r="J111" s="32">
        <v>4645</v>
      </c>
      <c r="K111" s="18">
        <v>33.01</v>
      </c>
      <c r="L111" s="28"/>
      <c r="M111" s="29"/>
      <c r="N111" s="123">
        <v>4900</v>
      </c>
      <c r="O111" s="18">
        <v>34.78</v>
      </c>
      <c r="P111" s="28"/>
      <c r="Q111" s="29"/>
      <c r="R111" s="123">
        <v>4629.5</v>
      </c>
      <c r="S111" s="18">
        <v>32.86</v>
      </c>
      <c r="T111" s="28"/>
      <c r="U111" s="29"/>
      <c r="V111" s="123">
        <v>5940</v>
      </c>
      <c r="W111" s="18">
        <v>42.2</v>
      </c>
      <c r="X111" s="28"/>
      <c r="Y111" s="29"/>
      <c r="Z111" s="123">
        <v>5531</v>
      </c>
      <c r="AA111" s="18">
        <v>39.049999999999997</v>
      </c>
      <c r="AB111" s="28"/>
      <c r="AC111" s="29"/>
      <c r="AD111" s="123">
        <v>4750</v>
      </c>
      <c r="AE111" s="18">
        <v>34.090000000000003</v>
      </c>
      <c r="AF111" s="28"/>
      <c r="AG111" s="29"/>
      <c r="AH111" s="123">
        <v>5625</v>
      </c>
      <c r="AI111" s="18">
        <v>40</v>
      </c>
      <c r="AJ111" s="28"/>
      <c r="AK111" s="29"/>
      <c r="AL111" s="123">
        <v>5190</v>
      </c>
      <c r="AM111" s="18">
        <v>37.25</v>
      </c>
      <c r="AN111" s="28"/>
      <c r="AO111" s="29"/>
      <c r="AP111" s="123">
        <v>4800</v>
      </c>
      <c r="AQ111" s="18">
        <v>34.49</v>
      </c>
      <c r="AR111" s="28"/>
      <c r="AS111" s="29"/>
    </row>
    <row r="112" spans="1:45" x14ac:dyDescent="0.2">
      <c r="A112" s="35">
        <v>44246</v>
      </c>
      <c r="B112" s="123">
        <v>5392</v>
      </c>
      <c r="C112" s="149">
        <v>38.6</v>
      </c>
      <c r="D112" s="28"/>
      <c r="E112" s="29"/>
      <c r="F112" s="32">
        <v>5088</v>
      </c>
      <c r="G112" s="18">
        <v>36.42</v>
      </c>
      <c r="H112" s="28"/>
      <c r="I112" s="29"/>
      <c r="J112" s="32">
        <v>4550</v>
      </c>
      <c r="K112" s="18">
        <v>32.76</v>
      </c>
      <c r="L112" s="28"/>
      <c r="M112" s="29"/>
      <c r="N112" s="123">
        <v>4840</v>
      </c>
      <c r="O112" s="18">
        <v>34.75</v>
      </c>
      <c r="P112" s="28"/>
      <c r="Q112" s="29"/>
      <c r="R112" s="123">
        <v>4650</v>
      </c>
      <c r="S112" s="18">
        <v>33.1</v>
      </c>
      <c r="T112" s="28"/>
      <c r="U112" s="29"/>
      <c r="V112" s="123">
        <v>6000</v>
      </c>
      <c r="W112" s="18">
        <v>43.15</v>
      </c>
      <c r="X112" s="28"/>
      <c r="Y112" s="29"/>
      <c r="Z112" s="123">
        <v>5400</v>
      </c>
      <c r="AA112" s="18">
        <v>38.799999999999997</v>
      </c>
      <c r="AB112" s="28"/>
      <c r="AC112" s="29"/>
      <c r="AD112" s="123">
        <v>4715</v>
      </c>
      <c r="AE112" s="18">
        <v>33.9</v>
      </c>
      <c r="AF112" s="28"/>
      <c r="AG112" s="29"/>
      <c r="AH112" s="123">
        <v>5550</v>
      </c>
      <c r="AI112" s="18">
        <v>39.799999999999997</v>
      </c>
      <c r="AJ112" s="28"/>
      <c r="AK112" s="29"/>
      <c r="AL112" s="123">
        <v>5100</v>
      </c>
      <c r="AM112" s="18">
        <v>36.700000000000003</v>
      </c>
      <c r="AN112" s="28"/>
      <c r="AO112" s="29"/>
      <c r="AP112" s="123">
        <v>4800</v>
      </c>
      <c r="AQ112" s="18">
        <v>34.49</v>
      </c>
      <c r="AR112" s="28"/>
      <c r="AS112" s="29"/>
    </row>
    <row r="113" spans="1:45" x14ac:dyDescent="0.2">
      <c r="A113" s="35">
        <v>44249</v>
      </c>
      <c r="B113" s="123">
        <v>5215</v>
      </c>
      <c r="C113" s="149">
        <v>38.25</v>
      </c>
      <c r="D113" s="28"/>
      <c r="E113" s="29"/>
      <c r="F113" s="32">
        <v>5045</v>
      </c>
      <c r="G113" s="18">
        <v>36.35</v>
      </c>
      <c r="H113" s="28"/>
      <c r="I113" s="29"/>
      <c r="J113" s="32">
        <v>4445</v>
      </c>
      <c r="K113" s="18">
        <v>32.25</v>
      </c>
      <c r="L113" s="28"/>
      <c r="M113" s="29"/>
      <c r="N113" s="123">
        <v>4745</v>
      </c>
      <c r="O113" s="18">
        <v>34.4</v>
      </c>
      <c r="P113" s="28"/>
      <c r="Q113" s="29"/>
      <c r="R113" s="123">
        <v>4520</v>
      </c>
      <c r="S113" s="18">
        <v>32.74</v>
      </c>
      <c r="T113" s="28"/>
      <c r="U113" s="29"/>
      <c r="V113" s="123">
        <v>5800</v>
      </c>
      <c r="W113" s="18">
        <v>42.4</v>
      </c>
      <c r="X113" s="28"/>
      <c r="Y113" s="29"/>
      <c r="Z113" s="123">
        <v>5305</v>
      </c>
      <c r="AA113" s="18">
        <v>38.42</v>
      </c>
      <c r="AB113" s="28"/>
      <c r="AC113" s="29"/>
      <c r="AD113" s="123">
        <v>4600</v>
      </c>
      <c r="AE113" s="18">
        <v>33.5</v>
      </c>
      <c r="AF113" s="28"/>
      <c r="AG113" s="29"/>
      <c r="AH113" s="123">
        <v>5375</v>
      </c>
      <c r="AI113" s="18">
        <v>39.5</v>
      </c>
      <c r="AJ113" s="28"/>
      <c r="AK113" s="29"/>
      <c r="AL113" s="123">
        <v>4800</v>
      </c>
      <c r="AM113" s="18">
        <v>36</v>
      </c>
      <c r="AN113" s="28"/>
      <c r="AO113" s="29"/>
      <c r="AP113" s="123">
        <v>4700</v>
      </c>
      <c r="AQ113" s="18">
        <v>34.4</v>
      </c>
      <c r="AR113" s="28"/>
      <c r="AS113" s="29"/>
    </row>
    <row r="114" spans="1:45" x14ac:dyDescent="0.2">
      <c r="A114" s="35">
        <v>44250</v>
      </c>
      <c r="B114" s="123">
        <v>5215</v>
      </c>
      <c r="C114" s="149">
        <v>37.69</v>
      </c>
      <c r="D114" s="28"/>
      <c r="E114" s="29"/>
      <c r="F114" s="32">
        <v>5000</v>
      </c>
      <c r="G114" s="18">
        <v>35.75</v>
      </c>
      <c r="H114" s="28"/>
      <c r="I114" s="29"/>
      <c r="J114" s="32">
        <v>4467</v>
      </c>
      <c r="K114" s="18">
        <v>32.11</v>
      </c>
      <c r="L114" s="28"/>
      <c r="M114" s="29"/>
      <c r="N114" s="123">
        <v>4708</v>
      </c>
      <c r="O114" s="18">
        <v>34.1</v>
      </c>
      <c r="P114" s="28"/>
      <c r="Q114" s="29"/>
      <c r="R114" s="123">
        <v>4529</v>
      </c>
      <c r="S114" s="18">
        <v>32.74</v>
      </c>
      <c r="T114" s="28"/>
      <c r="U114" s="29"/>
      <c r="V114" s="123">
        <v>5800</v>
      </c>
      <c r="W114" s="18">
        <v>41.8</v>
      </c>
      <c r="X114" s="28"/>
      <c r="Y114" s="29"/>
      <c r="Z114" s="123">
        <v>5283</v>
      </c>
      <c r="AA114" s="18">
        <v>37.79</v>
      </c>
      <c r="AB114" s="28"/>
      <c r="AC114" s="29"/>
      <c r="AD114" s="123">
        <v>4600</v>
      </c>
      <c r="AE114" s="18">
        <v>33</v>
      </c>
      <c r="AF114" s="28"/>
      <c r="AG114" s="29"/>
      <c r="AH114" s="123">
        <v>5380</v>
      </c>
      <c r="AI114" s="18">
        <v>38.9</v>
      </c>
      <c r="AJ114" s="28"/>
      <c r="AK114" s="29"/>
      <c r="AL114" s="123">
        <v>4985</v>
      </c>
      <c r="AM114" s="18">
        <v>35.75</v>
      </c>
      <c r="AN114" s="28"/>
      <c r="AO114" s="29"/>
      <c r="AP114" s="123">
        <v>4645</v>
      </c>
      <c r="AQ114" s="18">
        <v>33.5</v>
      </c>
      <c r="AR114" s="28"/>
      <c r="AS114" s="29"/>
    </row>
    <row r="115" spans="1:45" x14ac:dyDescent="0.2">
      <c r="A115" s="35">
        <v>44251</v>
      </c>
      <c r="B115" s="123">
        <v>5356</v>
      </c>
      <c r="C115" s="149">
        <v>37.9</v>
      </c>
      <c r="D115" s="28"/>
      <c r="E115" s="29"/>
      <c r="F115" s="32">
        <v>5085</v>
      </c>
      <c r="G115" s="18">
        <v>36.08</v>
      </c>
      <c r="H115" s="28"/>
      <c r="I115" s="29"/>
      <c r="J115" s="32">
        <v>4613</v>
      </c>
      <c r="K115" s="18">
        <v>32.5</v>
      </c>
      <c r="L115" s="28"/>
      <c r="M115" s="29"/>
      <c r="N115" s="123">
        <v>4810</v>
      </c>
      <c r="O115" s="18">
        <v>34.299999999999997</v>
      </c>
      <c r="P115" s="28"/>
      <c r="Q115" s="29"/>
      <c r="R115" s="123">
        <v>4650</v>
      </c>
      <c r="S115" s="18">
        <v>33.1</v>
      </c>
      <c r="T115" s="28"/>
      <c r="U115" s="29"/>
      <c r="V115" s="123">
        <v>5875</v>
      </c>
      <c r="W115" s="18">
        <v>41.5</v>
      </c>
      <c r="X115" s="28"/>
      <c r="Y115" s="29"/>
      <c r="Z115" s="123">
        <v>5400</v>
      </c>
      <c r="AA115" s="18">
        <v>38.1</v>
      </c>
      <c r="AB115" s="28"/>
      <c r="AC115" s="29"/>
      <c r="AD115" s="123">
        <v>4770</v>
      </c>
      <c r="AE115" s="18">
        <v>33.5</v>
      </c>
      <c r="AF115" s="28"/>
      <c r="AG115" s="29"/>
      <c r="AH115" s="123">
        <v>5430</v>
      </c>
      <c r="AI115" s="18">
        <v>39.25</v>
      </c>
      <c r="AJ115" s="28"/>
      <c r="AK115" s="29"/>
      <c r="AL115" s="123">
        <v>5130</v>
      </c>
      <c r="AM115" s="18">
        <v>36.6</v>
      </c>
      <c r="AN115" s="28"/>
      <c r="AO115" s="29"/>
      <c r="AP115" s="123">
        <v>4680</v>
      </c>
      <c r="AQ115" s="18">
        <v>34</v>
      </c>
      <c r="AR115" s="28"/>
      <c r="AS115" s="29"/>
    </row>
    <row r="116" spans="1:45" x14ac:dyDescent="0.2">
      <c r="A116" s="35">
        <v>44252</v>
      </c>
      <c r="B116" s="123">
        <v>5395</v>
      </c>
      <c r="C116" s="149">
        <v>37.92</v>
      </c>
      <c r="D116" s="28"/>
      <c r="E116" s="29"/>
      <c r="F116" s="32">
        <v>5176</v>
      </c>
      <c r="G116" s="18">
        <v>36.47</v>
      </c>
      <c r="H116" s="28"/>
      <c r="I116" s="29"/>
      <c r="J116" s="32">
        <v>4675</v>
      </c>
      <c r="K116" s="18">
        <v>32.9</v>
      </c>
      <c r="L116" s="28"/>
      <c r="M116" s="29"/>
      <c r="N116" s="123">
        <v>4920</v>
      </c>
      <c r="O116" s="18">
        <v>34.6</v>
      </c>
      <c r="P116" s="28"/>
      <c r="Q116" s="29"/>
      <c r="R116" s="123">
        <v>4749</v>
      </c>
      <c r="S116" s="18">
        <v>33.200000000000003</v>
      </c>
      <c r="T116" s="28"/>
      <c r="U116" s="29"/>
      <c r="V116" s="123">
        <v>5970</v>
      </c>
      <c r="W116" s="18">
        <v>42</v>
      </c>
      <c r="X116" s="28"/>
      <c r="Y116" s="29"/>
      <c r="Z116" s="123">
        <v>5430</v>
      </c>
      <c r="AA116" s="18">
        <v>38.01</v>
      </c>
      <c r="AB116" s="28"/>
      <c r="AC116" s="29"/>
      <c r="AD116" s="123">
        <v>4765</v>
      </c>
      <c r="AE116" s="18">
        <v>33.4</v>
      </c>
      <c r="AF116" s="28"/>
      <c r="AG116" s="29"/>
      <c r="AH116" s="123">
        <v>5472</v>
      </c>
      <c r="AI116" s="18">
        <v>38.9</v>
      </c>
      <c r="AJ116" s="28"/>
      <c r="AK116" s="29"/>
      <c r="AL116" s="123">
        <v>5090</v>
      </c>
      <c r="AM116" s="18">
        <v>36.229999999999997</v>
      </c>
      <c r="AN116" s="28"/>
      <c r="AO116" s="29"/>
      <c r="AP116" s="123">
        <v>4701</v>
      </c>
      <c r="AQ116" s="18">
        <v>34</v>
      </c>
      <c r="AR116" s="28"/>
      <c r="AS116" s="29"/>
    </row>
    <row r="117" spans="1:45" s="55" customFormat="1" x14ac:dyDescent="0.2">
      <c r="A117" s="197">
        <v>44253</v>
      </c>
      <c r="B117" s="198">
        <v>5442</v>
      </c>
      <c r="C117" s="199">
        <v>38.049999999999997</v>
      </c>
      <c r="D117" s="200"/>
      <c r="E117" s="201"/>
      <c r="F117" s="202">
        <v>5220</v>
      </c>
      <c r="G117" s="203">
        <v>36.78</v>
      </c>
      <c r="H117" s="200"/>
      <c r="I117" s="201"/>
      <c r="J117" s="202">
        <v>4730</v>
      </c>
      <c r="K117" s="203">
        <v>33</v>
      </c>
      <c r="L117" s="200"/>
      <c r="M117" s="201"/>
      <c r="N117" s="198">
        <v>4970</v>
      </c>
      <c r="O117" s="203">
        <v>34.85</v>
      </c>
      <c r="P117" s="200"/>
      <c r="Q117" s="201"/>
      <c r="R117" s="198">
        <v>4749</v>
      </c>
      <c r="S117" s="203">
        <v>33.1</v>
      </c>
      <c r="T117" s="200"/>
      <c r="U117" s="201"/>
      <c r="V117" s="198">
        <v>5980</v>
      </c>
      <c r="W117" s="203">
        <v>41.5</v>
      </c>
      <c r="X117" s="200"/>
      <c r="Y117" s="201"/>
      <c r="Z117" s="198">
        <v>5390</v>
      </c>
      <c r="AA117" s="203">
        <v>37.630000000000003</v>
      </c>
      <c r="AB117" s="200"/>
      <c r="AC117" s="201"/>
      <c r="AD117" s="198">
        <v>4800</v>
      </c>
      <c r="AE117" s="203">
        <v>33.31</v>
      </c>
      <c r="AF117" s="200"/>
      <c r="AG117" s="201"/>
      <c r="AH117" s="198">
        <v>5599</v>
      </c>
      <c r="AI117" s="203">
        <v>38.4</v>
      </c>
      <c r="AJ117" s="200"/>
      <c r="AK117" s="201"/>
      <c r="AL117" s="198">
        <v>5120</v>
      </c>
      <c r="AM117" s="203">
        <v>35.75</v>
      </c>
      <c r="AN117" s="200"/>
      <c r="AO117" s="201"/>
      <c r="AP117" s="198">
        <v>4805</v>
      </c>
      <c r="AQ117" s="203">
        <v>34.5</v>
      </c>
      <c r="AR117" s="200"/>
      <c r="AS117" s="201"/>
    </row>
    <row r="118" spans="1:45" s="55" customFormat="1" x14ac:dyDescent="0.2">
      <c r="A118" s="197">
        <v>44256</v>
      </c>
      <c r="B118" s="198">
        <v>5481</v>
      </c>
      <c r="C118" s="199">
        <v>38.19</v>
      </c>
      <c r="D118" s="200"/>
      <c r="E118" s="201"/>
      <c r="F118" s="202">
        <v>5289</v>
      </c>
      <c r="G118" s="203">
        <v>36.78</v>
      </c>
      <c r="H118" s="200"/>
      <c r="I118" s="201"/>
      <c r="J118" s="202">
        <v>4769</v>
      </c>
      <c r="K118" s="203">
        <v>33.01</v>
      </c>
      <c r="L118" s="200"/>
      <c r="M118" s="201"/>
      <c r="N118" s="198">
        <v>5057</v>
      </c>
      <c r="O118" s="203">
        <v>35.049999999999997</v>
      </c>
      <c r="P118" s="200"/>
      <c r="Q118" s="201"/>
      <c r="R118" s="198">
        <v>4754</v>
      </c>
      <c r="S118" s="203">
        <v>33.200000000000003</v>
      </c>
      <c r="T118" s="200"/>
      <c r="U118" s="201"/>
      <c r="V118" s="198">
        <v>5960</v>
      </c>
      <c r="W118" s="203">
        <v>41.5</v>
      </c>
      <c r="X118" s="200"/>
      <c r="Y118" s="201"/>
      <c r="Z118" s="198">
        <v>5455</v>
      </c>
      <c r="AA118" s="203">
        <v>37.79</v>
      </c>
      <c r="AB118" s="200"/>
      <c r="AC118" s="201"/>
      <c r="AD118" s="198">
        <v>4850</v>
      </c>
      <c r="AE118" s="203">
        <v>33.520000000000003</v>
      </c>
      <c r="AF118" s="200"/>
      <c r="AG118" s="201"/>
      <c r="AH118" s="198">
        <v>5599</v>
      </c>
      <c r="AI118" s="203">
        <v>38.6</v>
      </c>
      <c r="AJ118" s="200"/>
      <c r="AK118" s="201"/>
      <c r="AL118" s="198">
        <v>5130</v>
      </c>
      <c r="AM118" s="203">
        <v>36</v>
      </c>
      <c r="AN118" s="200"/>
      <c r="AO118" s="201"/>
      <c r="AP118" s="198">
        <v>5008.5</v>
      </c>
      <c r="AQ118" s="203">
        <v>33.5</v>
      </c>
      <c r="AR118" s="200"/>
      <c r="AS118" s="201"/>
    </row>
    <row r="119" spans="1:45" s="55" customFormat="1" x14ac:dyDescent="0.2">
      <c r="A119" s="197">
        <v>44257</v>
      </c>
      <c r="B119" s="198">
        <v>5489</v>
      </c>
      <c r="C119" s="199">
        <v>37.69</v>
      </c>
      <c r="D119" s="200"/>
      <c r="E119" s="201"/>
      <c r="F119" s="202">
        <v>5303</v>
      </c>
      <c r="G119" s="203">
        <v>36.29</v>
      </c>
      <c r="H119" s="200"/>
      <c r="I119" s="201"/>
      <c r="J119" s="202">
        <v>4695</v>
      </c>
      <c r="K119" s="203">
        <v>32.21</v>
      </c>
      <c r="L119" s="200"/>
      <c r="M119" s="201"/>
      <c r="N119" s="198">
        <v>4960</v>
      </c>
      <c r="O119" s="203">
        <v>34.450000000000003</v>
      </c>
      <c r="P119" s="200"/>
      <c r="Q119" s="201"/>
      <c r="R119" s="198">
        <v>4715</v>
      </c>
      <c r="S119" s="203">
        <v>32.25</v>
      </c>
      <c r="T119" s="200"/>
      <c r="U119" s="201"/>
      <c r="V119" s="198">
        <v>5950</v>
      </c>
      <c r="W119" s="203">
        <v>41.01</v>
      </c>
      <c r="X119" s="200"/>
      <c r="Y119" s="201"/>
      <c r="Z119" s="198">
        <v>5419</v>
      </c>
      <c r="AA119" s="203">
        <v>36.96</v>
      </c>
      <c r="AB119" s="200"/>
      <c r="AC119" s="201"/>
      <c r="AD119" s="198">
        <v>4790</v>
      </c>
      <c r="AE119" s="203">
        <v>32.86</v>
      </c>
      <c r="AF119" s="200"/>
      <c r="AG119" s="201"/>
      <c r="AH119" s="198">
        <v>5580</v>
      </c>
      <c r="AI119" s="203">
        <v>38</v>
      </c>
      <c r="AJ119" s="200"/>
      <c r="AK119" s="201"/>
      <c r="AL119" s="198">
        <v>5096</v>
      </c>
      <c r="AM119" s="203">
        <v>35.65</v>
      </c>
      <c r="AN119" s="200"/>
      <c r="AO119" s="201"/>
      <c r="AP119" s="198">
        <v>4980</v>
      </c>
      <c r="AQ119" s="203">
        <v>33.35</v>
      </c>
      <c r="AR119" s="200"/>
      <c r="AS119" s="201"/>
    </row>
    <row r="120" spans="1:45" s="55" customFormat="1" x14ac:dyDescent="0.2">
      <c r="A120" s="197">
        <v>44258</v>
      </c>
      <c r="B120" s="198">
        <v>5470</v>
      </c>
      <c r="C120" s="199">
        <v>37.5</v>
      </c>
      <c r="D120" s="200"/>
      <c r="E120" s="201"/>
      <c r="F120" s="202">
        <v>5292</v>
      </c>
      <c r="G120" s="203">
        <v>36.22</v>
      </c>
      <c r="H120" s="200"/>
      <c r="I120" s="201"/>
      <c r="J120" s="202">
        <v>4700</v>
      </c>
      <c r="K120" s="203">
        <v>31.85</v>
      </c>
      <c r="L120" s="200"/>
      <c r="M120" s="201"/>
      <c r="N120" s="198">
        <v>4905</v>
      </c>
      <c r="O120" s="203">
        <v>33.549999999999997</v>
      </c>
      <c r="P120" s="200"/>
      <c r="Q120" s="201"/>
      <c r="R120" s="198">
        <v>4760</v>
      </c>
      <c r="S120" s="203">
        <v>32.04</v>
      </c>
      <c r="T120" s="200"/>
      <c r="U120" s="201"/>
      <c r="V120" s="198">
        <v>6000</v>
      </c>
      <c r="W120" s="203">
        <v>40.75</v>
      </c>
      <c r="X120" s="200"/>
      <c r="Y120" s="201"/>
      <c r="Z120" s="198">
        <v>5424</v>
      </c>
      <c r="AA120" s="203">
        <v>37</v>
      </c>
      <c r="AB120" s="200"/>
      <c r="AC120" s="201"/>
      <c r="AD120" s="198">
        <v>4780</v>
      </c>
      <c r="AE120" s="203">
        <v>32.590000000000003</v>
      </c>
      <c r="AF120" s="200"/>
      <c r="AG120" s="201"/>
      <c r="AH120" s="198">
        <v>5520</v>
      </c>
      <c r="AI120" s="203">
        <v>37.85</v>
      </c>
      <c r="AJ120" s="200"/>
      <c r="AK120" s="201"/>
      <c r="AL120" s="198">
        <v>5199</v>
      </c>
      <c r="AM120" s="203">
        <v>35.5</v>
      </c>
      <c r="AN120" s="200"/>
      <c r="AO120" s="201"/>
      <c r="AP120" s="198">
        <v>4750</v>
      </c>
      <c r="AQ120" s="203">
        <v>32.01</v>
      </c>
      <c r="AR120" s="200"/>
      <c r="AS120" s="201"/>
    </row>
    <row r="121" spans="1:45" s="55" customFormat="1" x14ac:dyDescent="0.2">
      <c r="A121" s="197">
        <v>44259</v>
      </c>
      <c r="B121" s="198">
        <v>5470</v>
      </c>
      <c r="C121" s="199">
        <v>37.799999999999997</v>
      </c>
      <c r="D121" s="200"/>
      <c r="E121" s="201"/>
      <c r="F121" s="202">
        <v>5279</v>
      </c>
      <c r="G121" s="203">
        <v>36.380000000000003</v>
      </c>
      <c r="H121" s="200"/>
      <c r="I121" s="201"/>
      <c r="J121" s="202">
        <v>4723</v>
      </c>
      <c r="K121" s="203">
        <v>32.56</v>
      </c>
      <c r="L121" s="200"/>
      <c r="M121" s="201"/>
      <c r="N121" s="198">
        <v>4939</v>
      </c>
      <c r="O121" s="203">
        <v>33.799999999999997</v>
      </c>
      <c r="P121" s="200"/>
      <c r="Q121" s="201"/>
      <c r="R121" s="198">
        <v>4724</v>
      </c>
      <c r="S121" s="203">
        <v>32.299999999999997</v>
      </c>
      <c r="T121" s="200"/>
      <c r="U121" s="201"/>
      <c r="V121" s="198">
        <v>5900</v>
      </c>
      <c r="W121" s="203">
        <v>40.4</v>
      </c>
      <c r="X121" s="200"/>
      <c r="Y121" s="201"/>
      <c r="Z121" s="198">
        <v>5388</v>
      </c>
      <c r="AA121" s="203">
        <v>36.979999999999997</v>
      </c>
      <c r="AB121" s="200"/>
      <c r="AC121" s="201"/>
      <c r="AD121" s="198">
        <v>4750</v>
      </c>
      <c r="AE121" s="203">
        <v>32.799999999999997</v>
      </c>
      <c r="AF121" s="200"/>
      <c r="AG121" s="201"/>
      <c r="AH121" s="198">
        <v>5470</v>
      </c>
      <c r="AI121" s="203">
        <v>38</v>
      </c>
      <c r="AJ121" s="200"/>
      <c r="AK121" s="201"/>
      <c r="AL121" s="198">
        <v>5200</v>
      </c>
      <c r="AM121" s="203">
        <v>35.5</v>
      </c>
      <c r="AN121" s="200"/>
      <c r="AO121" s="201"/>
      <c r="AP121" s="198">
        <v>4800</v>
      </c>
      <c r="AQ121" s="203">
        <v>32.01</v>
      </c>
      <c r="AR121" s="200"/>
      <c r="AS121" s="201"/>
    </row>
    <row r="122" spans="1:45" s="55" customFormat="1" x14ac:dyDescent="0.2">
      <c r="A122" s="197">
        <v>44260</v>
      </c>
      <c r="B122" s="198">
        <v>5465</v>
      </c>
      <c r="C122" s="199">
        <v>37.51</v>
      </c>
      <c r="D122" s="200"/>
      <c r="E122" s="201"/>
      <c r="F122" s="202">
        <v>5215</v>
      </c>
      <c r="G122" s="203">
        <v>35.75</v>
      </c>
      <c r="H122" s="200"/>
      <c r="I122" s="201"/>
      <c r="J122" s="202">
        <v>4600</v>
      </c>
      <c r="K122" s="203">
        <v>31.65</v>
      </c>
      <c r="L122" s="200"/>
      <c r="M122" s="201"/>
      <c r="N122" s="198">
        <v>4860</v>
      </c>
      <c r="O122" s="203">
        <v>33.5</v>
      </c>
      <c r="P122" s="200"/>
      <c r="Q122" s="201"/>
      <c r="R122" s="198">
        <v>4645</v>
      </c>
      <c r="S122" s="203">
        <v>32.26</v>
      </c>
      <c r="T122" s="200"/>
      <c r="U122" s="201"/>
      <c r="V122" s="198">
        <v>5749</v>
      </c>
      <c r="W122" s="203">
        <v>38.5</v>
      </c>
      <c r="X122" s="200"/>
      <c r="Y122" s="201"/>
      <c r="Z122" s="198">
        <v>5291</v>
      </c>
      <c r="AA122" s="203">
        <v>36.08</v>
      </c>
      <c r="AB122" s="200"/>
      <c r="AC122" s="201"/>
      <c r="AD122" s="198">
        <v>4660</v>
      </c>
      <c r="AE122" s="203">
        <v>31.9</v>
      </c>
      <c r="AF122" s="200"/>
      <c r="AG122" s="201"/>
      <c r="AH122" s="198">
        <v>5360</v>
      </c>
      <c r="AI122" s="203">
        <v>37.5</v>
      </c>
      <c r="AJ122" s="200"/>
      <c r="AK122" s="201"/>
      <c r="AL122" s="198">
        <v>5035</v>
      </c>
      <c r="AM122" s="203">
        <v>35.200000000000003</v>
      </c>
      <c r="AN122" s="200"/>
      <c r="AO122" s="201"/>
      <c r="AP122" s="198">
        <v>4730</v>
      </c>
      <c r="AQ122" s="203">
        <v>32.5</v>
      </c>
      <c r="AR122" s="200"/>
      <c r="AS122" s="201"/>
    </row>
    <row r="123" spans="1:45" x14ac:dyDescent="0.2">
      <c r="A123" s="35">
        <v>44263</v>
      </c>
      <c r="B123" s="123">
        <v>5360</v>
      </c>
      <c r="C123" s="149">
        <v>36.89</v>
      </c>
      <c r="D123" s="28"/>
      <c r="E123" s="29"/>
      <c r="F123" s="32">
        <v>5177</v>
      </c>
      <c r="G123" s="18">
        <v>35.700000000000003</v>
      </c>
      <c r="H123" s="28"/>
      <c r="I123" s="29"/>
      <c r="J123" s="32">
        <v>4511</v>
      </c>
      <c r="K123" s="18">
        <v>31.31</v>
      </c>
      <c r="L123" s="28"/>
      <c r="M123" s="29"/>
      <c r="N123" s="123">
        <v>4830</v>
      </c>
      <c r="O123" s="18">
        <v>33.049999999999997</v>
      </c>
      <c r="P123" s="28"/>
      <c r="Q123" s="29"/>
      <c r="R123" s="123">
        <v>4660</v>
      </c>
      <c r="S123" s="18">
        <v>32</v>
      </c>
      <c r="T123" s="28"/>
      <c r="U123" s="29"/>
      <c r="V123" s="123">
        <v>5760</v>
      </c>
      <c r="W123" s="18">
        <v>39.799999999999997</v>
      </c>
      <c r="X123" s="28"/>
      <c r="Y123" s="29"/>
      <c r="Z123" s="123">
        <v>5240</v>
      </c>
      <c r="AA123" s="18">
        <v>35.92</v>
      </c>
      <c r="AB123" s="28"/>
      <c r="AC123" s="29"/>
      <c r="AD123" s="123">
        <v>4649</v>
      </c>
      <c r="AE123" s="18">
        <v>31.72</v>
      </c>
      <c r="AF123" s="28"/>
      <c r="AG123" s="29"/>
      <c r="AH123" s="123">
        <v>5400</v>
      </c>
      <c r="AI123" s="18">
        <v>37.25</v>
      </c>
      <c r="AJ123" s="28"/>
      <c r="AK123" s="29"/>
      <c r="AL123" s="123">
        <v>4965</v>
      </c>
      <c r="AM123" s="18">
        <v>34.15</v>
      </c>
      <c r="AN123" s="28"/>
      <c r="AO123" s="29"/>
      <c r="AP123" s="123">
        <v>4601</v>
      </c>
      <c r="AQ123" s="18">
        <v>32.5</v>
      </c>
      <c r="AR123" s="28"/>
      <c r="AS123" s="29"/>
    </row>
    <row r="124" spans="1:45" x14ac:dyDescent="0.2">
      <c r="A124" s="35">
        <v>44264</v>
      </c>
      <c r="B124" s="123">
        <v>5263</v>
      </c>
      <c r="C124" s="149">
        <v>36.25</v>
      </c>
      <c r="D124" s="28"/>
      <c r="E124" s="29"/>
      <c r="F124" s="32">
        <v>5109</v>
      </c>
      <c r="G124" s="18">
        <v>35.14</v>
      </c>
      <c r="H124" s="28"/>
      <c r="I124" s="29"/>
      <c r="J124" s="32">
        <v>4440</v>
      </c>
      <c r="K124" s="18">
        <v>30.52</v>
      </c>
      <c r="L124" s="28"/>
      <c r="M124" s="29"/>
      <c r="N124" s="123">
        <v>4769.5</v>
      </c>
      <c r="O124" s="18">
        <v>32.6</v>
      </c>
      <c r="P124" s="28"/>
      <c r="Q124" s="29"/>
      <c r="R124" s="123">
        <v>4610</v>
      </c>
      <c r="S124" s="18">
        <v>31.98</v>
      </c>
      <c r="T124" s="28"/>
      <c r="U124" s="29"/>
      <c r="V124" s="123">
        <v>5452</v>
      </c>
      <c r="W124" s="18">
        <v>38.299999999999997</v>
      </c>
      <c r="X124" s="28"/>
      <c r="Y124" s="29"/>
      <c r="Z124" s="123">
        <v>5170</v>
      </c>
      <c r="AA124" s="18">
        <v>35.26</v>
      </c>
      <c r="AB124" s="28"/>
      <c r="AC124" s="29"/>
      <c r="AD124" s="123">
        <v>4550</v>
      </c>
      <c r="AE124" s="18">
        <v>31.25</v>
      </c>
      <c r="AF124" s="28"/>
      <c r="AG124" s="29"/>
      <c r="AH124" s="123">
        <v>5320</v>
      </c>
      <c r="AI124" s="18">
        <v>36.5</v>
      </c>
      <c r="AJ124" s="28"/>
      <c r="AK124" s="29"/>
      <c r="AL124" s="123">
        <v>4975</v>
      </c>
      <c r="AM124" s="18">
        <v>34.25</v>
      </c>
      <c r="AN124" s="28"/>
      <c r="AO124" s="29"/>
      <c r="AP124" s="123">
        <v>4605</v>
      </c>
      <c r="AQ124" s="18">
        <v>32.5</v>
      </c>
      <c r="AR124" s="28"/>
      <c r="AS124" s="29"/>
    </row>
    <row r="125" spans="1:45" s="78" customFormat="1" x14ac:dyDescent="0.2">
      <c r="A125" s="190">
        <v>44265</v>
      </c>
      <c r="B125" s="191">
        <v>5027</v>
      </c>
      <c r="C125" s="69">
        <v>35</v>
      </c>
      <c r="D125" s="192"/>
      <c r="E125" s="193"/>
      <c r="F125" s="194">
        <v>4840</v>
      </c>
      <c r="G125" s="195">
        <v>33.51</v>
      </c>
      <c r="H125" s="192"/>
      <c r="I125" s="193"/>
      <c r="J125" s="194">
        <v>4275</v>
      </c>
      <c r="K125" s="195">
        <v>29.8</v>
      </c>
      <c r="L125" s="192"/>
      <c r="M125" s="193"/>
      <c r="N125" s="191">
        <v>4579</v>
      </c>
      <c r="O125" s="195">
        <v>32.1</v>
      </c>
      <c r="P125" s="192"/>
      <c r="Q125" s="193"/>
      <c r="R125" s="191">
        <v>4420</v>
      </c>
      <c r="S125" s="195">
        <v>31.42</v>
      </c>
      <c r="T125" s="192"/>
      <c r="U125" s="193"/>
      <c r="V125" s="191">
        <v>5376</v>
      </c>
      <c r="W125" s="195">
        <v>37</v>
      </c>
      <c r="X125" s="192"/>
      <c r="Y125" s="193"/>
      <c r="Z125" s="191">
        <v>4930</v>
      </c>
      <c r="AA125" s="195">
        <v>34.39</v>
      </c>
      <c r="AB125" s="192"/>
      <c r="AC125" s="193"/>
      <c r="AD125" s="191">
        <v>4400</v>
      </c>
      <c r="AE125" s="195">
        <v>30.68</v>
      </c>
      <c r="AF125" s="192"/>
      <c r="AG125" s="193"/>
      <c r="AH125" s="191">
        <v>5200</v>
      </c>
      <c r="AI125" s="195">
        <v>36.5</v>
      </c>
      <c r="AJ125" s="192"/>
      <c r="AK125" s="193"/>
      <c r="AL125" s="191">
        <v>4865</v>
      </c>
      <c r="AM125" s="195">
        <v>33.75</v>
      </c>
      <c r="AN125" s="192"/>
      <c r="AO125" s="193"/>
      <c r="AP125" s="191">
        <v>4500</v>
      </c>
      <c r="AQ125" s="195">
        <v>31.5</v>
      </c>
      <c r="AR125" s="192"/>
      <c r="AS125" s="193"/>
    </row>
    <row r="126" spans="1:45" x14ac:dyDescent="0.2">
      <c r="A126" s="35">
        <v>44266</v>
      </c>
      <c r="B126" s="123">
        <v>5035</v>
      </c>
      <c r="C126" s="149">
        <v>34.950000000000003</v>
      </c>
      <c r="D126" s="28"/>
      <c r="E126" s="29"/>
      <c r="F126" s="32">
        <v>4860</v>
      </c>
      <c r="G126" s="18">
        <v>33.68</v>
      </c>
      <c r="H126" s="28"/>
      <c r="I126" s="29"/>
      <c r="J126" s="32">
        <v>4350</v>
      </c>
      <c r="K126" s="18">
        <v>30.26</v>
      </c>
      <c r="L126" s="28"/>
      <c r="M126" s="29"/>
      <c r="N126" s="123">
        <v>4615</v>
      </c>
      <c r="O126" s="18">
        <v>32.049999999999997</v>
      </c>
      <c r="P126" s="28"/>
      <c r="Q126" s="29"/>
      <c r="R126" s="123">
        <v>4526</v>
      </c>
      <c r="S126" s="18">
        <v>31.5</v>
      </c>
      <c r="T126" s="28"/>
      <c r="U126" s="29"/>
      <c r="V126" s="123">
        <v>5445</v>
      </c>
      <c r="W126" s="18">
        <v>37.200000000000003</v>
      </c>
      <c r="X126" s="28"/>
      <c r="Y126" s="29"/>
      <c r="Z126" s="123">
        <v>5011</v>
      </c>
      <c r="AA126" s="18">
        <v>34.65</v>
      </c>
      <c r="AB126" s="28"/>
      <c r="AC126" s="29"/>
      <c r="AD126" s="123">
        <v>4465</v>
      </c>
      <c r="AE126" s="18">
        <v>30.95</v>
      </c>
      <c r="AF126" s="28"/>
      <c r="AG126" s="29"/>
      <c r="AH126" s="123">
        <v>5270</v>
      </c>
      <c r="AI126" s="18">
        <v>36.799999999999997</v>
      </c>
      <c r="AJ126" s="28"/>
      <c r="AK126" s="29"/>
      <c r="AL126" s="123">
        <v>4994</v>
      </c>
      <c r="AM126" s="18">
        <v>34.6</v>
      </c>
      <c r="AN126" s="28"/>
      <c r="AO126" s="29"/>
      <c r="AP126" s="123">
        <v>4500</v>
      </c>
      <c r="AQ126" s="18">
        <v>30.25</v>
      </c>
      <c r="AR126" s="28"/>
      <c r="AS126" s="29"/>
    </row>
    <row r="127" spans="1:45" x14ac:dyDescent="0.2">
      <c r="A127" s="35">
        <v>44267</v>
      </c>
      <c r="B127" s="123">
        <v>5139.5</v>
      </c>
      <c r="C127" s="149">
        <v>35.51</v>
      </c>
      <c r="D127" s="28"/>
      <c r="E127" s="29"/>
      <c r="F127" s="32">
        <v>4981</v>
      </c>
      <c r="G127" s="18">
        <v>34.39</v>
      </c>
      <c r="H127" s="28"/>
      <c r="I127" s="29"/>
      <c r="J127" s="32">
        <v>4390</v>
      </c>
      <c r="K127" s="18">
        <v>30.5</v>
      </c>
      <c r="L127" s="28"/>
      <c r="M127" s="29"/>
      <c r="N127" s="123">
        <v>4715</v>
      </c>
      <c r="O127" s="18">
        <v>32.75</v>
      </c>
      <c r="P127" s="28"/>
      <c r="Q127" s="29"/>
      <c r="R127" s="123">
        <v>4700</v>
      </c>
      <c r="S127" s="18">
        <v>32.5</v>
      </c>
      <c r="T127" s="28"/>
      <c r="U127" s="29"/>
      <c r="V127" s="123">
        <v>5400</v>
      </c>
      <c r="W127" s="18">
        <v>37.799999999999997</v>
      </c>
      <c r="X127" s="28"/>
      <c r="Y127" s="29"/>
      <c r="Z127" s="123">
        <v>5120</v>
      </c>
      <c r="AA127" s="18">
        <v>35.31</v>
      </c>
      <c r="AB127" s="28"/>
      <c r="AC127" s="29"/>
      <c r="AD127" s="123">
        <v>4599</v>
      </c>
      <c r="AE127" s="18">
        <v>31.35</v>
      </c>
      <c r="AF127" s="28"/>
      <c r="AG127" s="29"/>
      <c r="AH127" s="123">
        <v>5310</v>
      </c>
      <c r="AI127" s="18">
        <v>37.5</v>
      </c>
      <c r="AJ127" s="28"/>
      <c r="AK127" s="29"/>
      <c r="AL127" s="123">
        <v>5100</v>
      </c>
      <c r="AM127" s="18">
        <v>35.35</v>
      </c>
      <c r="AN127" s="28"/>
      <c r="AO127" s="29"/>
      <c r="AP127" s="123">
        <v>4500</v>
      </c>
      <c r="AQ127" s="18">
        <v>31.2</v>
      </c>
      <c r="AR127" s="28"/>
      <c r="AS127" s="29"/>
    </row>
    <row r="128" spans="1:45" x14ac:dyDescent="0.2">
      <c r="A128" s="35">
        <v>44270</v>
      </c>
      <c r="B128" s="123">
        <v>5260</v>
      </c>
      <c r="C128" s="149">
        <v>36.479999999999997</v>
      </c>
      <c r="D128" s="28"/>
      <c r="E128" s="29"/>
      <c r="F128" s="32">
        <v>5055</v>
      </c>
      <c r="G128" s="18">
        <v>34.96</v>
      </c>
      <c r="H128" s="28"/>
      <c r="I128" s="29"/>
      <c r="J128" s="32">
        <v>4460</v>
      </c>
      <c r="K128" s="18">
        <v>30.95</v>
      </c>
      <c r="L128" s="28"/>
      <c r="M128" s="29"/>
      <c r="N128" s="123">
        <v>4850</v>
      </c>
      <c r="O128" s="18">
        <v>33.65</v>
      </c>
      <c r="P128" s="28"/>
      <c r="Q128" s="29"/>
      <c r="R128" s="123">
        <v>4895</v>
      </c>
      <c r="S128" s="18">
        <v>33.450000000000003</v>
      </c>
      <c r="T128" s="28"/>
      <c r="U128" s="29"/>
      <c r="V128" s="123">
        <v>5598</v>
      </c>
      <c r="W128" s="18">
        <v>38.700000000000003</v>
      </c>
      <c r="X128" s="28"/>
      <c r="Y128" s="29"/>
      <c r="Z128" s="123">
        <v>5220</v>
      </c>
      <c r="AA128" s="18">
        <v>35.950000000000003</v>
      </c>
      <c r="AB128" s="28"/>
      <c r="AC128" s="29"/>
      <c r="AD128" s="123">
        <v>4630</v>
      </c>
      <c r="AE128" s="18">
        <v>32.06</v>
      </c>
      <c r="AF128" s="28"/>
      <c r="AG128" s="29"/>
      <c r="AH128" s="123">
        <v>5568.5</v>
      </c>
      <c r="AI128" s="18">
        <v>38.6</v>
      </c>
      <c r="AJ128" s="28"/>
      <c r="AK128" s="29"/>
      <c r="AL128" s="123">
        <v>5270</v>
      </c>
      <c r="AM128" s="18">
        <v>36.799999999999997</v>
      </c>
      <c r="AN128" s="28"/>
      <c r="AO128" s="29"/>
      <c r="AP128" s="123">
        <v>4700</v>
      </c>
      <c r="AQ128" s="18">
        <v>32.5</v>
      </c>
      <c r="AR128" s="28"/>
      <c r="AS128" s="29"/>
    </row>
    <row r="129" spans="1:45" x14ac:dyDescent="0.2">
      <c r="A129" s="35">
        <v>44271</v>
      </c>
      <c r="B129" s="123">
        <v>5300</v>
      </c>
      <c r="C129" s="149">
        <v>36.65</v>
      </c>
      <c r="D129" s="28"/>
      <c r="E129" s="29"/>
      <c r="F129" s="32">
        <v>5119</v>
      </c>
      <c r="G129" s="18">
        <v>35.4</v>
      </c>
      <c r="H129" s="28"/>
      <c r="I129" s="29"/>
      <c r="J129" s="32">
        <v>4540</v>
      </c>
      <c r="K129" s="18">
        <v>31.29</v>
      </c>
      <c r="L129" s="28"/>
      <c r="M129" s="29"/>
      <c r="N129" s="123">
        <v>4910</v>
      </c>
      <c r="O129" s="18">
        <v>34.25</v>
      </c>
      <c r="P129" s="28"/>
      <c r="Q129" s="29"/>
      <c r="R129" s="123">
        <v>4883</v>
      </c>
      <c r="S129" s="18">
        <v>33.49</v>
      </c>
      <c r="T129" s="28"/>
      <c r="U129" s="29"/>
      <c r="V129" s="123">
        <v>5750</v>
      </c>
      <c r="W129" s="18">
        <v>39.99</v>
      </c>
      <c r="X129" s="28"/>
      <c r="Y129" s="29"/>
      <c r="Z129" s="123">
        <v>5261</v>
      </c>
      <c r="AA129" s="18">
        <v>36.299999999999997</v>
      </c>
      <c r="AB129" s="28"/>
      <c r="AC129" s="29"/>
      <c r="AD129" s="123">
        <v>4660</v>
      </c>
      <c r="AE129" s="18">
        <v>32.18</v>
      </c>
      <c r="AF129" s="28"/>
      <c r="AG129" s="29"/>
      <c r="AH129" s="123">
        <v>5605</v>
      </c>
      <c r="AI129" s="18">
        <v>38.75</v>
      </c>
      <c r="AJ129" s="28"/>
      <c r="AK129" s="29"/>
      <c r="AL129" s="123">
        <v>5365</v>
      </c>
      <c r="AM129" s="18">
        <v>37</v>
      </c>
      <c r="AN129" s="28"/>
      <c r="AO129" s="29"/>
      <c r="AP129" s="123">
        <v>4700</v>
      </c>
      <c r="AQ129" s="18">
        <v>32.5</v>
      </c>
      <c r="AR129" s="28"/>
      <c r="AS129" s="29"/>
    </row>
    <row r="130" spans="1:45" x14ac:dyDescent="0.2">
      <c r="A130" s="35">
        <v>44272</v>
      </c>
      <c r="B130" s="123">
        <v>5345</v>
      </c>
      <c r="C130" s="149">
        <v>36.840000000000003</v>
      </c>
      <c r="D130" s="28"/>
      <c r="E130" s="29"/>
      <c r="F130" s="32">
        <v>5201</v>
      </c>
      <c r="G130" s="18">
        <v>35.799999999999997</v>
      </c>
      <c r="H130" s="28"/>
      <c r="I130" s="29"/>
      <c r="J130" s="32">
        <v>4584</v>
      </c>
      <c r="K130" s="18">
        <v>31.66</v>
      </c>
      <c r="L130" s="28"/>
      <c r="M130" s="29"/>
      <c r="N130" s="123">
        <v>4950</v>
      </c>
      <c r="O130" s="18">
        <v>34.049999999999997</v>
      </c>
      <c r="P130" s="28"/>
      <c r="Q130" s="29"/>
      <c r="R130" s="123">
        <v>4875</v>
      </c>
      <c r="S130" s="18">
        <v>33.75</v>
      </c>
      <c r="T130" s="28"/>
      <c r="U130" s="29"/>
      <c r="V130" s="123">
        <v>5800</v>
      </c>
      <c r="W130" s="18">
        <v>39.85</v>
      </c>
      <c r="X130" s="28"/>
      <c r="Y130" s="29"/>
      <c r="Z130" s="123">
        <v>5364</v>
      </c>
      <c r="AA130" s="18">
        <v>36.880000000000003</v>
      </c>
      <c r="AB130" s="28"/>
      <c r="AC130" s="29"/>
      <c r="AD130" s="123">
        <v>4770</v>
      </c>
      <c r="AE130" s="18">
        <v>32.799999999999997</v>
      </c>
      <c r="AF130" s="28"/>
      <c r="AG130" s="29"/>
      <c r="AH130" s="123">
        <v>5630</v>
      </c>
      <c r="AI130" s="18">
        <v>39</v>
      </c>
      <c r="AJ130" s="28"/>
      <c r="AK130" s="29"/>
      <c r="AL130" s="123">
        <v>5450</v>
      </c>
      <c r="AM130" s="18">
        <v>36.450000000000003</v>
      </c>
      <c r="AN130" s="28"/>
      <c r="AO130" s="29"/>
      <c r="AP130" s="123">
        <v>4700</v>
      </c>
      <c r="AQ130" s="18">
        <v>32.5</v>
      </c>
      <c r="AR130" s="28"/>
      <c r="AS130" s="29"/>
    </row>
    <row r="131" spans="1:45" x14ac:dyDescent="0.2">
      <c r="A131" s="35">
        <v>44273</v>
      </c>
      <c r="B131" s="123">
        <v>5296</v>
      </c>
      <c r="C131" s="149">
        <v>36.72</v>
      </c>
      <c r="D131" s="28"/>
      <c r="E131" s="29"/>
      <c r="F131" s="32">
        <v>5183.5</v>
      </c>
      <c r="G131" s="18">
        <v>35.82</v>
      </c>
      <c r="H131" s="28"/>
      <c r="I131" s="29"/>
      <c r="J131" s="32">
        <v>4587</v>
      </c>
      <c r="K131" s="18">
        <v>31.6</v>
      </c>
      <c r="L131" s="28"/>
      <c r="M131" s="29"/>
      <c r="N131" s="123">
        <v>4920</v>
      </c>
      <c r="O131" s="18">
        <v>33.92</v>
      </c>
      <c r="P131" s="28"/>
      <c r="Q131" s="29"/>
      <c r="R131" s="123">
        <v>4910</v>
      </c>
      <c r="S131" s="18">
        <v>33.950000000000003</v>
      </c>
      <c r="T131" s="28"/>
      <c r="U131" s="29"/>
      <c r="V131" s="123">
        <v>5799</v>
      </c>
      <c r="W131" s="18">
        <v>39.79</v>
      </c>
      <c r="X131" s="28"/>
      <c r="Y131" s="29"/>
      <c r="Z131" s="123">
        <v>5317</v>
      </c>
      <c r="AA131" s="18">
        <v>36.61</v>
      </c>
      <c r="AB131" s="28"/>
      <c r="AC131" s="29"/>
      <c r="AD131" s="123">
        <v>4705</v>
      </c>
      <c r="AE131" s="18">
        <v>32.4</v>
      </c>
      <c r="AF131" s="28"/>
      <c r="AG131" s="29"/>
      <c r="AH131" s="123">
        <v>5700</v>
      </c>
      <c r="AI131" s="18">
        <v>39.299999999999997</v>
      </c>
      <c r="AJ131" s="28"/>
      <c r="AK131" s="29"/>
      <c r="AL131" s="123">
        <v>5425</v>
      </c>
      <c r="AM131" s="18">
        <v>37.9</v>
      </c>
      <c r="AN131" s="28"/>
      <c r="AO131" s="29"/>
      <c r="AP131" s="123">
        <v>4651.5</v>
      </c>
      <c r="AQ131" s="18">
        <v>32</v>
      </c>
      <c r="AR131" s="28"/>
      <c r="AS131" s="29"/>
    </row>
    <row r="132" spans="1:45" x14ac:dyDescent="0.2">
      <c r="A132" s="35">
        <v>44274</v>
      </c>
      <c r="B132" s="123">
        <v>5340</v>
      </c>
      <c r="C132" s="149">
        <v>37</v>
      </c>
      <c r="D132" s="28"/>
      <c r="E132" s="29"/>
      <c r="F132" s="32">
        <v>5172.5</v>
      </c>
      <c r="G132" s="18">
        <v>35.92</v>
      </c>
      <c r="H132" s="28"/>
      <c r="I132" s="29"/>
      <c r="J132" s="32">
        <v>4650</v>
      </c>
      <c r="K132" s="18">
        <v>32.159999999999997</v>
      </c>
      <c r="L132" s="28"/>
      <c r="M132" s="29"/>
      <c r="N132" s="123">
        <v>4955</v>
      </c>
      <c r="O132" s="18">
        <v>34.25</v>
      </c>
      <c r="P132" s="28"/>
      <c r="Q132" s="29"/>
      <c r="R132" s="123">
        <v>4935</v>
      </c>
      <c r="S132" s="18">
        <v>34.25</v>
      </c>
      <c r="T132" s="28"/>
      <c r="U132" s="29"/>
      <c r="V132" s="123">
        <v>5750</v>
      </c>
      <c r="W132" s="18">
        <v>39.6</v>
      </c>
      <c r="X132" s="28"/>
      <c r="Y132" s="29"/>
      <c r="Z132" s="123">
        <v>5335</v>
      </c>
      <c r="AA132" s="18">
        <v>36.950000000000003</v>
      </c>
      <c r="AB132" s="28"/>
      <c r="AC132" s="29"/>
      <c r="AD132" s="123">
        <v>4765</v>
      </c>
      <c r="AE132" s="18">
        <v>33.090000000000003</v>
      </c>
      <c r="AF132" s="28"/>
      <c r="AG132" s="29"/>
      <c r="AH132" s="123">
        <v>5670</v>
      </c>
      <c r="AI132" s="18">
        <v>39.5</v>
      </c>
      <c r="AJ132" s="28"/>
      <c r="AK132" s="29"/>
      <c r="AL132" s="123">
        <v>5460</v>
      </c>
      <c r="AM132" s="18">
        <v>38</v>
      </c>
      <c r="AN132" s="28"/>
      <c r="AO132" s="29"/>
      <c r="AP132" s="123">
        <v>4710</v>
      </c>
      <c r="AQ132" s="18">
        <v>32.75</v>
      </c>
      <c r="AR132" s="28"/>
      <c r="AS132" s="29"/>
    </row>
    <row r="133" spans="1:45" x14ac:dyDescent="0.2">
      <c r="A133" s="35">
        <v>44277</v>
      </c>
      <c r="B133" s="123">
        <v>5360</v>
      </c>
      <c r="C133" s="149">
        <v>37.549999999999997</v>
      </c>
      <c r="D133" s="28"/>
      <c r="E133" s="29"/>
      <c r="F133" s="32">
        <v>5212</v>
      </c>
      <c r="G133" s="18">
        <v>36.409999999999997</v>
      </c>
      <c r="H133" s="28"/>
      <c r="I133" s="29"/>
      <c r="J133" s="32">
        <v>4685</v>
      </c>
      <c r="K133" s="18">
        <v>32.75</v>
      </c>
      <c r="L133" s="28"/>
      <c r="M133" s="29"/>
      <c r="N133" s="123">
        <v>5014</v>
      </c>
      <c r="O133" s="18">
        <v>35.299999999999997</v>
      </c>
      <c r="P133" s="28"/>
      <c r="Q133" s="29"/>
      <c r="R133" s="123">
        <v>5040</v>
      </c>
      <c r="S133" s="18">
        <v>34.85</v>
      </c>
      <c r="T133" s="28"/>
      <c r="U133" s="29"/>
      <c r="V133" s="123">
        <v>5750</v>
      </c>
      <c r="W133" s="18">
        <v>40</v>
      </c>
      <c r="X133" s="28"/>
      <c r="Y133" s="29"/>
      <c r="Z133" s="123">
        <v>5375</v>
      </c>
      <c r="AA133" s="18">
        <v>37.549999999999997</v>
      </c>
      <c r="AB133" s="28"/>
      <c r="AC133" s="29"/>
      <c r="AD133" s="123">
        <v>4765.5</v>
      </c>
      <c r="AE133" s="18">
        <v>33.51</v>
      </c>
      <c r="AF133" s="28"/>
      <c r="AG133" s="29"/>
      <c r="AH133" s="123">
        <v>5760</v>
      </c>
      <c r="AI133" s="18">
        <v>40.200000000000003</v>
      </c>
      <c r="AJ133" s="28"/>
      <c r="AK133" s="29"/>
      <c r="AL133" s="123">
        <v>5450</v>
      </c>
      <c r="AM133" s="18">
        <v>38</v>
      </c>
      <c r="AN133" s="28"/>
      <c r="AO133" s="29"/>
      <c r="AP133" s="123">
        <v>4800</v>
      </c>
      <c r="AQ133" s="18">
        <v>33.01</v>
      </c>
      <c r="AR133" s="28"/>
      <c r="AS133" s="29"/>
    </row>
    <row r="134" spans="1:45" x14ac:dyDescent="0.2">
      <c r="A134" s="35">
        <v>44278</v>
      </c>
      <c r="B134" s="123">
        <v>5328</v>
      </c>
      <c r="C134" s="149">
        <v>37.25</v>
      </c>
      <c r="D134" s="28"/>
      <c r="E134" s="29"/>
      <c r="F134" s="32">
        <v>5140</v>
      </c>
      <c r="G134" s="18">
        <v>36</v>
      </c>
      <c r="H134" s="28"/>
      <c r="I134" s="29"/>
      <c r="J134" s="32">
        <v>4620</v>
      </c>
      <c r="K134" s="18">
        <v>32.74</v>
      </c>
      <c r="L134" s="28"/>
      <c r="M134" s="29"/>
      <c r="N134" s="123">
        <v>5089</v>
      </c>
      <c r="O134" s="18">
        <v>35.32</v>
      </c>
      <c r="P134" s="28"/>
      <c r="Q134" s="29"/>
      <c r="R134" s="123">
        <v>5007</v>
      </c>
      <c r="S134" s="18">
        <v>35.25</v>
      </c>
      <c r="T134" s="28"/>
      <c r="U134" s="29"/>
      <c r="V134" s="123">
        <v>5700</v>
      </c>
      <c r="W134" s="18">
        <v>40</v>
      </c>
      <c r="X134" s="28"/>
      <c r="Y134" s="29"/>
      <c r="Z134" s="123">
        <v>5298</v>
      </c>
      <c r="AA134" s="18">
        <v>37.08</v>
      </c>
      <c r="AB134" s="28"/>
      <c r="AC134" s="29"/>
      <c r="AD134" s="123">
        <v>4719.5</v>
      </c>
      <c r="AE134" s="18">
        <v>33.090000000000003</v>
      </c>
      <c r="AF134" s="28"/>
      <c r="AG134" s="29"/>
      <c r="AH134" s="123">
        <v>5754</v>
      </c>
      <c r="AI134" s="18">
        <v>40.1</v>
      </c>
      <c r="AJ134" s="28"/>
      <c r="AK134" s="29"/>
      <c r="AL134" s="123">
        <v>5475</v>
      </c>
      <c r="AM134" s="18">
        <v>38.119999999999997</v>
      </c>
      <c r="AN134" s="28"/>
      <c r="AO134" s="29"/>
      <c r="AP134" s="123">
        <v>4840</v>
      </c>
      <c r="AQ134" s="18">
        <v>33.75</v>
      </c>
      <c r="AR134" s="28"/>
      <c r="AS134" s="29"/>
    </row>
    <row r="135" spans="1:45" x14ac:dyDescent="0.2">
      <c r="A135" s="35">
        <v>44280</v>
      </c>
      <c r="B135" s="123">
        <v>5139</v>
      </c>
      <c r="C135" s="149">
        <v>36.4</v>
      </c>
      <c r="D135" s="28"/>
      <c r="E135" s="29"/>
      <c r="F135" s="32">
        <v>4992</v>
      </c>
      <c r="G135" s="18">
        <v>35.33</v>
      </c>
      <c r="H135" s="28"/>
      <c r="I135" s="29"/>
      <c r="J135" s="32">
        <v>4450</v>
      </c>
      <c r="K135" s="18">
        <v>31.51</v>
      </c>
      <c r="L135" s="28"/>
      <c r="M135" s="29"/>
      <c r="N135" s="123">
        <v>4900</v>
      </c>
      <c r="O135" s="18">
        <v>34.799999999999997</v>
      </c>
      <c r="P135" s="28"/>
      <c r="Q135" s="29"/>
      <c r="R135" s="123">
        <v>4859</v>
      </c>
      <c r="S135" s="18">
        <v>34.6</v>
      </c>
      <c r="T135" s="28"/>
      <c r="U135" s="29"/>
      <c r="V135" s="123">
        <v>5450</v>
      </c>
      <c r="W135" s="18">
        <v>38.81</v>
      </c>
      <c r="X135" s="28"/>
      <c r="Y135" s="29"/>
      <c r="Z135" s="123">
        <v>5130</v>
      </c>
      <c r="AA135" s="18">
        <v>36.299999999999997</v>
      </c>
      <c r="AB135" s="28"/>
      <c r="AC135" s="29"/>
      <c r="AD135" s="123">
        <v>4550</v>
      </c>
      <c r="AE135" s="18">
        <v>32.14</v>
      </c>
      <c r="AF135" s="28"/>
      <c r="AG135" s="29"/>
      <c r="AH135" s="123">
        <v>5520</v>
      </c>
      <c r="AI135" s="18">
        <v>39</v>
      </c>
      <c r="AJ135" s="28"/>
      <c r="AK135" s="29"/>
      <c r="AL135" s="123">
        <v>5260</v>
      </c>
      <c r="AM135" s="18">
        <v>37</v>
      </c>
      <c r="AN135" s="28"/>
      <c r="AO135" s="29"/>
      <c r="AP135" s="123">
        <v>4550</v>
      </c>
      <c r="AQ135" s="18">
        <v>32.71</v>
      </c>
      <c r="AR135" s="28"/>
      <c r="AS135" s="29"/>
    </row>
    <row r="136" spans="1:45" x14ac:dyDescent="0.2">
      <c r="A136" s="35">
        <v>44281</v>
      </c>
      <c r="B136" s="123">
        <v>5063</v>
      </c>
      <c r="C136" s="149">
        <v>36.5</v>
      </c>
      <c r="D136" s="28"/>
      <c r="E136" s="29"/>
      <c r="F136" s="32">
        <v>4890</v>
      </c>
      <c r="G136" s="18">
        <v>35.32</v>
      </c>
      <c r="H136" s="28"/>
      <c r="I136" s="29"/>
      <c r="J136" s="32">
        <v>4330</v>
      </c>
      <c r="K136" s="18">
        <v>31.2</v>
      </c>
      <c r="L136" s="28"/>
      <c r="M136" s="29"/>
      <c r="N136" s="123">
        <v>4830</v>
      </c>
      <c r="O136" s="18">
        <v>34.74</v>
      </c>
      <c r="P136" s="28"/>
      <c r="Q136" s="29"/>
      <c r="R136" s="123">
        <v>4774</v>
      </c>
      <c r="S136" s="18">
        <v>34.35</v>
      </c>
      <c r="T136" s="28"/>
      <c r="U136" s="29"/>
      <c r="V136" s="123">
        <v>5380</v>
      </c>
      <c r="W136" s="18">
        <v>39.1</v>
      </c>
      <c r="X136" s="28"/>
      <c r="Y136" s="29"/>
      <c r="Z136" s="123">
        <v>5025</v>
      </c>
      <c r="AA136" s="18">
        <v>36.21</v>
      </c>
      <c r="AB136" s="28"/>
      <c r="AC136" s="29"/>
      <c r="AD136" s="123">
        <v>4455</v>
      </c>
      <c r="AE136" s="18">
        <v>32.11</v>
      </c>
      <c r="AF136" s="28"/>
      <c r="AG136" s="29"/>
      <c r="AH136" s="123">
        <v>5509.5</v>
      </c>
      <c r="AI136" s="18">
        <v>39.5</v>
      </c>
      <c r="AJ136" s="28"/>
      <c r="AK136" s="29"/>
      <c r="AL136" s="123">
        <v>5230</v>
      </c>
      <c r="AM136" s="18">
        <v>37.200000000000003</v>
      </c>
      <c r="AN136" s="28"/>
      <c r="AO136" s="29"/>
      <c r="AP136" s="123">
        <v>4530</v>
      </c>
      <c r="AQ136" s="18">
        <v>32.9</v>
      </c>
      <c r="AR136" s="28"/>
      <c r="AS136" s="29"/>
    </row>
    <row r="137" spans="1:45" x14ac:dyDescent="0.2">
      <c r="A137" s="35">
        <v>44284</v>
      </c>
      <c r="B137" s="123">
        <v>5020</v>
      </c>
      <c r="C137" s="149">
        <v>36.18</v>
      </c>
      <c r="D137" s="28"/>
      <c r="E137" s="29"/>
      <c r="F137" s="32">
        <v>4801</v>
      </c>
      <c r="G137" s="18">
        <v>34.67</v>
      </c>
      <c r="H137" s="28"/>
      <c r="I137" s="29"/>
      <c r="J137" s="32">
        <v>4255</v>
      </c>
      <c r="K137" s="18">
        <v>30.81</v>
      </c>
      <c r="L137" s="28"/>
      <c r="M137" s="29"/>
      <c r="N137" s="123">
        <v>4740</v>
      </c>
      <c r="O137" s="18">
        <v>34.31</v>
      </c>
      <c r="P137" s="28"/>
      <c r="Q137" s="29"/>
      <c r="R137" s="123">
        <v>4630</v>
      </c>
      <c r="S137" s="18">
        <v>33.799999999999997</v>
      </c>
      <c r="T137" s="28"/>
      <c r="U137" s="29"/>
      <c r="V137" s="123">
        <v>5301</v>
      </c>
      <c r="W137" s="18">
        <v>38.11</v>
      </c>
      <c r="X137" s="28"/>
      <c r="Y137" s="29"/>
      <c r="Z137" s="123">
        <v>4950</v>
      </c>
      <c r="AA137" s="18">
        <v>35.65</v>
      </c>
      <c r="AB137" s="28"/>
      <c r="AC137" s="29"/>
      <c r="AD137" s="123">
        <v>4370</v>
      </c>
      <c r="AE137" s="18">
        <v>31.6</v>
      </c>
      <c r="AF137" s="28"/>
      <c r="AG137" s="29"/>
      <c r="AH137" s="123">
        <v>5385</v>
      </c>
      <c r="AI137" s="18">
        <v>39</v>
      </c>
      <c r="AJ137" s="28"/>
      <c r="AK137" s="29"/>
      <c r="AL137" s="123">
        <v>4955</v>
      </c>
      <c r="AM137" s="18">
        <v>36.75</v>
      </c>
      <c r="AN137" s="28"/>
      <c r="AO137" s="29"/>
      <c r="AP137" s="123">
        <v>4500</v>
      </c>
      <c r="AQ137" s="18">
        <v>33.200000000000003</v>
      </c>
      <c r="AR137" s="28"/>
      <c r="AS137" s="29"/>
    </row>
    <row r="138" spans="1:45" x14ac:dyDescent="0.2">
      <c r="A138" s="35">
        <v>44285</v>
      </c>
      <c r="B138" s="123">
        <v>4960</v>
      </c>
      <c r="C138" s="149">
        <v>35.799999999999997</v>
      </c>
      <c r="D138" s="28"/>
      <c r="E138" s="29"/>
      <c r="F138" s="32">
        <v>4814</v>
      </c>
      <c r="G138" s="18">
        <v>34.29</v>
      </c>
      <c r="H138" s="28"/>
      <c r="I138" s="29"/>
      <c r="J138" s="32">
        <v>4280</v>
      </c>
      <c r="K138" s="18">
        <v>30.69</v>
      </c>
      <c r="L138" s="28"/>
      <c r="M138" s="29"/>
      <c r="N138" s="123">
        <v>4739</v>
      </c>
      <c r="O138" s="18">
        <v>34</v>
      </c>
      <c r="P138" s="28"/>
      <c r="Q138" s="29"/>
      <c r="R138" s="123">
        <v>4680</v>
      </c>
      <c r="S138" s="18">
        <v>33.9</v>
      </c>
      <c r="T138" s="28"/>
      <c r="U138" s="29"/>
      <c r="V138" s="123">
        <v>5340</v>
      </c>
      <c r="W138" s="18">
        <v>38.1</v>
      </c>
      <c r="X138" s="28"/>
      <c r="Y138" s="29"/>
      <c r="Z138" s="123">
        <v>4920</v>
      </c>
      <c r="AA138" s="18">
        <v>35.090000000000003</v>
      </c>
      <c r="AB138" s="28"/>
      <c r="AC138" s="29"/>
      <c r="AD138" s="123">
        <v>4375.5</v>
      </c>
      <c r="AE138" s="18">
        <v>31.3</v>
      </c>
      <c r="AF138" s="28"/>
      <c r="AG138" s="29"/>
      <c r="AH138" s="123">
        <v>5400</v>
      </c>
      <c r="AI138" s="18">
        <v>38.6</v>
      </c>
      <c r="AJ138" s="28"/>
      <c r="AK138" s="29"/>
      <c r="AL138" s="123">
        <v>5055</v>
      </c>
      <c r="AM138" s="18">
        <v>35.75</v>
      </c>
      <c r="AN138" s="28"/>
      <c r="AO138" s="29"/>
      <c r="AP138" s="123">
        <v>4500</v>
      </c>
      <c r="AQ138" s="18">
        <v>32.5</v>
      </c>
      <c r="AR138" s="28"/>
      <c r="AS138" s="29"/>
    </row>
    <row r="139" spans="1:45" x14ac:dyDescent="0.2">
      <c r="A139" s="35">
        <v>44286</v>
      </c>
      <c r="B139" s="123">
        <v>5063</v>
      </c>
      <c r="C139" s="149">
        <v>36</v>
      </c>
      <c r="D139" s="28"/>
      <c r="E139" s="29"/>
      <c r="F139" s="32">
        <v>4841.5</v>
      </c>
      <c r="G139" s="18">
        <v>34.049999999999997</v>
      </c>
      <c r="H139" s="28"/>
      <c r="I139" s="29"/>
      <c r="J139" s="32">
        <v>4319.5</v>
      </c>
      <c r="K139" s="18">
        <v>30.49</v>
      </c>
      <c r="L139" s="28"/>
      <c r="M139" s="29"/>
      <c r="N139" s="123">
        <v>4820</v>
      </c>
      <c r="O139" s="18">
        <v>33.9</v>
      </c>
      <c r="P139" s="28"/>
      <c r="Q139" s="29"/>
      <c r="R139" s="123">
        <v>4740</v>
      </c>
      <c r="S139" s="18">
        <v>33.5</v>
      </c>
      <c r="T139" s="28"/>
      <c r="U139" s="29"/>
      <c r="V139" s="123">
        <v>5500</v>
      </c>
      <c r="W139" s="18">
        <v>38.85</v>
      </c>
      <c r="X139" s="28"/>
      <c r="Y139" s="29"/>
      <c r="Z139" s="123">
        <v>4960</v>
      </c>
      <c r="AA139" s="18">
        <v>35.01</v>
      </c>
      <c r="AB139" s="28"/>
      <c r="AC139" s="29"/>
      <c r="AD139" s="123">
        <v>4427</v>
      </c>
      <c r="AE139" s="18">
        <v>31.3</v>
      </c>
      <c r="AF139" s="28"/>
      <c r="AG139" s="29"/>
      <c r="AH139" s="123">
        <v>5400</v>
      </c>
      <c r="AI139" s="18">
        <v>38.6</v>
      </c>
      <c r="AJ139" s="28"/>
      <c r="AK139" s="29"/>
      <c r="AL139" s="123">
        <v>5125</v>
      </c>
      <c r="AM139" s="18">
        <v>36</v>
      </c>
      <c r="AN139" s="28"/>
      <c r="AO139" s="29"/>
      <c r="AP139" s="123">
        <v>4500</v>
      </c>
      <c r="AQ139" s="18">
        <v>32.5</v>
      </c>
      <c r="AR139" s="28"/>
      <c r="AS139" s="29"/>
    </row>
    <row r="140" spans="1:45" s="55" customFormat="1" x14ac:dyDescent="0.2">
      <c r="A140" s="197">
        <v>44291</v>
      </c>
      <c r="B140" s="198">
        <v>5124</v>
      </c>
      <c r="C140" s="199">
        <v>36.159999999999997</v>
      </c>
      <c r="D140" s="200"/>
      <c r="E140" s="201"/>
      <c r="F140" s="202">
        <v>4942</v>
      </c>
      <c r="G140" s="203">
        <v>34.85</v>
      </c>
      <c r="H140" s="200"/>
      <c r="I140" s="201"/>
      <c r="J140" s="202">
        <v>4340</v>
      </c>
      <c r="K140" s="203">
        <v>30.6</v>
      </c>
      <c r="L140" s="200"/>
      <c r="M140" s="201"/>
      <c r="N140" s="198">
        <v>4789</v>
      </c>
      <c r="O140" s="203">
        <v>33.9</v>
      </c>
      <c r="P140" s="200"/>
      <c r="Q140" s="201"/>
      <c r="R140" s="198">
        <v>4700</v>
      </c>
      <c r="S140" s="203">
        <v>33.25</v>
      </c>
      <c r="T140" s="200"/>
      <c r="U140" s="201"/>
      <c r="V140" s="198">
        <v>5485</v>
      </c>
      <c r="W140" s="203">
        <v>38.840000000000003</v>
      </c>
      <c r="X140" s="200"/>
      <c r="Y140" s="201"/>
      <c r="Z140" s="198">
        <v>5006.5</v>
      </c>
      <c r="AA140" s="203">
        <v>35.35</v>
      </c>
      <c r="AB140" s="200"/>
      <c r="AC140" s="201"/>
      <c r="AD140" s="198">
        <v>4480</v>
      </c>
      <c r="AE140" s="203">
        <v>31.5</v>
      </c>
      <c r="AF140" s="200"/>
      <c r="AG140" s="201"/>
      <c r="AH140" s="198">
        <v>5455</v>
      </c>
      <c r="AI140" s="203">
        <v>38.36</v>
      </c>
      <c r="AJ140" s="200"/>
      <c r="AK140" s="201"/>
      <c r="AL140" s="198">
        <v>5165</v>
      </c>
      <c r="AM140" s="203">
        <v>35.82</v>
      </c>
      <c r="AN140" s="200"/>
      <c r="AO140" s="201"/>
      <c r="AP140" s="198">
        <v>4562</v>
      </c>
      <c r="AQ140" s="203">
        <v>32</v>
      </c>
      <c r="AR140" s="200"/>
      <c r="AS140" s="201"/>
    </row>
    <row r="141" spans="1:45" x14ac:dyDescent="0.2">
      <c r="A141" s="35">
        <v>44292</v>
      </c>
      <c r="B141" s="121">
        <v>5164</v>
      </c>
      <c r="C141" s="149">
        <v>35.9</v>
      </c>
      <c r="E141" s="29"/>
      <c r="F141" s="32">
        <v>4975</v>
      </c>
      <c r="G141" s="18">
        <v>34.630000000000003</v>
      </c>
      <c r="I141" s="29"/>
      <c r="J141" s="32">
        <v>4395</v>
      </c>
      <c r="K141" s="18">
        <v>30.5</v>
      </c>
      <c r="M141" s="29"/>
      <c r="N141" s="123">
        <v>4840</v>
      </c>
      <c r="O141" s="18">
        <v>33.700000000000003</v>
      </c>
      <c r="Q141" s="29"/>
      <c r="R141" s="123">
        <v>4790</v>
      </c>
      <c r="S141" s="18">
        <v>33</v>
      </c>
      <c r="U141" s="29"/>
      <c r="V141" s="123">
        <v>5599</v>
      </c>
      <c r="W141" s="18">
        <v>38.700000000000003</v>
      </c>
      <c r="Y141" s="29"/>
      <c r="Z141" s="123">
        <v>5092</v>
      </c>
      <c r="AA141" s="18">
        <v>35.4</v>
      </c>
      <c r="AC141" s="29"/>
      <c r="AD141" s="123">
        <v>4515</v>
      </c>
      <c r="AE141" s="121">
        <v>31.5</v>
      </c>
      <c r="AG141" s="29"/>
      <c r="AH141" s="123">
        <v>5530</v>
      </c>
      <c r="AI141" s="18">
        <v>38.5</v>
      </c>
      <c r="AL141" s="123">
        <v>5215</v>
      </c>
      <c r="AM141" s="18">
        <v>36.200000000000003</v>
      </c>
      <c r="AO141" s="29"/>
      <c r="AP141" s="121">
        <v>4562</v>
      </c>
      <c r="AQ141" s="18">
        <v>32</v>
      </c>
    </row>
    <row r="142" spans="1:45" x14ac:dyDescent="0.2">
      <c r="A142" s="35">
        <v>44293</v>
      </c>
      <c r="B142" s="121">
        <v>5148</v>
      </c>
      <c r="C142" s="149">
        <v>35.79</v>
      </c>
      <c r="E142" s="29"/>
      <c r="F142" s="32">
        <v>4970</v>
      </c>
      <c r="G142" s="18">
        <v>34.57</v>
      </c>
      <c r="I142" s="29"/>
      <c r="J142" s="32">
        <v>4378.5</v>
      </c>
      <c r="K142" s="18">
        <v>30.36</v>
      </c>
      <c r="M142" s="29"/>
      <c r="N142" s="123">
        <v>4829</v>
      </c>
      <c r="O142" s="18">
        <v>33.450000000000003</v>
      </c>
      <c r="Q142" s="29"/>
      <c r="R142" s="123">
        <v>4800</v>
      </c>
      <c r="S142" s="18">
        <v>33.200000000000003</v>
      </c>
      <c r="U142" s="29"/>
      <c r="V142" s="123">
        <v>5480</v>
      </c>
      <c r="W142" s="18">
        <v>37.9</v>
      </c>
      <c r="Y142" s="29"/>
      <c r="Z142" s="123">
        <v>5077</v>
      </c>
      <c r="AA142" s="18">
        <v>35.29</v>
      </c>
      <c r="AC142" s="29"/>
      <c r="AD142" s="123">
        <v>4500</v>
      </c>
      <c r="AE142" s="121">
        <v>31.12</v>
      </c>
      <c r="AG142" s="29"/>
      <c r="AH142" s="123">
        <v>5530</v>
      </c>
      <c r="AI142" s="18">
        <v>38.4</v>
      </c>
      <c r="AL142" s="123">
        <v>5240</v>
      </c>
      <c r="AM142" s="18">
        <v>36.5</v>
      </c>
      <c r="AO142" s="29"/>
      <c r="AP142" s="121">
        <v>4525</v>
      </c>
      <c r="AQ142" s="18">
        <v>31.28</v>
      </c>
    </row>
    <row r="143" spans="1:45" x14ac:dyDescent="0.2">
      <c r="A143" s="35">
        <v>44294</v>
      </c>
      <c r="B143" s="121">
        <v>5145</v>
      </c>
      <c r="C143" s="149">
        <v>35.880000000000003</v>
      </c>
      <c r="E143" s="29"/>
      <c r="F143" s="32">
        <v>4975</v>
      </c>
      <c r="G143" s="18">
        <v>34.39</v>
      </c>
      <c r="I143" s="29"/>
      <c r="J143" s="32">
        <v>4391</v>
      </c>
      <c r="K143" s="18">
        <v>30.4</v>
      </c>
      <c r="M143" s="29"/>
      <c r="N143" s="123">
        <v>4801.5</v>
      </c>
      <c r="O143" s="18">
        <v>33.31</v>
      </c>
      <c r="Q143" s="29"/>
      <c r="R143" s="123">
        <v>4780</v>
      </c>
      <c r="S143" s="18">
        <v>33.1</v>
      </c>
      <c r="U143" s="29"/>
      <c r="V143" s="123">
        <v>5450</v>
      </c>
      <c r="W143" s="18">
        <v>37.51</v>
      </c>
      <c r="Y143" s="29"/>
      <c r="Z143" s="123">
        <v>5125</v>
      </c>
      <c r="AA143" s="18">
        <v>35.380000000000003</v>
      </c>
      <c r="AC143" s="29"/>
      <c r="AD143" s="123">
        <v>4505</v>
      </c>
      <c r="AE143" s="121">
        <v>31.13</v>
      </c>
      <c r="AG143" s="29"/>
      <c r="AH143" s="123">
        <v>5540</v>
      </c>
      <c r="AI143" s="18">
        <v>38.700000000000003</v>
      </c>
      <c r="AL143" s="123">
        <v>5220</v>
      </c>
      <c r="AM143" s="18">
        <v>36.1</v>
      </c>
      <c r="AO143" s="29"/>
      <c r="AP143" s="121">
        <v>4610</v>
      </c>
      <c r="AQ143" s="18">
        <v>32</v>
      </c>
    </row>
    <row r="144" spans="1:45" x14ac:dyDescent="0.2">
      <c r="A144" s="35">
        <v>44295</v>
      </c>
      <c r="B144" s="121">
        <v>5145</v>
      </c>
      <c r="C144" s="149">
        <v>35.619999999999997</v>
      </c>
      <c r="E144" s="29"/>
      <c r="F144" s="32">
        <v>4935</v>
      </c>
      <c r="G144" s="18">
        <v>34.18</v>
      </c>
      <c r="I144" s="29"/>
      <c r="J144" s="32">
        <v>4350</v>
      </c>
      <c r="K144" s="18">
        <v>30.19</v>
      </c>
      <c r="M144" s="29"/>
      <c r="N144" s="123">
        <v>4775</v>
      </c>
      <c r="O144" s="18">
        <v>33.1</v>
      </c>
      <c r="Q144" s="29"/>
      <c r="R144" s="123">
        <v>4770</v>
      </c>
      <c r="S144" s="18">
        <v>33.130000000000003</v>
      </c>
      <c r="U144" s="29"/>
      <c r="V144" s="123">
        <v>5490</v>
      </c>
      <c r="W144" s="18">
        <v>37.770000000000003</v>
      </c>
      <c r="Y144" s="29"/>
      <c r="Z144" s="123">
        <v>5091.5</v>
      </c>
      <c r="AA144" s="18">
        <v>35.15</v>
      </c>
      <c r="AC144" s="29"/>
      <c r="AD144" s="123">
        <v>4500</v>
      </c>
      <c r="AE144" s="121">
        <v>31.1</v>
      </c>
      <c r="AG144" s="29"/>
      <c r="AH144" s="123">
        <v>5585</v>
      </c>
      <c r="AI144" s="18">
        <v>38.700000000000003</v>
      </c>
      <c r="AL144" s="123">
        <v>5215</v>
      </c>
      <c r="AM144" s="18">
        <v>36.25</v>
      </c>
      <c r="AO144" s="29"/>
      <c r="AP144" s="121">
        <v>4599</v>
      </c>
      <c r="AQ144" s="18">
        <v>31.6</v>
      </c>
    </row>
    <row r="145" spans="1:43" x14ac:dyDescent="0.2">
      <c r="A145" s="35">
        <v>44298</v>
      </c>
      <c r="B145" s="121">
        <v>5161</v>
      </c>
      <c r="C145" s="149">
        <v>36.25</v>
      </c>
      <c r="E145" s="29"/>
      <c r="F145" s="32">
        <v>4955</v>
      </c>
      <c r="G145" s="18">
        <v>34.65</v>
      </c>
      <c r="I145" s="29"/>
      <c r="J145" s="32">
        <v>4398</v>
      </c>
      <c r="K145" s="18">
        <v>30.7</v>
      </c>
      <c r="M145" s="29"/>
      <c r="N145" s="123">
        <v>4800</v>
      </c>
      <c r="O145" s="18">
        <v>33.700000000000003</v>
      </c>
      <c r="Q145" s="29"/>
      <c r="R145" s="123">
        <v>4800</v>
      </c>
      <c r="S145" s="18">
        <v>33.5</v>
      </c>
      <c r="U145" s="29"/>
      <c r="V145" s="123">
        <v>5620</v>
      </c>
      <c r="W145" s="18">
        <v>38.6</v>
      </c>
      <c r="Y145" s="29"/>
      <c r="Z145" s="123">
        <v>5190</v>
      </c>
      <c r="AA145" s="18">
        <v>36.19</v>
      </c>
      <c r="AC145" s="29"/>
      <c r="AD145" s="123">
        <v>4604</v>
      </c>
      <c r="AE145" s="121">
        <v>32</v>
      </c>
      <c r="AG145" s="29"/>
      <c r="AH145" s="123">
        <v>5697</v>
      </c>
      <c r="AI145" s="18">
        <v>39.5</v>
      </c>
      <c r="AL145" s="123">
        <v>5255</v>
      </c>
      <c r="AM145" s="18">
        <v>36.700000000000003</v>
      </c>
      <c r="AO145" s="29"/>
      <c r="AP145" s="121">
        <v>4700</v>
      </c>
      <c r="AQ145" s="18">
        <v>32.5</v>
      </c>
    </row>
    <row r="146" spans="1:43" x14ac:dyDescent="0.2">
      <c r="A146" s="35">
        <v>44299</v>
      </c>
      <c r="B146" s="121">
        <v>5166</v>
      </c>
      <c r="C146" s="149">
        <v>36.4</v>
      </c>
      <c r="E146" s="29"/>
      <c r="F146" s="32">
        <v>4972</v>
      </c>
      <c r="G146" s="18">
        <v>34.82</v>
      </c>
      <c r="I146" s="29"/>
      <c r="J146" s="32">
        <v>4398</v>
      </c>
      <c r="K146" s="18">
        <v>30.85</v>
      </c>
      <c r="M146" s="29"/>
      <c r="N146" s="123">
        <v>4826</v>
      </c>
      <c r="O146" s="18">
        <v>33.840000000000003</v>
      </c>
      <c r="Q146" s="29"/>
      <c r="R146" s="123">
        <v>4780</v>
      </c>
      <c r="S146" s="18">
        <v>33.5</v>
      </c>
      <c r="U146" s="29"/>
      <c r="V146" s="123">
        <v>5597</v>
      </c>
      <c r="W146" s="18">
        <v>39.9</v>
      </c>
      <c r="Y146" s="29"/>
      <c r="Z146" s="123">
        <v>5195.5</v>
      </c>
      <c r="AA146" s="18">
        <v>36.39</v>
      </c>
      <c r="AC146" s="29"/>
      <c r="AD146" s="123">
        <v>4603</v>
      </c>
      <c r="AE146" s="121">
        <v>32.1</v>
      </c>
      <c r="AG146" s="29"/>
      <c r="AH146" s="123">
        <v>5605</v>
      </c>
      <c r="AI146" s="18">
        <v>39.200000000000003</v>
      </c>
      <c r="AL146" s="123">
        <v>5275</v>
      </c>
      <c r="AM146" s="18">
        <v>36.32</v>
      </c>
      <c r="AO146" s="29"/>
      <c r="AP146" s="121">
        <v>4545</v>
      </c>
      <c r="AQ146" s="18">
        <v>32</v>
      </c>
    </row>
    <row r="147" spans="1:43" x14ac:dyDescent="0.2">
      <c r="A147" s="35">
        <v>44300</v>
      </c>
      <c r="B147" s="121">
        <v>5189</v>
      </c>
      <c r="C147" s="149">
        <v>36.369999999999997</v>
      </c>
      <c r="E147" s="29"/>
      <c r="F147" s="32">
        <v>4971</v>
      </c>
      <c r="G147" s="18">
        <v>34.57</v>
      </c>
      <c r="I147" s="29"/>
      <c r="J147" s="32">
        <v>4430</v>
      </c>
      <c r="K147" s="18">
        <v>30.72</v>
      </c>
      <c r="M147" s="29"/>
      <c r="N147" s="123">
        <v>4829</v>
      </c>
      <c r="O147" s="18">
        <v>33.65</v>
      </c>
      <c r="Q147" s="29"/>
      <c r="R147" s="123">
        <v>4794</v>
      </c>
      <c r="S147" s="18">
        <v>33.479999999999997</v>
      </c>
      <c r="U147" s="29"/>
      <c r="V147" s="123">
        <v>5640</v>
      </c>
      <c r="W147" s="18">
        <v>39.200000000000003</v>
      </c>
      <c r="Y147" s="29"/>
      <c r="Z147" s="123">
        <v>5177</v>
      </c>
      <c r="AA147" s="18">
        <v>36.1</v>
      </c>
      <c r="AC147" s="29"/>
      <c r="AD147" s="123">
        <v>4620</v>
      </c>
      <c r="AE147" s="121">
        <v>32.15</v>
      </c>
      <c r="AG147" s="29"/>
      <c r="AH147" s="123">
        <v>5625</v>
      </c>
      <c r="AI147" s="18">
        <v>39</v>
      </c>
      <c r="AL147" s="123">
        <v>5285</v>
      </c>
      <c r="AM147" s="18">
        <v>37.1</v>
      </c>
      <c r="AO147" s="29"/>
      <c r="AP147" s="121">
        <v>4650</v>
      </c>
      <c r="AQ147" s="18">
        <v>32</v>
      </c>
    </row>
    <row r="148" spans="1:43" x14ac:dyDescent="0.2">
      <c r="A148" s="35">
        <v>44301</v>
      </c>
      <c r="B148" s="121">
        <v>5155</v>
      </c>
      <c r="C148" s="149">
        <v>36.1</v>
      </c>
      <c r="E148" s="29"/>
      <c r="F148" s="32">
        <v>4920</v>
      </c>
      <c r="G148" s="18">
        <v>34.25</v>
      </c>
      <c r="I148" s="29"/>
      <c r="J148" s="32">
        <v>4449</v>
      </c>
      <c r="K148" s="18">
        <v>30.78</v>
      </c>
      <c r="M148" s="29"/>
      <c r="N148" s="123">
        <v>4790</v>
      </c>
      <c r="O148" s="18">
        <v>33.5</v>
      </c>
      <c r="Q148" s="29"/>
      <c r="R148" s="123">
        <v>4730</v>
      </c>
      <c r="S148" s="18">
        <v>33.1</v>
      </c>
      <c r="U148" s="29"/>
      <c r="V148" s="123">
        <v>5700</v>
      </c>
      <c r="W148" s="18">
        <v>39</v>
      </c>
      <c r="Y148" s="29"/>
      <c r="Z148" s="123">
        <v>5172</v>
      </c>
      <c r="AA148" s="18">
        <v>35.979999999999997</v>
      </c>
      <c r="AC148" s="29"/>
      <c r="AD148" s="123">
        <v>4629</v>
      </c>
      <c r="AE148" s="121">
        <v>32.049999999999997</v>
      </c>
      <c r="AG148" s="29"/>
      <c r="AH148" s="123">
        <v>5595</v>
      </c>
      <c r="AI148" s="18">
        <v>38.99</v>
      </c>
      <c r="AL148" s="123">
        <v>5275</v>
      </c>
      <c r="AM148" s="18">
        <v>36</v>
      </c>
      <c r="AO148" s="29"/>
      <c r="AP148" s="121">
        <v>4650</v>
      </c>
      <c r="AQ148" s="18">
        <v>32</v>
      </c>
    </row>
    <row r="149" spans="1:43" x14ac:dyDescent="0.2">
      <c r="A149" s="35">
        <v>44302</v>
      </c>
      <c r="B149" s="121">
        <v>5204</v>
      </c>
      <c r="C149" s="149">
        <v>36.200000000000003</v>
      </c>
      <c r="E149" s="29"/>
      <c r="F149" s="32">
        <v>4915</v>
      </c>
      <c r="G149" s="18">
        <v>34.200000000000003</v>
      </c>
      <c r="I149" s="29"/>
      <c r="J149" s="32">
        <v>4452</v>
      </c>
      <c r="K149" s="18">
        <v>31</v>
      </c>
      <c r="M149" s="29"/>
      <c r="N149" s="123">
        <v>4800</v>
      </c>
      <c r="O149" s="18">
        <v>33.6</v>
      </c>
      <c r="Q149" s="29"/>
      <c r="R149" s="123">
        <v>4727.5</v>
      </c>
      <c r="S149" s="18">
        <v>33.15</v>
      </c>
      <c r="U149" s="29"/>
      <c r="V149" s="123">
        <v>5640</v>
      </c>
      <c r="W149" s="18">
        <v>38.909999999999997</v>
      </c>
      <c r="Y149" s="29"/>
      <c r="Z149" s="123">
        <v>5231.5</v>
      </c>
      <c r="AA149" s="18">
        <v>36.4</v>
      </c>
      <c r="AC149" s="29"/>
      <c r="AD149" s="123">
        <v>4650</v>
      </c>
      <c r="AE149" s="121">
        <v>32.299999999999997</v>
      </c>
      <c r="AG149" s="29"/>
      <c r="AH149" s="123">
        <v>5595</v>
      </c>
      <c r="AI149" s="18">
        <v>38.9</v>
      </c>
      <c r="AL149" s="123">
        <v>5295</v>
      </c>
      <c r="AM149" s="18">
        <v>36.700000000000003</v>
      </c>
      <c r="AO149" s="29"/>
      <c r="AP149" s="121">
        <v>4600</v>
      </c>
      <c r="AQ149" s="18">
        <v>32.25</v>
      </c>
    </row>
    <row r="150" spans="1:43" x14ac:dyDescent="0.2">
      <c r="A150" s="35">
        <v>44305</v>
      </c>
      <c r="B150" s="121">
        <v>5210</v>
      </c>
      <c r="C150" s="149">
        <v>36.200000000000003</v>
      </c>
      <c r="E150" s="29"/>
      <c r="F150" s="32">
        <v>4962</v>
      </c>
      <c r="G150" s="18">
        <v>34.369999999999997</v>
      </c>
      <c r="I150" s="29"/>
      <c r="J150" s="32">
        <v>4456</v>
      </c>
      <c r="K150" s="18">
        <v>30.8</v>
      </c>
      <c r="M150" s="29"/>
      <c r="N150" s="123">
        <v>4840</v>
      </c>
      <c r="O150" s="18">
        <v>33.5</v>
      </c>
      <c r="Q150" s="29"/>
      <c r="R150" s="123">
        <v>4740</v>
      </c>
      <c r="S150" s="18">
        <v>33.15</v>
      </c>
      <c r="U150" s="29"/>
      <c r="V150" s="123">
        <v>5650</v>
      </c>
      <c r="W150" s="18">
        <v>39.31</v>
      </c>
      <c r="Y150" s="29"/>
      <c r="Z150" s="123">
        <v>5270</v>
      </c>
      <c r="AA150" s="18">
        <v>36.49</v>
      </c>
      <c r="AC150" s="29"/>
      <c r="AD150" s="123">
        <v>4658.5</v>
      </c>
      <c r="AE150" s="121">
        <v>32.299999999999997</v>
      </c>
      <c r="AG150" s="29"/>
      <c r="AH150" s="123">
        <v>5620</v>
      </c>
      <c r="AI150" s="18">
        <v>39</v>
      </c>
      <c r="AL150" s="123">
        <v>5324</v>
      </c>
      <c r="AM150" s="18">
        <v>36.409999999999997</v>
      </c>
      <c r="AO150" s="29"/>
      <c r="AP150" s="121">
        <v>4700</v>
      </c>
      <c r="AQ150" s="18">
        <v>32.5</v>
      </c>
    </row>
    <row r="151" spans="1:43" x14ac:dyDescent="0.2">
      <c r="A151" s="35">
        <v>44306</v>
      </c>
      <c r="B151" s="121">
        <v>5245</v>
      </c>
      <c r="C151" s="149">
        <v>36.15</v>
      </c>
      <c r="E151" s="29"/>
      <c r="F151" s="32">
        <v>5000</v>
      </c>
      <c r="G151" s="18">
        <v>34.26</v>
      </c>
      <c r="I151" s="29"/>
      <c r="J151" s="32">
        <v>4490</v>
      </c>
      <c r="K151" s="18">
        <v>30.86</v>
      </c>
      <c r="M151" s="29"/>
      <c r="N151" s="123">
        <v>4874</v>
      </c>
      <c r="O151" s="18">
        <v>33.65</v>
      </c>
      <c r="Q151" s="29"/>
      <c r="R151" s="123">
        <v>4788.5</v>
      </c>
      <c r="S151" s="18">
        <v>33</v>
      </c>
      <c r="U151" s="29"/>
      <c r="V151" s="123">
        <v>5700</v>
      </c>
      <c r="W151" s="18">
        <v>39.35</v>
      </c>
      <c r="Y151" s="29"/>
      <c r="Z151" s="123">
        <v>5307</v>
      </c>
      <c r="AA151" s="18">
        <v>36.200000000000003</v>
      </c>
      <c r="AC151" s="29"/>
      <c r="AD151" s="123">
        <v>4680</v>
      </c>
      <c r="AE151" s="121">
        <v>32.1</v>
      </c>
      <c r="AG151" s="29"/>
      <c r="AH151" s="123">
        <v>5625</v>
      </c>
      <c r="AI151" s="18">
        <v>38.799999999999997</v>
      </c>
      <c r="AL151" s="123">
        <v>5295</v>
      </c>
      <c r="AM151" s="18">
        <v>36.1</v>
      </c>
      <c r="AO151" s="29"/>
      <c r="AP151" s="121">
        <v>4650</v>
      </c>
      <c r="AQ151" s="18">
        <v>32.53</v>
      </c>
    </row>
    <row r="152" spans="1:43" x14ac:dyDescent="0.2">
      <c r="A152" s="35">
        <v>44307</v>
      </c>
      <c r="B152" s="121">
        <v>5290</v>
      </c>
      <c r="C152" s="149">
        <v>36.4</v>
      </c>
      <c r="E152" s="29"/>
      <c r="F152" s="32">
        <v>4996</v>
      </c>
      <c r="G152" s="18">
        <v>34.35</v>
      </c>
      <c r="I152" s="29"/>
      <c r="J152" s="32">
        <v>4530.5</v>
      </c>
      <c r="K152" s="18">
        <v>30.95</v>
      </c>
      <c r="M152" s="29"/>
      <c r="N152" s="123">
        <v>4900</v>
      </c>
      <c r="O152" s="18">
        <v>33.799999999999997</v>
      </c>
      <c r="Q152" s="29"/>
      <c r="R152" s="123">
        <v>4775</v>
      </c>
      <c r="S152" s="18">
        <v>33</v>
      </c>
      <c r="U152" s="29"/>
      <c r="V152" s="123">
        <v>5730</v>
      </c>
      <c r="W152" s="18">
        <v>39</v>
      </c>
      <c r="Y152" s="29"/>
      <c r="Z152" s="123">
        <v>5337</v>
      </c>
      <c r="AA152" s="18">
        <v>36.630000000000003</v>
      </c>
      <c r="AC152" s="29"/>
      <c r="AD152" s="123">
        <v>4725</v>
      </c>
      <c r="AE152" s="121">
        <v>32.49</v>
      </c>
      <c r="AG152" s="29"/>
      <c r="AH152" s="123">
        <v>5650</v>
      </c>
      <c r="AI152" s="18">
        <v>38.409999999999997</v>
      </c>
      <c r="AL152" s="123">
        <v>5300</v>
      </c>
      <c r="AM152" s="18">
        <v>36.200000000000003</v>
      </c>
      <c r="AO152" s="29"/>
      <c r="AP152" s="121">
        <v>4720</v>
      </c>
      <c r="AQ152" s="18">
        <v>31.9</v>
      </c>
    </row>
    <row r="153" spans="1:43" x14ac:dyDescent="0.2">
      <c r="A153" s="35">
        <v>44308</v>
      </c>
      <c r="B153" s="121">
        <v>5337</v>
      </c>
      <c r="C153" s="149">
        <v>36.6</v>
      </c>
      <c r="E153" s="29"/>
      <c r="F153" s="32">
        <v>5001</v>
      </c>
      <c r="G153" s="18">
        <v>34.369999999999997</v>
      </c>
      <c r="I153" s="29"/>
      <c r="J153" s="32">
        <v>4605</v>
      </c>
      <c r="K153" s="18">
        <v>31.16</v>
      </c>
      <c r="M153" s="29"/>
      <c r="N153" s="123">
        <v>4940</v>
      </c>
      <c r="O153" s="18">
        <v>34.200000000000003</v>
      </c>
      <c r="Q153" s="29"/>
      <c r="R153" s="123">
        <v>4830</v>
      </c>
      <c r="S153" s="18">
        <v>33.450000000000003</v>
      </c>
      <c r="U153" s="29"/>
      <c r="V153" s="123">
        <v>5800</v>
      </c>
      <c r="W153" s="18">
        <v>39.799999999999997</v>
      </c>
      <c r="Y153" s="29"/>
      <c r="Z153" s="123">
        <v>5340</v>
      </c>
      <c r="AA153" s="18">
        <v>36.700000000000003</v>
      </c>
      <c r="AC153" s="29"/>
      <c r="AD153" s="123">
        <v>4731</v>
      </c>
      <c r="AE153" s="121">
        <v>32.450000000000003</v>
      </c>
      <c r="AG153" s="29"/>
      <c r="AH153" s="123">
        <v>5650</v>
      </c>
      <c r="AI153" s="18">
        <v>38.51</v>
      </c>
      <c r="AL153" s="123">
        <v>5340</v>
      </c>
      <c r="AM153" s="18">
        <v>36.9</v>
      </c>
      <c r="AO153" s="29"/>
      <c r="AP153" s="121">
        <v>4670</v>
      </c>
      <c r="AQ153" s="18">
        <v>32</v>
      </c>
    </row>
    <row r="154" spans="1:43" x14ac:dyDescent="0.2">
      <c r="A154" s="35">
        <v>44309</v>
      </c>
      <c r="B154" s="121">
        <v>5400</v>
      </c>
      <c r="C154" s="149">
        <v>36.549999999999997</v>
      </c>
      <c r="E154" s="29"/>
      <c r="F154" s="32">
        <v>5077</v>
      </c>
      <c r="G154" s="18">
        <v>34.22</v>
      </c>
      <c r="I154" s="29"/>
      <c r="J154" s="32">
        <v>4656</v>
      </c>
      <c r="K154" s="18">
        <v>31.5</v>
      </c>
      <c r="M154" s="29"/>
      <c r="N154" s="123">
        <v>4988</v>
      </c>
      <c r="O154" s="18">
        <v>33.869999999999997</v>
      </c>
      <c r="Q154" s="29"/>
      <c r="R154" s="123">
        <v>4819</v>
      </c>
      <c r="S154" s="18">
        <v>32.799999999999997</v>
      </c>
      <c r="U154" s="29"/>
      <c r="V154" s="123">
        <v>5800</v>
      </c>
      <c r="W154" s="18">
        <v>39.75</v>
      </c>
      <c r="Y154" s="29"/>
      <c r="Z154" s="123">
        <v>5440</v>
      </c>
      <c r="AA154" s="18">
        <v>36.659999999999997</v>
      </c>
      <c r="AC154" s="29"/>
      <c r="AD154" s="123">
        <v>4810</v>
      </c>
      <c r="AE154" s="121">
        <v>32.35</v>
      </c>
      <c r="AG154" s="29"/>
      <c r="AH154" s="123">
        <v>5680</v>
      </c>
      <c r="AI154" s="18">
        <v>38.9</v>
      </c>
      <c r="AL154" s="123">
        <v>5380</v>
      </c>
      <c r="AM154" s="18">
        <v>36.5</v>
      </c>
      <c r="AO154" s="29"/>
      <c r="AP154" s="121">
        <v>4790</v>
      </c>
      <c r="AQ154" s="18">
        <v>33.15</v>
      </c>
    </row>
    <row r="155" spans="1:43" x14ac:dyDescent="0.2">
      <c r="A155" s="35">
        <v>44312</v>
      </c>
      <c r="B155" s="121">
        <v>5520</v>
      </c>
      <c r="C155" s="149">
        <v>36.840000000000003</v>
      </c>
      <c r="E155" s="29"/>
      <c r="F155" s="32">
        <v>5240</v>
      </c>
      <c r="G155" s="18">
        <v>34.869999999999997</v>
      </c>
      <c r="I155" s="29"/>
      <c r="J155" s="32">
        <v>4751</v>
      </c>
      <c r="K155" s="18">
        <v>31.5</v>
      </c>
      <c r="M155" s="29"/>
      <c r="N155" s="123">
        <v>5097.5</v>
      </c>
      <c r="O155" s="18">
        <v>33.75</v>
      </c>
      <c r="Q155" s="29"/>
      <c r="R155" s="123">
        <v>4889</v>
      </c>
      <c r="S155" s="18">
        <v>32.799999999999997</v>
      </c>
      <c r="U155" s="29"/>
      <c r="V155" s="123">
        <v>5900</v>
      </c>
      <c r="W155" s="18">
        <v>39.5</v>
      </c>
      <c r="Y155" s="29"/>
      <c r="Z155" s="123">
        <v>5550</v>
      </c>
      <c r="AA155" s="18">
        <v>36.85</v>
      </c>
      <c r="AC155" s="29"/>
      <c r="AD155" s="123">
        <v>4870</v>
      </c>
      <c r="AE155" s="121">
        <v>32.32</v>
      </c>
      <c r="AG155" s="29"/>
      <c r="AH155" s="123">
        <v>5800</v>
      </c>
      <c r="AI155" s="18">
        <v>38.5</v>
      </c>
      <c r="AL155" s="123">
        <v>5490</v>
      </c>
      <c r="AM155" s="18">
        <v>36.6</v>
      </c>
      <c r="AO155" s="29"/>
      <c r="AP155" s="121">
        <v>4765</v>
      </c>
      <c r="AQ155" s="18">
        <v>32.5</v>
      </c>
    </row>
    <row r="156" spans="1:43" x14ac:dyDescent="0.2">
      <c r="A156" s="35">
        <v>44313</v>
      </c>
      <c r="B156" s="121">
        <v>5590</v>
      </c>
      <c r="C156" s="149">
        <v>36.979999999999997</v>
      </c>
      <c r="E156" s="29"/>
      <c r="F156" s="32">
        <v>5340</v>
      </c>
      <c r="G156" s="18">
        <v>35.25</v>
      </c>
      <c r="I156" s="29"/>
      <c r="J156" s="32">
        <v>4870</v>
      </c>
      <c r="K156" s="18">
        <v>32.049999999999997</v>
      </c>
      <c r="M156" s="29"/>
      <c r="N156" s="123">
        <v>5120</v>
      </c>
      <c r="O156" s="18">
        <v>33.9</v>
      </c>
      <c r="Q156" s="29"/>
      <c r="R156" s="123">
        <v>4939</v>
      </c>
      <c r="S156" s="18">
        <v>32.950000000000003</v>
      </c>
      <c r="U156" s="29"/>
      <c r="V156" s="123">
        <v>5950</v>
      </c>
      <c r="W156" s="18">
        <v>39.4</v>
      </c>
      <c r="Y156" s="29"/>
      <c r="Z156" s="123">
        <v>5623</v>
      </c>
      <c r="AA156" s="18">
        <v>37.14</v>
      </c>
      <c r="AC156" s="29"/>
      <c r="AD156" s="123">
        <v>4920</v>
      </c>
      <c r="AE156" s="121">
        <v>32.5</v>
      </c>
      <c r="AG156" s="29"/>
      <c r="AH156" s="123">
        <v>5850</v>
      </c>
      <c r="AI156" s="18">
        <v>39.5</v>
      </c>
      <c r="AL156" s="123">
        <v>5550</v>
      </c>
      <c r="AM156" s="18">
        <v>37.4</v>
      </c>
      <c r="AO156" s="29"/>
      <c r="AP156" s="121">
        <v>5050</v>
      </c>
      <c r="AQ156" s="18">
        <v>32.700000000000003</v>
      </c>
    </row>
    <row r="157" spans="1:43" x14ac:dyDescent="0.2">
      <c r="A157" s="35">
        <v>44314</v>
      </c>
      <c r="B157" s="121">
        <v>5660</v>
      </c>
      <c r="C157" s="149">
        <v>37.25</v>
      </c>
      <c r="E157" s="29"/>
      <c r="F157" s="32">
        <v>5366</v>
      </c>
      <c r="G157" s="18">
        <v>35.35</v>
      </c>
      <c r="I157" s="29"/>
      <c r="J157" s="32">
        <v>4900</v>
      </c>
      <c r="K157" s="18">
        <v>32.200000000000003</v>
      </c>
      <c r="M157" s="29"/>
      <c r="N157" s="123">
        <v>5215</v>
      </c>
      <c r="O157" s="18">
        <v>34.299999999999997</v>
      </c>
      <c r="Q157" s="29"/>
      <c r="R157" s="123">
        <v>5037</v>
      </c>
      <c r="S157" s="18">
        <v>33.15</v>
      </c>
      <c r="U157" s="29"/>
      <c r="V157" s="123">
        <v>5997</v>
      </c>
      <c r="W157" s="18">
        <v>39.25</v>
      </c>
      <c r="Y157" s="29"/>
      <c r="Z157" s="123">
        <v>5650</v>
      </c>
      <c r="AA157" s="18">
        <v>36.96</v>
      </c>
      <c r="AC157" s="29"/>
      <c r="AD157" s="123">
        <v>4965</v>
      </c>
      <c r="AE157" s="121">
        <v>32.54</v>
      </c>
      <c r="AG157" s="29"/>
      <c r="AH157" s="123">
        <v>5910</v>
      </c>
      <c r="AI157" s="18">
        <v>38.9</v>
      </c>
      <c r="AL157" s="123">
        <v>5655</v>
      </c>
      <c r="AM157" s="18">
        <v>37.200000000000003</v>
      </c>
      <c r="AO157" s="29"/>
      <c r="AP157" s="121">
        <v>5068</v>
      </c>
      <c r="AQ157" s="18">
        <v>33.32</v>
      </c>
    </row>
    <row r="158" spans="1:43" x14ac:dyDescent="0.2">
      <c r="A158" s="35">
        <v>44315</v>
      </c>
      <c r="B158" s="121">
        <v>5633</v>
      </c>
      <c r="C158" s="149">
        <v>36.799999999999997</v>
      </c>
      <c r="E158" s="29"/>
      <c r="F158" s="32">
        <v>5362</v>
      </c>
      <c r="G158" s="18">
        <v>35.229999999999997</v>
      </c>
      <c r="I158" s="29"/>
      <c r="J158" s="32">
        <v>4867</v>
      </c>
      <c r="K158" s="18">
        <v>31.75</v>
      </c>
      <c r="M158" s="29"/>
      <c r="N158" s="123">
        <v>5230</v>
      </c>
      <c r="O158" s="18">
        <v>33.9</v>
      </c>
      <c r="Q158" s="29"/>
      <c r="R158" s="123">
        <v>5037</v>
      </c>
      <c r="S158" s="18">
        <v>32.75</v>
      </c>
      <c r="U158" s="29"/>
      <c r="V158" s="123">
        <v>6075</v>
      </c>
      <c r="W158" s="18">
        <v>39.700000000000003</v>
      </c>
      <c r="Y158" s="29"/>
      <c r="Z158" s="123">
        <v>5622</v>
      </c>
      <c r="AA158" s="18">
        <v>36.75</v>
      </c>
      <c r="AC158" s="29"/>
      <c r="AD158" s="123">
        <v>4948</v>
      </c>
      <c r="AE158" s="121">
        <v>32.450000000000003</v>
      </c>
      <c r="AG158" s="29"/>
      <c r="AH158" s="123">
        <v>5950</v>
      </c>
      <c r="AI158" s="18">
        <v>39</v>
      </c>
      <c r="AL158" s="123">
        <v>5600</v>
      </c>
      <c r="AM158" s="18">
        <v>36.340000000000003</v>
      </c>
      <c r="AO158" s="29"/>
      <c r="AP158" s="121">
        <v>5050</v>
      </c>
      <c r="AQ158" s="18">
        <v>32.83</v>
      </c>
    </row>
    <row r="159" spans="1:43" s="55" customFormat="1" x14ac:dyDescent="0.2">
      <c r="A159" s="197">
        <v>44316</v>
      </c>
      <c r="B159" s="261">
        <v>5632</v>
      </c>
      <c r="C159" s="199">
        <v>36.85</v>
      </c>
      <c r="E159" s="201"/>
      <c r="F159" s="202">
        <v>5351</v>
      </c>
      <c r="G159" s="75">
        <v>35.159999999999997</v>
      </c>
      <c r="I159" s="201"/>
      <c r="J159" s="202">
        <v>4866.5</v>
      </c>
      <c r="K159" s="203">
        <v>32</v>
      </c>
      <c r="M159" s="201"/>
      <c r="N159" s="198">
        <v>5225</v>
      </c>
      <c r="O159" s="203">
        <v>34.06</v>
      </c>
      <c r="Q159" s="201"/>
      <c r="R159" s="198">
        <v>5049.5</v>
      </c>
      <c r="S159" s="203">
        <v>32.950000000000003</v>
      </c>
      <c r="U159" s="201"/>
      <c r="V159" s="198">
        <v>6065</v>
      </c>
      <c r="W159" s="203">
        <v>39</v>
      </c>
      <c r="Y159" s="201"/>
      <c r="Z159" s="198">
        <v>5690</v>
      </c>
      <c r="AA159" s="203">
        <v>37.21</v>
      </c>
      <c r="AC159" s="201"/>
      <c r="AD159" s="198">
        <v>5005</v>
      </c>
      <c r="AE159" s="261">
        <v>32.799999999999997</v>
      </c>
      <c r="AG159" s="201"/>
      <c r="AH159" s="198">
        <v>6000</v>
      </c>
      <c r="AI159" s="203">
        <v>40.5</v>
      </c>
      <c r="AL159" s="198">
        <v>5610</v>
      </c>
      <c r="AM159" s="203">
        <v>35.9</v>
      </c>
      <c r="AO159" s="201"/>
      <c r="AP159" s="261">
        <v>5070</v>
      </c>
      <c r="AQ159" s="203">
        <v>32.4</v>
      </c>
    </row>
    <row r="160" spans="1:43" x14ac:dyDescent="0.2">
      <c r="A160" s="35">
        <v>44319</v>
      </c>
      <c r="B160" s="121">
        <v>5670</v>
      </c>
      <c r="C160" s="149">
        <v>36.770000000000003</v>
      </c>
      <c r="E160" s="29"/>
      <c r="F160" s="32">
        <v>5381</v>
      </c>
      <c r="G160" s="3">
        <v>35.18</v>
      </c>
      <c r="I160" s="29"/>
      <c r="J160" s="32">
        <v>4920</v>
      </c>
      <c r="K160" s="18">
        <v>32</v>
      </c>
      <c r="M160" s="29"/>
      <c r="N160" s="121">
        <v>5190</v>
      </c>
      <c r="O160" s="121">
        <v>33.869999999999997</v>
      </c>
      <c r="Q160" s="29"/>
      <c r="R160" s="121">
        <v>5040</v>
      </c>
      <c r="S160" s="121">
        <v>32.83</v>
      </c>
      <c r="U160" s="29"/>
      <c r="V160" s="121">
        <v>6041</v>
      </c>
      <c r="W160" s="121">
        <v>38.75</v>
      </c>
      <c r="Y160" s="29"/>
      <c r="Z160" s="123">
        <v>5712</v>
      </c>
      <c r="AA160" s="18">
        <v>37.07</v>
      </c>
      <c r="AC160" s="29"/>
      <c r="AD160" s="123">
        <v>5079</v>
      </c>
      <c r="AE160" s="121">
        <v>32.65</v>
      </c>
      <c r="AG160" s="29"/>
      <c r="AH160" s="123">
        <v>6000</v>
      </c>
      <c r="AI160" s="18">
        <v>39.78</v>
      </c>
      <c r="AL160" s="123">
        <v>5680</v>
      </c>
      <c r="AM160" s="18">
        <v>35.909999999999997</v>
      </c>
      <c r="AO160" s="29"/>
      <c r="AP160" s="121">
        <v>5070</v>
      </c>
      <c r="AQ160" s="18">
        <v>32.83</v>
      </c>
    </row>
    <row r="161" spans="1:43" x14ac:dyDescent="0.2">
      <c r="A161" s="35">
        <v>44320</v>
      </c>
      <c r="B161" s="121">
        <v>5663</v>
      </c>
      <c r="C161" s="149">
        <v>36.75</v>
      </c>
      <c r="E161" s="29"/>
      <c r="F161" s="32">
        <v>5385</v>
      </c>
      <c r="G161" s="3">
        <v>35.119999999999997</v>
      </c>
      <c r="I161" s="29"/>
      <c r="J161" s="32">
        <v>4945</v>
      </c>
      <c r="K161" s="18">
        <v>32.01</v>
      </c>
      <c r="M161" s="29"/>
      <c r="N161" s="121">
        <v>5224</v>
      </c>
      <c r="O161" s="121">
        <v>33.65</v>
      </c>
      <c r="Q161" s="29"/>
      <c r="R161" s="121">
        <v>5055</v>
      </c>
      <c r="S161" s="121">
        <v>32.799999999999997</v>
      </c>
      <c r="U161" s="29"/>
      <c r="V161" s="121">
        <v>6099</v>
      </c>
      <c r="W161" s="121">
        <v>39.61</v>
      </c>
      <c r="Y161" s="29"/>
      <c r="Z161" s="123">
        <v>5746</v>
      </c>
      <c r="AA161" s="18">
        <v>37.049999999999997</v>
      </c>
      <c r="AC161" s="29"/>
      <c r="AD161" s="123">
        <v>5037</v>
      </c>
      <c r="AE161" s="121">
        <v>32.6</v>
      </c>
      <c r="AG161" s="29"/>
      <c r="AH161" s="123">
        <v>6000</v>
      </c>
      <c r="AI161" s="18">
        <v>38.299999999999997</v>
      </c>
      <c r="AL161" s="123">
        <v>5630</v>
      </c>
      <c r="AM161" s="18">
        <v>35.9</v>
      </c>
      <c r="AO161" s="29"/>
      <c r="AP161" s="121">
        <v>5120</v>
      </c>
      <c r="AQ161" s="18">
        <v>32.4</v>
      </c>
    </row>
    <row r="162" spans="1:43" s="78" customFormat="1" x14ac:dyDescent="0.2">
      <c r="A162" s="190">
        <v>44321</v>
      </c>
      <c r="B162" s="259">
        <v>5675</v>
      </c>
      <c r="C162" s="69">
        <v>36.6</v>
      </c>
      <c r="D162" s="260"/>
      <c r="E162" s="193"/>
      <c r="F162" s="194">
        <v>5390</v>
      </c>
      <c r="G162" s="37">
        <v>35.04</v>
      </c>
      <c r="H162" s="259"/>
      <c r="I162" s="193"/>
      <c r="J162" s="194">
        <v>4908</v>
      </c>
      <c r="K162" s="195">
        <v>31.8</v>
      </c>
      <c r="M162" s="193"/>
      <c r="N162" s="259">
        <v>5210</v>
      </c>
      <c r="O162" s="259">
        <v>33.65</v>
      </c>
      <c r="Q162" s="193"/>
      <c r="R162" s="259">
        <v>5052</v>
      </c>
      <c r="S162" s="259">
        <v>32.549999999999997</v>
      </c>
      <c r="U162" s="193"/>
      <c r="V162" s="259">
        <v>6100</v>
      </c>
      <c r="W162" s="195">
        <v>39.56</v>
      </c>
      <c r="Y162" s="193"/>
      <c r="Z162" s="191">
        <v>5710</v>
      </c>
      <c r="AA162" s="195">
        <v>36.82</v>
      </c>
      <c r="AC162" s="193"/>
      <c r="AD162" s="191">
        <v>5008</v>
      </c>
      <c r="AE162" s="259">
        <v>32.299999999999997</v>
      </c>
      <c r="AG162" s="193"/>
      <c r="AH162" s="191">
        <v>6005</v>
      </c>
      <c r="AI162" s="195">
        <v>38.65</v>
      </c>
      <c r="AL162" s="191">
        <v>5630</v>
      </c>
      <c r="AM162" s="195">
        <v>36.4</v>
      </c>
      <c r="AO162" s="193"/>
      <c r="AP162" s="194">
        <v>5175</v>
      </c>
      <c r="AQ162" s="195">
        <v>33</v>
      </c>
    </row>
    <row r="163" spans="1:43" x14ac:dyDescent="0.2">
      <c r="A163" s="35">
        <v>44322</v>
      </c>
      <c r="B163" s="121">
        <v>5640</v>
      </c>
      <c r="C163" s="149">
        <v>36.54</v>
      </c>
      <c r="D163" s="36"/>
      <c r="E163" s="29"/>
      <c r="F163" s="32">
        <v>5365</v>
      </c>
      <c r="G163" s="3">
        <v>34.770000000000003</v>
      </c>
      <c r="H163" s="121"/>
      <c r="I163" s="29"/>
      <c r="J163" s="32">
        <v>4805</v>
      </c>
      <c r="K163" s="18">
        <v>31.56</v>
      </c>
      <c r="M163" s="29"/>
      <c r="N163" s="121">
        <v>5180</v>
      </c>
      <c r="O163" s="4">
        <v>33.520000000000003</v>
      </c>
      <c r="Q163" s="29"/>
      <c r="R163" s="121">
        <v>5000</v>
      </c>
      <c r="S163" s="121">
        <v>32.49</v>
      </c>
      <c r="U163" s="29"/>
      <c r="V163" s="121">
        <v>6070</v>
      </c>
      <c r="W163" s="18">
        <v>39.200000000000003</v>
      </c>
      <c r="Y163" s="29"/>
      <c r="Z163" s="123">
        <v>5631</v>
      </c>
      <c r="AA163" s="18">
        <v>36.53</v>
      </c>
      <c r="AC163" s="29"/>
      <c r="AD163" s="123">
        <v>5004.5</v>
      </c>
      <c r="AE163" s="121">
        <v>32.200000000000003</v>
      </c>
      <c r="AG163" s="29"/>
      <c r="AH163" s="123">
        <v>6004</v>
      </c>
      <c r="AI163" s="18">
        <v>38.799999999999997</v>
      </c>
      <c r="AL163" s="123">
        <v>5620</v>
      </c>
      <c r="AM163" s="18">
        <v>36.1</v>
      </c>
      <c r="AO163" s="29"/>
      <c r="AP163" s="202">
        <v>5100</v>
      </c>
      <c r="AQ163" s="18">
        <v>33</v>
      </c>
    </row>
    <row r="164" spans="1:43" x14ac:dyDescent="0.2">
      <c r="A164" s="35">
        <v>44323</v>
      </c>
      <c r="B164" s="121">
        <v>5597</v>
      </c>
      <c r="C164" s="149">
        <v>36.299999999999997</v>
      </c>
      <c r="D164" s="121"/>
      <c r="E164" s="29"/>
      <c r="F164" s="32">
        <v>5296</v>
      </c>
      <c r="G164" s="3">
        <v>34.299999999999997</v>
      </c>
      <c r="H164" s="121"/>
      <c r="I164" s="29"/>
      <c r="J164" s="32">
        <v>4830</v>
      </c>
      <c r="K164" s="18">
        <v>31.35</v>
      </c>
      <c r="L164" s="121"/>
      <c r="M164" s="29"/>
      <c r="N164" s="121">
        <v>5155</v>
      </c>
      <c r="O164" s="4">
        <v>33.450000000000003</v>
      </c>
      <c r="Q164" s="29"/>
      <c r="R164" s="121">
        <v>4984</v>
      </c>
      <c r="S164" s="121">
        <v>32.299999999999997</v>
      </c>
      <c r="T164" s="36"/>
      <c r="U164" s="29"/>
      <c r="V164" s="121">
        <v>5980</v>
      </c>
      <c r="W164" s="18">
        <v>38.799999999999997</v>
      </c>
      <c r="Y164" s="29"/>
      <c r="Z164" s="123">
        <v>5613</v>
      </c>
      <c r="AA164" s="18">
        <v>36.32</v>
      </c>
      <c r="AC164" s="29"/>
      <c r="AD164" s="123">
        <v>4990</v>
      </c>
      <c r="AE164" s="121">
        <v>31.91</v>
      </c>
      <c r="AG164" s="29"/>
      <c r="AH164" s="123">
        <v>5987</v>
      </c>
      <c r="AI164" s="18">
        <v>38.6</v>
      </c>
      <c r="AL164" s="123">
        <v>5595</v>
      </c>
      <c r="AM164" s="18">
        <v>36.1</v>
      </c>
      <c r="AO164" s="29"/>
      <c r="AP164" s="202">
        <v>5070</v>
      </c>
      <c r="AQ164" s="18">
        <v>32.61</v>
      </c>
    </row>
    <row r="165" spans="1:43" x14ac:dyDescent="0.2">
      <c r="A165" s="35">
        <v>44326</v>
      </c>
      <c r="B165" s="121">
        <v>5584</v>
      </c>
      <c r="C165" s="149">
        <v>36.4</v>
      </c>
      <c r="D165" s="121"/>
      <c r="E165" s="29"/>
      <c r="F165" s="32">
        <v>5296</v>
      </c>
      <c r="G165" s="3">
        <v>34.4</v>
      </c>
      <c r="H165" s="121"/>
      <c r="I165" s="29"/>
      <c r="J165" s="32">
        <v>4805.5</v>
      </c>
      <c r="K165" s="18">
        <v>31.4</v>
      </c>
      <c r="L165" s="121"/>
      <c r="M165" s="29"/>
      <c r="N165" s="121">
        <v>5115</v>
      </c>
      <c r="O165" s="4">
        <v>33.54</v>
      </c>
      <c r="Q165" s="29"/>
      <c r="R165" s="121">
        <v>4967</v>
      </c>
      <c r="S165" s="121">
        <v>32.25</v>
      </c>
      <c r="T165" s="36"/>
      <c r="U165" s="29"/>
      <c r="V165" s="121">
        <v>5978</v>
      </c>
      <c r="W165" s="18">
        <v>39.5</v>
      </c>
      <c r="Y165" s="29"/>
      <c r="Z165" s="123">
        <v>5596.5</v>
      </c>
      <c r="AA165" s="18">
        <v>36.479999999999997</v>
      </c>
      <c r="AC165" s="29"/>
      <c r="AD165" s="123">
        <v>4920</v>
      </c>
      <c r="AE165" s="121">
        <v>31.85</v>
      </c>
      <c r="AF165" s="121"/>
      <c r="AG165" s="29"/>
      <c r="AH165" s="123">
        <v>5880</v>
      </c>
      <c r="AI165" s="18">
        <v>38.74</v>
      </c>
      <c r="AL165" s="123">
        <v>5545</v>
      </c>
      <c r="AM165" s="18">
        <v>36.200000000000003</v>
      </c>
      <c r="AO165" s="29"/>
      <c r="AP165" s="202">
        <v>5085</v>
      </c>
      <c r="AQ165" s="18">
        <v>34.200000000000003</v>
      </c>
    </row>
    <row r="166" spans="1:43" x14ac:dyDescent="0.2">
      <c r="A166" s="35">
        <v>44327</v>
      </c>
      <c r="B166" s="121">
        <v>5475</v>
      </c>
      <c r="C166" s="149">
        <v>35.909999999999997</v>
      </c>
      <c r="D166" s="121"/>
      <c r="E166" s="29"/>
      <c r="F166" s="32">
        <v>5180</v>
      </c>
      <c r="G166" s="3">
        <v>33.82</v>
      </c>
      <c r="H166" s="121"/>
      <c r="I166" s="29"/>
      <c r="J166" s="32">
        <v>4725</v>
      </c>
      <c r="K166" s="18">
        <v>31.01</v>
      </c>
      <c r="L166" s="121"/>
      <c r="M166" s="29"/>
      <c r="N166" s="121">
        <v>5071.5</v>
      </c>
      <c r="O166" s="4">
        <v>33.15</v>
      </c>
      <c r="Q166" s="29"/>
      <c r="R166" s="121">
        <v>4939</v>
      </c>
      <c r="S166" s="121">
        <v>32</v>
      </c>
      <c r="T166" s="121"/>
      <c r="U166" s="29"/>
      <c r="V166" s="121">
        <v>5950</v>
      </c>
      <c r="W166" s="18">
        <v>38.82</v>
      </c>
      <c r="Y166" s="29"/>
      <c r="Z166" s="123">
        <v>5500</v>
      </c>
      <c r="AA166" s="18">
        <v>35.9</v>
      </c>
      <c r="AC166" s="29"/>
      <c r="AD166" s="123">
        <v>4800</v>
      </c>
      <c r="AE166" s="121">
        <v>31.5</v>
      </c>
      <c r="AF166" s="121"/>
      <c r="AG166" s="29"/>
      <c r="AH166" s="123">
        <v>5850</v>
      </c>
      <c r="AI166" s="18">
        <v>37.92</v>
      </c>
      <c r="AL166" s="123">
        <v>5475</v>
      </c>
      <c r="AM166" s="18">
        <v>35.46</v>
      </c>
      <c r="AO166" s="29"/>
      <c r="AP166" s="202">
        <v>5070</v>
      </c>
      <c r="AQ166" s="18">
        <v>34.200000000000003</v>
      </c>
    </row>
    <row r="167" spans="1:43" x14ac:dyDescent="0.2">
      <c r="A167" s="35">
        <v>44328</v>
      </c>
      <c r="B167" s="121">
        <v>5545</v>
      </c>
      <c r="C167" s="149">
        <v>36.31</v>
      </c>
      <c r="D167" s="121"/>
      <c r="E167" s="29"/>
      <c r="F167" s="32">
        <v>5226</v>
      </c>
      <c r="G167" s="3">
        <v>34.11</v>
      </c>
      <c r="H167" s="121"/>
      <c r="I167" s="29"/>
      <c r="J167" s="32">
        <v>4731</v>
      </c>
      <c r="K167" s="18">
        <v>31.32</v>
      </c>
      <c r="L167" s="121"/>
      <c r="M167" s="29"/>
      <c r="N167" s="121">
        <v>5109</v>
      </c>
      <c r="O167" s="4">
        <v>33.4</v>
      </c>
      <c r="Q167" s="29"/>
      <c r="R167" s="121">
        <v>4911</v>
      </c>
      <c r="S167" s="121">
        <v>32.25</v>
      </c>
      <c r="T167" s="121"/>
      <c r="U167" s="29"/>
      <c r="V167" s="121">
        <v>5950</v>
      </c>
      <c r="W167" s="18">
        <v>39.19</v>
      </c>
      <c r="Y167" s="29"/>
      <c r="Z167" s="123">
        <v>5570</v>
      </c>
      <c r="AA167" s="18">
        <v>36.4</v>
      </c>
      <c r="AC167" s="29"/>
      <c r="AD167" s="123">
        <v>4859.5</v>
      </c>
      <c r="AE167" s="121">
        <v>31.74</v>
      </c>
      <c r="AF167" s="121"/>
      <c r="AG167" s="29"/>
      <c r="AH167" s="123">
        <v>5840</v>
      </c>
      <c r="AI167" s="18">
        <v>38.9</v>
      </c>
      <c r="AJ167" s="121"/>
      <c r="AL167" s="123">
        <v>5500</v>
      </c>
      <c r="AM167" s="18">
        <v>35.799999999999997</v>
      </c>
      <c r="AO167" s="29"/>
      <c r="AP167" s="202">
        <v>4950</v>
      </c>
      <c r="AQ167" s="18">
        <v>32.49</v>
      </c>
    </row>
    <row r="168" spans="1:43" x14ac:dyDescent="0.2">
      <c r="A168" s="35">
        <v>44329</v>
      </c>
      <c r="B168" s="121">
        <v>5619</v>
      </c>
      <c r="C168" s="149">
        <v>36.450000000000003</v>
      </c>
      <c r="D168" s="121"/>
      <c r="E168" s="29"/>
      <c r="F168" s="32">
        <v>5260</v>
      </c>
      <c r="G168" s="3">
        <v>34.22</v>
      </c>
      <c r="H168" s="121"/>
      <c r="I168" s="29"/>
      <c r="J168" s="32">
        <v>4815</v>
      </c>
      <c r="K168" s="18">
        <v>31.2</v>
      </c>
      <c r="L168" s="121"/>
      <c r="M168" s="29"/>
      <c r="N168" s="121">
        <v>5150</v>
      </c>
      <c r="O168" s="4">
        <v>33.53</v>
      </c>
      <c r="P168" s="121"/>
      <c r="Q168" s="29"/>
      <c r="R168" s="121">
        <v>4990</v>
      </c>
      <c r="S168" s="121">
        <v>32.21</v>
      </c>
      <c r="T168" s="121"/>
      <c r="U168" s="29"/>
      <c r="V168" s="121">
        <v>5950</v>
      </c>
      <c r="W168" s="18">
        <v>38.71</v>
      </c>
      <c r="Y168" s="29"/>
      <c r="Z168" s="123">
        <v>5610</v>
      </c>
      <c r="AA168" s="18">
        <v>36.450000000000003</v>
      </c>
      <c r="AC168" s="29"/>
      <c r="AD168" s="123">
        <v>4921</v>
      </c>
      <c r="AE168" s="121">
        <v>31.86</v>
      </c>
      <c r="AF168" s="121"/>
      <c r="AG168" s="29"/>
      <c r="AH168" s="123">
        <v>5950</v>
      </c>
      <c r="AI168" s="18">
        <v>38.49</v>
      </c>
      <c r="AJ168" s="121"/>
      <c r="AL168" s="123">
        <v>5575</v>
      </c>
      <c r="AM168" s="18">
        <v>35.81</v>
      </c>
      <c r="AO168" s="29"/>
      <c r="AP168" s="202">
        <v>4900</v>
      </c>
      <c r="AQ168" s="18">
        <v>32.299999999999997</v>
      </c>
    </row>
    <row r="169" spans="1:43" s="270" customFormat="1" x14ac:dyDescent="0.2">
      <c r="A169" s="263">
        <v>44330</v>
      </c>
      <c r="B169" s="264">
        <v>5760</v>
      </c>
      <c r="C169" s="265">
        <v>37.42</v>
      </c>
      <c r="D169" s="264"/>
      <c r="E169" s="266"/>
      <c r="F169" s="267">
        <v>5410</v>
      </c>
      <c r="G169" s="268">
        <v>35.090000000000003</v>
      </c>
      <c r="H169" s="264"/>
      <c r="I169" s="266"/>
      <c r="J169" s="267">
        <v>4990</v>
      </c>
      <c r="K169" s="269">
        <v>32.450000000000003</v>
      </c>
      <c r="L169" s="264"/>
      <c r="M169" s="266"/>
      <c r="N169" s="264">
        <v>5319.5</v>
      </c>
      <c r="O169" s="270">
        <v>34.5</v>
      </c>
      <c r="P169" s="264"/>
      <c r="Q169" s="266"/>
      <c r="R169" s="264">
        <v>5098</v>
      </c>
      <c r="S169" s="264">
        <v>33.049999999999997</v>
      </c>
      <c r="T169" s="264"/>
      <c r="U169" s="266"/>
      <c r="V169" s="264">
        <v>6150</v>
      </c>
      <c r="W169" s="269">
        <v>39.5</v>
      </c>
      <c r="Y169" s="266"/>
      <c r="Z169" s="271">
        <v>5788</v>
      </c>
      <c r="AA169" s="269">
        <v>37.450000000000003</v>
      </c>
      <c r="AC169" s="266"/>
      <c r="AD169" s="271">
        <v>5098</v>
      </c>
      <c r="AE169" s="264">
        <v>33.1</v>
      </c>
      <c r="AF169" s="264"/>
      <c r="AG169" s="266"/>
      <c r="AH169" s="271">
        <v>6097</v>
      </c>
      <c r="AI169" s="269">
        <v>39.5</v>
      </c>
      <c r="AJ169" s="264"/>
      <c r="AL169" s="271">
        <v>5750</v>
      </c>
      <c r="AM169" s="269">
        <v>37</v>
      </c>
      <c r="AO169" s="266"/>
      <c r="AP169" s="267">
        <v>5010</v>
      </c>
      <c r="AQ169" s="269">
        <v>32.1</v>
      </c>
    </row>
    <row r="170" spans="1:43" x14ac:dyDescent="0.2">
      <c r="A170" s="35">
        <v>44333</v>
      </c>
      <c r="B170" s="121">
        <v>5895</v>
      </c>
      <c r="C170" s="149">
        <v>38.049999999999997</v>
      </c>
      <c r="D170" s="121"/>
      <c r="E170" s="29"/>
      <c r="F170" s="121">
        <v>5521</v>
      </c>
      <c r="G170" s="3">
        <v>35.700000000000003</v>
      </c>
      <c r="H170" s="121"/>
      <c r="I170" s="29"/>
      <c r="J170" s="32">
        <v>5098</v>
      </c>
      <c r="K170" s="18">
        <v>32.9</v>
      </c>
      <c r="L170" s="36"/>
      <c r="M170" s="29"/>
      <c r="N170" s="121">
        <v>5450</v>
      </c>
      <c r="O170" s="4">
        <v>35.200000000000003</v>
      </c>
      <c r="P170" s="121"/>
      <c r="Q170" s="29"/>
      <c r="R170" s="121">
        <v>5209</v>
      </c>
      <c r="S170" s="121">
        <v>33.79</v>
      </c>
      <c r="T170" s="121"/>
      <c r="U170" s="29"/>
      <c r="V170" s="121">
        <v>6210</v>
      </c>
      <c r="W170" s="18">
        <v>40.700000000000003</v>
      </c>
      <c r="Y170" s="29"/>
      <c r="Z170" s="123">
        <v>5947</v>
      </c>
      <c r="AA170" s="18">
        <v>38.380000000000003</v>
      </c>
      <c r="AC170" s="29"/>
      <c r="AD170" s="123">
        <v>5245</v>
      </c>
      <c r="AE170" s="121">
        <v>33.89</v>
      </c>
      <c r="AF170" s="121"/>
      <c r="AG170" s="29"/>
      <c r="AH170" s="123">
        <v>6319.5</v>
      </c>
      <c r="AI170" s="18">
        <v>40.299999999999997</v>
      </c>
      <c r="AJ170" s="121"/>
      <c r="AL170" s="123">
        <v>5870</v>
      </c>
      <c r="AM170" s="18">
        <v>37.85</v>
      </c>
      <c r="AO170" s="29"/>
      <c r="AP170" s="202">
        <v>5199</v>
      </c>
      <c r="AQ170" s="18">
        <v>33.22</v>
      </c>
    </row>
    <row r="171" spans="1:43" x14ac:dyDescent="0.2">
      <c r="A171" s="35">
        <v>44334</v>
      </c>
      <c r="B171" s="121">
        <v>5911</v>
      </c>
      <c r="C171" s="149">
        <v>38</v>
      </c>
      <c r="D171" s="121"/>
      <c r="E171" s="29"/>
      <c r="F171" s="121">
        <v>5538</v>
      </c>
      <c r="G171" s="3">
        <v>35.700000000000003</v>
      </c>
      <c r="H171" s="121"/>
      <c r="I171" s="29"/>
      <c r="J171" s="32">
        <v>5169.5</v>
      </c>
      <c r="K171" s="18">
        <v>33</v>
      </c>
      <c r="L171" s="36"/>
      <c r="M171" s="29"/>
      <c r="N171" s="121">
        <v>5540</v>
      </c>
      <c r="O171" s="4">
        <v>35.5</v>
      </c>
      <c r="P171" s="121"/>
      <c r="Q171" s="29"/>
      <c r="R171" s="121">
        <v>5280</v>
      </c>
      <c r="S171" s="121">
        <v>33.5</v>
      </c>
      <c r="T171" s="121"/>
      <c r="U171" s="29"/>
      <c r="V171" s="121">
        <v>6325</v>
      </c>
      <c r="W171" s="18">
        <v>40.25</v>
      </c>
      <c r="Y171" s="29"/>
      <c r="Z171" s="123">
        <v>5995</v>
      </c>
      <c r="AA171" s="18">
        <v>38.380000000000003</v>
      </c>
      <c r="AC171" s="29"/>
      <c r="AD171" s="123">
        <v>5359</v>
      </c>
      <c r="AE171" s="121">
        <v>34.299999999999997</v>
      </c>
      <c r="AF171" s="121"/>
      <c r="AG171" s="29"/>
      <c r="AH171" s="123">
        <v>6320</v>
      </c>
      <c r="AI171" s="18">
        <v>40.5</v>
      </c>
      <c r="AJ171" s="121"/>
      <c r="AL171" s="123">
        <v>6090</v>
      </c>
      <c r="AM171" s="18">
        <v>38.9</v>
      </c>
      <c r="AO171" s="29"/>
      <c r="AP171" s="202">
        <v>5250</v>
      </c>
      <c r="AQ171" s="18">
        <v>33.35</v>
      </c>
    </row>
    <row r="172" spans="1:43" x14ac:dyDescent="0.2">
      <c r="A172" s="35">
        <v>44335</v>
      </c>
      <c r="B172" s="121">
        <v>5850</v>
      </c>
      <c r="C172" s="149">
        <v>37.450000000000003</v>
      </c>
      <c r="D172" s="121"/>
      <c r="E172" s="29"/>
      <c r="F172" s="121">
        <v>5488</v>
      </c>
      <c r="G172" s="3">
        <v>35.07</v>
      </c>
      <c r="H172" s="121"/>
      <c r="I172" s="29"/>
      <c r="J172" s="32">
        <v>5180</v>
      </c>
      <c r="K172" s="18">
        <v>32.9</v>
      </c>
      <c r="L172" s="36"/>
      <c r="M172" s="29"/>
      <c r="N172" s="121">
        <v>5530</v>
      </c>
      <c r="O172" s="4">
        <v>35.15</v>
      </c>
      <c r="P172" s="121"/>
      <c r="Q172" s="29"/>
      <c r="R172" s="121">
        <v>5286</v>
      </c>
      <c r="S172" s="121">
        <v>33.6</v>
      </c>
      <c r="T172" s="121"/>
      <c r="U172" s="29"/>
      <c r="V172" s="121">
        <v>6270</v>
      </c>
      <c r="W172" s="18">
        <v>40.1</v>
      </c>
      <c r="Y172" s="29"/>
      <c r="Z172" s="123">
        <v>5973</v>
      </c>
      <c r="AA172" s="18">
        <v>37.9</v>
      </c>
      <c r="AC172" s="29"/>
      <c r="AD172" s="123">
        <v>5380</v>
      </c>
      <c r="AE172" s="121">
        <v>33.950000000000003</v>
      </c>
      <c r="AF172" s="121"/>
      <c r="AG172" s="29"/>
      <c r="AH172" s="123">
        <v>6300</v>
      </c>
      <c r="AI172" s="18">
        <v>40</v>
      </c>
      <c r="AJ172" s="121"/>
      <c r="AL172" s="123">
        <v>5985</v>
      </c>
      <c r="AM172" s="18">
        <v>38.9</v>
      </c>
      <c r="AO172" s="29"/>
      <c r="AP172" s="202">
        <v>5300</v>
      </c>
      <c r="AQ172" s="18">
        <v>33.11</v>
      </c>
    </row>
    <row r="173" spans="1:43" x14ac:dyDescent="0.2">
      <c r="A173" s="35">
        <v>44336</v>
      </c>
      <c r="B173" s="121">
        <v>5849</v>
      </c>
      <c r="C173" s="149">
        <v>37.29</v>
      </c>
      <c r="D173" s="121"/>
      <c r="E173" s="29"/>
      <c r="F173" s="121">
        <v>5468</v>
      </c>
      <c r="G173" s="3">
        <v>34.78</v>
      </c>
      <c r="H173" s="121"/>
      <c r="I173" s="29"/>
      <c r="J173" s="32">
        <v>5215</v>
      </c>
      <c r="K173" s="18">
        <v>32.799999999999997</v>
      </c>
      <c r="L173" s="36"/>
      <c r="M173" s="29"/>
      <c r="N173" s="121">
        <v>5580</v>
      </c>
      <c r="O173" s="4">
        <v>35.25</v>
      </c>
      <c r="P173" s="121"/>
      <c r="Q173" s="29"/>
      <c r="R173" s="121">
        <v>5310</v>
      </c>
      <c r="S173" s="121">
        <v>33</v>
      </c>
      <c r="T173" s="121"/>
      <c r="U173" s="29"/>
      <c r="V173" s="121">
        <v>6270</v>
      </c>
      <c r="W173" s="121">
        <v>40.299999999999997</v>
      </c>
      <c r="Y173" s="29"/>
      <c r="Z173" s="123">
        <v>6015</v>
      </c>
      <c r="AA173" s="18">
        <v>37.99</v>
      </c>
      <c r="AC173" s="29"/>
      <c r="AD173" s="123">
        <v>5399</v>
      </c>
      <c r="AE173" s="121">
        <v>33.9</v>
      </c>
      <c r="AF173" s="121"/>
      <c r="AG173" s="29"/>
      <c r="AH173" s="123">
        <v>6360</v>
      </c>
      <c r="AI173" s="18">
        <v>40.299999999999997</v>
      </c>
      <c r="AJ173" s="121"/>
      <c r="AL173" s="123">
        <v>6000</v>
      </c>
      <c r="AM173" s="18">
        <v>38</v>
      </c>
      <c r="AO173" s="29"/>
      <c r="AP173" s="202">
        <v>5375</v>
      </c>
      <c r="AQ173" s="18">
        <v>34</v>
      </c>
    </row>
    <row r="174" spans="1:43" x14ac:dyDescent="0.2">
      <c r="A174" s="35">
        <v>44337</v>
      </c>
      <c r="B174" s="121">
        <v>5849</v>
      </c>
      <c r="C174" s="149">
        <v>36.93</v>
      </c>
      <c r="D174" s="121"/>
      <c r="E174" s="29"/>
      <c r="F174" s="121">
        <v>5448</v>
      </c>
      <c r="G174" s="3">
        <v>34.4</v>
      </c>
      <c r="H174" s="121"/>
      <c r="I174" s="29"/>
      <c r="J174" s="32">
        <v>5135</v>
      </c>
      <c r="K174" s="18">
        <v>32.25</v>
      </c>
      <c r="L174" s="36"/>
      <c r="M174" s="29"/>
      <c r="N174" s="121">
        <v>5589</v>
      </c>
      <c r="O174" s="4">
        <v>35.07</v>
      </c>
      <c r="P174" s="121"/>
      <c r="Q174" s="29"/>
      <c r="R174" s="121">
        <v>5330</v>
      </c>
      <c r="S174" s="121">
        <v>33.36</v>
      </c>
      <c r="T174" s="121"/>
      <c r="U174" s="29"/>
      <c r="V174" s="121">
        <v>6330</v>
      </c>
      <c r="W174" s="121">
        <v>40.299999999999997</v>
      </c>
      <c r="Y174" s="29"/>
      <c r="Z174" s="123">
        <v>5976</v>
      </c>
      <c r="AA174" s="18">
        <v>37.5</v>
      </c>
      <c r="AC174" s="29"/>
      <c r="AD174" s="123">
        <v>5330</v>
      </c>
      <c r="AE174" s="121">
        <v>33.75</v>
      </c>
      <c r="AF174" s="121"/>
      <c r="AG174" s="29"/>
      <c r="AH174" s="123">
        <v>6315</v>
      </c>
      <c r="AI174" s="18">
        <v>40.950000000000003</v>
      </c>
      <c r="AJ174" s="121"/>
      <c r="AL174" s="123">
        <v>6050</v>
      </c>
      <c r="AM174" s="18">
        <v>37.75</v>
      </c>
      <c r="AO174" s="29"/>
      <c r="AP174" s="202">
        <v>5380</v>
      </c>
      <c r="AQ174" s="18">
        <v>33.32</v>
      </c>
    </row>
    <row r="175" spans="1:43" x14ac:dyDescent="0.2">
      <c r="A175" s="35">
        <v>44342</v>
      </c>
      <c r="B175" s="121">
        <v>6000</v>
      </c>
      <c r="C175" s="149">
        <v>37.770000000000003</v>
      </c>
      <c r="D175" s="121"/>
      <c r="E175" s="29"/>
      <c r="F175" s="32">
        <v>5603</v>
      </c>
      <c r="G175" s="3">
        <v>35.450000000000003</v>
      </c>
      <c r="H175" s="121"/>
      <c r="I175" s="29"/>
      <c r="J175" s="32">
        <v>5250</v>
      </c>
      <c r="K175" s="18">
        <v>33.450000000000003</v>
      </c>
      <c r="L175" s="36"/>
      <c r="M175" s="29"/>
      <c r="N175" s="121">
        <v>5779</v>
      </c>
      <c r="O175" s="3">
        <v>36.65</v>
      </c>
      <c r="P175" s="121"/>
      <c r="Q175" s="29"/>
      <c r="R175" s="121">
        <v>5470</v>
      </c>
      <c r="S175" s="121">
        <v>34.700000000000003</v>
      </c>
      <c r="T175" s="121"/>
      <c r="U175" s="29"/>
      <c r="V175" s="121">
        <v>6450</v>
      </c>
      <c r="W175" s="18">
        <v>40.6</v>
      </c>
      <c r="Y175" s="29"/>
      <c r="Z175" s="123">
        <v>6138</v>
      </c>
      <c r="AA175" s="18">
        <v>38.75</v>
      </c>
      <c r="AC175" s="29"/>
      <c r="AD175" s="123">
        <v>5473</v>
      </c>
      <c r="AE175" s="121">
        <v>34.299999999999997</v>
      </c>
      <c r="AF175" s="121"/>
      <c r="AG175" s="29"/>
      <c r="AH175" s="123">
        <v>6500</v>
      </c>
      <c r="AI175" s="18">
        <v>41</v>
      </c>
      <c r="AJ175" s="121"/>
      <c r="AL175" s="123">
        <v>6110</v>
      </c>
      <c r="AM175" s="18">
        <v>38.5</v>
      </c>
      <c r="AO175" s="29"/>
      <c r="AP175" s="202">
        <v>5400</v>
      </c>
      <c r="AQ175" s="18">
        <v>34</v>
      </c>
    </row>
    <row r="176" spans="1:43" s="55" customFormat="1" x14ac:dyDescent="0.2">
      <c r="A176" s="197">
        <v>44343</v>
      </c>
      <c r="B176" s="261">
        <v>6079.5</v>
      </c>
      <c r="C176" s="199">
        <v>38.1</v>
      </c>
      <c r="D176" s="261"/>
      <c r="E176" s="201"/>
      <c r="F176" s="202">
        <v>5660</v>
      </c>
      <c r="G176" s="75">
        <v>35.659999999999997</v>
      </c>
      <c r="H176" s="261"/>
      <c r="I176" s="201"/>
      <c r="J176" s="202">
        <v>5365</v>
      </c>
      <c r="K176" s="203">
        <v>33.799999999999997</v>
      </c>
      <c r="L176" s="262"/>
      <c r="M176" s="201"/>
      <c r="N176" s="261">
        <v>5865</v>
      </c>
      <c r="O176" s="75">
        <v>36.65</v>
      </c>
      <c r="P176" s="261"/>
      <c r="Q176" s="201"/>
      <c r="R176" s="261">
        <v>5650</v>
      </c>
      <c r="S176" s="261">
        <v>35.25</v>
      </c>
      <c r="T176" s="261"/>
      <c r="U176" s="201"/>
      <c r="V176" s="261">
        <v>6381</v>
      </c>
      <c r="W176" s="203">
        <v>41</v>
      </c>
      <c r="Y176" s="201"/>
      <c r="Z176" s="198">
        <v>6164</v>
      </c>
      <c r="AA176" s="203">
        <v>38.71</v>
      </c>
      <c r="AC176" s="201"/>
      <c r="AD176" s="198">
        <v>5505</v>
      </c>
      <c r="AE176" s="261">
        <v>34.72</v>
      </c>
      <c r="AF176" s="261"/>
      <c r="AG176" s="201"/>
      <c r="AH176" s="198">
        <v>6565</v>
      </c>
      <c r="AI176" s="203">
        <v>41.4</v>
      </c>
      <c r="AJ176" s="261"/>
      <c r="AL176" s="198">
        <v>6140</v>
      </c>
      <c r="AM176" s="203">
        <v>38.5</v>
      </c>
      <c r="AO176" s="201"/>
      <c r="AP176" s="202">
        <v>5489</v>
      </c>
      <c r="AQ176" s="203">
        <v>34.1</v>
      </c>
    </row>
    <row r="177" spans="1:43" s="55" customFormat="1" x14ac:dyDescent="0.2">
      <c r="A177" s="197">
        <v>44344</v>
      </c>
      <c r="B177" s="261">
        <v>6000</v>
      </c>
      <c r="C177" s="199">
        <v>37.64</v>
      </c>
      <c r="D177" s="261"/>
      <c r="E177" s="201"/>
      <c r="F177" s="202">
        <v>5638</v>
      </c>
      <c r="G177" s="75">
        <v>35.35</v>
      </c>
      <c r="H177" s="261"/>
      <c r="I177" s="201"/>
      <c r="J177" s="202">
        <v>5330</v>
      </c>
      <c r="K177" s="203">
        <v>33.5</v>
      </c>
      <c r="L177" s="262"/>
      <c r="M177" s="201"/>
      <c r="N177" s="261">
        <v>5804.5</v>
      </c>
      <c r="O177" s="75">
        <v>36.32</v>
      </c>
      <c r="P177" s="261"/>
      <c r="Q177" s="201"/>
      <c r="R177" s="261">
        <v>5530</v>
      </c>
      <c r="S177" s="261">
        <v>34.6</v>
      </c>
      <c r="T177" s="261"/>
      <c r="U177" s="201"/>
      <c r="V177" s="261">
        <v>6460</v>
      </c>
      <c r="W177" s="203">
        <v>40.01</v>
      </c>
      <c r="Y177" s="201"/>
      <c r="Z177" s="198">
        <v>6164</v>
      </c>
      <c r="AA177" s="203">
        <v>38.549999999999997</v>
      </c>
      <c r="AC177" s="201"/>
      <c r="AD177" s="198">
        <v>5519.5</v>
      </c>
      <c r="AE177" s="261">
        <v>34.450000000000003</v>
      </c>
      <c r="AF177" s="261"/>
      <c r="AG177" s="201"/>
      <c r="AH177" s="198">
        <v>6560</v>
      </c>
      <c r="AI177" s="203">
        <v>42</v>
      </c>
      <c r="AJ177" s="261"/>
      <c r="AL177" s="198">
        <v>6130</v>
      </c>
      <c r="AM177" s="203">
        <v>38.299999999999997</v>
      </c>
      <c r="AO177" s="201"/>
      <c r="AP177" s="202">
        <v>5560</v>
      </c>
      <c r="AQ177" s="203">
        <v>34.75</v>
      </c>
    </row>
    <row r="178" spans="1:43" s="55" customFormat="1" x14ac:dyDescent="0.2">
      <c r="A178" s="197">
        <v>44347</v>
      </c>
      <c r="B178" s="261">
        <v>6030</v>
      </c>
      <c r="C178" s="199">
        <v>37.6</v>
      </c>
      <c r="D178" s="261"/>
      <c r="E178" s="201"/>
      <c r="F178" s="202">
        <v>5656</v>
      </c>
      <c r="G178" s="75">
        <v>35.299999999999997</v>
      </c>
      <c r="H178" s="261"/>
      <c r="I178" s="201"/>
      <c r="J178" s="202">
        <v>5360</v>
      </c>
      <c r="K178" s="203">
        <v>33.4</v>
      </c>
      <c r="L178" s="262"/>
      <c r="M178" s="201"/>
      <c r="N178" s="261">
        <v>5802</v>
      </c>
      <c r="O178" s="75">
        <v>36.25</v>
      </c>
      <c r="P178" s="261"/>
      <c r="Q178" s="201"/>
      <c r="R178" s="261">
        <v>5515</v>
      </c>
      <c r="S178" s="261">
        <v>34.4</v>
      </c>
      <c r="T178" s="261"/>
      <c r="U178" s="201"/>
      <c r="V178" s="261">
        <v>6490</v>
      </c>
      <c r="W178" s="203">
        <v>40.5</v>
      </c>
      <c r="Y178" s="201"/>
      <c r="Z178" s="198">
        <v>6198</v>
      </c>
      <c r="AA178" s="203">
        <v>38.58</v>
      </c>
      <c r="AC178" s="201"/>
      <c r="AD178" s="198">
        <v>5510</v>
      </c>
      <c r="AE178" s="261">
        <v>34.39</v>
      </c>
      <c r="AF178" s="261"/>
      <c r="AG178" s="201"/>
      <c r="AH178" s="198">
        <v>6670</v>
      </c>
      <c r="AI178" s="203">
        <v>41.9</v>
      </c>
      <c r="AJ178" s="261"/>
      <c r="AL178" s="198">
        <v>6170</v>
      </c>
      <c r="AM178" s="203">
        <v>38</v>
      </c>
      <c r="AO178" s="201"/>
      <c r="AP178" s="202">
        <v>5595</v>
      </c>
      <c r="AQ178" s="203">
        <v>35.24</v>
      </c>
    </row>
    <row r="179" spans="1:43" s="55" customFormat="1" x14ac:dyDescent="0.2">
      <c r="A179" s="197">
        <v>44348</v>
      </c>
      <c r="B179" s="261">
        <v>6080</v>
      </c>
      <c r="C179" s="199">
        <v>37.85</v>
      </c>
      <c r="D179" s="261"/>
      <c r="E179" s="201"/>
      <c r="F179" s="202">
        <v>5730</v>
      </c>
      <c r="G179" s="75">
        <v>35.6</v>
      </c>
      <c r="H179" s="261"/>
      <c r="I179" s="201"/>
      <c r="J179" s="202">
        <v>5455</v>
      </c>
      <c r="K179" s="203">
        <v>33.71</v>
      </c>
      <c r="L179" s="262"/>
      <c r="M179" s="201"/>
      <c r="N179" s="261">
        <v>5940</v>
      </c>
      <c r="O179" s="75">
        <v>36.799999999999997</v>
      </c>
      <c r="P179" s="261"/>
      <c r="Q179" s="201"/>
      <c r="R179" s="261">
        <v>5618</v>
      </c>
      <c r="S179" s="261">
        <v>34.9</v>
      </c>
      <c r="T179" s="261"/>
      <c r="U179" s="201"/>
      <c r="V179" s="261">
        <v>6603</v>
      </c>
      <c r="W179" s="203">
        <v>40.799999999999997</v>
      </c>
      <c r="Y179" s="201"/>
      <c r="Z179" s="198">
        <v>6250</v>
      </c>
      <c r="AA179" s="203">
        <v>38.799999999999997</v>
      </c>
      <c r="AC179" s="201"/>
      <c r="AD179" s="198">
        <v>5595</v>
      </c>
      <c r="AE179" s="261">
        <v>34.68</v>
      </c>
      <c r="AF179" s="261"/>
      <c r="AG179" s="201"/>
      <c r="AH179" s="198">
        <v>6617</v>
      </c>
      <c r="AI179" s="203">
        <v>41.5</v>
      </c>
      <c r="AJ179" s="261"/>
      <c r="AL179" s="198">
        <v>6169</v>
      </c>
      <c r="AM179" s="203">
        <v>38.22</v>
      </c>
      <c r="AO179" s="201"/>
      <c r="AP179" s="202">
        <v>5600</v>
      </c>
      <c r="AQ179" s="203">
        <v>35</v>
      </c>
    </row>
    <row r="180" spans="1:43" s="55" customFormat="1" x14ac:dyDescent="0.2">
      <c r="A180" s="197">
        <v>44349</v>
      </c>
      <c r="B180" s="261">
        <v>6268</v>
      </c>
      <c r="C180" s="199">
        <v>38.35</v>
      </c>
      <c r="D180" s="261"/>
      <c r="E180" s="201"/>
      <c r="F180" s="202">
        <v>5870</v>
      </c>
      <c r="G180" s="75">
        <v>36.299999999999997</v>
      </c>
      <c r="H180" s="261"/>
      <c r="I180" s="201"/>
      <c r="J180" s="202">
        <v>5539.5</v>
      </c>
      <c r="K180" s="203">
        <v>34.200000000000003</v>
      </c>
      <c r="L180" s="262"/>
      <c r="M180" s="201"/>
      <c r="N180" s="261">
        <v>6090</v>
      </c>
      <c r="O180" s="75">
        <v>37.6</v>
      </c>
      <c r="P180" s="261"/>
      <c r="Q180" s="201"/>
      <c r="R180" s="261">
        <v>5745</v>
      </c>
      <c r="S180" s="261">
        <v>35.36</v>
      </c>
      <c r="T180" s="261"/>
      <c r="U180" s="201"/>
      <c r="V180" s="261">
        <v>6750</v>
      </c>
      <c r="W180" s="203">
        <v>41.9</v>
      </c>
      <c r="Y180" s="201"/>
      <c r="Z180" s="198">
        <v>6407</v>
      </c>
      <c r="AA180" s="203">
        <v>39.51</v>
      </c>
      <c r="AC180" s="201"/>
      <c r="AD180" s="198">
        <v>5705</v>
      </c>
      <c r="AE180" s="261">
        <v>35.200000000000003</v>
      </c>
      <c r="AF180" s="261"/>
      <c r="AG180" s="201"/>
      <c r="AH180" s="198">
        <v>6780</v>
      </c>
      <c r="AI180" s="203">
        <v>41.5</v>
      </c>
      <c r="AJ180" s="261"/>
      <c r="AL180" s="198">
        <v>6300</v>
      </c>
      <c r="AM180" s="203">
        <v>38.85</v>
      </c>
      <c r="AO180" s="201"/>
      <c r="AP180" s="202">
        <v>5620</v>
      </c>
      <c r="AQ180" s="203">
        <v>34.799999999999997</v>
      </c>
    </row>
    <row r="181" spans="1:43" s="55" customFormat="1" x14ac:dyDescent="0.2">
      <c r="A181" s="197">
        <v>44350</v>
      </c>
      <c r="B181" s="261">
        <v>6170</v>
      </c>
      <c r="C181" s="199">
        <v>38.200000000000003</v>
      </c>
      <c r="D181" s="261"/>
      <c r="E181" s="201"/>
      <c r="F181" s="202">
        <v>5816</v>
      </c>
      <c r="G181" s="75">
        <v>36.049999999999997</v>
      </c>
      <c r="H181" s="261"/>
      <c r="I181" s="201"/>
      <c r="J181" s="202">
        <v>5425</v>
      </c>
      <c r="K181" s="203">
        <v>33.270000000000003</v>
      </c>
      <c r="L181" s="262"/>
      <c r="M181" s="201"/>
      <c r="N181" s="261">
        <v>6000</v>
      </c>
      <c r="O181" s="75">
        <v>36.96</v>
      </c>
      <c r="P181" s="261"/>
      <c r="Q181" s="201"/>
      <c r="R181" s="261">
        <v>5706</v>
      </c>
      <c r="S181" s="261">
        <v>34.5</v>
      </c>
      <c r="T181" s="261"/>
      <c r="U181" s="201"/>
      <c r="V181" s="261">
        <v>6700</v>
      </c>
      <c r="W181" s="203">
        <v>41.8</v>
      </c>
      <c r="Y181" s="201"/>
      <c r="Z181" s="198">
        <v>6295</v>
      </c>
      <c r="AA181" s="203">
        <v>38.86</v>
      </c>
      <c r="AC181" s="201"/>
      <c r="AD181" s="198">
        <v>5599.5</v>
      </c>
      <c r="AE181" s="261">
        <v>34.75</v>
      </c>
      <c r="AF181" s="261"/>
      <c r="AG181" s="201"/>
      <c r="AH181" s="198">
        <v>6750</v>
      </c>
      <c r="AI181" s="203">
        <v>42</v>
      </c>
      <c r="AJ181" s="261"/>
      <c r="AL181" s="198">
        <v>6281</v>
      </c>
      <c r="AM181" s="203">
        <v>38.44</v>
      </c>
      <c r="AO181" s="201"/>
      <c r="AP181" s="202">
        <v>5700</v>
      </c>
      <c r="AQ181" s="203">
        <v>35.15</v>
      </c>
    </row>
    <row r="182" spans="1:43" s="55" customFormat="1" x14ac:dyDescent="0.2">
      <c r="A182" s="197">
        <v>44351</v>
      </c>
      <c r="B182" s="261">
        <v>6090</v>
      </c>
      <c r="C182" s="199">
        <v>38.049999999999997</v>
      </c>
      <c r="D182" s="261"/>
      <c r="E182" s="201"/>
      <c r="F182" s="202">
        <v>5767</v>
      </c>
      <c r="G182" s="75">
        <v>35.85</v>
      </c>
      <c r="H182" s="261"/>
      <c r="I182" s="201"/>
      <c r="J182" s="202">
        <v>5394</v>
      </c>
      <c r="K182" s="203">
        <v>33.54</v>
      </c>
      <c r="L182" s="262"/>
      <c r="M182" s="201"/>
      <c r="N182" s="261">
        <v>5950</v>
      </c>
      <c r="O182" s="75">
        <v>37.01</v>
      </c>
      <c r="P182" s="261"/>
      <c r="Q182" s="201"/>
      <c r="R182" s="261">
        <v>5706</v>
      </c>
      <c r="S182" s="261">
        <v>34.61</v>
      </c>
      <c r="T182" s="261"/>
      <c r="U182" s="201"/>
      <c r="V182" s="261">
        <v>6775</v>
      </c>
      <c r="W182" s="203">
        <v>41.73</v>
      </c>
      <c r="Y182" s="201"/>
      <c r="Z182" s="198">
        <v>6290</v>
      </c>
      <c r="AA182" s="203">
        <v>39.119999999999997</v>
      </c>
      <c r="AC182" s="201"/>
      <c r="AD182" s="198">
        <v>5579.5</v>
      </c>
      <c r="AE182" s="261">
        <v>34.58</v>
      </c>
      <c r="AF182" s="261"/>
      <c r="AG182" s="201"/>
      <c r="AH182" s="198">
        <v>6635</v>
      </c>
      <c r="AI182" s="203">
        <v>41.03</v>
      </c>
      <c r="AJ182" s="261"/>
      <c r="AL182" s="198">
        <v>6170</v>
      </c>
      <c r="AM182" s="203">
        <v>38</v>
      </c>
      <c r="AO182" s="201"/>
      <c r="AP182" s="202">
        <v>5650</v>
      </c>
      <c r="AQ182" s="203">
        <v>35.1</v>
      </c>
    </row>
    <row r="183" spans="1:43" s="55" customFormat="1" x14ac:dyDescent="0.2">
      <c r="A183" s="197">
        <v>44354</v>
      </c>
      <c r="B183" s="261">
        <v>6150</v>
      </c>
      <c r="C183" s="199">
        <v>38.17</v>
      </c>
      <c r="D183" s="261"/>
      <c r="E183" s="201"/>
      <c r="F183" s="202">
        <v>5860</v>
      </c>
      <c r="G183" s="75">
        <v>36.5</v>
      </c>
      <c r="H183" s="261"/>
      <c r="I183" s="201"/>
      <c r="J183" s="202">
        <v>5380</v>
      </c>
      <c r="K183" s="203">
        <v>33.799999999999997</v>
      </c>
      <c r="L183" s="262"/>
      <c r="M183" s="201"/>
      <c r="N183" s="261">
        <v>6020</v>
      </c>
      <c r="O183" s="75">
        <v>37.299999999999997</v>
      </c>
      <c r="P183" s="261"/>
      <c r="Q183" s="201"/>
      <c r="R183" s="261">
        <v>5701</v>
      </c>
      <c r="S183" s="261">
        <v>35.35</v>
      </c>
      <c r="T183" s="261"/>
      <c r="U183" s="201"/>
      <c r="V183" s="261">
        <v>6800</v>
      </c>
      <c r="W183" s="203">
        <v>42.35</v>
      </c>
      <c r="Y183" s="201"/>
      <c r="Z183" s="198">
        <v>6380</v>
      </c>
      <c r="AA183" s="203">
        <v>39.53</v>
      </c>
      <c r="AC183" s="201"/>
      <c r="AD183" s="198">
        <v>5615</v>
      </c>
      <c r="AE183" s="261">
        <v>34.9</v>
      </c>
      <c r="AF183" s="261"/>
      <c r="AG183" s="201"/>
      <c r="AH183" s="198">
        <v>6570</v>
      </c>
      <c r="AI183" s="203">
        <v>40.909999999999997</v>
      </c>
      <c r="AJ183" s="261"/>
      <c r="AL183" s="198">
        <v>6150</v>
      </c>
      <c r="AM183" s="203">
        <v>38.049999999999997</v>
      </c>
      <c r="AO183" s="201"/>
      <c r="AP183" s="202">
        <v>5699.5</v>
      </c>
      <c r="AQ183" s="203">
        <v>35.4</v>
      </c>
    </row>
    <row r="184" spans="1:43" s="55" customFormat="1" x14ac:dyDescent="0.2">
      <c r="A184" s="197">
        <v>44355</v>
      </c>
      <c r="B184" s="261">
        <v>6210</v>
      </c>
      <c r="C184" s="199">
        <v>38.75</v>
      </c>
      <c r="D184" s="261"/>
      <c r="E184" s="201"/>
      <c r="F184" s="202">
        <v>5941</v>
      </c>
      <c r="G184" s="75">
        <v>37.020000000000003</v>
      </c>
      <c r="H184" s="261"/>
      <c r="I184" s="201"/>
      <c r="J184" s="202">
        <v>5410</v>
      </c>
      <c r="K184" s="203">
        <v>34.090000000000003</v>
      </c>
      <c r="L184" s="262"/>
      <c r="M184" s="201"/>
      <c r="N184" s="261">
        <v>6033</v>
      </c>
      <c r="O184" s="75">
        <v>37.549999999999997</v>
      </c>
      <c r="P184" s="261"/>
      <c r="Q184" s="201"/>
      <c r="R184" s="261">
        <v>5750</v>
      </c>
      <c r="S184" s="261">
        <v>35.9</v>
      </c>
      <c r="T184" s="261"/>
      <c r="U184" s="201"/>
      <c r="V184" s="261">
        <v>6785</v>
      </c>
      <c r="W184" s="203">
        <v>42.5</v>
      </c>
      <c r="Y184" s="201"/>
      <c r="Z184" s="198">
        <v>6405</v>
      </c>
      <c r="AA184" s="203">
        <v>39.96</v>
      </c>
      <c r="AC184" s="201"/>
      <c r="AD184" s="198">
        <v>5670</v>
      </c>
      <c r="AE184" s="261">
        <v>35.299999999999997</v>
      </c>
      <c r="AF184" s="261"/>
      <c r="AG184" s="201"/>
      <c r="AH184" s="198">
        <v>6650</v>
      </c>
      <c r="AI184" s="203">
        <v>41.25</v>
      </c>
      <c r="AJ184" s="261"/>
      <c r="AL184" s="198">
        <v>6250</v>
      </c>
      <c r="AM184" s="203">
        <v>38.700000000000003</v>
      </c>
      <c r="AO184" s="201"/>
      <c r="AP184" s="202">
        <v>5500</v>
      </c>
      <c r="AQ184" s="203">
        <v>35.799999999999997</v>
      </c>
    </row>
    <row r="185" spans="1:43" s="55" customFormat="1" x14ac:dyDescent="0.2">
      <c r="A185" s="197">
        <v>44356</v>
      </c>
      <c r="B185" s="261">
        <v>6328</v>
      </c>
      <c r="C185" s="199">
        <v>39.299999999999997</v>
      </c>
      <c r="D185" s="261"/>
      <c r="E185" s="201"/>
      <c r="F185" s="202">
        <v>6012</v>
      </c>
      <c r="G185" s="75">
        <v>37.65</v>
      </c>
      <c r="H185" s="261"/>
      <c r="I185" s="201"/>
      <c r="J185" s="202">
        <v>5520</v>
      </c>
      <c r="K185" s="203">
        <v>34.74</v>
      </c>
      <c r="L185" s="262"/>
      <c r="M185" s="201"/>
      <c r="N185" s="261">
        <v>6080</v>
      </c>
      <c r="O185" s="75">
        <v>38.15</v>
      </c>
      <c r="P185" s="261"/>
      <c r="Q185" s="201"/>
      <c r="R185" s="261">
        <v>5849</v>
      </c>
      <c r="S185" s="261">
        <v>36.4</v>
      </c>
      <c r="T185" s="261"/>
      <c r="U185" s="201"/>
      <c r="V185" s="261">
        <v>6950</v>
      </c>
      <c r="W185" s="203">
        <v>44</v>
      </c>
      <c r="Y185" s="201"/>
      <c r="Z185" s="198">
        <v>6465</v>
      </c>
      <c r="AA185" s="203">
        <v>40.47</v>
      </c>
      <c r="AC185" s="201"/>
      <c r="AD185" s="198">
        <v>5745</v>
      </c>
      <c r="AE185" s="261">
        <v>36</v>
      </c>
      <c r="AF185" s="261"/>
      <c r="AG185" s="201"/>
      <c r="AH185" s="198">
        <v>6710</v>
      </c>
      <c r="AI185" s="203">
        <v>42</v>
      </c>
      <c r="AJ185" s="261"/>
      <c r="AL185" s="198">
        <v>6310</v>
      </c>
      <c r="AM185" s="203">
        <v>39.5</v>
      </c>
      <c r="AO185" s="201"/>
      <c r="AP185" s="202">
        <v>5745</v>
      </c>
      <c r="AQ185" s="203">
        <v>35.979999999999997</v>
      </c>
    </row>
    <row r="186" spans="1:43" s="55" customFormat="1" x14ac:dyDescent="0.2">
      <c r="A186" s="197">
        <v>44357</v>
      </c>
      <c r="B186" s="261">
        <v>6290</v>
      </c>
      <c r="C186" s="199">
        <v>39.5</v>
      </c>
      <c r="D186" s="261"/>
      <c r="E186" s="201"/>
      <c r="F186" s="202">
        <v>6040</v>
      </c>
      <c r="G186" s="75">
        <v>37.97</v>
      </c>
      <c r="H186" s="261"/>
      <c r="I186" s="201"/>
      <c r="J186" s="202">
        <v>5560</v>
      </c>
      <c r="K186" s="203">
        <v>35.049999999999997</v>
      </c>
      <c r="L186" s="262"/>
      <c r="M186" s="201"/>
      <c r="N186" s="261">
        <v>6079</v>
      </c>
      <c r="O186" s="75">
        <v>38.33</v>
      </c>
      <c r="P186" s="261"/>
      <c r="Q186" s="201"/>
      <c r="R186" s="261">
        <v>5900</v>
      </c>
      <c r="S186" s="261">
        <v>37</v>
      </c>
      <c r="T186" s="261"/>
      <c r="U186" s="201"/>
      <c r="V186" s="261">
        <v>6990</v>
      </c>
      <c r="W186" s="203">
        <v>44</v>
      </c>
      <c r="Y186" s="201"/>
      <c r="Z186" s="198">
        <v>6441.5</v>
      </c>
      <c r="AA186" s="203">
        <v>40.46</v>
      </c>
      <c r="AC186" s="201"/>
      <c r="AD186" s="198">
        <v>5730</v>
      </c>
      <c r="AE186" s="261">
        <v>36</v>
      </c>
      <c r="AF186" s="261"/>
      <c r="AG186" s="201"/>
      <c r="AH186" s="198">
        <v>6605</v>
      </c>
      <c r="AI186" s="203">
        <v>41.56</v>
      </c>
      <c r="AJ186" s="261"/>
      <c r="AL186" s="198">
        <v>6300</v>
      </c>
      <c r="AM186" s="203">
        <v>39.6</v>
      </c>
      <c r="AO186" s="201"/>
      <c r="AP186" s="202">
        <v>5749</v>
      </c>
      <c r="AQ186" s="203">
        <v>36</v>
      </c>
    </row>
    <row r="187" spans="1:43" x14ac:dyDescent="0.2">
      <c r="A187" s="35">
        <v>44358</v>
      </c>
      <c r="B187" s="121">
        <v>6335</v>
      </c>
      <c r="C187" s="149">
        <v>39.9</v>
      </c>
      <c r="D187" s="121"/>
      <c r="E187" s="29"/>
      <c r="F187" s="32">
        <v>6055</v>
      </c>
      <c r="G187" s="3">
        <v>38.299999999999997</v>
      </c>
      <c r="H187" s="121"/>
      <c r="I187" s="29"/>
      <c r="J187" s="32">
        <v>5534.5</v>
      </c>
      <c r="K187" s="18">
        <v>35.15</v>
      </c>
      <c r="L187" s="36"/>
      <c r="M187" s="29"/>
      <c r="N187" s="121">
        <v>6120</v>
      </c>
      <c r="O187" s="3">
        <v>38.659999999999997</v>
      </c>
      <c r="P187" s="121"/>
      <c r="Q187" s="29"/>
      <c r="R187" s="121">
        <v>5980</v>
      </c>
      <c r="S187" s="121">
        <v>37.700000000000003</v>
      </c>
      <c r="T187" s="121"/>
      <c r="U187" s="29"/>
      <c r="V187" s="121">
        <v>7095</v>
      </c>
      <c r="W187" s="18">
        <v>44.9</v>
      </c>
      <c r="Y187" s="29"/>
      <c r="Z187" s="123">
        <v>6422</v>
      </c>
      <c r="AA187" s="18">
        <v>40.6</v>
      </c>
      <c r="AC187" s="29"/>
      <c r="AD187" s="123">
        <v>5705</v>
      </c>
      <c r="AE187" s="121">
        <v>36.090000000000003</v>
      </c>
      <c r="AF187" s="121"/>
      <c r="AG187" s="29"/>
      <c r="AH187" s="123">
        <v>6660</v>
      </c>
      <c r="AI187" s="18">
        <v>42.15</v>
      </c>
      <c r="AJ187" s="121"/>
      <c r="AL187" s="123">
        <v>6345</v>
      </c>
      <c r="AM187" s="18">
        <v>40.4</v>
      </c>
      <c r="AO187" s="29"/>
      <c r="AP187" s="202">
        <v>5750</v>
      </c>
      <c r="AQ187" s="18">
        <v>36.5</v>
      </c>
    </row>
    <row r="188" spans="1:43" x14ac:dyDescent="0.2">
      <c r="A188" s="35">
        <v>44361</v>
      </c>
      <c r="B188" s="121">
        <v>6300</v>
      </c>
      <c r="C188" s="149">
        <v>39.85</v>
      </c>
      <c r="D188" s="121"/>
      <c r="E188" s="29"/>
      <c r="F188" s="32">
        <v>6049.5</v>
      </c>
      <c r="G188" s="3">
        <v>38.299999999999997</v>
      </c>
      <c r="H188" s="121"/>
      <c r="I188" s="29"/>
      <c r="J188" s="32">
        <v>5530</v>
      </c>
      <c r="K188" s="18">
        <v>35.090000000000003</v>
      </c>
      <c r="L188" s="36"/>
      <c r="M188" s="29"/>
      <c r="N188" s="121">
        <v>6080</v>
      </c>
      <c r="O188" s="3">
        <v>38.700000000000003</v>
      </c>
      <c r="P188" s="121"/>
      <c r="Q188" s="29"/>
      <c r="R188" s="121">
        <v>5958</v>
      </c>
      <c r="S188" s="121">
        <v>38</v>
      </c>
      <c r="T188" s="121"/>
      <c r="U188" s="29"/>
      <c r="V188" s="121">
        <v>6980</v>
      </c>
      <c r="W188" s="18">
        <v>45.25</v>
      </c>
      <c r="Y188" s="29"/>
      <c r="Z188" s="123">
        <v>6408</v>
      </c>
      <c r="AA188" s="18">
        <v>40.619999999999997</v>
      </c>
      <c r="AC188" s="29"/>
      <c r="AD188" s="123">
        <v>5680</v>
      </c>
      <c r="AE188" s="121">
        <v>35.99</v>
      </c>
      <c r="AF188" s="121"/>
      <c r="AG188" s="29"/>
      <c r="AH188" s="123">
        <v>6667</v>
      </c>
      <c r="AI188" s="18">
        <v>42.2</v>
      </c>
      <c r="AJ188" s="121"/>
      <c r="AL188" s="123">
        <v>6330</v>
      </c>
      <c r="AM188" s="18">
        <v>40</v>
      </c>
      <c r="AO188" s="29"/>
      <c r="AP188" s="202">
        <v>5720</v>
      </c>
      <c r="AQ188" s="18">
        <v>36.479999999999997</v>
      </c>
    </row>
    <row r="189" spans="1:43" x14ac:dyDescent="0.2">
      <c r="A189" s="35">
        <v>44362</v>
      </c>
      <c r="B189" s="121">
        <v>6287</v>
      </c>
      <c r="C189" s="149">
        <v>39.700000000000003</v>
      </c>
      <c r="D189" s="121"/>
      <c r="E189" s="29"/>
      <c r="F189" s="32">
        <v>6041</v>
      </c>
      <c r="G189" s="3">
        <v>38.06</v>
      </c>
      <c r="H189" s="121"/>
      <c r="I189" s="29"/>
      <c r="J189" s="32">
        <v>5520</v>
      </c>
      <c r="K189" s="18">
        <v>34.729999999999997</v>
      </c>
      <c r="L189" s="36"/>
      <c r="M189" s="29"/>
      <c r="N189" s="121">
        <v>6070.5</v>
      </c>
      <c r="O189" s="3">
        <v>38.25</v>
      </c>
      <c r="P189" s="121"/>
      <c r="Q189" s="29"/>
      <c r="R189" s="121">
        <v>5925</v>
      </c>
      <c r="S189" s="121">
        <v>37.200000000000003</v>
      </c>
      <c r="T189" s="121"/>
      <c r="U189" s="29"/>
      <c r="V189" s="121">
        <v>6940</v>
      </c>
      <c r="W189" s="18">
        <v>44</v>
      </c>
      <c r="Y189" s="29"/>
      <c r="Z189" s="123">
        <v>6405</v>
      </c>
      <c r="AA189" s="18">
        <v>40.33</v>
      </c>
      <c r="AC189" s="29"/>
      <c r="AD189" s="123">
        <v>5675</v>
      </c>
      <c r="AE189" s="121">
        <v>35.700000000000003</v>
      </c>
      <c r="AF189" s="121"/>
      <c r="AG189" s="29"/>
      <c r="AH189" s="123">
        <v>6600</v>
      </c>
      <c r="AI189" s="18">
        <v>41.5</v>
      </c>
      <c r="AJ189" s="121"/>
      <c r="AL189" s="123">
        <v>6180</v>
      </c>
      <c r="AM189" s="18">
        <v>39.9</v>
      </c>
      <c r="AO189" s="29"/>
      <c r="AP189" s="202">
        <v>5750</v>
      </c>
      <c r="AQ189" s="18">
        <v>36.950000000000003</v>
      </c>
    </row>
    <row r="190" spans="1:43" x14ac:dyDescent="0.2">
      <c r="A190" s="35">
        <v>44363</v>
      </c>
      <c r="B190" s="121">
        <v>6325</v>
      </c>
      <c r="C190" s="149">
        <v>39.700000000000003</v>
      </c>
      <c r="D190" s="121"/>
      <c r="E190" s="29"/>
      <c r="F190" s="32">
        <v>6043</v>
      </c>
      <c r="G190" s="3">
        <v>37.96</v>
      </c>
      <c r="H190" s="121"/>
      <c r="I190" s="29"/>
      <c r="J190" s="32">
        <v>5500</v>
      </c>
      <c r="K190" s="18">
        <v>34.44</v>
      </c>
      <c r="L190" s="36"/>
      <c r="M190" s="29"/>
      <c r="N190" s="121">
        <v>6140</v>
      </c>
      <c r="O190" s="3">
        <v>38.450000000000003</v>
      </c>
      <c r="P190" s="121"/>
      <c r="Q190" s="29"/>
      <c r="R190" s="121">
        <v>5996</v>
      </c>
      <c r="S190" s="121">
        <v>37.200000000000003</v>
      </c>
      <c r="T190" s="121"/>
      <c r="U190" s="29"/>
      <c r="V190" s="121">
        <v>6900</v>
      </c>
      <c r="W190" s="18">
        <v>43.5</v>
      </c>
      <c r="Y190" s="29"/>
      <c r="Z190" s="123">
        <v>6409</v>
      </c>
      <c r="AA190" s="18">
        <v>40.08</v>
      </c>
      <c r="AC190" s="29"/>
      <c r="AD190" s="123">
        <v>5711</v>
      </c>
      <c r="AE190" s="121">
        <v>35.799999999999997</v>
      </c>
      <c r="AF190" s="121"/>
      <c r="AG190" s="29"/>
      <c r="AH190" s="123">
        <v>6690</v>
      </c>
      <c r="AI190" s="18">
        <v>41.9</v>
      </c>
      <c r="AJ190" s="121"/>
      <c r="AL190" s="123">
        <v>6345</v>
      </c>
      <c r="AM190" s="18">
        <v>39.75</v>
      </c>
      <c r="AO190" s="29"/>
      <c r="AP190" s="202">
        <v>5790</v>
      </c>
      <c r="AQ190" s="18">
        <v>36</v>
      </c>
    </row>
    <row r="191" spans="1:43" x14ac:dyDescent="0.2">
      <c r="A191" s="35">
        <v>44364</v>
      </c>
      <c r="B191" s="121">
        <v>6290</v>
      </c>
      <c r="C191" s="149">
        <v>39.32</v>
      </c>
      <c r="D191" s="121"/>
      <c r="E191" s="29"/>
      <c r="F191" s="32">
        <v>6020</v>
      </c>
      <c r="G191" s="3">
        <v>37.53</v>
      </c>
      <c r="H191" s="121"/>
      <c r="I191" s="29"/>
      <c r="J191" s="32">
        <v>5500</v>
      </c>
      <c r="K191" s="18">
        <v>34.14</v>
      </c>
      <c r="L191" s="36"/>
      <c r="M191" s="29"/>
      <c r="N191" s="121">
        <v>6123</v>
      </c>
      <c r="O191" s="3">
        <v>37.979999999999997</v>
      </c>
      <c r="P191" s="121"/>
      <c r="Q191" s="29"/>
      <c r="R191" s="121">
        <v>5939.5</v>
      </c>
      <c r="S191" s="121">
        <v>37</v>
      </c>
      <c r="T191" s="121"/>
      <c r="U191" s="29"/>
      <c r="V191" s="121">
        <v>6985</v>
      </c>
      <c r="W191" s="18">
        <v>43.1</v>
      </c>
      <c r="Y191" s="29"/>
      <c r="Z191" s="123">
        <v>6385.5</v>
      </c>
      <c r="AA191" s="18">
        <v>39.68</v>
      </c>
      <c r="AC191" s="29"/>
      <c r="AD191" s="123">
        <v>5687</v>
      </c>
      <c r="AE191" s="121">
        <v>35.4</v>
      </c>
      <c r="AF191" s="121"/>
      <c r="AG191" s="29"/>
      <c r="AH191" s="123">
        <v>6625</v>
      </c>
      <c r="AI191" s="18">
        <v>41.5</v>
      </c>
      <c r="AJ191" s="121"/>
      <c r="AL191" s="123">
        <v>6310</v>
      </c>
      <c r="AM191" s="18">
        <v>39.299999999999997</v>
      </c>
      <c r="AO191" s="29"/>
      <c r="AP191" s="202">
        <v>5800</v>
      </c>
      <c r="AQ191" s="18">
        <v>36.1</v>
      </c>
    </row>
    <row r="192" spans="1:43" x14ac:dyDescent="0.2">
      <c r="A192" s="35">
        <v>44365</v>
      </c>
      <c r="B192" s="121">
        <f>+Monitor!$C$8</f>
        <v>6300</v>
      </c>
      <c r="C192" s="149">
        <f>+Monitor!$D$8</f>
        <v>39.21</v>
      </c>
      <c r="D192" s="121"/>
      <c r="E192" s="29"/>
      <c r="F192" s="32">
        <f>+Monitor!$C$9</f>
        <v>5962</v>
      </c>
      <c r="G192" s="3">
        <f>+Monitor!$D$9</f>
        <v>37.299999999999997</v>
      </c>
      <c r="H192" s="121"/>
      <c r="I192" s="29"/>
      <c r="J192" s="32">
        <f>+Monitor!$C$10</f>
        <v>5440</v>
      </c>
      <c r="K192" s="18">
        <f>+Monitor!$D$10</f>
        <v>33.81</v>
      </c>
      <c r="L192" s="36"/>
      <c r="M192" s="29"/>
      <c r="N192" s="121">
        <f>+Monitor!$C$11</f>
        <v>6050</v>
      </c>
      <c r="O192" s="3">
        <f>+Monitor!$D$11</f>
        <v>37.9</v>
      </c>
      <c r="P192" s="121"/>
      <c r="Q192" s="29"/>
      <c r="R192" s="121">
        <f>+Monitor!$C$12</f>
        <v>5920</v>
      </c>
      <c r="S192" s="121">
        <f>+Monitor!$D$12</f>
        <v>36.9</v>
      </c>
      <c r="T192" s="121"/>
      <c r="U192" s="29"/>
      <c r="V192" s="121">
        <f>+Monitor!$C$14</f>
        <v>6930</v>
      </c>
      <c r="W192" s="18">
        <f>+Monitor!$D$14</f>
        <v>43.2</v>
      </c>
      <c r="Y192" s="29"/>
      <c r="Z192" s="123">
        <f>+Monitor!$C$15</f>
        <v>6385.5</v>
      </c>
      <c r="AA192" s="18">
        <f>+Monitor!$D$15</f>
        <v>39.71</v>
      </c>
      <c r="AC192" s="29"/>
      <c r="AD192" s="123">
        <f>+Monitor!$C$16</f>
        <v>5683</v>
      </c>
      <c r="AE192" s="121">
        <f>+Monitor!$D$16</f>
        <v>35.25</v>
      </c>
      <c r="AF192" s="121"/>
      <c r="AG192" s="29"/>
      <c r="AH192" s="123">
        <f>+Monitor!$C$17</f>
        <v>6600</v>
      </c>
      <c r="AI192" s="18">
        <f>+Monitor!$D$17</f>
        <v>41.75</v>
      </c>
      <c r="AJ192" s="121"/>
      <c r="AL192" s="123">
        <f>+Monitor!$C$18</f>
        <v>6370</v>
      </c>
      <c r="AM192" s="18">
        <f>+Monitor!$D$18</f>
        <v>39.19</v>
      </c>
      <c r="AO192" s="29"/>
      <c r="AP192" s="202">
        <f>+Monitor!$C$19</f>
        <v>5830</v>
      </c>
      <c r="AQ192" s="18">
        <f>+Monitor!$D$19</f>
        <v>36.1</v>
      </c>
    </row>
    <row r="193" spans="2:44" x14ac:dyDescent="0.2">
      <c r="B193" s="36"/>
      <c r="C193" s="121"/>
      <c r="D193" s="36"/>
      <c r="E193" s="36"/>
      <c r="F193" s="36"/>
      <c r="G193" s="3"/>
      <c r="I193" s="121"/>
      <c r="J193" s="121"/>
      <c r="K193" s="121"/>
      <c r="L193" s="121"/>
      <c r="M193" s="121"/>
      <c r="N193" s="121"/>
      <c r="O193" s="121"/>
      <c r="P193" s="36"/>
      <c r="Q193" s="121"/>
      <c r="S193" s="121"/>
      <c r="T193" s="36"/>
      <c r="U193" s="121"/>
      <c r="W193" s="121"/>
      <c r="X193" s="121"/>
      <c r="Y193" s="36"/>
      <c r="Z193" s="121"/>
      <c r="AD193" s="36"/>
      <c r="AE193" s="121"/>
      <c r="AF193" s="121"/>
      <c r="AG193" s="32"/>
      <c r="AH193" s="71"/>
      <c r="AI193" s="32"/>
      <c r="AJ193" s="204"/>
      <c r="AK193" s="222"/>
      <c r="AL193" s="202"/>
      <c r="AM193" s="202"/>
      <c r="AN193" s="202"/>
      <c r="AO193" s="202"/>
      <c r="AP193" s="202"/>
      <c r="AQ193" s="121"/>
    </row>
    <row r="194" spans="2:44" x14ac:dyDescent="0.2">
      <c r="B194" s="36"/>
      <c r="C194" s="121"/>
      <c r="D194" s="36"/>
      <c r="E194" s="36"/>
      <c r="F194" s="36"/>
      <c r="G194" s="3"/>
      <c r="I194" s="121"/>
      <c r="J194" s="121"/>
      <c r="K194" s="121"/>
      <c r="L194" s="121"/>
      <c r="M194" s="121"/>
      <c r="N194" s="121"/>
      <c r="O194" s="121"/>
      <c r="P194" s="36"/>
      <c r="Q194" s="121"/>
      <c r="S194" s="121"/>
      <c r="T194" s="36"/>
      <c r="U194" s="121"/>
      <c r="W194" s="121"/>
      <c r="X194" s="121"/>
      <c r="AD194" s="36"/>
      <c r="AE194" s="121"/>
      <c r="AF194" s="121"/>
      <c r="AG194" s="32"/>
      <c r="AH194" s="71"/>
      <c r="AI194" s="32"/>
      <c r="AJ194" s="204"/>
      <c r="AK194" s="222"/>
      <c r="AL194" s="202"/>
      <c r="AM194" s="202"/>
      <c r="AN194" s="202"/>
      <c r="AO194" s="202"/>
      <c r="AP194" s="202"/>
      <c r="AQ194" s="121"/>
    </row>
    <row r="195" spans="2:44" x14ac:dyDescent="0.2">
      <c r="B195" s="36"/>
      <c r="C195" s="121"/>
      <c r="D195" s="36"/>
      <c r="E195" s="121"/>
      <c r="F195" s="121"/>
      <c r="G195" s="3"/>
      <c r="I195" s="36"/>
      <c r="J195" s="36"/>
      <c r="K195" s="121"/>
      <c r="L195" s="121"/>
      <c r="M195" s="121"/>
      <c r="N195" s="121"/>
      <c r="O195" s="121"/>
      <c r="P195" s="36"/>
      <c r="Q195" s="121"/>
      <c r="S195" s="121"/>
      <c r="T195" s="36"/>
      <c r="U195" s="121"/>
      <c r="W195" s="121"/>
      <c r="X195" s="121"/>
      <c r="AD195" s="36"/>
      <c r="AE195" s="121"/>
      <c r="AF195" s="121"/>
      <c r="AG195" s="32"/>
      <c r="AH195" s="71"/>
      <c r="AI195" s="32"/>
      <c r="AJ195" s="204"/>
      <c r="AK195" s="222"/>
      <c r="AL195" s="202"/>
      <c r="AM195" s="202"/>
      <c r="AN195" s="202"/>
      <c r="AO195" s="202"/>
      <c r="AP195" s="202"/>
      <c r="AQ195" s="121"/>
    </row>
    <row r="196" spans="2:44" x14ac:dyDescent="0.2">
      <c r="B196" s="36"/>
      <c r="C196" s="121"/>
      <c r="D196" s="36"/>
      <c r="E196" s="121"/>
      <c r="F196" s="121"/>
      <c r="G196" s="3"/>
      <c r="I196" s="36"/>
      <c r="J196" s="36"/>
      <c r="K196" s="121"/>
      <c r="L196" s="121"/>
      <c r="M196" s="121"/>
      <c r="N196" s="121"/>
      <c r="O196" s="121"/>
      <c r="P196" s="36"/>
      <c r="Q196" s="121"/>
      <c r="S196" s="121"/>
      <c r="T196" s="36"/>
      <c r="U196" s="121"/>
      <c r="W196" s="121"/>
      <c r="X196" s="121"/>
      <c r="AD196" s="36"/>
      <c r="AE196" s="121"/>
      <c r="AF196" s="121"/>
      <c r="AG196" s="32"/>
      <c r="AH196" s="71"/>
      <c r="AI196" s="32"/>
      <c r="AJ196" s="204"/>
      <c r="AK196" s="222"/>
      <c r="AL196" s="202"/>
      <c r="AM196" s="202"/>
      <c r="AN196" s="202"/>
      <c r="AO196" s="202"/>
      <c r="AP196" s="202"/>
      <c r="AQ196" s="121"/>
    </row>
    <row r="197" spans="2:44" x14ac:dyDescent="0.2">
      <c r="B197" s="36"/>
      <c r="C197" s="121"/>
      <c r="D197" s="36"/>
      <c r="E197" s="121"/>
      <c r="F197" s="121"/>
      <c r="G197" s="3"/>
      <c r="I197" s="36"/>
      <c r="J197" s="36"/>
      <c r="K197" s="121"/>
      <c r="L197" s="121"/>
      <c r="M197" s="121"/>
      <c r="N197" s="121"/>
      <c r="O197" s="121"/>
      <c r="P197" s="36"/>
      <c r="Q197" s="121"/>
      <c r="S197" s="121"/>
      <c r="T197" s="36"/>
      <c r="U197" s="121"/>
      <c r="W197" s="121"/>
      <c r="X197" s="121"/>
      <c r="AD197" s="36"/>
      <c r="AE197" s="121"/>
      <c r="AF197" s="121"/>
      <c r="AG197" s="32"/>
      <c r="AH197" s="71"/>
      <c r="AI197" s="32"/>
      <c r="AJ197" s="204"/>
      <c r="AK197" s="222"/>
      <c r="AL197" s="202"/>
      <c r="AM197" s="202"/>
      <c r="AN197" s="202"/>
      <c r="AO197" s="202"/>
      <c r="AP197" s="202"/>
      <c r="AQ197" s="121"/>
    </row>
    <row r="198" spans="2:44" x14ac:dyDescent="0.2">
      <c r="B198" s="36"/>
      <c r="C198" s="121"/>
      <c r="D198" s="36"/>
      <c r="E198" s="36"/>
      <c r="F198" s="121"/>
      <c r="G198" s="3"/>
      <c r="I198" s="36"/>
      <c r="J198" s="36"/>
      <c r="K198" s="121"/>
      <c r="L198" s="121"/>
      <c r="M198" s="121"/>
      <c r="N198" s="121"/>
      <c r="O198" s="121"/>
      <c r="P198" s="36"/>
      <c r="Q198" s="121"/>
      <c r="S198" s="121"/>
      <c r="T198" s="36"/>
      <c r="U198" s="121"/>
      <c r="W198" s="121"/>
      <c r="X198" s="121"/>
      <c r="AD198" s="36"/>
      <c r="AE198" s="121"/>
      <c r="AF198" s="121"/>
      <c r="AG198" s="32"/>
      <c r="AH198" s="71"/>
      <c r="AI198" s="32"/>
      <c r="AJ198" s="204"/>
      <c r="AK198" s="222"/>
      <c r="AL198" s="202"/>
      <c r="AM198" s="202"/>
      <c r="AN198" s="202"/>
      <c r="AO198" s="202"/>
      <c r="AP198" s="202"/>
      <c r="AQ198" s="121"/>
    </row>
    <row r="199" spans="2:44" x14ac:dyDescent="0.2">
      <c r="B199" s="36"/>
      <c r="C199" s="121"/>
      <c r="D199" s="36"/>
      <c r="E199" s="36"/>
      <c r="F199" s="121"/>
      <c r="G199" s="3"/>
      <c r="I199" s="36"/>
      <c r="J199" s="36"/>
      <c r="K199" s="121"/>
      <c r="L199" s="121"/>
      <c r="M199" s="121"/>
      <c r="N199" s="121"/>
      <c r="O199" s="121"/>
      <c r="P199" s="36"/>
      <c r="Q199" s="121"/>
      <c r="S199" s="121"/>
      <c r="T199" s="36"/>
      <c r="U199" s="121"/>
      <c r="W199" s="121"/>
      <c r="X199" s="121"/>
      <c r="AD199" s="36"/>
      <c r="AE199" s="121"/>
      <c r="AG199" s="32"/>
      <c r="AH199" s="71"/>
      <c r="AI199" s="32"/>
      <c r="AJ199" s="204"/>
      <c r="AK199" s="222"/>
      <c r="AL199" s="202"/>
      <c r="AM199" s="202"/>
      <c r="AN199" s="202"/>
      <c r="AO199" s="202"/>
      <c r="AP199" s="202"/>
      <c r="AQ199" s="121"/>
    </row>
    <row r="200" spans="2:44" x14ac:dyDescent="0.2">
      <c r="D200" s="36"/>
      <c r="E200" s="36"/>
      <c r="F200" s="121"/>
      <c r="G200" s="3"/>
      <c r="I200" s="36"/>
      <c r="J200" s="36"/>
      <c r="K200" s="121"/>
      <c r="L200" s="121"/>
      <c r="M200" s="121"/>
      <c r="N200" s="121"/>
      <c r="O200" s="121"/>
      <c r="P200" s="36"/>
      <c r="Q200" s="121"/>
      <c r="S200" s="121"/>
      <c r="T200" s="36"/>
      <c r="U200" s="121"/>
      <c r="W200" s="121"/>
      <c r="X200" s="121"/>
      <c r="AD200" s="36"/>
      <c r="AE200" s="121"/>
      <c r="AG200" s="32"/>
      <c r="AH200" s="71"/>
      <c r="AI200" s="32"/>
      <c r="AJ200" s="204"/>
      <c r="AK200" s="222"/>
      <c r="AL200" s="202"/>
      <c r="AM200" s="202"/>
      <c r="AN200" s="222"/>
      <c r="AO200" s="202"/>
      <c r="AP200" s="204"/>
      <c r="AQ200" s="121"/>
    </row>
    <row r="201" spans="2:44" x14ac:dyDescent="0.2">
      <c r="D201" s="36"/>
      <c r="E201" s="36"/>
      <c r="F201" s="121"/>
      <c r="G201" s="3"/>
      <c r="I201" s="36"/>
      <c r="J201" s="36"/>
      <c r="K201" s="121"/>
      <c r="L201" s="121"/>
      <c r="M201" s="121"/>
      <c r="N201" s="121"/>
      <c r="P201" s="36"/>
      <c r="Q201" s="121"/>
      <c r="S201" s="121"/>
      <c r="T201" s="121"/>
      <c r="U201" s="121"/>
      <c r="W201" s="121"/>
      <c r="X201" s="121"/>
      <c r="AD201" s="36"/>
      <c r="AE201" s="121"/>
      <c r="AG201" s="32"/>
      <c r="AH201" s="71"/>
      <c r="AI201" s="32"/>
      <c r="AJ201" s="204"/>
      <c r="AK201" s="222"/>
      <c r="AL201" s="202"/>
      <c r="AM201" s="202"/>
      <c r="AN201" s="202"/>
      <c r="AO201" s="202"/>
      <c r="AQ201" s="121"/>
    </row>
    <row r="202" spans="2:44" x14ac:dyDescent="0.2">
      <c r="D202" s="36"/>
      <c r="E202" s="36"/>
      <c r="F202" s="121"/>
      <c r="G202" s="3"/>
      <c r="I202" s="36"/>
      <c r="J202" s="121"/>
      <c r="L202" s="121"/>
      <c r="M202" s="121"/>
      <c r="N202" s="121"/>
      <c r="P202" s="36"/>
      <c r="Q202" s="121"/>
      <c r="S202" s="121"/>
      <c r="T202" s="121"/>
      <c r="U202" s="121"/>
      <c r="W202" s="121"/>
      <c r="X202" s="121"/>
      <c r="AD202" s="36"/>
      <c r="AE202" s="121"/>
      <c r="AG202" s="19"/>
      <c r="AH202" s="71"/>
      <c r="AI202" s="32"/>
      <c r="AJ202" s="204"/>
      <c r="AK202" s="222"/>
      <c r="AL202" s="202"/>
      <c r="AM202" s="202"/>
      <c r="AN202" s="202"/>
      <c r="AO202" s="202"/>
      <c r="AQ202" s="121"/>
    </row>
    <row r="203" spans="2:44" x14ac:dyDescent="0.2">
      <c r="E203" s="36"/>
      <c r="F203" s="121"/>
      <c r="I203" s="36"/>
      <c r="J203" s="121"/>
      <c r="L203" s="121"/>
      <c r="M203" s="121"/>
      <c r="N203" s="121"/>
      <c r="AD203" s="36"/>
      <c r="AE203" s="121"/>
      <c r="AG203" s="19"/>
      <c r="AH203" s="71"/>
      <c r="AI203" s="32"/>
      <c r="AJ203" s="204"/>
      <c r="AK203" s="222"/>
      <c r="AL203" s="202"/>
      <c r="AM203" s="202"/>
      <c r="AN203" s="202"/>
      <c r="AO203" s="202"/>
      <c r="AQ203" s="121"/>
    </row>
    <row r="204" spans="2:44" x14ac:dyDescent="0.2">
      <c r="E204" s="36"/>
      <c r="F204" s="121"/>
      <c r="AD204" s="36"/>
      <c r="AE204" s="121"/>
      <c r="AG204" s="19"/>
      <c r="AH204" s="71"/>
      <c r="AI204" s="32"/>
      <c r="AJ204" s="204"/>
      <c r="AK204" s="222"/>
      <c r="AL204" s="202"/>
      <c r="AM204" s="202"/>
      <c r="AN204" s="202"/>
      <c r="AO204" s="202"/>
      <c r="AQ204" s="121"/>
      <c r="AR204" s="121"/>
    </row>
    <row r="205" spans="2:44" x14ac:dyDescent="0.2">
      <c r="E205" s="36"/>
      <c r="F205" s="121"/>
      <c r="AD205" s="36"/>
      <c r="AE205" s="121"/>
      <c r="AH205" s="71"/>
      <c r="AI205" s="32"/>
      <c r="AJ205" s="204"/>
      <c r="AK205" s="222"/>
      <c r="AL205" s="202"/>
      <c r="AM205" s="202"/>
      <c r="AN205" s="202"/>
      <c r="AO205" s="202"/>
      <c r="AQ205" s="121"/>
    </row>
    <row r="206" spans="2:44" x14ac:dyDescent="0.2">
      <c r="E206" s="36"/>
      <c r="F206" s="121"/>
      <c r="AD206" s="36"/>
      <c r="AE206" s="121"/>
      <c r="AH206" s="71"/>
      <c r="AI206" s="32"/>
      <c r="AJ206" s="204"/>
      <c r="AK206" s="222"/>
      <c r="AL206" s="202"/>
      <c r="AM206" s="202"/>
      <c r="AN206" s="202"/>
      <c r="AO206" s="202"/>
      <c r="AQ206" s="121"/>
    </row>
    <row r="207" spans="2:44" x14ac:dyDescent="0.2">
      <c r="E207" s="36"/>
      <c r="F207" s="121"/>
      <c r="AD207" s="36"/>
      <c r="AE207" s="121"/>
      <c r="AH207" s="71"/>
      <c r="AI207" s="32"/>
      <c r="AJ207" s="204"/>
      <c r="AK207" s="222"/>
      <c r="AL207" s="202"/>
      <c r="AM207" s="222"/>
      <c r="AN207" s="202"/>
      <c r="AO207" s="202"/>
      <c r="AQ207" s="121"/>
    </row>
    <row r="208" spans="2:44" x14ac:dyDescent="0.2">
      <c r="AD208" s="36"/>
      <c r="AE208" s="121"/>
      <c r="AJ208" s="204"/>
      <c r="AK208" s="222"/>
      <c r="AL208" s="202"/>
      <c r="AM208" s="202"/>
      <c r="AN208" s="202"/>
      <c r="AO208" s="202"/>
      <c r="AQ208" s="121"/>
    </row>
    <row r="209" spans="30:43" x14ac:dyDescent="0.2">
      <c r="AD209" s="36"/>
      <c r="AE209" s="121"/>
      <c r="AJ209" s="204"/>
      <c r="AK209" s="222"/>
      <c r="AL209" s="202"/>
      <c r="AM209" s="222"/>
      <c r="AN209" s="202"/>
      <c r="AO209" s="202"/>
      <c r="AQ209" s="204"/>
    </row>
    <row r="210" spans="30:43" x14ac:dyDescent="0.2">
      <c r="AD210" s="36"/>
      <c r="AE210" s="121"/>
      <c r="AJ210" s="204"/>
      <c r="AK210" s="222"/>
      <c r="AL210" s="202"/>
      <c r="AM210" s="202"/>
      <c r="AN210" s="202"/>
      <c r="AO210" s="202"/>
      <c r="AQ210" s="204"/>
    </row>
    <row r="211" spans="30:43" x14ac:dyDescent="0.2">
      <c r="AJ211" s="204"/>
      <c r="AK211" s="222"/>
      <c r="AL211" s="202"/>
      <c r="AM211" s="202"/>
      <c r="AN211" s="202"/>
      <c r="AO211" s="202"/>
      <c r="AQ211" s="204"/>
    </row>
    <row r="212" spans="30:43" x14ac:dyDescent="0.2">
      <c r="AJ212" s="204"/>
      <c r="AK212" s="222"/>
      <c r="AL212" s="202"/>
      <c r="AM212" s="202"/>
      <c r="AN212" s="202"/>
      <c r="AO212" s="202"/>
      <c r="AQ212" s="204"/>
    </row>
    <row r="213" spans="30:43" x14ac:dyDescent="0.2">
      <c r="AJ213" s="204"/>
      <c r="AK213" s="222"/>
      <c r="AL213" s="202"/>
      <c r="AM213" s="202"/>
      <c r="AN213" s="202"/>
      <c r="AO213" s="202"/>
      <c r="AQ213" s="204"/>
    </row>
    <row r="214" spans="30:43" x14ac:dyDescent="0.2">
      <c r="AJ214" s="204"/>
      <c r="AK214" s="222"/>
      <c r="AL214" s="202"/>
      <c r="AM214" s="202"/>
      <c r="AN214" s="202"/>
      <c r="AO214" s="202"/>
      <c r="AQ214" s="204"/>
    </row>
    <row r="215" spans="30:43" x14ac:dyDescent="0.2">
      <c r="AJ215" s="204"/>
      <c r="AK215" s="222"/>
      <c r="AL215" s="202"/>
      <c r="AM215" s="202"/>
      <c r="AN215" s="202"/>
      <c r="AO215" s="202"/>
      <c r="AP215" s="202"/>
      <c r="AQ215" s="204"/>
    </row>
    <row r="216" spans="30:43" x14ac:dyDescent="0.2">
      <c r="AJ216" s="204"/>
      <c r="AK216" s="222"/>
      <c r="AL216" s="202"/>
      <c r="AM216" s="202"/>
      <c r="AN216" s="202"/>
      <c r="AO216" s="202"/>
      <c r="AP216" s="202"/>
      <c r="AQ216" s="204"/>
    </row>
    <row r="217" spans="30:43" x14ac:dyDescent="0.2">
      <c r="AJ217" s="204"/>
      <c r="AK217" s="222"/>
      <c r="AL217" s="202"/>
      <c r="AM217" s="202"/>
      <c r="AN217" s="202"/>
      <c r="AO217" s="202"/>
      <c r="AP217" s="202"/>
      <c r="AQ217" s="204"/>
    </row>
    <row r="218" spans="30:43" x14ac:dyDescent="0.2">
      <c r="AJ218" s="204"/>
      <c r="AK218" s="222"/>
      <c r="AL218" s="202"/>
      <c r="AM218" s="202"/>
      <c r="AN218" s="202"/>
      <c r="AO218" s="202"/>
      <c r="AP218" s="202"/>
      <c r="AQ218" s="204"/>
    </row>
    <row r="219" spans="30:43" x14ac:dyDescent="0.2">
      <c r="AJ219" s="204"/>
      <c r="AK219" s="222"/>
      <c r="AL219" s="202"/>
      <c r="AM219" s="202"/>
      <c r="AN219" s="202"/>
      <c r="AO219" s="202"/>
      <c r="AP219" s="202"/>
      <c r="AQ219" s="204"/>
    </row>
    <row r="220" spans="30:43" x14ac:dyDescent="0.2">
      <c r="AJ220" s="204"/>
      <c r="AK220" s="222"/>
      <c r="AL220" s="202"/>
      <c r="AM220" s="202"/>
      <c r="AN220" s="202"/>
      <c r="AO220" s="202"/>
      <c r="AP220" s="202"/>
      <c r="AQ220" s="204"/>
    </row>
    <row r="221" spans="30:43" x14ac:dyDescent="0.2">
      <c r="AJ221" s="204"/>
      <c r="AK221" s="222"/>
      <c r="AL221" s="202"/>
      <c r="AM221" s="204"/>
      <c r="AN221" s="202"/>
      <c r="AO221" s="202"/>
      <c r="AP221" s="202"/>
      <c r="AQ221" s="204"/>
    </row>
    <row r="222" spans="30:43" x14ac:dyDescent="0.2">
      <c r="AJ222" s="204"/>
      <c r="AK222" s="222"/>
      <c r="AL222" s="202"/>
      <c r="AM222" s="202"/>
      <c r="AN222" s="202"/>
      <c r="AO222" s="202"/>
      <c r="AP222" s="202"/>
    </row>
    <row r="223" spans="30:43" x14ac:dyDescent="0.2">
      <c r="AJ223" s="204"/>
      <c r="AK223" s="222"/>
      <c r="AL223" s="202"/>
      <c r="AM223" s="202"/>
      <c r="AN223" s="202"/>
      <c r="AO223" s="202"/>
      <c r="AP223" s="202"/>
    </row>
    <row r="224" spans="30:43" x14ac:dyDescent="0.2">
      <c r="AJ224" s="204"/>
      <c r="AK224" s="222"/>
      <c r="AL224" s="202"/>
      <c r="AM224" s="202"/>
      <c r="AN224" s="202"/>
      <c r="AO224" s="202"/>
      <c r="AP224" s="202"/>
    </row>
    <row r="225" spans="36:42" x14ac:dyDescent="0.2">
      <c r="AJ225" s="204"/>
      <c r="AK225" s="222"/>
      <c r="AL225" s="202"/>
      <c r="AM225" s="202"/>
      <c r="AN225" s="202"/>
      <c r="AO225" s="202"/>
      <c r="AP225" s="202"/>
    </row>
    <row r="226" spans="36:42" x14ac:dyDescent="0.2">
      <c r="AJ226" s="204"/>
      <c r="AK226" s="204"/>
      <c r="AL226" s="222"/>
      <c r="AM226" s="202"/>
      <c r="AN226" s="204"/>
      <c r="AO226" s="204"/>
      <c r="AP226" s="204"/>
    </row>
    <row r="227" spans="36:42" x14ac:dyDescent="0.2">
      <c r="AJ227" s="204"/>
      <c r="AK227" s="204"/>
      <c r="AL227" s="222"/>
      <c r="AM227" s="202"/>
      <c r="AN227" s="204"/>
      <c r="AO227" s="204"/>
      <c r="AP227" s="204"/>
    </row>
    <row r="228" spans="36:42" x14ac:dyDescent="0.2">
      <c r="AJ228" s="204"/>
      <c r="AK228" s="204"/>
      <c r="AL228" s="222"/>
      <c r="AM228" s="202"/>
      <c r="AN228" s="204"/>
      <c r="AO228" s="204"/>
      <c r="AP228" s="204"/>
    </row>
    <row r="229" spans="36:42" x14ac:dyDescent="0.2">
      <c r="AJ229" s="204"/>
      <c r="AK229" s="204"/>
      <c r="AL229" s="222"/>
      <c r="AM229" s="202"/>
      <c r="AN229" s="204"/>
      <c r="AO229" s="204"/>
      <c r="AP229" s="204"/>
    </row>
    <row r="230" spans="36:42" x14ac:dyDescent="0.2">
      <c r="AJ230" s="204"/>
      <c r="AK230" s="204"/>
      <c r="AL230" s="222"/>
      <c r="AM230" s="202"/>
      <c r="AN230" s="204"/>
      <c r="AO230" s="204"/>
      <c r="AP230" s="204"/>
    </row>
    <row r="231" spans="36:42" x14ac:dyDescent="0.2">
      <c r="AL231" s="36"/>
      <c r="AM231" s="121"/>
    </row>
    <row r="232" spans="36:42" x14ac:dyDescent="0.2">
      <c r="AL232" s="36"/>
      <c r="AM232" s="121"/>
    </row>
  </sheetData>
  <mergeCells count="11">
    <mergeCell ref="AP1:AS1"/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AC90"/>
  <sheetViews>
    <sheetView showGridLines="0" topLeftCell="A6" zoomScaleNormal="100" workbookViewId="0">
      <selection activeCell="H36" sqref="H36"/>
    </sheetView>
  </sheetViews>
  <sheetFormatPr baseColWidth="10" defaultRowHeight="15" x14ac:dyDescent="0.25"/>
  <cols>
    <col min="2" max="2" width="7.28515625" customWidth="1"/>
    <col min="3" max="3" width="7.42578125" customWidth="1"/>
    <col min="4" max="4" width="9.85546875" bestFit="1" customWidth="1"/>
    <col min="5" max="5" width="6.140625" bestFit="1" customWidth="1"/>
    <col min="6" max="6" width="8.28515625" customWidth="1"/>
    <col min="7" max="7" width="9.85546875" bestFit="1" customWidth="1"/>
    <col min="8" max="8" width="10" customWidth="1"/>
    <col min="9" max="9" width="8.42578125" customWidth="1"/>
    <col min="19" max="19" width="9.5703125" customWidth="1"/>
    <col min="20" max="20" width="13.85546875" bestFit="1" customWidth="1"/>
    <col min="21" max="21" width="15.85546875" bestFit="1" customWidth="1"/>
    <col min="24" max="24" width="9" customWidth="1"/>
    <col min="25" max="25" width="10.42578125" bestFit="1" customWidth="1"/>
    <col min="27" max="27" width="10.42578125" bestFit="1" customWidth="1"/>
    <col min="28" max="28" width="9.42578125" customWidth="1"/>
  </cols>
  <sheetData>
    <row r="3" spans="2:9" x14ac:dyDescent="0.25">
      <c r="B3" s="27" t="s">
        <v>164</v>
      </c>
    </row>
    <row r="4" spans="2:9" x14ac:dyDescent="0.25">
      <c r="B4" s="297" t="s">
        <v>104</v>
      </c>
      <c r="C4" s="297"/>
      <c r="D4" s="297"/>
      <c r="E4" s="297"/>
      <c r="F4" s="297"/>
      <c r="G4" s="297"/>
    </row>
    <row r="5" spans="2:9" x14ac:dyDescent="0.25">
      <c r="B5" s="303" t="s">
        <v>105</v>
      </c>
      <c r="C5" s="303"/>
      <c r="D5" s="303"/>
      <c r="E5" s="303"/>
      <c r="F5" s="303"/>
      <c r="G5" s="303"/>
      <c r="H5" s="26"/>
      <c r="I5" s="26"/>
    </row>
    <row r="6" spans="2:9" ht="27.75" customHeight="1" x14ac:dyDescent="0.25">
      <c r="B6" s="9" t="s">
        <v>31</v>
      </c>
      <c r="C6" s="9" t="s">
        <v>18</v>
      </c>
      <c r="D6" s="9" t="s">
        <v>5</v>
      </c>
      <c r="E6" s="9" t="s">
        <v>22</v>
      </c>
      <c r="F6" s="9" t="s">
        <v>23</v>
      </c>
      <c r="G6" s="9" t="s">
        <v>24</v>
      </c>
    </row>
    <row r="7" spans="2:9" x14ac:dyDescent="0.25">
      <c r="B7" s="10" t="s">
        <v>20</v>
      </c>
      <c r="C7" s="11">
        <f>+Monitor!D8</f>
        <v>39.21</v>
      </c>
      <c r="D7" s="46">
        <f>+Monitor!F8</f>
        <v>0.20530791878700264</v>
      </c>
      <c r="E7" s="11">
        <f>+Monitor!G8</f>
        <v>4.6007759063985887</v>
      </c>
      <c r="F7" s="11">
        <f>Monitor!E8</f>
        <v>100.80277777777778</v>
      </c>
      <c r="G7" s="12">
        <f>+Monitor!H8</f>
        <v>0.38897737606437216</v>
      </c>
    </row>
    <row r="8" spans="2:9" x14ac:dyDescent="0.25">
      <c r="B8" s="10" t="s">
        <v>15</v>
      </c>
      <c r="C8" s="11">
        <f>+Monitor!D9</f>
        <v>37.299999999999997</v>
      </c>
      <c r="D8" s="46">
        <f>+Monitor!F9</f>
        <v>0.19669069647789003</v>
      </c>
      <c r="E8" s="11">
        <f>Monitor!G9</f>
        <v>4.9549134271585</v>
      </c>
      <c r="F8" s="11">
        <f>Monitor!E9</f>
        <v>100.10034722222223</v>
      </c>
      <c r="G8" s="12">
        <f>+Monitor!H9</f>
        <v>0.37262608007936476</v>
      </c>
    </row>
    <row r="9" spans="2:9" x14ac:dyDescent="0.25">
      <c r="B9" s="10" t="s">
        <v>16</v>
      </c>
      <c r="C9" s="11">
        <f>+Monitor!D10</f>
        <v>33.81</v>
      </c>
      <c r="D9" s="46">
        <f>+Monitor!F10</f>
        <v>0.16811838746070862</v>
      </c>
      <c r="E9" s="11">
        <f>Monitor!G10</f>
        <v>7.8101522908703531</v>
      </c>
      <c r="F9" s="11">
        <f>Monitor!E10</f>
        <v>100.10034722222223</v>
      </c>
      <c r="G9" s="12">
        <f>+Monitor!H10</f>
        <v>0.33776106615236795</v>
      </c>
    </row>
    <row r="10" spans="2:9" x14ac:dyDescent="0.25">
      <c r="B10" s="10" t="s">
        <v>17</v>
      </c>
      <c r="C10" s="11">
        <f>+Monitor!D11</f>
        <v>37.9</v>
      </c>
      <c r="D10" s="46">
        <f>+Monitor!F11</f>
        <v>0.17788648009300234</v>
      </c>
      <c r="E10" s="11">
        <f>Monitor!G11</f>
        <v>6.5716437306641904</v>
      </c>
      <c r="F10" s="11">
        <f>Monitor!E11</f>
        <v>100.10034722222223</v>
      </c>
      <c r="G10" s="12">
        <f>+Monitor!H11</f>
        <v>0.37862006528171382</v>
      </c>
    </row>
    <row r="11" spans="2:9" x14ac:dyDescent="0.25">
      <c r="B11" s="10" t="s">
        <v>21</v>
      </c>
      <c r="C11" s="11">
        <f>+Monitor!D12</f>
        <v>36.9</v>
      </c>
      <c r="D11" s="46">
        <f>+Monitor!F12</f>
        <v>0.1556748449802399</v>
      </c>
      <c r="E11" s="11">
        <f>Monitor!G12</f>
        <v>7.5131194205059622</v>
      </c>
      <c r="F11" s="11">
        <f>Monitor!E12</f>
        <v>100.10034722222223</v>
      </c>
      <c r="G11" s="12">
        <f>+Monitor!H12</f>
        <v>0.36863008994446544</v>
      </c>
    </row>
    <row r="13" spans="2:9" x14ac:dyDescent="0.25">
      <c r="B13" s="302" t="s">
        <v>13</v>
      </c>
      <c r="C13" s="302"/>
      <c r="D13" s="24">
        <f>AVERAGE(D7:D11)</f>
        <v>0.18073566555976869</v>
      </c>
      <c r="E13" s="14"/>
      <c r="F13" s="15"/>
      <c r="G13" s="14">
        <f>AVERAGE(G7:G11)</f>
        <v>0.36932293550445683</v>
      </c>
    </row>
    <row r="14" spans="2:9" ht="4.5" customHeight="1" x14ac:dyDescent="0.25"/>
    <row r="15" spans="2:9" x14ac:dyDescent="0.25">
      <c r="B15" s="285" t="s">
        <v>14</v>
      </c>
      <c r="C15" s="285"/>
      <c r="D15" s="285"/>
      <c r="E15" s="285"/>
      <c r="F15" s="285"/>
      <c r="G15" s="285"/>
      <c r="H15" s="25"/>
      <c r="I15" s="25"/>
    </row>
    <row r="21" spans="2:20" x14ac:dyDescent="0.25">
      <c r="L21" t="s">
        <v>20</v>
      </c>
      <c r="M21" s="153">
        <v>0.155</v>
      </c>
      <c r="N21">
        <v>5.46</v>
      </c>
    </row>
    <row r="22" spans="2:20" x14ac:dyDescent="0.25">
      <c r="L22" t="s">
        <v>15</v>
      </c>
      <c r="M22" s="153">
        <v>0.14699999999999999</v>
      </c>
      <c r="N22">
        <v>5.87</v>
      </c>
    </row>
    <row r="23" spans="2:20" x14ac:dyDescent="0.25">
      <c r="L23" t="s">
        <v>16</v>
      </c>
      <c r="M23" s="153">
        <v>0.14230000000000001</v>
      </c>
      <c r="N23">
        <v>8.83</v>
      </c>
    </row>
    <row r="24" spans="2:20" x14ac:dyDescent="0.25">
      <c r="B24" s="138" t="s">
        <v>33</v>
      </c>
      <c r="L24" t="s">
        <v>17</v>
      </c>
      <c r="M24" s="153">
        <v>0.1535</v>
      </c>
      <c r="N24">
        <v>7.58</v>
      </c>
      <c r="T24" s="58"/>
    </row>
    <row r="25" spans="2:20" x14ac:dyDescent="0.25">
      <c r="B25" s="297" t="s">
        <v>191</v>
      </c>
      <c r="C25" s="297"/>
      <c r="D25" s="297"/>
      <c r="E25" s="297"/>
      <c r="F25" s="297"/>
      <c r="G25" s="297"/>
      <c r="H25" s="297"/>
      <c r="I25" s="297"/>
      <c r="L25" t="s">
        <v>21</v>
      </c>
      <c r="M25" s="153">
        <v>0.1469</v>
      </c>
      <c r="N25">
        <v>8.34</v>
      </c>
      <c r="R25" s="25"/>
      <c r="S25" s="25"/>
    </row>
    <row r="26" spans="2:20" x14ac:dyDescent="0.25">
      <c r="B26" s="310"/>
      <c r="C26" s="310"/>
      <c r="D26" s="310"/>
      <c r="E26" s="310"/>
      <c r="F26" s="310"/>
      <c r="G26" s="310"/>
      <c r="H26" s="310"/>
      <c r="R26" s="25"/>
      <c r="S26" s="25"/>
    </row>
    <row r="27" spans="2:20" ht="27.75" customHeight="1" x14ac:dyDescent="0.25">
      <c r="B27" s="72" t="s">
        <v>173</v>
      </c>
      <c r="C27" s="72" t="s">
        <v>172</v>
      </c>
      <c r="D27" s="72" t="s">
        <v>5</v>
      </c>
      <c r="E27" s="72" t="s">
        <v>22</v>
      </c>
      <c r="F27" s="72" t="s">
        <v>171</v>
      </c>
      <c r="G27" s="72" t="s">
        <v>174</v>
      </c>
      <c r="H27" s="176" t="s">
        <v>32</v>
      </c>
      <c r="I27" s="177" t="s">
        <v>170</v>
      </c>
    </row>
    <row r="28" spans="2:20" ht="15" customHeight="1" x14ac:dyDescent="0.25">
      <c r="B28" s="43" t="s">
        <v>20</v>
      </c>
      <c r="C28" s="39">
        <f>+Monitor!D8</f>
        <v>39.21</v>
      </c>
      <c r="D28" s="41">
        <v>0.12</v>
      </c>
      <c r="E28" s="39">
        <f>+'AL29'!AG26</f>
        <v>4.7220451020632099</v>
      </c>
      <c r="F28" s="39">
        <f>+'AL29'!AG27</f>
        <v>57.732608514509899</v>
      </c>
      <c r="G28" s="39">
        <f>SUM('AL29'!S6:S10)</f>
        <v>2.8555555555555556</v>
      </c>
      <c r="H28" s="173">
        <f>(F28+G28)/C28-1</f>
        <v>0.54522224101161565</v>
      </c>
      <c r="I28" s="174">
        <f>(1+H28)^(1/2)-1</f>
        <v>0.24306968469656431</v>
      </c>
    </row>
    <row r="29" spans="2:20" x14ac:dyDescent="0.25">
      <c r="B29" s="43" t="s">
        <v>15</v>
      </c>
      <c r="C29" s="39">
        <f>+Monitor!D9</f>
        <v>37.299999999999997</v>
      </c>
      <c r="D29" s="41">
        <v>0.12</v>
      </c>
      <c r="E29" s="39">
        <f>'AL30'!AF28</f>
        <v>5.1500618451810354</v>
      </c>
      <c r="F29" s="39">
        <f>'AL30'!AF29</f>
        <v>53.147845396107876</v>
      </c>
      <c r="G29" s="39">
        <f>SUM('AL30'!S6:S10)</f>
        <v>0.75555555555555554</v>
      </c>
      <c r="H29" s="173">
        <f t="shared" ref="H29:H32" si="0">(F29+G29)/C29-1</f>
        <v>0.44513139280599012</v>
      </c>
      <c r="I29" s="174">
        <f t="shared" ref="I29:I32" si="1">(1+H29)^(1/2)-1</f>
        <v>0.20213617897723646</v>
      </c>
    </row>
    <row r="30" spans="2:20" x14ac:dyDescent="0.25">
      <c r="B30" s="43" t="s">
        <v>17</v>
      </c>
      <c r="C30" s="39">
        <f>+Monitor!D11</f>
        <v>37.9</v>
      </c>
      <c r="D30" s="41">
        <v>0.12</v>
      </c>
      <c r="E30" s="39">
        <f>'AE38'!AF45</f>
        <v>7.5115547959381352</v>
      </c>
      <c r="F30" s="39">
        <f>'AE38'!AF46</f>
        <v>51.891923622057028</v>
      </c>
      <c r="G30" s="39">
        <f>SUM('AE38'!S7:S10)</f>
        <v>4.0434027777777777</v>
      </c>
      <c r="H30" s="173">
        <f t="shared" si="0"/>
        <v>0.47586613192176275</v>
      </c>
      <c r="I30" s="174">
        <f t="shared" si="1"/>
        <v>0.21485230868684724</v>
      </c>
    </row>
    <row r="31" spans="2:20" x14ac:dyDescent="0.25">
      <c r="B31" s="43" t="s">
        <v>16</v>
      </c>
      <c r="C31" s="39">
        <f>+Monitor!D10</f>
        <v>33.81</v>
      </c>
      <c r="D31" s="41">
        <v>0.12</v>
      </c>
      <c r="E31" s="39">
        <f>'AL35'!AF41</f>
        <v>8.3459659158369313</v>
      </c>
      <c r="F31" s="39">
        <f>'AL35'!AF42</f>
        <v>47.125266306963383</v>
      </c>
      <c r="G31" s="39">
        <f>SUM('AL35'!S8:S12)</f>
        <v>2.7309027777777777</v>
      </c>
      <c r="H31" s="173">
        <f t="shared" si="0"/>
        <v>0.47459831661464524</v>
      </c>
      <c r="I31" s="174">
        <f t="shared" si="1"/>
        <v>0.21433039845613888</v>
      </c>
    </row>
    <row r="32" spans="2:20" x14ac:dyDescent="0.25">
      <c r="B32" s="43" t="s">
        <v>21</v>
      </c>
      <c r="C32" s="39">
        <f>+Monitor!D12</f>
        <v>36.9</v>
      </c>
      <c r="D32" s="41">
        <v>0.12</v>
      </c>
      <c r="E32" s="39">
        <f>'AL41'!AF52</f>
        <v>8.4800204369033789</v>
      </c>
      <c r="F32" s="39">
        <f>'AL41'!AF53</f>
        <v>44.252550197903936</v>
      </c>
      <c r="G32" s="39">
        <f>SUM('AL41'!S7:S10)</f>
        <v>4.3559027777777777</v>
      </c>
      <c r="H32" s="173">
        <f t="shared" si="0"/>
        <v>0.31730224866346113</v>
      </c>
      <c r="I32" s="174">
        <f t="shared" si="1"/>
        <v>0.14773788325708814</v>
      </c>
    </row>
    <row r="34" spans="2:22" x14ac:dyDescent="0.25">
      <c r="E34" s="91" t="s">
        <v>44</v>
      </c>
      <c r="F34" s="91"/>
      <c r="G34" s="91"/>
      <c r="H34" s="175">
        <f>AVERAGE(H28:H32)</f>
        <v>0.45162406620349493</v>
      </c>
      <c r="I34" s="175">
        <f>AVERAGE(I28:I32)</f>
        <v>0.20442529081477501</v>
      </c>
    </row>
    <row r="35" spans="2:22" x14ac:dyDescent="0.25">
      <c r="B35" s="309" t="s">
        <v>14</v>
      </c>
      <c r="C35" s="309"/>
      <c r="D35" s="309"/>
      <c r="E35" s="309"/>
      <c r="F35" s="309"/>
      <c r="G35" s="309"/>
      <c r="H35" s="309"/>
    </row>
    <row r="36" spans="2:22" x14ac:dyDescent="0.25">
      <c r="B36" s="314">
        <v>44370</v>
      </c>
      <c r="C36" s="314"/>
      <c r="D36" s="12"/>
    </row>
    <row r="37" spans="2:22" x14ac:dyDescent="0.25">
      <c r="D37" s="12"/>
    </row>
    <row r="38" spans="2:22" x14ac:dyDescent="0.25">
      <c r="B38" s="160"/>
      <c r="C38" s="160"/>
      <c r="D38" s="166"/>
      <c r="E38" s="160"/>
      <c r="F38" s="160"/>
      <c r="G38" s="160"/>
      <c r="H38" s="160"/>
      <c r="I38" s="160"/>
    </row>
    <row r="39" spans="2:22" x14ac:dyDescent="0.25">
      <c r="B39" s="160"/>
      <c r="C39" s="211"/>
      <c r="D39" s="160"/>
      <c r="E39" s="160"/>
      <c r="F39" s="160"/>
      <c r="G39" s="160"/>
      <c r="H39" s="160"/>
      <c r="I39" s="160"/>
    </row>
    <row r="40" spans="2:22" x14ac:dyDescent="0.25">
      <c r="B40" s="160"/>
      <c r="C40" s="312"/>
      <c r="D40" s="312"/>
      <c r="E40" s="312"/>
      <c r="F40" s="312"/>
      <c r="G40" s="312"/>
      <c r="H40" s="312"/>
      <c r="I40" s="160"/>
    </row>
    <row r="41" spans="2:22" x14ac:dyDescent="0.25">
      <c r="B41" s="160"/>
      <c r="C41" s="315"/>
      <c r="D41" s="315"/>
      <c r="E41" s="315"/>
      <c r="F41" s="315"/>
      <c r="G41" s="315"/>
      <c r="H41" s="315"/>
      <c r="I41" s="212"/>
    </row>
    <row r="42" spans="2:22" ht="30.75" customHeight="1" x14ac:dyDescent="0.25">
      <c r="B42" s="160"/>
      <c r="C42" s="213"/>
      <c r="D42" s="213"/>
      <c r="E42" s="213"/>
      <c r="F42" s="213"/>
      <c r="G42" s="213"/>
      <c r="H42" s="213"/>
      <c r="I42" s="160"/>
    </row>
    <row r="43" spans="2:22" x14ac:dyDescent="0.25">
      <c r="B43" s="160"/>
      <c r="C43" s="67"/>
      <c r="D43" s="93"/>
      <c r="E43" s="66"/>
      <c r="F43" s="66"/>
      <c r="G43" s="214"/>
      <c r="H43" s="215"/>
      <c r="I43" s="160"/>
      <c r="S43" s="160"/>
      <c r="T43" s="160"/>
      <c r="U43" s="160"/>
      <c r="V43" s="160"/>
    </row>
    <row r="44" spans="2:22" x14ac:dyDescent="0.25">
      <c r="B44" s="160"/>
      <c r="C44" s="67"/>
      <c r="D44" s="93"/>
      <c r="E44" s="216"/>
      <c r="F44" s="66"/>
      <c r="G44" s="214"/>
      <c r="H44" s="215"/>
      <c r="I44" s="160"/>
      <c r="S44" s="160"/>
      <c r="T44" s="160"/>
      <c r="U44" s="160"/>
      <c r="V44" s="160"/>
    </row>
    <row r="45" spans="2:22" x14ac:dyDescent="0.25">
      <c r="B45" s="160"/>
      <c r="C45" s="67"/>
      <c r="D45" s="93"/>
      <c r="E45" s="66"/>
      <c r="F45" s="66"/>
      <c r="G45" s="214"/>
      <c r="H45" s="215"/>
      <c r="I45" s="160"/>
      <c r="S45" s="161"/>
      <c r="T45" s="160"/>
      <c r="U45" s="160"/>
      <c r="V45" s="160"/>
    </row>
    <row r="46" spans="2:22" x14ac:dyDescent="0.25">
      <c r="B46" s="160"/>
      <c r="C46" s="67"/>
      <c r="D46" s="93"/>
      <c r="E46" s="66"/>
      <c r="F46" s="66"/>
      <c r="G46" s="214"/>
      <c r="H46" s="215"/>
      <c r="I46" s="160"/>
      <c r="S46" s="312"/>
      <c r="T46" s="312"/>
      <c r="U46" s="312"/>
      <c r="V46" s="312"/>
    </row>
    <row r="47" spans="2:22" x14ac:dyDescent="0.25">
      <c r="B47" s="160"/>
      <c r="C47" s="217"/>
      <c r="D47" s="199"/>
      <c r="E47" s="218"/>
      <c r="F47" s="218"/>
      <c r="G47" s="214"/>
      <c r="H47" s="215"/>
      <c r="I47" s="160"/>
      <c r="S47" s="311"/>
      <c r="T47" s="311"/>
      <c r="U47" s="311"/>
      <c r="V47" s="311"/>
    </row>
    <row r="48" spans="2:22" x14ac:dyDescent="0.25">
      <c r="B48" s="160"/>
      <c r="C48" s="160"/>
      <c r="D48" s="160"/>
      <c r="E48" s="160"/>
      <c r="F48" s="160"/>
      <c r="G48" s="160"/>
      <c r="H48" s="160"/>
      <c r="I48" s="160"/>
      <c r="S48" s="162"/>
      <c r="T48" s="162"/>
      <c r="U48" s="162"/>
      <c r="V48" s="163"/>
    </row>
    <row r="49" spans="2:29" x14ac:dyDescent="0.25">
      <c r="B49" s="160"/>
      <c r="C49" s="313"/>
      <c r="D49" s="313"/>
      <c r="E49" s="313"/>
      <c r="F49" s="313"/>
      <c r="G49" s="313"/>
      <c r="H49" s="313"/>
      <c r="I49" s="219"/>
      <c r="S49" s="164"/>
      <c r="T49" s="165"/>
      <c r="U49" s="165"/>
      <c r="V49" s="166"/>
    </row>
    <row r="50" spans="2:29" x14ac:dyDescent="0.25">
      <c r="B50" s="160"/>
      <c r="C50" s="160"/>
      <c r="D50" s="160"/>
      <c r="E50" s="160"/>
      <c r="F50" s="160"/>
      <c r="G50" s="160"/>
      <c r="H50" s="160"/>
      <c r="I50" s="160"/>
      <c r="S50" s="164"/>
      <c r="T50" s="165"/>
      <c r="U50" s="165"/>
      <c r="V50" s="166"/>
    </row>
    <row r="51" spans="2:29" x14ac:dyDescent="0.25">
      <c r="B51" s="160"/>
      <c r="C51" s="160"/>
      <c r="D51" s="160"/>
      <c r="E51" s="160"/>
      <c r="F51" s="160"/>
      <c r="G51" s="160"/>
      <c r="H51" s="160"/>
      <c r="I51" s="160"/>
      <c r="S51" s="164"/>
      <c r="T51" s="165"/>
      <c r="U51" s="165"/>
      <c r="V51" s="166"/>
    </row>
    <row r="52" spans="2:29" x14ac:dyDescent="0.25">
      <c r="S52" s="164"/>
      <c r="T52" s="165"/>
      <c r="U52" s="165"/>
      <c r="V52" s="166"/>
    </row>
    <row r="53" spans="2:29" x14ac:dyDescent="0.25">
      <c r="S53" s="164"/>
      <c r="T53" s="165"/>
      <c r="U53" s="165"/>
      <c r="V53" s="166"/>
    </row>
    <row r="54" spans="2:29" ht="3.75" customHeight="1" x14ac:dyDescent="0.25">
      <c r="S54" s="164"/>
      <c r="T54" s="164"/>
      <c r="U54" s="164"/>
      <c r="V54" s="164"/>
    </row>
    <row r="55" spans="2:29" x14ac:dyDescent="0.25">
      <c r="S55" s="164"/>
      <c r="T55" s="167"/>
      <c r="U55" s="168"/>
      <c r="V55" s="169"/>
    </row>
    <row r="56" spans="2:29" ht="6" customHeight="1" x14ac:dyDescent="0.25">
      <c r="S56" s="160"/>
      <c r="T56" s="160"/>
      <c r="U56" s="160"/>
      <c r="V56" s="160"/>
    </row>
    <row r="57" spans="2:29" x14ac:dyDescent="0.25">
      <c r="S57" s="313"/>
      <c r="T57" s="313"/>
      <c r="U57" s="313"/>
      <c r="V57" s="313"/>
      <c r="W57" s="25"/>
      <c r="X57" s="25"/>
      <c r="Y57" s="25"/>
      <c r="Z57" s="25"/>
      <c r="AA57" s="25"/>
    </row>
    <row r="58" spans="2:29" x14ac:dyDescent="0.25">
      <c r="S58" s="160"/>
      <c r="T58" s="160"/>
      <c r="U58" s="160"/>
      <c r="V58" s="160"/>
    </row>
    <row r="59" spans="2:29" x14ac:dyDescent="0.25">
      <c r="S59" s="160"/>
      <c r="T59" s="160"/>
      <c r="U59" s="160"/>
      <c r="V59" s="160"/>
    </row>
    <row r="60" spans="2:29" x14ac:dyDescent="0.25">
      <c r="S60" s="160"/>
      <c r="T60" s="160"/>
      <c r="U60" s="160"/>
      <c r="V60" s="160"/>
      <c r="X60" s="27" t="s">
        <v>41</v>
      </c>
    </row>
    <row r="61" spans="2:29" x14ac:dyDescent="0.25">
      <c r="X61" s="297" t="s">
        <v>45</v>
      </c>
      <c r="Y61" s="297"/>
      <c r="Z61" s="297"/>
      <c r="AA61" s="297"/>
      <c r="AB61" s="297"/>
      <c r="AC61" s="13"/>
    </row>
    <row r="62" spans="2:29" x14ac:dyDescent="0.25">
      <c r="X62" s="303" t="s">
        <v>175</v>
      </c>
      <c r="Y62" s="303"/>
      <c r="Z62" s="303"/>
      <c r="AA62" s="303"/>
      <c r="AB62" s="303"/>
      <c r="AC62" s="13"/>
    </row>
    <row r="63" spans="2:29" x14ac:dyDescent="0.25">
      <c r="X63" s="304" t="s">
        <v>42</v>
      </c>
      <c r="Y63" s="305"/>
      <c r="Z63" s="306" t="s">
        <v>43</v>
      </c>
      <c r="AA63" s="307"/>
      <c r="AB63" s="308" t="s">
        <v>108</v>
      </c>
      <c r="AC63" s="13"/>
    </row>
    <row r="64" spans="2:29" x14ac:dyDescent="0.25">
      <c r="X64" s="52" t="s">
        <v>31</v>
      </c>
      <c r="Y64" s="52" t="s">
        <v>94</v>
      </c>
      <c r="Z64" s="52" t="s">
        <v>31</v>
      </c>
      <c r="AA64" s="49" t="s">
        <v>94</v>
      </c>
      <c r="AB64" s="308"/>
      <c r="AC64" s="13"/>
    </row>
    <row r="65" spans="24:29" x14ac:dyDescent="0.25">
      <c r="X65" s="10" t="s">
        <v>20</v>
      </c>
      <c r="Y65" s="118">
        <f>+Monitor!O8</f>
        <v>6300</v>
      </c>
      <c r="Z65" s="10" t="s">
        <v>25</v>
      </c>
      <c r="AA65" s="118">
        <f>+Monitor!Q8</f>
        <v>6930</v>
      </c>
      <c r="AB65" s="119">
        <f>AA65/Y65-1</f>
        <v>0.10000000000000009</v>
      </c>
      <c r="AC65" s="13"/>
    </row>
    <row r="66" spans="24:29" x14ac:dyDescent="0.25">
      <c r="X66" s="10" t="s">
        <v>15</v>
      </c>
      <c r="Y66" s="118">
        <f>+Monitor!O9</f>
        <v>5962</v>
      </c>
      <c r="Z66" s="10" t="s">
        <v>26</v>
      </c>
      <c r="AA66" s="118">
        <f>+Monitor!Q9</f>
        <v>6385.5</v>
      </c>
      <c r="AB66" s="119">
        <f>AA66/Y66-1</f>
        <v>7.1033210332103414E-2</v>
      </c>
      <c r="AC66" s="13"/>
    </row>
    <row r="67" spans="24:29" x14ac:dyDescent="0.25">
      <c r="X67" s="10" t="s">
        <v>16</v>
      </c>
      <c r="Y67" s="118">
        <f>+Monitor!O10</f>
        <v>5440</v>
      </c>
      <c r="Z67" s="10" t="s">
        <v>27</v>
      </c>
      <c r="AA67" s="118">
        <f>+Monitor!Q10</f>
        <v>5683</v>
      </c>
      <c r="AB67" s="119">
        <f>AA67/Y67-1</f>
        <v>4.4669117647058831E-2</v>
      </c>
      <c r="AC67" s="13"/>
    </row>
    <row r="68" spans="24:29" x14ac:dyDescent="0.25">
      <c r="X68" s="10" t="s">
        <v>17</v>
      </c>
      <c r="Y68" s="118">
        <f>+Monitor!O11</f>
        <v>6050</v>
      </c>
      <c r="Z68" s="10" t="s">
        <v>28</v>
      </c>
      <c r="AA68" s="118">
        <f>+Monitor!Q11</f>
        <v>6600</v>
      </c>
      <c r="AB68" s="119">
        <f>AA68/Y68-1</f>
        <v>9.0909090909090828E-2</v>
      </c>
      <c r="AC68" s="13"/>
    </row>
    <row r="69" spans="24:29" x14ac:dyDescent="0.25">
      <c r="X69" s="10" t="s">
        <v>21</v>
      </c>
      <c r="Y69" s="118">
        <f>+Monitor!O12</f>
        <v>5920</v>
      </c>
      <c r="Z69" s="10" t="s">
        <v>29</v>
      </c>
      <c r="AA69" s="118">
        <f>+Monitor!Q12</f>
        <v>6370</v>
      </c>
      <c r="AB69" s="119">
        <f>AA69/Y69-1</f>
        <v>7.6013513513513598E-2</v>
      </c>
      <c r="AC69" s="13"/>
    </row>
    <row r="70" spans="24:29" x14ac:dyDescent="0.25">
      <c r="X70" s="13"/>
      <c r="Y70" s="13"/>
      <c r="Z70" s="13"/>
      <c r="AA70" s="48"/>
      <c r="AB70" s="13"/>
      <c r="AC70" s="13"/>
    </row>
    <row r="71" spans="24:29" x14ac:dyDescent="0.25">
      <c r="X71" s="13"/>
      <c r="Y71" s="13"/>
      <c r="Z71" s="302" t="s">
        <v>44</v>
      </c>
      <c r="AA71" s="302"/>
      <c r="AB71" s="24">
        <f>AVERAGE(AB65:AB69)</f>
        <v>7.6524986480353357E-2</v>
      </c>
      <c r="AC71" s="13"/>
    </row>
    <row r="72" spans="24:29" ht="5.25" customHeight="1" x14ac:dyDescent="0.25">
      <c r="X72" s="13"/>
      <c r="Y72" s="13"/>
      <c r="Z72" s="13"/>
      <c r="AA72" s="13"/>
      <c r="AB72" s="13"/>
      <c r="AC72" s="13"/>
    </row>
    <row r="73" spans="24:29" x14ac:dyDescent="0.25">
      <c r="X73" s="285" t="s">
        <v>40</v>
      </c>
      <c r="Y73" s="285"/>
      <c r="Z73" s="285"/>
      <c r="AA73" s="285"/>
      <c r="AB73" s="285"/>
    </row>
    <row r="76" spans="24:29" x14ac:dyDescent="0.25">
      <c r="X76" s="27" t="s">
        <v>49</v>
      </c>
    </row>
    <row r="77" spans="24:29" x14ac:dyDescent="0.25">
      <c r="X77" s="297" t="s">
        <v>154</v>
      </c>
      <c r="Y77" s="297"/>
      <c r="Z77" s="297"/>
      <c r="AA77" s="297"/>
      <c r="AB77" s="297"/>
    </row>
    <row r="78" spans="24:29" x14ac:dyDescent="0.25">
      <c r="X78" s="303" t="s">
        <v>155</v>
      </c>
      <c r="Y78" s="303"/>
      <c r="Z78" s="303"/>
      <c r="AA78" s="303"/>
      <c r="AB78" s="303"/>
    </row>
    <row r="79" spans="24:29" x14ac:dyDescent="0.25">
      <c r="X79" s="304" t="s">
        <v>156</v>
      </c>
      <c r="Y79" s="305"/>
      <c r="Z79" s="306" t="s">
        <v>157</v>
      </c>
      <c r="AA79" s="307"/>
      <c r="AB79" s="308" t="s">
        <v>108</v>
      </c>
    </row>
    <row r="80" spans="24:29" x14ac:dyDescent="0.25">
      <c r="X80" s="52" t="s">
        <v>31</v>
      </c>
      <c r="Y80" s="52" t="s">
        <v>158</v>
      </c>
      <c r="Z80" s="52" t="s">
        <v>31</v>
      </c>
      <c r="AA80" s="49" t="s">
        <v>12</v>
      </c>
      <c r="AB80" s="308"/>
    </row>
    <row r="81" spans="24:28" x14ac:dyDescent="0.25">
      <c r="X81" s="10" t="s">
        <v>25</v>
      </c>
      <c r="Y81" s="118">
        <f>+CCL!L30</f>
        <v>42.402777777777771</v>
      </c>
      <c r="Z81" s="10" t="s">
        <v>25</v>
      </c>
      <c r="AA81" s="118">
        <f>+Monitor!D14</f>
        <v>43.2</v>
      </c>
      <c r="AB81" s="119">
        <f t="shared" ref="AB81:AB86" si="2">AA81/Y81-1</f>
        <v>1.880117916803159E-2</v>
      </c>
    </row>
    <row r="82" spans="24:28" x14ac:dyDescent="0.25">
      <c r="X82" s="10" t="s">
        <v>26</v>
      </c>
      <c r="Y82" s="118">
        <f>+CCL!L31</f>
        <v>39.090347222222221</v>
      </c>
      <c r="Z82" s="10" t="s">
        <v>26</v>
      </c>
      <c r="AA82" s="118">
        <f>+Monitor!D15</f>
        <v>39.71</v>
      </c>
      <c r="AB82" s="119">
        <f t="shared" si="2"/>
        <v>1.585181053151441E-2</v>
      </c>
    </row>
    <row r="83" spans="24:28" x14ac:dyDescent="0.25">
      <c r="X83" s="10" t="s">
        <v>27</v>
      </c>
      <c r="Y83" s="118">
        <f>+CCL!L32</f>
        <v>34.700347222222234</v>
      </c>
      <c r="Z83" s="10" t="s">
        <v>27</v>
      </c>
      <c r="AA83" s="118">
        <f>+Monitor!D16</f>
        <v>35.25</v>
      </c>
      <c r="AB83" s="119">
        <f t="shared" si="2"/>
        <v>1.5839979186887287E-2</v>
      </c>
    </row>
    <row r="84" spans="24:28" x14ac:dyDescent="0.25">
      <c r="X84" s="10" t="s">
        <v>28</v>
      </c>
      <c r="Y84" s="118">
        <f>+CCL!L33</f>
        <v>40.680347222222224</v>
      </c>
      <c r="Z84" s="10" t="s">
        <v>28</v>
      </c>
      <c r="AA84" s="118">
        <f>+Monitor!D17</f>
        <v>41.75</v>
      </c>
      <c r="AB84" s="119">
        <f t="shared" si="2"/>
        <v>2.629409163925378E-2</v>
      </c>
    </row>
    <row r="85" spans="24:28" x14ac:dyDescent="0.25">
      <c r="X85" s="10" t="s">
        <v>29</v>
      </c>
      <c r="Y85" s="118">
        <f>+CCL!L34</f>
        <v>38.420347222222233</v>
      </c>
      <c r="Z85" s="10" t="s">
        <v>29</v>
      </c>
      <c r="AA85" s="118">
        <f>+Monitor!D18</f>
        <v>39.19</v>
      </c>
      <c r="AB85" s="119">
        <f t="shared" si="2"/>
        <v>2.0032426394434033E-2</v>
      </c>
    </row>
    <row r="86" spans="24:28" x14ac:dyDescent="0.25">
      <c r="X86" s="10" t="s">
        <v>30</v>
      </c>
      <c r="Y86" s="118">
        <f>+CCL!L35</f>
        <v>35.030347222222218</v>
      </c>
      <c r="Z86" s="10" t="s">
        <v>30</v>
      </c>
      <c r="AA86" s="118">
        <f>+Monitor!D19</f>
        <v>36.1</v>
      </c>
      <c r="AB86" s="119">
        <f t="shared" si="2"/>
        <v>3.0535032124923589E-2</v>
      </c>
    </row>
    <row r="87" spans="24:28" x14ac:dyDescent="0.25">
      <c r="X87" s="13"/>
      <c r="Y87" s="13"/>
      <c r="Z87" s="13"/>
      <c r="AA87" s="48"/>
      <c r="AB87" s="13"/>
    </row>
    <row r="88" spans="24:28" x14ac:dyDescent="0.25">
      <c r="X88" s="13"/>
      <c r="Y88" s="13"/>
      <c r="Z88" s="302" t="s">
        <v>44</v>
      </c>
      <c r="AA88" s="302"/>
      <c r="AB88" s="24">
        <f>AVERAGE(AB81:AB86)</f>
        <v>2.1225753174174116E-2</v>
      </c>
    </row>
    <row r="89" spans="24:28" x14ac:dyDescent="0.25">
      <c r="X89" s="13"/>
      <c r="Y89" s="13"/>
      <c r="Z89" s="13"/>
      <c r="AA89" s="13"/>
      <c r="AB89" s="13"/>
    </row>
    <row r="90" spans="24:28" x14ac:dyDescent="0.25">
      <c r="X90" s="285" t="s">
        <v>40</v>
      </c>
      <c r="Y90" s="285"/>
      <c r="Z90" s="285"/>
      <c r="AA90" s="285"/>
      <c r="AB90" s="285"/>
    </row>
  </sheetData>
  <mergeCells count="28">
    <mergeCell ref="X73:AB73"/>
    <mergeCell ref="Z63:AA63"/>
    <mergeCell ref="AB63:AB64"/>
    <mergeCell ref="Z71:AA71"/>
    <mergeCell ref="X61:AB61"/>
    <mergeCell ref="X62:AB62"/>
    <mergeCell ref="S47:V47"/>
    <mergeCell ref="S46:V46"/>
    <mergeCell ref="S57:V57"/>
    <mergeCell ref="X63:Y63"/>
    <mergeCell ref="B36:C36"/>
    <mergeCell ref="C40:H40"/>
    <mergeCell ref="C41:H41"/>
    <mergeCell ref="C49:H49"/>
    <mergeCell ref="B13:C13"/>
    <mergeCell ref="B4:G4"/>
    <mergeCell ref="B5:G5"/>
    <mergeCell ref="B35:H35"/>
    <mergeCell ref="B26:H26"/>
    <mergeCell ref="B15:G15"/>
    <mergeCell ref="B25:I25"/>
    <mergeCell ref="Z88:AA88"/>
    <mergeCell ref="X90:AB90"/>
    <mergeCell ref="X77:AB77"/>
    <mergeCell ref="X78:AB78"/>
    <mergeCell ref="X79:Y79"/>
    <mergeCell ref="Z79:AA79"/>
    <mergeCell ref="AB79:AB80"/>
  </mergeCells>
  <conditionalFormatting sqref="H43:H4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{6ACE0F10-4DCC-4002-8209-69EA8A9A31FC}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CE0F10-4DCC-4002-8209-69EA8A9A31F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H43:H47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Y42"/>
  <sheetViews>
    <sheetView showGridLines="0" workbookViewId="0">
      <selection activeCell="H34" sqref="H34"/>
    </sheetView>
  </sheetViews>
  <sheetFormatPr baseColWidth="10" defaultRowHeight="15" x14ac:dyDescent="0.25"/>
  <cols>
    <col min="1" max="1" width="11.42578125" style="13"/>
    <col min="2" max="2" width="7.85546875" style="13" customWidth="1"/>
    <col min="3" max="3" width="6.7109375" style="13" customWidth="1"/>
    <col min="4" max="4" width="8" style="13" customWidth="1"/>
    <col min="5" max="5" width="9.140625" style="13" hidden="1" customWidth="1"/>
    <col min="6" max="6" width="8" style="13" hidden="1" customWidth="1"/>
    <col min="7" max="7" width="9.140625" style="13" customWidth="1"/>
    <col min="8" max="8" width="8.7109375" style="13" customWidth="1"/>
    <col min="9" max="11" width="8.85546875" style="13" bestFit="1" customWidth="1"/>
    <col min="12" max="19" width="11.42578125" style="13"/>
    <col min="20" max="20" width="8.42578125" style="13" customWidth="1"/>
    <col min="21" max="21" width="8" customWidth="1"/>
    <col min="22" max="22" width="8.5703125" customWidth="1"/>
    <col min="23" max="24" width="8" bestFit="1" customWidth="1"/>
    <col min="25" max="25" width="8.85546875" style="13" customWidth="1"/>
    <col min="26" max="16384" width="11.42578125" style="13"/>
  </cols>
  <sheetData>
    <row r="2" spans="2:25" x14ac:dyDescent="0.25">
      <c r="B2" s="242" t="s">
        <v>199</v>
      </c>
    </row>
    <row r="3" spans="2:25" x14ac:dyDescent="0.25">
      <c r="B3" s="297" t="s">
        <v>106</v>
      </c>
      <c r="C3" s="297"/>
      <c r="D3" s="297"/>
      <c r="E3" s="297"/>
      <c r="F3" s="297"/>
      <c r="G3" s="297"/>
      <c r="H3" s="297"/>
      <c r="I3" s="297"/>
      <c r="J3" s="297"/>
      <c r="K3" s="141"/>
    </row>
    <row r="4" spans="2:25" x14ac:dyDescent="0.25">
      <c r="B4" s="303" t="s">
        <v>162</v>
      </c>
      <c r="C4" s="303"/>
      <c r="D4" s="303"/>
      <c r="E4" s="303"/>
      <c r="F4" s="303"/>
      <c r="G4" s="303"/>
      <c r="H4" s="303"/>
      <c r="I4" s="303"/>
      <c r="J4" s="303"/>
      <c r="K4" s="140"/>
    </row>
    <row r="5" spans="2:25" ht="15" customHeight="1" x14ac:dyDescent="0.25">
      <c r="B5" s="317" t="s">
        <v>31</v>
      </c>
      <c r="C5" s="318" t="s">
        <v>18</v>
      </c>
      <c r="D5" s="317" t="s">
        <v>5</v>
      </c>
      <c r="E5" s="294" t="s">
        <v>107</v>
      </c>
      <c r="F5" s="319"/>
      <c r="G5" s="319"/>
      <c r="H5" s="319"/>
      <c r="I5" s="319"/>
      <c r="J5" s="319"/>
      <c r="M5" s="316" t="s">
        <v>61</v>
      </c>
      <c r="N5" s="316"/>
      <c r="O5" s="316"/>
      <c r="P5" s="316"/>
      <c r="Q5" s="316"/>
      <c r="R5" s="316"/>
    </row>
    <row r="6" spans="2:25" x14ac:dyDescent="0.25">
      <c r="B6" s="317"/>
      <c r="C6" s="318"/>
      <c r="D6" s="317"/>
      <c r="E6" s="248">
        <v>0.08</v>
      </c>
      <c r="F6" s="248">
        <v>0.09</v>
      </c>
      <c r="G6" s="248">
        <v>0.1</v>
      </c>
      <c r="H6" s="248">
        <v>0.11</v>
      </c>
      <c r="I6" s="248">
        <v>0.12</v>
      </c>
      <c r="J6" s="249">
        <v>0.13</v>
      </c>
      <c r="M6" s="48">
        <v>0.08</v>
      </c>
      <c r="N6" s="48">
        <v>0.09</v>
      </c>
      <c r="O6" s="48">
        <v>0.1</v>
      </c>
      <c r="P6" s="48">
        <v>0.11</v>
      </c>
      <c r="Q6" s="48">
        <v>0.12</v>
      </c>
      <c r="R6" s="48">
        <v>0.13</v>
      </c>
    </row>
    <row r="7" spans="2:25" x14ac:dyDescent="0.25">
      <c r="B7" s="243" t="s">
        <v>20</v>
      </c>
      <c r="C7" s="11">
        <f>Monitor!D8</f>
        <v>39.21</v>
      </c>
      <c r="D7" s="244">
        <f>Monitor!F8</f>
        <v>0.20530791878700264</v>
      </c>
      <c r="E7" s="114">
        <f t="shared" ref="E7:J7" si="0">M7/$C$7-1</f>
        <v>0.77844276927112488</v>
      </c>
      <c r="F7" s="115">
        <f t="shared" si="0"/>
        <v>0.69219132779088999</v>
      </c>
      <c r="G7" s="117">
        <f t="shared" si="0"/>
        <v>0.61124447428195272</v>
      </c>
      <c r="H7" s="117">
        <f t="shared" si="0"/>
        <v>0.53521844635967097</v>
      </c>
      <c r="I7" s="117">
        <f t="shared" si="0"/>
        <v>0.46376108192306509</v>
      </c>
      <c r="J7" s="51">
        <f t="shared" si="0"/>
        <v>0.39654892038186529</v>
      </c>
      <c r="M7" s="116">
        <f>+'AL29'!AX9</f>
        <v>69.732740983120806</v>
      </c>
      <c r="N7" s="116">
        <f>+'AL29'!AX11</f>
        <v>66.350821962680797</v>
      </c>
      <c r="O7" s="116">
        <f>+'AL29'!AX13</f>
        <v>63.176895836595364</v>
      </c>
      <c r="P7" s="116">
        <f>+'AL29'!AX15</f>
        <v>60.195915281762701</v>
      </c>
      <c r="Q7" s="116">
        <f>+'AL29'!AX17</f>
        <v>57.394072022203382</v>
      </c>
      <c r="R7" s="116">
        <f>+'AL29'!AX19</f>
        <v>54.758683168172936</v>
      </c>
    </row>
    <row r="8" spans="2:25" x14ac:dyDescent="0.25">
      <c r="B8" s="243" t="s">
        <v>15</v>
      </c>
      <c r="C8" s="11">
        <f>Monitor!D9</f>
        <v>37.299999999999997</v>
      </c>
      <c r="D8" s="244">
        <f>Monitor!F9</f>
        <v>0.19669069647789003</v>
      </c>
      <c r="E8" s="114">
        <f t="shared" ref="E8:J8" si="1">M8/$C$8-1</f>
        <v>0.78157885107444236</v>
      </c>
      <c r="F8" s="115">
        <f t="shared" si="1"/>
        <v>0.68891929258305429</v>
      </c>
      <c r="G8" s="117">
        <f t="shared" si="1"/>
        <v>0.60233924535349836</v>
      </c>
      <c r="H8" s="117">
        <f t="shared" si="1"/>
        <v>0.52136840885611724</v>
      </c>
      <c r="I8" s="117">
        <f t="shared" si="1"/>
        <v>0.44557785468294608</v>
      </c>
      <c r="J8" s="51">
        <f t="shared" si="1"/>
        <v>0.37457598198690878</v>
      </c>
      <c r="M8" s="116">
        <f>+'AL30'!AV9</f>
        <v>66.452891145076691</v>
      </c>
      <c r="N8" s="116">
        <f>+'AL30'!AV11</f>
        <v>62.996689613347918</v>
      </c>
      <c r="O8" s="116">
        <f>+'AL30'!AV13</f>
        <v>59.767253851685481</v>
      </c>
      <c r="P8" s="116">
        <f>+'AL30'!AV15</f>
        <v>56.747041650333166</v>
      </c>
      <c r="Q8" s="116">
        <f>+'AL30'!AV17</f>
        <v>53.920053979673881</v>
      </c>
      <c r="R8" s="116">
        <f>+'AL30'!AV19</f>
        <v>51.271684128111694</v>
      </c>
    </row>
    <row r="9" spans="2:25" x14ac:dyDescent="0.25">
      <c r="B9" s="243" t="s">
        <v>16</v>
      </c>
      <c r="C9" s="11">
        <f>Monitor!D10</f>
        <v>33.81</v>
      </c>
      <c r="D9" s="244">
        <f>Monitor!F10</f>
        <v>0.16811838746070862</v>
      </c>
      <c r="E9" s="114">
        <f t="shared" ref="E9:J9" si="2">M9/$C$9-1</f>
        <v>1.0268522556244037</v>
      </c>
      <c r="F9" s="115">
        <f t="shared" si="2"/>
        <v>0.85769774284112965</v>
      </c>
      <c r="G9" s="117">
        <f t="shared" si="2"/>
        <v>0.70577058693665728</v>
      </c>
      <c r="H9" s="117">
        <f t="shared" si="2"/>
        <v>0.56910317825828027</v>
      </c>
      <c r="I9" s="117">
        <f t="shared" si="2"/>
        <v>0.44597291367922054</v>
      </c>
      <c r="J9" s="51">
        <f t="shared" si="2"/>
        <v>0.33486941267850767</v>
      </c>
      <c r="M9" s="116">
        <f>+'AL35'!AV11</f>
        <v>68.527874762661099</v>
      </c>
      <c r="N9" s="116">
        <f>+'AL35'!AV13</f>
        <v>62.808760685458594</v>
      </c>
      <c r="O9" s="116">
        <f>+'AL35'!AV15</f>
        <v>57.672103544328387</v>
      </c>
      <c r="P9" s="116">
        <f>+'AL35'!AV17</f>
        <v>53.05137845691246</v>
      </c>
      <c r="Q9" s="116">
        <f>+'AL35'!AV19</f>
        <v>48.888344211494449</v>
      </c>
      <c r="R9" s="116">
        <f>+'AL35'!AV21</f>
        <v>45.13193484266035</v>
      </c>
    </row>
    <row r="10" spans="2:25" x14ac:dyDescent="0.25">
      <c r="B10" s="243" t="s">
        <v>17</v>
      </c>
      <c r="C10" s="11">
        <f>Monitor!D11</f>
        <v>37.9</v>
      </c>
      <c r="D10" s="244">
        <f>Monitor!F11</f>
        <v>0.17788648009300234</v>
      </c>
      <c r="E10" s="114">
        <f t="shared" ref="E10:J10" si="3">M10/$C$10-1</f>
        <v>0.97449755718805431</v>
      </c>
      <c r="F10" s="115">
        <f t="shared" si="3"/>
        <v>0.82635272063416432</v>
      </c>
      <c r="G10" s="117">
        <f t="shared" si="3"/>
        <v>0.69282632425391011</v>
      </c>
      <c r="H10" s="117">
        <f t="shared" si="3"/>
        <v>0.57223018387717728</v>
      </c>
      <c r="I10" s="117">
        <f t="shared" si="3"/>
        <v>0.46309444150495516</v>
      </c>
      <c r="J10" s="51">
        <f t="shared" si="3"/>
        <v>0.36413671296621741</v>
      </c>
      <c r="M10" s="116">
        <f>+'AE38'!AV10</f>
        <v>74.833457417427255</v>
      </c>
      <c r="N10" s="116">
        <f>+'AE38'!AV12</f>
        <v>69.218768112034823</v>
      </c>
      <c r="O10" s="116">
        <f>+'AE38'!AV14</f>
        <v>64.158117689223189</v>
      </c>
      <c r="P10" s="116">
        <f>+'AE38'!AV16</f>
        <v>59.587523968945014</v>
      </c>
      <c r="Q10" s="116">
        <f>+'AE38'!AV18</f>
        <v>55.451279333037796</v>
      </c>
      <c r="R10" s="116">
        <f>+'AE38'!AV20</f>
        <v>51.700781421419642</v>
      </c>
    </row>
    <row r="11" spans="2:25" x14ac:dyDescent="0.25">
      <c r="B11" s="243" t="s">
        <v>21</v>
      </c>
      <c r="C11" s="11">
        <f>Monitor!D12</f>
        <v>36.9</v>
      </c>
      <c r="D11" s="244">
        <f>Monitor!F12</f>
        <v>0.1556748449802399</v>
      </c>
      <c r="E11" s="114">
        <f t="shared" ref="E11:J11" si="4">M11/$C$11-1</f>
        <v>0.8259378102769146</v>
      </c>
      <c r="F11" s="115">
        <f t="shared" si="4"/>
        <v>0.67151115203280431</v>
      </c>
      <c r="G11" s="117">
        <f t="shared" si="4"/>
        <v>0.53449152638572017</v>
      </c>
      <c r="H11" s="117">
        <f t="shared" si="4"/>
        <v>0.41258582262492505</v>
      </c>
      <c r="I11" s="117">
        <f t="shared" si="4"/>
        <v>0.30383823061425841</v>
      </c>
      <c r="J11" s="51">
        <f t="shared" si="4"/>
        <v>0.20657621489240308</v>
      </c>
      <c r="M11" s="116">
        <f>+'AL41'!AV10</f>
        <v>67.37710519921815</v>
      </c>
      <c r="N11" s="116">
        <f>+'AL41'!AV12</f>
        <v>61.678761510010474</v>
      </c>
      <c r="O11" s="116">
        <f>+'AL41'!AV14</f>
        <v>56.622737323633075</v>
      </c>
      <c r="P11" s="116">
        <f>+'AL41'!AV16</f>
        <v>52.124416854859732</v>
      </c>
      <c r="Q11" s="116">
        <f>+'AL41'!AV18</f>
        <v>48.111630709666137</v>
      </c>
      <c r="R11" s="116">
        <f>+'AL41'!AV20</f>
        <v>44.522662329529673</v>
      </c>
    </row>
    <row r="12" spans="2:25" ht="6.75" customHeight="1" x14ac:dyDescent="0.25">
      <c r="B12" s="155"/>
      <c r="C12" s="155"/>
      <c r="D12" s="155"/>
      <c r="E12"/>
      <c r="F12"/>
    </row>
    <row r="13" spans="2:25" x14ac:dyDescent="0.25">
      <c r="B13" s="320" t="s">
        <v>14</v>
      </c>
      <c r="C13" s="320"/>
      <c r="D13" s="320"/>
      <c r="E13" s="320"/>
      <c r="F13" s="320"/>
      <c r="G13" s="320"/>
      <c r="H13" s="320"/>
      <c r="I13" s="320"/>
      <c r="J13" s="320"/>
      <c r="K13" s="124"/>
    </row>
    <row r="15" spans="2:25" x14ac:dyDescent="0.25">
      <c r="B15" s="242" t="s">
        <v>144</v>
      </c>
    </row>
    <row r="16" spans="2:25" ht="14.25" x14ac:dyDescent="0.2">
      <c r="B16" s="297" t="s">
        <v>188</v>
      </c>
      <c r="C16" s="297"/>
      <c r="D16" s="297"/>
      <c r="E16" s="297"/>
      <c r="F16" s="297"/>
      <c r="G16" s="297"/>
      <c r="H16" s="297"/>
      <c r="I16" s="297"/>
      <c r="J16" s="297"/>
      <c r="Q16" s="4"/>
      <c r="R16" s="4"/>
      <c r="S16" s="4"/>
      <c r="T16" s="4"/>
      <c r="U16" s="4"/>
      <c r="V16" s="4"/>
      <c r="W16" s="4"/>
      <c r="X16" s="4"/>
      <c r="Y16" s="4"/>
    </row>
    <row r="17" spans="2:25" x14ac:dyDescent="0.25">
      <c r="B17" s="303" t="s">
        <v>162</v>
      </c>
      <c r="C17" s="303"/>
      <c r="D17" s="303"/>
      <c r="E17" s="303"/>
      <c r="F17" s="303"/>
      <c r="G17" s="303"/>
      <c r="H17" s="303"/>
      <c r="I17" s="303"/>
      <c r="J17" s="303"/>
      <c r="Q17" s="4"/>
      <c r="R17" s="4"/>
      <c r="S17" s="4"/>
      <c r="T17" s="321" t="s">
        <v>190</v>
      </c>
      <c r="U17" s="321"/>
      <c r="V17" s="321"/>
      <c r="W17" s="321"/>
      <c r="X17" s="321"/>
      <c r="Y17" s="321"/>
    </row>
    <row r="18" spans="2:25" ht="14.25" x14ac:dyDescent="0.2">
      <c r="B18" s="328" t="s">
        <v>31</v>
      </c>
      <c r="C18" s="318" t="s">
        <v>18</v>
      </c>
      <c r="D18" s="317" t="s">
        <v>5</v>
      </c>
      <c r="E18" s="294" t="s">
        <v>107</v>
      </c>
      <c r="F18" s="319"/>
      <c r="G18" s="319"/>
      <c r="H18" s="319"/>
      <c r="I18" s="319"/>
      <c r="J18" s="319"/>
      <c r="Q18" s="4"/>
      <c r="R18" s="4"/>
      <c r="S18" s="4"/>
      <c r="T18" s="322" t="s">
        <v>131</v>
      </c>
      <c r="U18" s="322"/>
      <c r="V18" s="322"/>
      <c r="W18" s="322"/>
      <c r="X18" s="322"/>
      <c r="Y18" s="322"/>
    </row>
    <row r="19" spans="2:25" ht="15" customHeight="1" x14ac:dyDescent="0.2">
      <c r="B19" s="328"/>
      <c r="C19" s="318"/>
      <c r="D19" s="317"/>
      <c r="E19" s="248">
        <v>0.08</v>
      </c>
      <c r="F19" s="248">
        <v>0.09</v>
      </c>
      <c r="G19" s="248">
        <v>0.1</v>
      </c>
      <c r="H19" s="248">
        <v>0.11</v>
      </c>
      <c r="I19" s="248">
        <v>0.12</v>
      </c>
      <c r="J19" s="249">
        <v>0.13</v>
      </c>
      <c r="Q19" s="4"/>
      <c r="R19" s="4"/>
      <c r="S19" s="4"/>
      <c r="T19" s="323" t="s">
        <v>15</v>
      </c>
      <c r="U19" s="324"/>
      <c r="V19" s="327" t="s">
        <v>129</v>
      </c>
      <c r="W19" s="325" t="s">
        <v>17</v>
      </c>
      <c r="X19" s="323"/>
      <c r="Y19" s="326" t="s">
        <v>130</v>
      </c>
    </row>
    <row r="20" spans="2:25" ht="14.25" x14ac:dyDescent="0.2">
      <c r="B20" s="10" t="s">
        <v>25</v>
      </c>
      <c r="C20" s="11">
        <f>+Monitor!D14</f>
        <v>43.2</v>
      </c>
      <c r="D20" s="46">
        <f>+Monitor!F14</f>
        <v>0.18260790705680849</v>
      </c>
      <c r="E20" s="114">
        <f>M7/$C$7-1</f>
        <v>0.77844276927112488</v>
      </c>
      <c r="F20" s="115">
        <f>N7/$C$7-1</f>
        <v>0.69219132779088999</v>
      </c>
      <c r="G20" s="117">
        <f>O7/$C$20-1</f>
        <v>0.46242814436563329</v>
      </c>
      <c r="H20" s="117">
        <f t="shared" ref="H20:J20" si="5">P7/$C$20-1</f>
        <v>0.39342396485561792</v>
      </c>
      <c r="I20" s="117">
        <f t="shared" si="5"/>
        <v>0.32856648199544858</v>
      </c>
      <c r="J20" s="117">
        <f t="shared" si="5"/>
        <v>0.2675621103743735</v>
      </c>
      <c r="Q20" s="4"/>
      <c r="R20" s="4"/>
      <c r="S20" s="4"/>
      <c r="T20" s="133" t="s">
        <v>12</v>
      </c>
      <c r="U20" s="134" t="s">
        <v>5</v>
      </c>
      <c r="V20" s="327"/>
      <c r="W20" s="134" t="s">
        <v>12</v>
      </c>
      <c r="X20" s="135" t="s">
        <v>5</v>
      </c>
      <c r="Y20" s="326"/>
    </row>
    <row r="21" spans="2:25" ht="14.25" x14ac:dyDescent="0.2">
      <c r="B21" s="10" t="s">
        <v>26</v>
      </c>
      <c r="C21" s="11">
        <f>+Monitor!D15</f>
        <v>39.71</v>
      </c>
      <c r="D21" s="46">
        <f>+Monitor!F15</f>
        <v>0.18306362032890325</v>
      </c>
      <c r="E21" s="114">
        <f t="shared" ref="E21:E24" si="6">M8/$C$7-1</f>
        <v>0.69479446939751832</v>
      </c>
      <c r="F21" s="115">
        <f t="shared" ref="F21:F24" si="7">N8/$C$7-1</f>
        <v>0.60664854918000288</v>
      </c>
      <c r="G21" s="117">
        <f>O8/$C$21-1</f>
        <v>0.50509327251789182</v>
      </c>
      <c r="H21" s="117">
        <f t="shared" ref="H21:J21" si="8">P8/$C$21-1</f>
        <v>0.429036556291442</v>
      </c>
      <c r="I21" s="117">
        <f t="shared" si="8"/>
        <v>0.35784573104190076</v>
      </c>
      <c r="J21" s="117">
        <f t="shared" si="8"/>
        <v>0.2911529621785871</v>
      </c>
      <c r="Q21" s="4"/>
      <c r="R21" s="4"/>
      <c r="S21" s="4"/>
      <c r="T21" s="39">
        <f>+'AL30'!AV25</f>
        <v>44.270368066832276</v>
      </c>
      <c r="U21" s="41">
        <v>0.16</v>
      </c>
      <c r="V21" s="136">
        <f>T21/$C$8-1</f>
        <v>0.18687313852097254</v>
      </c>
      <c r="W21" s="39">
        <f>$C$10*(1+V21)</f>
        <v>44.982491949944858</v>
      </c>
      <c r="X21" s="41">
        <v>0.14829999999999999</v>
      </c>
      <c r="Y21" s="137">
        <f>(X21*10000)-(U21*10000)</f>
        <v>-117.00000000000023</v>
      </c>
    </row>
    <row r="22" spans="2:25" ht="14.25" x14ac:dyDescent="0.2">
      <c r="B22" s="10" t="s">
        <v>27</v>
      </c>
      <c r="C22" s="11">
        <f>+Monitor!D16</f>
        <v>35.25</v>
      </c>
      <c r="D22" s="46">
        <f>+Monitor!F16</f>
        <v>0.16240534186363223</v>
      </c>
      <c r="E22" s="114">
        <f t="shared" si="6"/>
        <v>0.74771422501048446</v>
      </c>
      <c r="F22" s="115">
        <f t="shared" si="7"/>
        <v>0.60185566655084388</v>
      </c>
      <c r="G22" s="117">
        <f>O9/$C$22-1</f>
        <v>0.63608804381073436</v>
      </c>
      <c r="H22" s="117">
        <f t="shared" ref="H22:J22" si="9">P9/$C$22-1</f>
        <v>0.50500364416772925</v>
      </c>
      <c r="I22" s="117">
        <f t="shared" si="9"/>
        <v>0.38690338188636741</v>
      </c>
      <c r="J22" s="117">
        <f t="shared" si="9"/>
        <v>0.28033857709674748</v>
      </c>
      <c r="Q22" s="4"/>
      <c r="R22" s="4"/>
      <c r="S22" s="4"/>
      <c r="T22" s="39">
        <f>+'AL30'!AV23</f>
        <v>46.458538518377985</v>
      </c>
      <c r="U22" s="41">
        <v>0.15</v>
      </c>
      <c r="V22" s="136">
        <f t="shared" ref="V22:V27" si="10">T22/$C$8-1</f>
        <v>0.24553722569377978</v>
      </c>
      <c r="W22" s="39">
        <f t="shared" ref="W22:W27" si="11">$C$10*(1+V22)</f>
        <v>47.205860853794249</v>
      </c>
      <c r="X22" s="41">
        <v>0.14099999999999999</v>
      </c>
      <c r="Y22" s="137">
        <f t="shared" ref="Y22:Y27" si="12">(X22*10000)-(U22*10000)</f>
        <v>-90.000000000000227</v>
      </c>
    </row>
    <row r="23" spans="2:25" ht="14.25" x14ac:dyDescent="0.2">
      <c r="B23" s="10" t="s">
        <v>28</v>
      </c>
      <c r="C23" s="11">
        <f>+Monitor!D17</f>
        <v>41.75</v>
      </c>
      <c r="D23" s="46">
        <f>+Monitor!F17</f>
        <v>0.16229885220527654</v>
      </c>
      <c r="E23" s="114">
        <f t="shared" si="6"/>
        <v>0.90852990098003716</v>
      </c>
      <c r="F23" s="115">
        <f t="shared" si="7"/>
        <v>0.7653345603681414</v>
      </c>
      <c r="G23" s="117">
        <f>O10/$C$23-1</f>
        <v>0.53672138177780093</v>
      </c>
      <c r="H23" s="117">
        <f t="shared" ref="H23:J23" si="13">P10/$C$23-1</f>
        <v>0.42724608308850343</v>
      </c>
      <c r="I23" s="117">
        <f t="shared" si="13"/>
        <v>0.3281743552823424</v>
      </c>
      <c r="J23" s="117">
        <f t="shared" si="13"/>
        <v>0.23834206997412322</v>
      </c>
      <c r="Q23" s="4"/>
      <c r="R23" s="4"/>
      <c r="S23" s="4"/>
      <c r="T23" s="39">
        <f>+'AL30'!AV21</f>
        <v>48.788582972919038</v>
      </c>
      <c r="U23" s="41">
        <v>0.14000000000000001</v>
      </c>
      <c r="V23" s="136">
        <f t="shared" si="10"/>
        <v>0.30800490544018877</v>
      </c>
      <c r="W23" s="39">
        <f t="shared" si="11"/>
        <v>49.573385916183156</v>
      </c>
      <c r="X23" s="41">
        <v>0.1338</v>
      </c>
      <c r="Y23" s="137">
        <f t="shared" si="12"/>
        <v>-62.000000000000227</v>
      </c>
    </row>
    <row r="24" spans="2:25" ht="14.25" x14ac:dyDescent="0.2">
      <c r="B24" s="10" t="s">
        <v>29</v>
      </c>
      <c r="C24" s="11">
        <f>+Monitor!D18</f>
        <v>39.19</v>
      </c>
      <c r="D24" s="46">
        <f>+Monitor!F18</f>
        <v>0.14720516800880437</v>
      </c>
      <c r="E24" s="114">
        <f t="shared" si="6"/>
        <v>0.71836534555516818</v>
      </c>
      <c r="F24" s="115">
        <f t="shared" si="7"/>
        <v>0.573036508799043</v>
      </c>
      <c r="G24" s="117">
        <f>O11/$C$24-1</f>
        <v>0.44482616288933596</v>
      </c>
      <c r="H24" s="117">
        <f t="shared" ref="H24:J24" si="14">P11/$C$24-1</f>
        <v>0.33004380849348647</v>
      </c>
      <c r="I24" s="117">
        <f t="shared" si="14"/>
        <v>0.22765069430125395</v>
      </c>
      <c r="J24" s="117">
        <f t="shared" si="14"/>
        <v>0.1360720165738627</v>
      </c>
      <c r="Q24" s="4"/>
      <c r="R24" s="4"/>
      <c r="S24" s="4"/>
      <c r="T24" s="39">
        <f>+'AL30'!AV19</f>
        <v>51.271684128111694</v>
      </c>
      <c r="U24" s="41">
        <v>0.13</v>
      </c>
      <c r="V24" s="136">
        <f t="shared" si="10"/>
        <v>0.37457598198690878</v>
      </c>
      <c r="W24" s="39">
        <f t="shared" si="11"/>
        <v>52.096429717303842</v>
      </c>
      <c r="X24" s="41">
        <v>0.12659999999999999</v>
      </c>
      <c r="Y24" s="137">
        <f t="shared" si="12"/>
        <v>-34</v>
      </c>
    </row>
    <row r="25" spans="2:25" ht="14.25" x14ac:dyDescent="0.2">
      <c r="B25" s="10" t="s">
        <v>30</v>
      </c>
      <c r="C25" s="11">
        <f>+Monitor!D19</f>
        <v>36.1</v>
      </c>
      <c r="D25" s="46">
        <f>+Monitor!F19</f>
        <v>0.15977626442909246</v>
      </c>
      <c r="E25" s="114">
        <f>M25/$C$7-1</f>
        <v>0.71642065953958678</v>
      </c>
      <c r="F25" s="115">
        <f>N25/$C$7-1</f>
        <v>0.57020012110923446</v>
      </c>
      <c r="G25" s="117">
        <f>O25/$C$25-1</f>
        <v>0.56566112167839955</v>
      </c>
      <c r="H25" s="117">
        <f t="shared" ref="H25:J25" si="15">P25/$C$25-1</f>
        <v>0.44207906677225139</v>
      </c>
      <c r="I25" s="117">
        <f t="shared" si="15"/>
        <v>0.33241175208548412</v>
      </c>
      <c r="J25" s="117">
        <f t="shared" si="15"/>
        <v>0.23472307126637859</v>
      </c>
      <c r="M25" s="116">
        <f>+'GD46'!AL10</f>
        <v>67.300854060547195</v>
      </c>
      <c r="N25" s="116">
        <f>+'GD46'!AL12</f>
        <v>61.567546748693083</v>
      </c>
      <c r="O25" s="116">
        <f>+'GD46'!AL14</f>
        <v>56.520366492590227</v>
      </c>
      <c r="P25" s="116">
        <f>+'GD46'!AL16</f>
        <v>52.059054310478274</v>
      </c>
      <c r="Q25" s="3">
        <f>+'GD46'!AL18</f>
        <v>48.100064250285982</v>
      </c>
      <c r="R25" s="3">
        <f>+'GD46'!AL20</f>
        <v>44.573502872716269</v>
      </c>
      <c r="S25" s="4"/>
      <c r="T25" s="39">
        <f>+'AL30'!AV17</f>
        <v>53.920053979673881</v>
      </c>
      <c r="U25" s="41">
        <v>0.12</v>
      </c>
      <c r="V25" s="136">
        <f t="shared" si="10"/>
        <v>0.44557785468294608</v>
      </c>
      <c r="W25" s="39">
        <f t="shared" si="11"/>
        <v>54.787400692483658</v>
      </c>
      <c r="X25" s="41">
        <v>0.11940000000000001</v>
      </c>
      <c r="Y25" s="137">
        <f t="shared" si="12"/>
        <v>-6</v>
      </c>
    </row>
    <row r="26" spans="2:25" ht="14.25" x14ac:dyDescent="0.2">
      <c r="Q26" s="4"/>
      <c r="R26" s="4"/>
      <c r="S26" s="4"/>
      <c r="T26" s="39">
        <f>+'AL30'!AV15</f>
        <v>56.747041650333166</v>
      </c>
      <c r="U26" s="41">
        <v>0.11</v>
      </c>
      <c r="V26" s="136">
        <f t="shared" si="10"/>
        <v>0.52136840885611724</v>
      </c>
      <c r="W26" s="39">
        <f t="shared" si="11"/>
        <v>57.659862695646844</v>
      </c>
      <c r="X26" s="41">
        <v>0.11219999999999999</v>
      </c>
      <c r="Y26" s="137">
        <f t="shared" si="12"/>
        <v>22</v>
      </c>
    </row>
    <row r="27" spans="2:25" ht="14.25" x14ac:dyDescent="0.2">
      <c r="B27" s="320" t="s">
        <v>14</v>
      </c>
      <c r="C27" s="320"/>
      <c r="D27" s="320"/>
      <c r="E27" s="320"/>
      <c r="F27" s="320"/>
      <c r="G27" s="320"/>
      <c r="H27" s="320"/>
      <c r="I27" s="320"/>
      <c r="J27" s="320"/>
      <c r="Q27" s="4"/>
      <c r="R27" s="4"/>
      <c r="S27" s="4"/>
      <c r="T27" s="39">
        <f>+'AL30'!AV13</f>
        <v>59.767253851685481</v>
      </c>
      <c r="U27" s="41">
        <v>0.1</v>
      </c>
      <c r="V27" s="136">
        <f t="shared" si="10"/>
        <v>0.60233924535349836</v>
      </c>
      <c r="W27" s="39">
        <f t="shared" si="11"/>
        <v>60.728657398897589</v>
      </c>
      <c r="X27" s="41">
        <v>0.1051</v>
      </c>
      <c r="Y27" s="137">
        <f t="shared" si="12"/>
        <v>51</v>
      </c>
    </row>
    <row r="28" spans="2:25" ht="14.25" x14ac:dyDescent="0.2">
      <c r="Q28" s="4"/>
      <c r="R28" s="4"/>
      <c r="S28" s="4"/>
      <c r="T28" s="4"/>
      <c r="U28" s="4"/>
      <c r="V28" s="4"/>
      <c r="W28" s="4"/>
      <c r="X28" s="4"/>
      <c r="Y28" s="4"/>
    </row>
    <row r="29" spans="2:25" ht="14.25" x14ac:dyDescent="0.2">
      <c r="Q29" s="4"/>
      <c r="R29" s="4"/>
      <c r="S29" s="4"/>
      <c r="T29" s="320"/>
      <c r="U29" s="320"/>
      <c r="V29" s="320"/>
      <c r="W29" s="320"/>
      <c r="X29" s="320"/>
      <c r="Y29" s="320"/>
    </row>
    <row r="30" spans="2:25" ht="14.25" x14ac:dyDescent="0.2">
      <c r="M30" s="48"/>
      <c r="Q30" s="4"/>
      <c r="R30" s="4"/>
      <c r="S30" s="4"/>
      <c r="T30" s="4"/>
      <c r="U30" s="4"/>
      <c r="V30" s="4"/>
      <c r="W30" s="4"/>
      <c r="X30" s="4"/>
      <c r="Y30" s="4"/>
    </row>
    <row r="31" spans="2:25" ht="14.25" x14ac:dyDescent="0.2">
      <c r="Q31" s="4"/>
      <c r="R31" s="4"/>
      <c r="S31" s="4"/>
      <c r="T31" s="4"/>
      <c r="U31" s="4"/>
      <c r="V31" s="4"/>
      <c r="W31" s="4"/>
      <c r="X31" s="4"/>
      <c r="Y31" s="4"/>
    </row>
    <row r="32" spans="2:25" ht="14.25" x14ac:dyDescent="0.2">
      <c r="Q32" s="4"/>
      <c r="R32" s="4"/>
      <c r="S32" s="4"/>
      <c r="T32" s="4"/>
      <c r="U32" s="4"/>
      <c r="V32" s="4"/>
      <c r="W32" s="4"/>
      <c r="X32" s="4"/>
      <c r="Y32" s="4"/>
    </row>
    <row r="33" spans="15:25" ht="14.25" x14ac:dyDescent="0.2">
      <c r="Q33" s="4"/>
      <c r="R33" s="4"/>
      <c r="S33" s="4"/>
      <c r="T33" s="4"/>
      <c r="U33" s="4"/>
      <c r="V33" s="4"/>
      <c r="W33" s="4"/>
      <c r="X33" s="4"/>
      <c r="Y33" s="4"/>
    </row>
    <row r="34" spans="15:25" ht="14.25" x14ac:dyDescent="0.2">
      <c r="O34" s="48"/>
      <c r="Q34" s="4"/>
      <c r="R34" s="4"/>
      <c r="S34" s="4"/>
      <c r="T34" s="4"/>
      <c r="U34" s="4"/>
      <c r="V34" s="4"/>
      <c r="W34" s="4"/>
      <c r="X34" s="4"/>
      <c r="Y34" s="4"/>
    </row>
    <row r="35" spans="15:25" ht="14.25" x14ac:dyDescent="0.2">
      <c r="Q35" s="4"/>
      <c r="R35" s="4"/>
      <c r="S35" s="4"/>
      <c r="T35" s="4"/>
      <c r="U35" s="4"/>
      <c r="V35" s="4"/>
      <c r="W35" s="4"/>
      <c r="X35" s="4"/>
      <c r="Y35" s="4"/>
    </row>
    <row r="36" spans="15:25" ht="14.25" x14ac:dyDescent="0.2">
      <c r="Q36" s="4"/>
      <c r="R36" s="4"/>
      <c r="S36" s="4"/>
      <c r="T36" s="4"/>
      <c r="U36" s="4"/>
      <c r="V36" s="4"/>
      <c r="W36" s="4"/>
      <c r="X36" s="4"/>
      <c r="Y36" s="4"/>
    </row>
    <row r="37" spans="15:25" ht="14.25" x14ac:dyDescent="0.2">
      <c r="Q37" s="4"/>
      <c r="R37" s="4"/>
      <c r="S37" s="4"/>
      <c r="T37" s="4"/>
      <c r="U37" s="4"/>
      <c r="V37" s="4"/>
      <c r="W37" s="4"/>
      <c r="X37" s="4"/>
      <c r="Y37" s="4"/>
    </row>
    <row r="38" spans="15:25" ht="14.25" x14ac:dyDescent="0.2">
      <c r="Q38" s="4"/>
      <c r="R38" s="4"/>
      <c r="S38" s="4"/>
      <c r="T38" s="4"/>
      <c r="U38" s="4"/>
      <c r="V38" s="4"/>
      <c r="W38" s="4"/>
      <c r="X38" s="4"/>
      <c r="Y38" s="4"/>
    </row>
    <row r="39" spans="15:25" ht="14.25" x14ac:dyDescent="0.2">
      <c r="Q39" s="4"/>
      <c r="R39" s="4"/>
      <c r="S39" s="4"/>
      <c r="T39" s="4"/>
      <c r="U39" s="4"/>
      <c r="V39" s="4"/>
      <c r="W39" s="4"/>
      <c r="X39" s="4"/>
      <c r="Y39" s="4"/>
    </row>
    <row r="40" spans="15:25" ht="14.25" x14ac:dyDescent="0.2">
      <c r="Q40" s="4"/>
      <c r="R40" s="4"/>
      <c r="S40" s="4"/>
      <c r="T40" s="4"/>
      <c r="U40" s="4"/>
      <c r="V40" s="4"/>
      <c r="W40" s="4"/>
      <c r="X40" s="4"/>
      <c r="Y40" s="4"/>
    </row>
    <row r="41" spans="15:25" ht="14.25" x14ac:dyDescent="0.2">
      <c r="Q41" s="4"/>
      <c r="R41" s="4"/>
      <c r="S41" s="4"/>
      <c r="T41" s="4"/>
      <c r="U41" s="4"/>
      <c r="V41" s="4"/>
      <c r="W41" s="4"/>
      <c r="X41" s="4"/>
      <c r="Y41" s="4"/>
    </row>
    <row r="42" spans="15:25" ht="14.25" x14ac:dyDescent="0.2">
      <c r="Q42" s="4"/>
      <c r="R42" s="4"/>
      <c r="S42" s="4"/>
      <c r="T42" s="4"/>
      <c r="U42" s="4"/>
      <c r="V42" s="4"/>
      <c r="W42" s="4"/>
      <c r="X42" s="4"/>
      <c r="Y42" s="4"/>
    </row>
  </sheetData>
  <mergeCells count="22">
    <mergeCell ref="B13:J13"/>
    <mergeCell ref="T17:Y17"/>
    <mergeCell ref="T18:Y18"/>
    <mergeCell ref="T29:Y29"/>
    <mergeCell ref="T19:U19"/>
    <mergeCell ref="W19:X19"/>
    <mergeCell ref="Y19:Y20"/>
    <mergeCell ref="V19:V20"/>
    <mergeCell ref="B16:J16"/>
    <mergeCell ref="B17:J17"/>
    <mergeCell ref="B18:B19"/>
    <mergeCell ref="C18:C19"/>
    <mergeCell ref="D18:D19"/>
    <mergeCell ref="E18:J18"/>
    <mergeCell ref="B27:J27"/>
    <mergeCell ref="B4:J4"/>
    <mergeCell ref="B3:J3"/>
    <mergeCell ref="M5:R5"/>
    <mergeCell ref="B5:B6"/>
    <mergeCell ref="C5:C6"/>
    <mergeCell ref="D5:D6"/>
    <mergeCell ref="E5:J5"/>
  </mergeCells>
  <conditionalFormatting sqref="E7:E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:F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4816-5A0E-437A-A790-5FE77E49B36F}">
  <dimension ref="B2:Q25"/>
  <sheetViews>
    <sheetView showGridLines="0" workbookViewId="0">
      <selection activeCell="N32" sqref="N32"/>
    </sheetView>
  </sheetViews>
  <sheetFormatPr baseColWidth="10" defaultRowHeight="15" x14ac:dyDescent="0.25"/>
  <cols>
    <col min="7" max="17" width="7.140625" bestFit="1" customWidth="1"/>
  </cols>
  <sheetData>
    <row r="2" spans="2:17" x14ac:dyDescent="0.25"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</row>
    <row r="3" spans="2:17" x14ac:dyDescent="0.25">
      <c r="F3" s="205"/>
      <c r="G3" s="150"/>
    </row>
    <row r="5" spans="2:17" x14ac:dyDescent="0.25">
      <c r="C5" t="s">
        <v>172</v>
      </c>
      <c r="G5" s="205" t="s">
        <v>20</v>
      </c>
      <c r="H5" s="205" t="s">
        <v>15</v>
      </c>
      <c r="I5" s="205" t="s">
        <v>16</v>
      </c>
      <c r="J5" s="205" t="s">
        <v>17</v>
      </c>
      <c r="K5" s="205" t="s">
        <v>21</v>
      </c>
      <c r="L5" s="205" t="s">
        <v>25</v>
      </c>
      <c r="M5" s="205" t="s">
        <v>26</v>
      </c>
      <c r="N5" s="205" t="s">
        <v>27</v>
      </c>
      <c r="O5" s="205" t="s">
        <v>28</v>
      </c>
      <c r="P5" s="205" t="s">
        <v>29</v>
      </c>
      <c r="Q5" s="205" t="s">
        <v>30</v>
      </c>
    </row>
    <row r="6" spans="2:17" x14ac:dyDescent="0.25">
      <c r="B6" t="str">
        <f>+Monitor!B8</f>
        <v>AL29</v>
      </c>
      <c r="C6" s="150">
        <f>+Monitor!D8</f>
        <v>39.21</v>
      </c>
      <c r="F6">
        <v>2021</v>
      </c>
      <c r="G6" s="206">
        <f>+'AL29'!G6</f>
        <v>0.85555555555555562</v>
      </c>
      <c r="H6" s="206">
        <f>+'AL30'!I6</f>
        <v>0.10590277777777778</v>
      </c>
      <c r="I6" s="206">
        <f>+'AL35'!G8</f>
        <v>0.10590277777777778</v>
      </c>
      <c r="J6" s="206">
        <f>+'AE38'!G7</f>
        <v>0.10590277777777778</v>
      </c>
      <c r="K6" s="206">
        <f>+'AL41'!G7</f>
        <v>0.10590277777777778</v>
      </c>
      <c r="L6" s="206">
        <f t="shared" ref="L6:P10" si="0">+G6</f>
        <v>0.85555555555555562</v>
      </c>
      <c r="M6" s="206">
        <f t="shared" si="0"/>
        <v>0.10590277777777778</v>
      </c>
      <c r="N6" s="206">
        <f t="shared" si="0"/>
        <v>0.10590277777777778</v>
      </c>
      <c r="O6" s="206">
        <f t="shared" si="0"/>
        <v>0.10590277777777778</v>
      </c>
      <c r="P6" s="206">
        <f t="shared" si="0"/>
        <v>0.10590277777777778</v>
      </c>
      <c r="Q6" s="206">
        <f>+'GD46'!G7</f>
        <v>0.10590277777777778</v>
      </c>
    </row>
    <row r="7" spans="2:17" x14ac:dyDescent="0.25">
      <c r="B7" t="str">
        <f>+Monitor!B9</f>
        <v>AL30</v>
      </c>
      <c r="C7" s="150">
        <f>+Monitor!D9</f>
        <v>37.299999999999997</v>
      </c>
      <c r="F7">
        <v>2022</v>
      </c>
      <c r="G7" s="206">
        <f>+'AL29'!G7+'AL29'!G8</f>
        <v>1</v>
      </c>
      <c r="H7" s="206">
        <f>+'AL30'!I7+'AL30'!I8</f>
        <v>0.5</v>
      </c>
      <c r="I7" s="206">
        <f>+'AL35'!G9+'AL35'!G10</f>
        <v>1.125</v>
      </c>
      <c r="J7" s="206">
        <f>+'AE38'!G8+'AE38'!G9</f>
        <v>2</v>
      </c>
      <c r="K7" s="206">
        <f>+'AL41'!G8+'AL41'!G9</f>
        <v>2.5</v>
      </c>
      <c r="L7" s="206">
        <f t="shared" si="0"/>
        <v>1</v>
      </c>
      <c r="M7" s="206">
        <f t="shared" si="0"/>
        <v>0.5</v>
      </c>
      <c r="N7" s="206">
        <f t="shared" si="0"/>
        <v>1.125</v>
      </c>
      <c r="O7" s="206">
        <f t="shared" si="0"/>
        <v>2</v>
      </c>
      <c r="P7" s="206">
        <f t="shared" si="0"/>
        <v>2.5</v>
      </c>
      <c r="Q7" s="206">
        <f>+'GD46'!G8</f>
        <v>0.5625</v>
      </c>
    </row>
    <row r="8" spans="2:17" x14ac:dyDescent="0.25">
      <c r="B8" t="str">
        <f>+Monitor!B10</f>
        <v>AL35</v>
      </c>
      <c r="C8" s="150">
        <f>+Monitor!D10</f>
        <v>33.81</v>
      </c>
      <c r="F8">
        <v>2023</v>
      </c>
      <c r="G8" s="206">
        <f>+'AL29'!G9+'AL29'!G10</f>
        <v>1</v>
      </c>
      <c r="H8" s="206">
        <f>+'AL30'!I9+'AL30'!I10</f>
        <v>0.5</v>
      </c>
      <c r="I8" s="206">
        <f>+'AL35'!G11+'AL35'!G12</f>
        <v>1.5</v>
      </c>
      <c r="J8" s="206">
        <f>+'AE38'!G10+'AE38'!G11</f>
        <v>3.875</v>
      </c>
      <c r="K8" s="206">
        <f>+'AL41'!G10+'AL41'!G11</f>
        <v>3.5000000000000004</v>
      </c>
      <c r="L8" s="206">
        <f t="shared" si="0"/>
        <v>1</v>
      </c>
      <c r="M8" s="206">
        <f t="shared" si="0"/>
        <v>0.5</v>
      </c>
      <c r="N8" s="206">
        <f t="shared" si="0"/>
        <v>1.5</v>
      </c>
      <c r="O8" s="206">
        <f t="shared" si="0"/>
        <v>3.875</v>
      </c>
      <c r="P8" s="206">
        <f t="shared" si="0"/>
        <v>3.5000000000000004</v>
      </c>
      <c r="Q8" s="206">
        <f>+'GD46'!G9</f>
        <v>0.5625</v>
      </c>
    </row>
    <row r="9" spans="2:17" x14ac:dyDescent="0.25">
      <c r="B9" t="str">
        <f>+Monitor!B11</f>
        <v>AE38</v>
      </c>
      <c r="C9" s="150">
        <f>+Monitor!D11</f>
        <v>37.9</v>
      </c>
      <c r="F9">
        <v>2024</v>
      </c>
      <c r="G9" s="206">
        <f>+'AL29'!G11+'AL29'!G12</f>
        <v>1</v>
      </c>
      <c r="H9" s="206">
        <f>+'AL30'!I11+'AL30'!I12</f>
        <v>4.75</v>
      </c>
      <c r="I9" s="206">
        <f>+'AL35'!G13+'AL35'!G14</f>
        <v>3.6249999999999996</v>
      </c>
      <c r="J9" s="206">
        <f>+'AE38'!G12+'AE38'!G13</f>
        <v>4.25</v>
      </c>
      <c r="K9" s="206">
        <f>+'AL41'!G12+'AL41'!G13</f>
        <v>3.5000000000000004</v>
      </c>
      <c r="L9" s="206">
        <f t="shared" si="0"/>
        <v>1</v>
      </c>
      <c r="M9" s="206">
        <f t="shared" si="0"/>
        <v>4.75</v>
      </c>
      <c r="N9" s="206">
        <f t="shared" si="0"/>
        <v>3.6249999999999996</v>
      </c>
      <c r="O9" s="206">
        <f t="shared" si="0"/>
        <v>4.25</v>
      </c>
      <c r="P9" s="206">
        <f t="shared" si="0"/>
        <v>3.5000000000000004</v>
      </c>
      <c r="Q9" s="206">
        <f>+'GD46'!G10</f>
        <v>0.75</v>
      </c>
    </row>
    <row r="10" spans="2:17" x14ac:dyDescent="0.25">
      <c r="B10" t="str">
        <f>+Monitor!B12</f>
        <v>AL41</v>
      </c>
      <c r="C10" s="150">
        <f>+Monitor!D12</f>
        <v>36.9</v>
      </c>
      <c r="F10">
        <v>2025</v>
      </c>
      <c r="G10" s="207">
        <f>+'AL29'!I13+'AL29'!I14</f>
        <v>20.95</v>
      </c>
      <c r="H10" s="207">
        <f>+'AL30'!I13+'AL30'!I14</f>
        <v>16.689999999999998</v>
      </c>
      <c r="I10" s="207">
        <f>+'AL35'!I15+'AL35'!I16</f>
        <v>4.125</v>
      </c>
      <c r="J10" s="207">
        <f>+'AE38'!I14+'AE38'!I15</f>
        <v>5</v>
      </c>
      <c r="K10" s="207">
        <f>+'AL41'!I14+'AL41'!I15</f>
        <v>3.5000000000000004</v>
      </c>
      <c r="L10" s="207">
        <f t="shared" si="0"/>
        <v>20.95</v>
      </c>
      <c r="M10" s="207">
        <f t="shared" si="0"/>
        <v>16.689999999999998</v>
      </c>
      <c r="N10" s="207">
        <f t="shared" si="0"/>
        <v>4.125</v>
      </c>
      <c r="O10" s="207">
        <f t="shared" si="0"/>
        <v>5</v>
      </c>
      <c r="P10" s="207">
        <f t="shared" si="0"/>
        <v>3.5000000000000004</v>
      </c>
      <c r="Q10" s="207">
        <f>+'GD46'!I14+'GD46'!I15</f>
        <v>8.6235795454545467</v>
      </c>
    </row>
    <row r="11" spans="2:17" x14ac:dyDescent="0.25">
      <c r="B11" t="str">
        <f>+Monitor!B14</f>
        <v>GD29</v>
      </c>
      <c r="C11" s="150">
        <f>+Monitor!D14</f>
        <v>43.2</v>
      </c>
      <c r="F11" s="208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</row>
    <row r="12" spans="2:17" x14ac:dyDescent="0.25">
      <c r="B12" t="str">
        <f>+Monitor!B15</f>
        <v>GD30</v>
      </c>
      <c r="C12" s="150">
        <f>+Monitor!D15</f>
        <v>39.71</v>
      </c>
      <c r="G12" s="205" t="str">
        <f>+G5</f>
        <v>AL29</v>
      </c>
      <c r="H12" s="205" t="str">
        <f t="shared" ref="H12:Q12" si="1">+H5</f>
        <v>AL30</v>
      </c>
      <c r="I12" s="205" t="str">
        <f t="shared" si="1"/>
        <v>AL35</v>
      </c>
      <c r="J12" s="205" t="str">
        <f t="shared" si="1"/>
        <v>AE38</v>
      </c>
      <c r="K12" s="205" t="str">
        <f t="shared" si="1"/>
        <v>AL41</v>
      </c>
      <c r="L12" s="205" t="str">
        <f t="shared" si="1"/>
        <v>GD29</v>
      </c>
      <c r="M12" s="205" t="str">
        <f t="shared" si="1"/>
        <v>GD30</v>
      </c>
      <c r="N12" s="205" t="str">
        <f t="shared" si="1"/>
        <v>GD35</v>
      </c>
      <c r="O12" s="205" t="str">
        <f t="shared" si="1"/>
        <v>GD38</v>
      </c>
      <c r="P12" s="205" t="str">
        <f t="shared" si="1"/>
        <v>GD41</v>
      </c>
      <c r="Q12" s="205" t="str">
        <f t="shared" si="1"/>
        <v>GD46</v>
      </c>
    </row>
    <row r="13" spans="2:17" x14ac:dyDescent="0.25">
      <c r="B13" t="str">
        <f>+Monitor!B16</f>
        <v>GD35</v>
      </c>
      <c r="C13" s="150">
        <f>+Monitor!D16</f>
        <v>35.25</v>
      </c>
      <c r="F13">
        <v>2021</v>
      </c>
      <c r="G13" s="206">
        <f t="shared" ref="G13:Q13" si="2">+G6</f>
        <v>0.85555555555555562</v>
      </c>
      <c r="H13" s="206">
        <f t="shared" si="2"/>
        <v>0.10590277777777778</v>
      </c>
      <c r="I13" s="206">
        <f t="shared" si="2"/>
        <v>0.10590277777777778</v>
      </c>
      <c r="J13" s="206">
        <f t="shared" si="2"/>
        <v>0.10590277777777778</v>
      </c>
      <c r="K13" s="206">
        <f t="shared" si="2"/>
        <v>0.10590277777777778</v>
      </c>
      <c r="L13" s="206">
        <f t="shared" si="2"/>
        <v>0.85555555555555562</v>
      </c>
      <c r="M13" s="206">
        <f t="shared" si="2"/>
        <v>0.10590277777777778</v>
      </c>
      <c r="N13" s="206">
        <f t="shared" si="2"/>
        <v>0.10590277777777778</v>
      </c>
      <c r="O13" s="206">
        <f t="shared" si="2"/>
        <v>0.10590277777777778</v>
      </c>
      <c r="P13" s="206">
        <f t="shared" si="2"/>
        <v>0.10590277777777778</v>
      </c>
      <c r="Q13" s="206">
        <f t="shared" si="2"/>
        <v>0.10590277777777778</v>
      </c>
    </row>
    <row r="14" spans="2:17" x14ac:dyDescent="0.25">
      <c r="B14" t="str">
        <f>+Monitor!B17</f>
        <v>GD38</v>
      </c>
      <c r="C14" s="150">
        <f>+Monitor!D17</f>
        <v>41.75</v>
      </c>
      <c r="F14">
        <v>2022</v>
      </c>
      <c r="G14" s="206">
        <f>+G6+G7</f>
        <v>1.8555555555555556</v>
      </c>
      <c r="H14" s="206">
        <f t="shared" ref="H14:Q14" si="3">+H6+H7</f>
        <v>0.60590277777777779</v>
      </c>
      <c r="I14" s="206">
        <f t="shared" si="3"/>
        <v>1.2309027777777777</v>
      </c>
      <c r="J14" s="206">
        <f t="shared" si="3"/>
        <v>2.1059027777777777</v>
      </c>
      <c r="K14" s="206">
        <f t="shared" si="3"/>
        <v>2.6059027777777777</v>
      </c>
      <c r="L14" s="206">
        <f t="shared" si="3"/>
        <v>1.8555555555555556</v>
      </c>
      <c r="M14" s="206">
        <f t="shared" si="3"/>
        <v>0.60590277777777779</v>
      </c>
      <c r="N14" s="206">
        <f t="shared" si="3"/>
        <v>1.2309027777777777</v>
      </c>
      <c r="O14" s="206">
        <f t="shared" si="3"/>
        <v>2.1059027777777777</v>
      </c>
      <c r="P14" s="206">
        <f t="shared" si="3"/>
        <v>2.6059027777777777</v>
      </c>
      <c r="Q14" s="206">
        <f t="shared" si="3"/>
        <v>0.66840277777777779</v>
      </c>
    </row>
    <row r="15" spans="2:17" x14ac:dyDescent="0.25">
      <c r="B15" t="str">
        <f>+Monitor!B18</f>
        <v>GD41</v>
      </c>
      <c r="C15" s="150">
        <f>+Monitor!D18</f>
        <v>39.19</v>
      </c>
      <c r="F15">
        <v>2023</v>
      </c>
      <c r="G15" s="206">
        <f>+G14+G8</f>
        <v>2.8555555555555556</v>
      </c>
      <c r="H15" s="206">
        <f t="shared" ref="H15:Q15" si="4">+H14+H8</f>
        <v>1.1059027777777777</v>
      </c>
      <c r="I15" s="206">
        <f t="shared" si="4"/>
        <v>2.7309027777777777</v>
      </c>
      <c r="J15" s="206">
        <f t="shared" si="4"/>
        <v>5.9809027777777777</v>
      </c>
      <c r="K15" s="206">
        <f t="shared" si="4"/>
        <v>6.1059027777777786</v>
      </c>
      <c r="L15" s="206">
        <f t="shared" si="4"/>
        <v>2.8555555555555556</v>
      </c>
      <c r="M15" s="206">
        <f t="shared" si="4"/>
        <v>1.1059027777777777</v>
      </c>
      <c r="N15" s="206">
        <f t="shared" si="4"/>
        <v>2.7309027777777777</v>
      </c>
      <c r="O15" s="206">
        <f t="shared" si="4"/>
        <v>5.9809027777777777</v>
      </c>
      <c r="P15" s="206">
        <f t="shared" si="4"/>
        <v>6.1059027777777786</v>
      </c>
      <c r="Q15" s="206">
        <f t="shared" si="4"/>
        <v>1.2309027777777777</v>
      </c>
    </row>
    <row r="16" spans="2:17" x14ac:dyDescent="0.25">
      <c r="B16" t="str">
        <f>+Monitor!B19</f>
        <v>GD46</v>
      </c>
      <c r="C16" s="150">
        <f>+Monitor!D19</f>
        <v>36.1</v>
      </c>
      <c r="F16">
        <v>2024</v>
      </c>
      <c r="G16" s="206">
        <f t="shared" ref="G16:G17" si="5">+G15+G9</f>
        <v>3.8555555555555556</v>
      </c>
      <c r="H16" s="206">
        <f t="shared" ref="H16:H17" si="6">+H15+H9</f>
        <v>5.8559027777777777</v>
      </c>
      <c r="I16" s="206">
        <f t="shared" ref="I16:I17" si="7">+I15+I9</f>
        <v>6.3559027777777768</v>
      </c>
      <c r="J16" s="206">
        <f t="shared" ref="J16:J17" si="8">+J15+J9</f>
        <v>10.230902777777779</v>
      </c>
      <c r="K16" s="206">
        <f t="shared" ref="K16:K17" si="9">+K15+K9</f>
        <v>9.6059027777777786</v>
      </c>
      <c r="L16" s="206">
        <f t="shared" ref="L16:L17" si="10">+L15+L9</f>
        <v>3.8555555555555556</v>
      </c>
      <c r="M16" s="206">
        <f t="shared" ref="M16:M17" si="11">+M15+M9</f>
        <v>5.8559027777777777</v>
      </c>
      <c r="N16" s="206">
        <f t="shared" ref="N16:N17" si="12">+N15+N9</f>
        <v>6.3559027777777768</v>
      </c>
      <c r="O16" s="206">
        <f t="shared" ref="O16:O17" si="13">+O15+O9</f>
        <v>10.230902777777779</v>
      </c>
      <c r="P16" s="206">
        <f t="shared" ref="P16:P17" si="14">+P15+P9</f>
        <v>9.6059027777777786</v>
      </c>
      <c r="Q16" s="206">
        <f t="shared" ref="Q16:Q17" si="15">+Q15+Q9</f>
        <v>1.9809027777777777</v>
      </c>
    </row>
    <row r="17" spans="6:17" x14ac:dyDescent="0.25">
      <c r="F17">
        <v>2025</v>
      </c>
      <c r="G17" s="206">
        <f t="shared" si="5"/>
        <v>24.805555555555554</v>
      </c>
      <c r="H17" s="206">
        <f t="shared" si="6"/>
        <v>22.545902777777776</v>
      </c>
      <c r="I17" s="206">
        <f t="shared" si="7"/>
        <v>10.480902777777777</v>
      </c>
      <c r="J17" s="206">
        <f t="shared" si="8"/>
        <v>15.230902777777779</v>
      </c>
      <c r="K17" s="206">
        <f t="shared" si="9"/>
        <v>13.105902777777779</v>
      </c>
      <c r="L17" s="206">
        <f t="shared" si="10"/>
        <v>24.805555555555554</v>
      </c>
      <c r="M17" s="206">
        <f t="shared" si="11"/>
        <v>22.545902777777776</v>
      </c>
      <c r="N17" s="206">
        <f t="shared" si="12"/>
        <v>10.480902777777777</v>
      </c>
      <c r="O17" s="206">
        <f t="shared" si="13"/>
        <v>15.230902777777779</v>
      </c>
      <c r="P17" s="206">
        <f t="shared" si="14"/>
        <v>13.105902777777779</v>
      </c>
      <c r="Q17" s="206">
        <f t="shared" si="15"/>
        <v>10.604482323232325</v>
      </c>
    </row>
    <row r="19" spans="6:17" x14ac:dyDescent="0.25">
      <c r="G19" s="64" t="str">
        <f>+G12</f>
        <v>AL29</v>
      </c>
      <c r="H19" s="64" t="str">
        <f t="shared" ref="H19:Q19" si="16">+H12</f>
        <v>AL30</v>
      </c>
      <c r="I19" s="64" t="str">
        <f t="shared" si="16"/>
        <v>AL35</v>
      </c>
      <c r="J19" s="64" t="str">
        <f t="shared" si="16"/>
        <v>AE38</v>
      </c>
      <c r="K19" s="64" t="str">
        <f t="shared" si="16"/>
        <v>AL41</v>
      </c>
      <c r="L19" s="64" t="str">
        <f t="shared" si="16"/>
        <v>GD29</v>
      </c>
      <c r="M19" s="64" t="str">
        <f t="shared" si="16"/>
        <v>GD30</v>
      </c>
      <c r="N19" s="64" t="str">
        <f t="shared" si="16"/>
        <v>GD35</v>
      </c>
      <c r="O19" s="64" t="str">
        <f t="shared" si="16"/>
        <v>GD38</v>
      </c>
      <c r="P19" s="64" t="str">
        <f t="shared" si="16"/>
        <v>GD41</v>
      </c>
      <c r="Q19" s="64" t="str">
        <f t="shared" si="16"/>
        <v>GD46</v>
      </c>
    </row>
    <row r="20" spans="6:17" x14ac:dyDescent="0.25">
      <c r="F20" s="152">
        <v>2021</v>
      </c>
      <c r="G20" s="209">
        <f>+G13/$C$6</f>
        <v>2.1819830542095273E-2</v>
      </c>
      <c r="H20" s="209">
        <f>H13/$C$7</f>
        <v>2.8392165624069113E-3</v>
      </c>
      <c r="I20" s="209">
        <f>+I13/$C$8</f>
        <v>3.1322915639685825E-3</v>
      </c>
      <c r="J20" s="209">
        <f>J13/$C$9</f>
        <v>2.7942685429492818E-3</v>
      </c>
      <c r="K20" s="209">
        <f>K13/$C$10</f>
        <v>2.8699939777175549E-3</v>
      </c>
      <c r="L20" s="209">
        <f>L13/$C$6</f>
        <v>2.1819830542095273E-2</v>
      </c>
      <c r="M20" s="209">
        <f>+M13/$C$12</f>
        <v>2.6669045020845574E-3</v>
      </c>
      <c r="N20" s="209">
        <f>N13/$C$13</f>
        <v>3.004334121355398E-3</v>
      </c>
      <c r="O20" s="209">
        <f>O13/$C$14</f>
        <v>2.536593479707252E-3</v>
      </c>
      <c r="P20" s="209">
        <f>P13/$C$15</f>
        <v>2.7022908338294916E-3</v>
      </c>
      <c r="Q20" s="209">
        <f>Q13/$C$16</f>
        <v>2.933594952293013E-3</v>
      </c>
    </row>
    <row r="21" spans="6:17" x14ac:dyDescent="0.25">
      <c r="F21" s="152">
        <v>2022</v>
      </c>
      <c r="G21" s="209">
        <f t="shared" ref="G21:G24" si="17">+G14/$C$6</f>
        <v>4.7323528578310521E-2</v>
      </c>
      <c r="H21" s="209">
        <f t="shared" ref="H21:H24" si="18">H14/$C$7</f>
        <v>1.6244042299672329E-2</v>
      </c>
      <c r="I21" s="209">
        <f t="shared" ref="I21:I24" si="19">+I14/$C$8</f>
        <v>3.6406470800880733E-2</v>
      </c>
      <c r="J21" s="209">
        <f t="shared" ref="J21:J24" si="20">J14/$C$9</f>
        <v>5.5564717091761945E-2</v>
      </c>
      <c r="K21" s="209">
        <f t="shared" ref="K21:K24" si="21">K14/$C$10</f>
        <v>7.0620671484492623E-2</v>
      </c>
      <c r="L21" s="209">
        <f t="shared" ref="L21:L24" si="22">L14/$C$6</f>
        <v>4.7323528578310521E-2</v>
      </c>
      <c r="M21" s="209">
        <f t="shared" ref="M21:M24" si="23">+M14/$C$12</f>
        <v>1.5258191331598534E-2</v>
      </c>
      <c r="N21" s="209">
        <f t="shared" ref="N21:N24" si="24">N14/$C$13</f>
        <v>3.4919227738376669E-2</v>
      </c>
      <c r="O21" s="209">
        <f t="shared" ref="O21:O24" si="25">O14/$C$14</f>
        <v>5.044078509647372E-2</v>
      </c>
      <c r="P21" s="209">
        <f t="shared" ref="P21:P24" si="26">P14/$C$15</f>
        <v>6.6494074452099455E-2</v>
      </c>
      <c r="Q21" s="209">
        <f t="shared" ref="Q21:Q24" si="27">Q14/$C$16</f>
        <v>1.8515312403816559E-2</v>
      </c>
    </row>
    <row r="22" spans="6:17" x14ac:dyDescent="0.25">
      <c r="F22" s="152">
        <v>2023</v>
      </c>
      <c r="G22" s="209">
        <f t="shared" si="17"/>
        <v>7.2827226614525772E-2</v>
      </c>
      <c r="H22" s="209">
        <f t="shared" si="18"/>
        <v>2.9648868036937743E-2</v>
      </c>
      <c r="I22" s="209">
        <f t="shared" si="19"/>
        <v>8.07720431167636E-2</v>
      </c>
      <c r="J22" s="209">
        <f t="shared" si="20"/>
        <v>0.15780746115508648</v>
      </c>
      <c r="K22" s="209">
        <f t="shared" si="21"/>
        <v>0.16547161999397775</v>
      </c>
      <c r="L22" s="209">
        <f t="shared" si="22"/>
        <v>7.2827226614525772E-2</v>
      </c>
      <c r="M22" s="209">
        <f t="shared" si="23"/>
        <v>2.7849478161112506E-2</v>
      </c>
      <c r="N22" s="209">
        <f t="shared" si="24"/>
        <v>7.7472419227738371E-2</v>
      </c>
      <c r="O22" s="209">
        <f t="shared" si="25"/>
        <v>0.14325515635395875</v>
      </c>
      <c r="P22" s="209">
        <f t="shared" si="26"/>
        <v>0.15580257151767743</v>
      </c>
      <c r="Q22" s="209">
        <f t="shared" si="27"/>
        <v>3.4097029855340098E-2</v>
      </c>
    </row>
    <row r="23" spans="6:17" x14ac:dyDescent="0.25">
      <c r="F23" s="152">
        <v>2024</v>
      </c>
      <c r="G23" s="209">
        <f t="shared" si="17"/>
        <v>9.8330924650741031E-2</v>
      </c>
      <c r="H23" s="209">
        <f t="shared" si="18"/>
        <v>0.1569947125409592</v>
      </c>
      <c r="I23" s="209">
        <f t="shared" si="19"/>
        <v>0.18798884288014719</v>
      </c>
      <c r="J23" s="209">
        <f t="shared" si="20"/>
        <v>0.26994466432131342</v>
      </c>
      <c r="K23" s="209">
        <f t="shared" si="21"/>
        <v>0.26032256850346286</v>
      </c>
      <c r="L23" s="209">
        <f t="shared" si="22"/>
        <v>9.8330924650741031E-2</v>
      </c>
      <c r="M23" s="209">
        <f t="shared" si="23"/>
        <v>0.14746670304149528</v>
      </c>
      <c r="N23" s="209">
        <f t="shared" si="24"/>
        <v>0.18030929866036247</v>
      </c>
      <c r="O23" s="209">
        <f t="shared" si="25"/>
        <v>0.24505156353958751</v>
      </c>
      <c r="P23" s="209">
        <f t="shared" si="26"/>
        <v>0.2451110685832554</v>
      </c>
      <c r="Q23" s="209">
        <f t="shared" si="27"/>
        <v>5.4872653124038162E-2</v>
      </c>
    </row>
    <row r="24" spans="6:17" x14ac:dyDescent="0.25">
      <c r="F24" s="152">
        <v>2025</v>
      </c>
      <c r="G24" s="209">
        <f t="shared" si="17"/>
        <v>0.63263339850945044</v>
      </c>
      <c r="H24" s="209">
        <f t="shared" si="18"/>
        <v>0.60444779565087881</v>
      </c>
      <c r="I24" s="209">
        <f t="shared" si="19"/>
        <v>0.30999416674882507</v>
      </c>
      <c r="J24" s="209">
        <f t="shared" si="20"/>
        <v>0.40187078569334511</v>
      </c>
      <c r="K24" s="209">
        <f t="shared" si="21"/>
        <v>0.35517351701294791</v>
      </c>
      <c r="L24" s="209">
        <f t="shared" si="22"/>
        <v>0.63263339850945044</v>
      </c>
      <c r="M24" s="209">
        <f t="shared" si="23"/>
        <v>0.56776385741067181</v>
      </c>
      <c r="N24" s="209">
        <f t="shared" si="24"/>
        <v>0.29733057525610712</v>
      </c>
      <c r="O24" s="209">
        <f t="shared" si="25"/>
        <v>0.36481204258150368</v>
      </c>
      <c r="P24" s="209">
        <f t="shared" si="26"/>
        <v>0.33441956564883335</v>
      </c>
      <c r="Q24" s="209">
        <f t="shared" si="27"/>
        <v>0.29375297294272368</v>
      </c>
    </row>
    <row r="25" spans="6:17" x14ac:dyDescent="0.25">
      <c r="G25" s="153"/>
      <c r="O25" s="209"/>
    </row>
  </sheetData>
  <conditionalFormatting sqref="G20:Q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Q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Q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Q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Q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P208"/>
  <sheetViews>
    <sheetView showGridLines="0" topLeftCell="A174" zoomScale="80" zoomScaleNormal="80" workbookViewId="0">
      <selection activeCell="AB218" sqref="AB218"/>
    </sheetView>
  </sheetViews>
  <sheetFormatPr baseColWidth="10" defaultRowHeight="15" x14ac:dyDescent="0.25"/>
  <cols>
    <col min="1" max="1" width="12.42578125" bestFit="1" customWidth="1"/>
    <col min="10" max="10" width="13.42578125" bestFit="1" customWidth="1"/>
  </cols>
  <sheetData>
    <row r="2" spans="1:16" x14ac:dyDescent="0.25">
      <c r="B2" s="64" t="s">
        <v>50</v>
      </c>
      <c r="C2" s="64" t="s">
        <v>124</v>
      </c>
      <c r="D2" s="64" t="s">
        <v>126</v>
      </c>
      <c r="E2" s="64" t="s">
        <v>127</v>
      </c>
      <c r="F2" s="64" t="s">
        <v>189</v>
      </c>
      <c r="G2" s="64" t="s">
        <v>128</v>
      </c>
      <c r="H2" s="64" t="s">
        <v>147</v>
      </c>
      <c r="I2" s="64" t="s">
        <v>125</v>
      </c>
      <c r="J2" s="64" t="s">
        <v>137</v>
      </c>
      <c r="K2" s="64" t="s">
        <v>159</v>
      </c>
      <c r="L2" s="64" t="s">
        <v>160</v>
      </c>
      <c r="M2" s="64" t="s">
        <v>163</v>
      </c>
      <c r="N2" s="64" t="s">
        <v>168</v>
      </c>
      <c r="O2" s="64" t="s">
        <v>180</v>
      </c>
      <c r="P2" s="64" t="s">
        <v>168</v>
      </c>
    </row>
    <row r="3" spans="1:16" x14ac:dyDescent="0.25">
      <c r="A3" s="59">
        <f>+Histórico!A3</f>
        <v>44081</v>
      </c>
      <c r="B3" s="61">
        <f>Histórico!B3/Histórico!F3</f>
        <v>1.012200956937799</v>
      </c>
      <c r="C3" s="60">
        <f>Histórico!F3/Histórico!J3</f>
        <v>1.1038732394366197</v>
      </c>
      <c r="D3" s="61">
        <f>Histórico!F3/Histórico!N3</f>
        <v>1.0195121951219512</v>
      </c>
      <c r="E3" s="61">
        <f>Histórico!F3/Histórico!R3</f>
        <v>1.1422845691382766</v>
      </c>
      <c r="F3" s="61">
        <f>Histórico!R3/Histórico!J3</f>
        <v>0.96637323943661968</v>
      </c>
      <c r="G3" s="61">
        <f>Histórico!N3/Histórico!R3</f>
        <v>1.1204226635088359</v>
      </c>
      <c r="H3" s="61">
        <f>Histórico!N3/Histórico!J3</f>
        <v>1.0827464788732395</v>
      </c>
      <c r="I3" s="61">
        <f>Histórico!B3/Histórico!R3</f>
        <v>1.156221533977045</v>
      </c>
      <c r="K3" s="61">
        <f>Histórico!B3/Histórico!N3</f>
        <v>1.0319512195121952</v>
      </c>
      <c r="L3" s="61">
        <f>Histórico!B3/Histórico!J3</f>
        <v>1.1173415492957746</v>
      </c>
      <c r="M3" s="61">
        <f>+Histórico!N3/Histórico!F3</f>
        <v>0.98086124401913877</v>
      </c>
      <c r="N3" s="61"/>
    </row>
    <row r="4" spans="1:16" x14ac:dyDescent="0.25">
      <c r="A4" s="59">
        <f>+Histórico!A4</f>
        <v>44082</v>
      </c>
      <c r="B4" s="61">
        <f>Histórico!B4/Histórico!F4</f>
        <v>1.0090189873417721</v>
      </c>
      <c r="C4" s="60">
        <f>Histórico!F4/Histórico!J4</f>
        <v>1.1048951048951048</v>
      </c>
      <c r="D4" s="61">
        <f>Histórico!F4/Histórico!N4</f>
        <v>1.0210016155088852</v>
      </c>
      <c r="E4" s="61">
        <f>Histórico!F4/Histórico!R4</f>
        <v>1.144927536231884</v>
      </c>
      <c r="F4" s="61">
        <f>Histórico!R4/Histórico!J4</f>
        <v>0.965034965034965</v>
      </c>
      <c r="G4" s="61">
        <f>Histórico!N4/Histórico!R4</f>
        <v>1.1213768115942029</v>
      </c>
      <c r="H4" s="61">
        <f>Histórico!N4/Histórico!J4</f>
        <v>1.0821678321678321</v>
      </c>
      <c r="I4" s="61">
        <f>Histórico!B4/Histórico!R4</f>
        <v>1.1552536231884059</v>
      </c>
      <c r="K4" s="61">
        <f>Histórico!B4/Histórico!N4</f>
        <v>1.0302100161550889</v>
      </c>
      <c r="L4" s="61">
        <f>Histórico!B4/Histórico!J4</f>
        <v>1.1148601398601399</v>
      </c>
      <c r="M4" s="61">
        <f>+Histórico!N4/Histórico!F4</f>
        <v>0.97943037974683544</v>
      </c>
      <c r="N4" s="61">
        <f>Histórico!F4/Histórico!AD4</f>
        <v>1.1011412143914976</v>
      </c>
      <c r="P4" s="61">
        <f>Histórico!F4/Histórico!AD4</f>
        <v>1.1011412143914976</v>
      </c>
    </row>
    <row r="5" spans="1:16" x14ac:dyDescent="0.25">
      <c r="A5" s="59">
        <f>+Histórico!A5</f>
        <v>44083</v>
      </c>
      <c r="B5" s="61">
        <f>Histórico!B5/Histórico!F5</f>
        <v>1.0202289477810882</v>
      </c>
      <c r="C5" s="60">
        <f>Histórico!F5/Histórico!J5</f>
        <v>1.1246913580246913</v>
      </c>
      <c r="D5" s="61">
        <f>Histórico!F5/Histórico!N5</f>
        <v>1.0186900958466454</v>
      </c>
      <c r="E5" s="61">
        <f>Histórico!F5/Histórico!R5</f>
        <v>1.1387499999999999</v>
      </c>
      <c r="F5" s="61">
        <f>Histórico!R5/Histórico!J5</f>
        <v>0.98765432098765427</v>
      </c>
      <c r="G5" s="61">
        <f>Histórico!N5/Histórico!R5</f>
        <v>1.1178571428571429</v>
      </c>
      <c r="H5" s="61">
        <f>Histórico!N5/Histórico!J5</f>
        <v>1.1040564373897708</v>
      </c>
      <c r="I5" s="61">
        <f>Histórico!B5/Histórico!R5</f>
        <v>1.1617857142857142</v>
      </c>
      <c r="K5" s="61">
        <f>Histórico!B5/Histórico!N5</f>
        <v>1.0392971246006391</v>
      </c>
      <c r="L5" s="61">
        <f>Histórico!B5/Histórico!J5</f>
        <v>1.1474426807760141</v>
      </c>
      <c r="M5" s="61">
        <f>+Histórico!N5/Histórico!F5</f>
        <v>0.98165281480319899</v>
      </c>
      <c r="N5" s="61">
        <f>Histórico!F5/Histórico!AD5</f>
        <v>1.125684024713151</v>
      </c>
      <c r="P5" s="61">
        <f>Histórico!F5/Histórico!AD5</f>
        <v>1.125684024713151</v>
      </c>
    </row>
    <row r="6" spans="1:16" x14ac:dyDescent="0.25">
      <c r="A6" s="59">
        <f>+Histórico!A6</f>
        <v>44084</v>
      </c>
      <c r="B6" s="61">
        <f>Histórico!B6/Histórico!F6</f>
        <v>1.0225253312548714</v>
      </c>
      <c r="C6" s="60">
        <f>Histórico!F6/Histórico!J6</f>
        <v>1.1376130519595673</v>
      </c>
      <c r="D6" s="61">
        <f>Histórico!F6/Histórico!N6</f>
        <v>1.0231259968102073</v>
      </c>
      <c r="E6" s="61">
        <f>Histórico!F6/Histórico!R6</f>
        <v>1.1514988332435829</v>
      </c>
      <c r="F6" s="61">
        <f>Histórico!R6/Histórico!J6</f>
        <v>0.98794112431282144</v>
      </c>
      <c r="G6" s="61">
        <f>Histórico!N6/Histórico!R6</f>
        <v>1.1254711900915455</v>
      </c>
      <c r="H6" s="61">
        <f>Histórico!N6/Histórico!J6</f>
        <v>1.1118992729207307</v>
      </c>
      <c r="I6" s="61">
        <f>Histórico!B6/Histórico!R6</f>
        <v>1.1774367259019924</v>
      </c>
      <c r="K6" s="61">
        <f>Histórico!B6/Histórico!N6</f>
        <v>1.0461722488038276</v>
      </c>
      <c r="L6" s="61">
        <f>Histórico!B6/Histórico!J6</f>
        <v>1.1632381627948218</v>
      </c>
      <c r="M6" s="61">
        <f>+Histórico!N6/Histórico!F6</f>
        <v>0.97739672642244735</v>
      </c>
      <c r="N6" s="61">
        <f>Histórico!F6/Histórico!AD6</f>
        <v>1.1386226482073127</v>
      </c>
      <c r="P6" s="61">
        <f>Histórico!F6/Histórico!AD6</f>
        <v>1.1386226482073127</v>
      </c>
    </row>
    <row r="7" spans="1:16" x14ac:dyDescent="0.25">
      <c r="A7" s="59">
        <f>+Histórico!A7</f>
        <v>44085</v>
      </c>
      <c r="B7" s="61">
        <f>Histórico!B7/Histórico!F7</f>
        <v>1.0143727542571472</v>
      </c>
      <c r="C7" s="60">
        <f>Histórico!F7/Histórico!J7</f>
        <v>1.1491921005385997</v>
      </c>
      <c r="D7" s="61">
        <f>Histórico!F7/Histórico!N7</f>
        <v>1.0340872374798062</v>
      </c>
      <c r="E7" s="61">
        <f>Histórico!F7/Histórico!R7</f>
        <v>1.1617059891107078</v>
      </c>
      <c r="F7" s="61">
        <f>Histórico!R7/Histórico!J7</f>
        <v>0.98922800718132853</v>
      </c>
      <c r="G7" s="61">
        <f>Histórico!N7/Histórico!R7</f>
        <v>1.1234119782214156</v>
      </c>
      <c r="H7" s="61">
        <f>Histórico!N7/Histórico!J7</f>
        <v>1.111310592459605</v>
      </c>
      <c r="I7" s="61">
        <f>Histórico!B7/Histórico!R7</f>
        <v>1.1784029038112522</v>
      </c>
      <c r="K7" s="61">
        <f>Histórico!B7/Histórico!N7</f>
        <v>1.0489499192245557</v>
      </c>
      <c r="L7" s="61">
        <f>Histórico!B7/Histórico!J7</f>
        <v>1.1657091561938959</v>
      </c>
      <c r="M7" s="61">
        <f>+Histórico!N7/Histórico!F7</f>
        <v>0.96703640056241214</v>
      </c>
      <c r="N7" s="61">
        <f>Histórico!F7/Histórico!AD7</f>
        <v>1.1450805008944545</v>
      </c>
      <c r="P7" s="61">
        <f>Histórico!F7/Histórico!AD7</f>
        <v>1.1450805008944545</v>
      </c>
    </row>
    <row r="8" spans="1:16" x14ac:dyDescent="0.25">
      <c r="A8" s="59">
        <f>+Histórico!A8</f>
        <v>44088</v>
      </c>
      <c r="B8" s="61">
        <f>Histórico!B8/Histórico!F8</f>
        <v>1.0061023314035362</v>
      </c>
      <c r="C8" s="60">
        <f>Histórico!F8/Histórico!J8</f>
        <v>1.1577898550724637</v>
      </c>
      <c r="D8" s="61">
        <f>Histórico!F8/Histórico!N8</f>
        <v>1.0435137562249979</v>
      </c>
      <c r="E8" s="61">
        <f>Histórico!F8/Histórico!R8</f>
        <v>1.1769797421731123</v>
      </c>
      <c r="F8" s="61">
        <f>Histórico!R8/Histórico!J8</f>
        <v>0.98369565217391308</v>
      </c>
      <c r="G8" s="61">
        <f>Histórico!N8/Histórico!R8</f>
        <v>1.1279005524861878</v>
      </c>
      <c r="H8" s="61">
        <f>Histórico!N8/Histórico!J8</f>
        <v>1.1095108695652174</v>
      </c>
      <c r="I8" s="61">
        <f>Histórico!B8/Histórico!R8</f>
        <v>1.1841620626151013</v>
      </c>
      <c r="J8" s="61">
        <f>Histórico!C8/Histórico!G8</f>
        <v>0.99865047233468285</v>
      </c>
      <c r="K8" s="61">
        <f>Histórico!B8/Histórico!N8</f>
        <v>1.0498816229896317</v>
      </c>
      <c r="L8" s="61">
        <f>Histórico!B8/Histórico!J8</f>
        <v>1.1648550724637681</v>
      </c>
      <c r="M8" s="61">
        <f>+Histórico!N8/Histórico!F8</f>
        <v>0.95830073540916916</v>
      </c>
      <c r="N8" s="61">
        <f>Histórico!F8/Histórico!AD8</f>
        <v>1.1484276729559748</v>
      </c>
      <c r="O8" s="61"/>
      <c r="P8" s="61">
        <f>Histórico!F8/Histórico!AD8</f>
        <v>1.1484276729559748</v>
      </c>
    </row>
    <row r="9" spans="1:16" x14ac:dyDescent="0.25">
      <c r="A9" s="59">
        <f>+Histórico!A9</f>
        <v>44089</v>
      </c>
      <c r="B9" s="61">
        <f>Histórico!B9/Histórico!F9</f>
        <v>1.0024057738572574</v>
      </c>
      <c r="C9" s="60">
        <f>Histórico!F9/Histórico!J9</f>
        <v>1.1484619635291951</v>
      </c>
      <c r="D9" s="61">
        <f>Histórico!F9/Histórico!N9</f>
        <v>1.0478991596638656</v>
      </c>
      <c r="E9" s="61">
        <f>Histórico!F9/Histórico!R9</f>
        <v>1.1699033680457829</v>
      </c>
      <c r="F9" s="61">
        <f>Histórico!R9/Histórico!J9</f>
        <v>0.98167249953951008</v>
      </c>
      <c r="G9" s="61">
        <f>Histórico!N9/Histórico!R9</f>
        <v>1.1164274322169059</v>
      </c>
      <c r="H9" s="61">
        <f>Histórico!N9/Histórico!J9</f>
        <v>1.095966107938847</v>
      </c>
      <c r="I9" s="61">
        <f>Histórico!B9/Histórico!R9</f>
        <v>1.1727178909841449</v>
      </c>
      <c r="J9" s="61">
        <f>Histórico!C9/Histórico!G9</f>
        <v>1.0062646828504307</v>
      </c>
      <c r="K9" s="61">
        <f>Histórico!B9/Histórico!N9</f>
        <v>1.0504201680672269</v>
      </c>
      <c r="L9" s="61">
        <f>Histórico!B9/Histórico!J9</f>
        <v>1.151224903297108</v>
      </c>
      <c r="M9" s="61">
        <f>+Histórico!N9/Histórico!F9</f>
        <v>0.95429029671210908</v>
      </c>
      <c r="N9" s="61">
        <f>Histórico!F9/Histórico!AD9</f>
        <v>1.1203953279424979</v>
      </c>
      <c r="O9" s="61">
        <f>Histórico!G9/Histórico!AE9</f>
        <v>1.1351111111111112</v>
      </c>
      <c r="P9" s="61">
        <f>Histórico!F9/Histórico!AD9</f>
        <v>1.1203953279424979</v>
      </c>
    </row>
    <row r="10" spans="1:16" x14ac:dyDescent="0.25">
      <c r="A10" s="59">
        <f>+Histórico!A10</f>
        <v>44090</v>
      </c>
      <c r="B10" s="61">
        <f>Histórico!B10/Histórico!F10</f>
        <v>1.0034313725490196</v>
      </c>
      <c r="C10" s="60">
        <f>Histórico!F10/Histórico!J10</f>
        <v>1.146067415730337</v>
      </c>
      <c r="D10" s="61">
        <f>Histórico!F10/Histórico!N10</f>
        <v>1.0533562822719449</v>
      </c>
      <c r="E10" s="61">
        <f>Histórico!F10/Histórico!R10</f>
        <v>1.1727507904570278</v>
      </c>
      <c r="F10" s="61">
        <f>Histórico!R10/Histórico!J10</f>
        <v>0.97724719101123592</v>
      </c>
      <c r="G10" s="61">
        <f>Histórico!N10/Histórico!R10</f>
        <v>1.1133467471495639</v>
      </c>
      <c r="H10" s="61">
        <f>Histórico!N10/Histórico!J10</f>
        <v>1.0880149812734083</v>
      </c>
      <c r="I10" s="61">
        <f>Histórico!B10/Histórico!R10</f>
        <v>1.1767749353262431</v>
      </c>
      <c r="J10" s="61">
        <f>Histórico!C10/Histórico!G10</f>
        <v>1.0185571309424521</v>
      </c>
      <c r="K10" s="61">
        <f>Histórico!B10/Histórico!N10</f>
        <v>1.0569707401032702</v>
      </c>
      <c r="L10" s="61">
        <f>Histórico!B10/Histórico!J10</f>
        <v>1.1499999999999999</v>
      </c>
      <c r="M10" s="61">
        <f>+Histórico!N10/Histórico!F10</f>
        <v>0.94934640522875813</v>
      </c>
      <c r="N10" s="61">
        <f>Histórico!F10/Histórico!AD10</f>
        <v>1.1127272727272728</v>
      </c>
      <c r="O10" s="61">
        <f>Histórico!G10/Histórico!AE10</f>
        <v>1.1156082809955803</v>
      </c>
      <c r="P10" s="61">
        <f>Histórico!F10/Histórico!AD10</f>
        <v>1.1127272727272728</v>
      </c>
    </row>
    <row r="11" spans="1:16" x14ac:dyDescent="0.25">
      <c r="A11" s="59">
        <f>+Histórico!A11</f>
        <v>44091</v>
      </c>
      <c r="B11" s="61">
        <f>Histórico!B11/Histórico!F11</f>
        <v>1.0227848101265822</v>
      </c>
      <c r="C11" s="60">
        <f>Histórico!F11/Histórico!J11</f>
        <v>1.1392039992309171</v>
      </c>
      <c r="D11" s="61">
        <f>Histórico!F11/Histórico!N11</f>
        <v>1.0580357142857142</v>
      </c>
      <c r="E11" s="61">
        <f>Histórico!F11/Histórico!R11</f>
        <v>1.1779324055666005</v>
      </c>
      <c r="F11" s="61">
        <f>Histórico!R11/Histórico!J11</f>
        <v>0.96712170736396852</v>
      </c>
      <c r="G11" s="61">
        <f>Histórico!N11/Histórico!R11</f>
        <v>1.1133200795228628</v>
      </c>
      <c r="H11" s="61">
        <f>Histórico!N11/Histórico!J11</f>
        <v>1.0767160161507403</v>
      </c>
      <c r="I11" s="61">
        <f>Histórico!B11/Histórico!R11</f>
        <v>1.2047713717693838</v>
      </c>
      <c r="J11" s="61">
        <f>Histórico!C11/Histórico!G11</f>
        <v>1.0343283582089553</v>
      </c>
      <c r="K11" s="61">
        <f>Histórico!B11/Histórico!N11</f>
        <v>1.0821428571428571</v>
      </c>
      <c r="L11" s="61">
        <f>Histórico!B11/Histórico!J11</f>
        <v>1.1651605460488368</v>
      </c>
      <c r="M11" s="61">
        <f>+Histórico!N11/Histórico!F11</f>
        <v>0.94514767932489452</v>
      </c>
      <c r="N11" s="61">
        <f>Histórico!F11/Histórico!AD11</f>
        <v>1.1394230769230769</v>
      </c>
      <c r="O11" s="61">
        <f>Histórico!G11/Histórico!AE11</f>
        <v>1.1301204819277109</v>
      </c>
      <c r="P11" s="61">
        <f>Histórico!F11/Histórico!AD11</f>
        <v>1.1394230769230769</v>
      </c>
    </row>
    <row r="12" spans="1:16" x14ac:dyDescent="0.25">
      <c r="A12" s="59">
        <f>+Histórico!A12</f>
        <v>44092</v>
      </c>
      <c r="B12" s="61">
        <f>Histórico!B12/Histórico!F12</f>
        <v>1.0163666121112929</v>
      </c>
      <c r="C12" s="60">
        <f>Histórico!F12/Histórico!J12</f>
        <v>1.1441947565543071</v>
      </c>
      <c r="D12" s="61">
        <f>Histórico!F12/Histórico!N12</f>
        <v>1.0635335073977372</v>
      </c>
      <c r="E12" s="61">
        <f>Histórico!F12/Histórico!R12</f>
        <v>1.1956947162426614</v>
      </c>
      <c r="F12" s="61">
        <f>Histórico!R12/Histórico!J12</f>
        <v>0.95692883895131087</v>
      </c>
      <c r="G12" s="61">
        <f>Histórico!N12/Histórico!R12</f>
        <v>1.12426614481409</v>
      </c>
      <c r="H12" s="61">
        <f>Histórico!N12/Histórico!J12</f>
        <v>1.0758426966292134</v>
      </c>
      <c r="I12" s="61">
        <f>Histórico!B12/Histórico!R12</f>
        <v>1.2152641878669277</v>
      </c>
      <c r="J12" s="61">
        <f>Histórico!C12/Histórico!G12</f>
        <v>1.0265392781316349</v>
      </c>
      <c r="K12" s="61">
        <f>Histórico!B12/Histórico!N12</f>
        <v>1.0809399477806789</v>
      </c>
      <c r="L12" s="61">
        <f>Histórico!B12/Histórico!J12</f>
        <v>1.1629213483146068</v>
      </c>
      <c r="M12" s="61">
        <f>+Histórico!N12/Histórico!F12</f>
        <v>0.94026186579378068</v>
      </c>
      <c r="N12" s="61">
        <f>Histórico!F12/Histórico!AD12</f>
        <v>1.1335807050092765</v>
      </c>
      <c r="O12" s="61">
        <f>Histórico!G12/Histórico!AE12</f>
        <v>1.1487804878048782</v>
      </c>
      <c r="P12" s="61">
        <f>Histórico!F12/Histórico!AD12</f>
        <v>1.1335807050092765</v>
      </c>
    </row>
    <row r="13" spans="1:16" x14ac:dyDescent="0.25">
      <c r="A13" s="59">
        <f>+Histórico!A13</f>
        <v>44095</v>
      </c>
      <c r="B13" s="61">
        <f>Histórico!B13/Histórico!F13</f>
        <v>1.0312862108922365</v>
      </c>
      <c r="C13" s="60">
        <f>Histórico!F13/Histórico!J13</f>
        <v>1.1365945437441205</v>
      </c>
      <c r="D13" s="61">
        <f>Histórico!F13/Histórico!N13</f>
        <v>1.0415517241379311</v>
      </c>
      <c r="E13" s="61">
        <f>Histórico!F13/Histórico!R13</f>
        <v>1.1873034591194969</v>
      </c>
      <c r="F13" s="61">
        <f>Histórico!R13/Histórico!J13</f>
        <v>0.95729068673565376</v>
      </c>
      <c r="G13" s="61">
        <f>Histórico!N13/Histórico!R13</f>
        <v>1.1399371069182389</v>
      </c>
      <c r="H13" s="61">
        <f>Histórico!N13/Histórico!J13</f>
        <v>1.0912511759172154</v>
      </c>
      <c r="I13" s="61">
        <f>Histórico!B13/Histórico!R13</f>
        <v>1.2244496855345912</v>
      </c>
      <c r="J13" s="61">
        <f>Histórico!C13/Histórico!G13</f>
        <v>1.0277536860364267</v>
      </c>
      <c r="K13" s="61">
        <f>Histórico!B13/Histórico!N13</f>
        <v>1.0741379310344827</v>
      </c>
      <c r="L13" s="61">
        <f>Histórico!B13/Histórico!J13</f>
        <v>1.1721542803386642</v>
      </c>
      <c r="M13" s="61">
        <f>+Histórico!N13/Histórico!F13</f>
        <v>0.9601059427247145</v>
      </c>
      <c r="N13" s="61">
        <f>Histórico!F13/Histórico!AD13</f>
        <v>1.1291588785046729</v>
      </c>
      <c r="O13" s="61">
        <f>Histórico!G13/Histórico!AE13</f>
        <v>1.139046678192146</v>
      </c>
      <c r="P13" s="61">
        <f>Histórico!F13/Histórico!AD13</f>
        <v>1.1291588785046729</v>
      </c>
    </row>
    <row r="14" spans="1:16" x14ac:dyDescent="0.25">
      <c r="A14" s="59">
        <f>+Histórico!A14</f>
        <v>44096</v>
      </c>
      <c r="B14" s="61">
        <f>Histórico!B14/Histórico!F14</f>
        <v>1.0262295081967212</v>
      </c>
      <c r="C14" s="60">
        <f>Histórico!F14/Histórico!J14</f>
        <v>1.1509433962264151</v>
      </c>
      <c r="D14" s="61">
        <f>Histórico!F14/Histórico!N14</f>
        <v>1.0562770562770563</v>
      </c>
      <c r="E14" s="61">
        <f>Histórico!F14/Histórico!R14</f>
        <v>1.2007874015748032</v>
      </c>
      <c r="F14" s="61">
        <f>Histórico!R14/Histórico!J14</f>
        <v>0.95849056603773586</v>
      </c>
      <c r="G14" s="61">
        <f>Histórico!N14/Histórico!R14</f>
        <v>1.1368110236220472</v>
      </c>
      <c r="H14" s="61">
        <f>Histórico!N14/Histórico!J14</f>
        <v>1.0896226415094339</v>
      </c>
      <c r="I14" s="61">
        <f>Histórico!B14/Histórico!R14</f>
        <v>1.2322834645669292</v>
      </c>
      <c r="J14" s="61">
        <f>Histórico!C14/Histórico!G14</f>
        <v>1.024454725710509</v>
      </c>
      <c r="K14" s="61">
        <f>Histórico!B14/Histórico!N14</f>
        <v>1.083982683982684</v>
      </c>
      <c r="L14" s="61">
        <f>Histórico!B14/Histórico!J14</f>
        <v>1.1811320754716981</v>
      </c>
      <c r="M14" s="61">
        <f>+Histórico!N14/Histórico!F14</f>
        <v>0.94672131147540983</v>
      </c>
      <c r="N14" s="61">
        <f>Histórico!F14/Histórico!AD14</f>
        <v>1.1244239631336406</v>
      </c>
      <c r="O14" s="61">
        <f>Histórico!G14/Histórico!AE14</f>
        <v>1.1549618320610688</v>
      </c>
      <c r="P14" s="61">
        <f>Histórico!F14/Histórico!AD14</f>
        <v>1.1244239631336406</v>
      </c>
    </row>
    <row r="15" spans="1:16" x14ac:dyDescent="0.25">
      <c r="A15" s="59">
        <f>+Histórico!A15</f>
        <v>44097</v>
      </c>
      <c r="B15" s="61">
        <f>Histórico!B15/Histórico!F15</f>
        <v>1.0226475279106859</v>
      </c>
      <c r="C15" s="60">
        <f>Histórico!F15/Histórico!J15</f>
        <v>1.1608961303462322</v>
      </c>
      <c r="D15" s="61">
        <f>Histórico!F15/Histórico!N15</f>
        <v>1.0674157303370786</v>
      </c>
      <c r="E15" s="61">
        <f>Histórico!F15/Histórico!R15</f>
        <v>1.1830188679245284</v>
      </c>
      <c r="F15" s="61">
        <f>Histórico!R15/Histórico!J15</f>
        <v>0.98129975930383262</v>
      </c>
      <c r="G15" s="61">
        <f>Histórico!N15/Histórico!R15</f>
        <v>1.1083018867924528</v>
      </c>
      <c r="H15" s="61">
        <f>Histórico!N15/Histórico!J15</f>
        <v>1.0875763747454175</v>
      </c>
      <c r="I15" s="61">
        <f>Histórico!B15/Histórico!R15</f>
        <v>1.209811320754717</v>
      </c>
      <c r="J15" s="61">
        <f>Histórico!C15/Histórico!G15</f>
        <v>1.0225563909774438</v>
      </c>
      <c r="K15" s="61">
        <f>Histórico!B15/Histórico!N15</f>
        <v>1.0915900578821927</v>
      </c>
      <c r="L15" s="61">
        <f>Histórico!B15/Histórico!J15</f>
        <v>1.1871875578596556</v>
      </c>
      <c r="M15" s="61">
        <f>+Histórico!N15/Histórico!F15</f>
        <v>0.93684210526315792</v>
      </c>
      <c r="N15" s="61">
        <f>Histórico!F15/Histórico!AD15</f>
        <v>1.1420765027322404</v>
      </c>
      <c r="O15" s="61">
        <f>Histórico!G15/Histórico!AE15</f>
        <v>1.1522277227722773</v>
      </c>
      <c r="P15" s="61">
        <f>Histórico!F15/Histórico!AD15</f>
        <v>1.1420765027322404</v>
      </c>
    </row>
    <row r="16" spans="1:16" x14ac:dyDescent="0.25">
      <c r="A16" s="59">
        <f>+Histórico!A16</f>
        <v>44098</v>
      </c>
      <c r="B16" s="61">
        <f>Histórico!B16/Histórico!F16</f>
        <v>1.0299003322259137</v>
      </c>
      <c r="C16" s="60">
        <f>Histórico!F16/Histórico!J16</f>
        <v>1.1045871559633027</v>
      </c>
      <c r="D16" s="61">
        <f>Histórico!F16/Histórico!N16</f>
        <v>1.0529077393965893</v>
      </c>
      <c r="E16" s="61">
        <f>Histórico!F16/Histórico!R16</f>
        <v>1.144486692015209</v>
      </c>
      <c r="F16" s="61">
        <f>Histórico!R16/Histórico!J16</f>
        <v>0.96513761467889914</v>
      </c>
      <c r="G16" s="61">
        <f>Histórico!N16/Histórico!R16</f>
        <v>1.086977186311787</v>
      </c>
      <c r="H16" s="61">
        <f>Histórico!N16/Histórico!J16</f>
        <v>1.0490825688073395</v>
      </c>
      <c r="I16" s="61">
        <f>Histórico!B16/Histórico!R16</f>
        <v>1.1787072243346008</v>
      </c>
      <c r="J16" s="61">
        <f>Histórico!C16/Histórico!G16</f>
        <v>1.0341304347826088</v>
      </c>
      <c r="K16" s="61">
        <f>Histórico!B16/Histórico!N16</f>
        <v>1.0843900306077832</v>
      </c>
      <c r="L16" s="61">
        <f>Histórico!B16/Histórico!J16</f>
        <v>1.1376146788990826</v>
      </c>
      <c r="M16" s="61">
        <f>+Histórico!N16/Histórico!F16</f>
        <v>0.94975083056478404</v>
      </c>
      <c r="N16" s="61">
        <f>Histórico!F16/Histórico!AD16</f>
        <v>1.0711743772241993</v>
      </c>
      <c r="O16" s="61">
        <f>Histórico!G16/Histórico!AE16</f>
        <v>1.1219512195121952</v>
      </c>
      <c r="P16" s="61">
        <f>Histórico!F16/Histórico!AD16</f>
        <v>1.0711743772241993</v>
      </c>
    </row>
    <row r="17" spans="1:16" x14ac:dyDescent="0.25">
      <c r="A17" s="59">
        <f>+Histórico!A17</f>
        <v>44099</v>
      </c>
      <c r="B17" s="61">
        <f>Histórico!B17/Histórico!F17</f>
        <v>1.0212591986917416</v>
      </c>
      <c r="C17" s="60">
        <f>Histórico!F17/Histórico!J17</f>
        <v>1.1057866184448464</v>
      </c>
      <c r="D17" s="61">
        <f>Histórico!F17/Histórico!N17</f>
        <v>1.0599757323626278</v>
      </c>
      <c r="E17" s="61">
        <f>Histórico!F17/Histórico!R17</f>
        <v>1.1539913191168145</v>
      </c>
      <c r="F17" s="61">
        <f>Histórico!R17/Histórico!J17</f>
        <v>0.95822784810126582</v>
      </c>
      <c r="G17" s="61">
        <f>Histórico!N17/Histórico!R17</f>
        <v>1.0886959803736553</v>
      </c>
      <c r="H17" s="61">
        <f>Histórico!N17/Histórico!J17</f>
        <v>1.0432188065099457</v>
      </c>
      <c r="I17" s="61">
        <f>Histórico!B17/Histórico!R17</f>
        <v>1.1785242498584638</v>
      </c>
      <c r="J17" s="61">
        <f>Histórico!C17/Histórico!G17</f>
        <v>1.0274336283185839</v>
      </c>
      <c r="K17" s="61">
        <f>Histórico!B17/Histórico!N17</f>
        <v>1.0825099670653493</v>
      </c>
      <c r="L17" s="61">
        <f>Histórico!B17/Histórico!J17</f>
        <v>1.1292947558770343</v>
      </c>
      <c r="M17" s="61">
        <f>+Histórico!N17/Histórico!F17</f>
        <v>0.94341782502044158</v>
      </c>
      <c r="N17" s="61">
        <f>Histórico!F17/Histórico!AD17</f>
        <v>1.0919642857142857</v>
      </c>
      <c r="O17" s="61">
        <f>Histórico!G17/Histórico!AE17</f>
        <v>1.0957575757575759</v>
      </c>
      <c r="P17" s="61">
        <f>Histórico!F17/Histórico!AD17</f>
        <v>1.0919642857142857</v>
      </c>
    </row>
    <row r="18" spans="1:16" x14ac:dyDescent="0.25">
      <c r="A18" s="59">
        <f>+Histórico!A18</f>
        <v>44102</v>
      </c>
      <c r="B18" s="61">
        <f>Histórico!B18/Histórico!F18</f>
        <v>1.0230332522303325</v>
      </c>
      <c r="C18" s="60">
        <f>Histórico!F18/Histórico!J18</f>
        <v>1.0999107939339876</v>
      </c>
      <c r="D18" s="61">
        <f>Histórico!F18/Histórico!N18</f>
        <v>1.0575521056694399</v>
      </c>
      <c r="E18" s="61">
        <f>Histórico!F18/Histórico!R18</f>
        <v>1.1570945945945945</v>
      </c>
      <c r="F18" s="61">
        <f>Histórico!R18/Histórico!J18</f>
        <v>0.9505798394290812</v>
      </c>
      <c r="G18" s="61">
        <f>Histórico!N18/Histórico!R18</f>
        <v>1.0941253753753755</v>
      </c>
      <c r="H18" s="61">
        <f>Histórico!N18/Histórico!J18</f>
        <v>1.0400535236396076</v>
      </c>
      <c r="I18" s="61">
        <f>Histórico!B18/Histórico!R18</f>
        <v>1.1837462462462462</v>
      </c>
      <c r="J18" s="61">
        <f>Histórico!C18/Histórico!G18</f>
        <v>1.0309576837416481</v>
      </c>
      <c r="K18" s="61">
        <f>Histórico!B18/Histórico!N18</f>
        <v>1.0819109700660434</v>
      </c>
      <c r="L18" s="61">
        <f>Histórico!B18/Histórico!J18</f>
        <v>1.1252453166815344</v>
      </c>
      <c r="M18" s="61">
        <f>+Histórico!N18/Histórico!F18</f>
        <v>0.94557988645579882</v>
      </c>
      <c r="N18" s="61">
        <f>Histórico!F18/Histórico!AD18</f>
        <v>1.0882612533097971</v>
      </c>
      <c r="O18" s="61">
        <f>Histórico!G18/Histórico!AE18</f>
        <v>1.0951219512195121</v>
      </c>
      <c r="P18" s="61">
        <f>Histórico!F18/Histórico!AD18</f>
        <v>1.0882612533097971</v>
      </c>
    </row>
    <row r="19" spans="1:16" x14ac:dyDescent="0.25">
      <c r="A19" s="59">
        <f>+Histórico!A19</f>
        <v>44103</v>
      </c>
      <c r="B19" s="61">
        <f>Histórico!B19/Histórico!F19</f>
        <v>1.0264516129032257</v>
      </c>
      <c r="C19" s="60">
        <f>Histórico!F19/Histórico!J19</f>
        <v>1.1181244364292156</v>
      </c>
      <c r="D19" s="61">
        <f>Histórico!F19/Histórico!N19</f>
        <v>1.0571184995737426</v>
      </c>
      <c r="E19" s="61">
        <f>Histórico!F19/Histórico!R19</f>
        <v>1.1439114391143912</v>
      </c>
      <c r="F19" s="61">
        <f>Histórico!R19/Histórico!J19</f>
        <v>0.97745716862037868</v>
      </c>
      <c r="G19" s="61">
        <f>Histórico!N19/Histórico!R19</f>
        <v>1.0821033210332103</v>
      </c>
      <c r="H19" s="61">
        <f>Histórico!N19/Histórico!J19</f>
        <v>1.0577096483318305</v>
      </c>
      <c r="I19" s="61">
        <f>Histórico!B19/Histórico!R19</f>
        <v>1.1741697416974171</v>
      </c>
      <c r="J19" s="61">
        <f>Histórico!C19/Histórico!G19</f>
        <v>1.0297738974703381</v>
      </c>
      <c r="K19" s="61">
        <f>Histórico!B19/Histórico!N19</f>
        <v>1.0850809889173061</v>
      </c>
      <c r="L19" s="61">
        <f>Histórico!B19/Histórico!J19</f>
        <v>1.1477006311992786</v>
      </c>
      <c r="M19" s="61">
        <f>+Histórico!N19/Histórico!F19</f>
        <v>0.94596774193548383</v>
      </c>
      <c r="N19" s="61">
        <f>Histórico!F19/Histórico!AD19</f>
        <v>1.0896309314586994</v>
      </c>
      <c r="O19" s="61">
        <f>Histórico!G19/Histórico!AE19</f>
        <v>1.0921760391198045</v>
      </c>
      <c r="P19" s="61">
        <f>Histórico!F19/Histórico!AD19</f>
        <v>1.0896309314586994</v>
      </c>
    </row>
    <row r="20" spans="1:16" x14ac:dyDescent="0.25">
      <c r="A20" s="59">
        <f>+Histórico!A20</f>
        <v>44104</v>
      </c>
      <c r="B20" s="61">
        <f>Histórico!B20/Histórico!F20</f>
        <v>1.0369951534733441</v>
      </c>
      <c r="C20" s="60">
        <f>Histórico!F20/Histórico!J20</f>
        <v>1.1053571428571429</v>
      </c>
      <c r="D20" s="61">
        <f>Histórico!F20/Histórico!N20</f>
        <v>1.0456081081081081</v>
      </c>
      <c r="E20" s="61">
        <f>Histórico!F20/Histórico!R20</f>
        <v>1.1399631675874771</v>
      </c>
      <c r="F20" s="61">
        <f>Histórico!R20/Histórico!J20</f>
        <v>0.96964285714285714</v>
      </c>
      <c r="G20" s="61">
        <f>Histórico!N20/Histórico!R20</f>
        <v>1.0902394106813997</v>
      </c>
      <c r="H20" s="61">
        <f>Histórico!N20/Histórico!J20</f>
        <v>1.0571428571428572</v>
      </c>
      <c r="I20" s="61">
        <f>Histórico!B20/Histórico!R20</f>
        <v>1.1821362799263351</v>
      </c>
      <c r="J20" s="61">
        <f>Histórico!C20/Histórico!G20</f>
        <v>1.0282511210762331</v>
      </c>
      <c r="K20" s="61">
        <f>Histórico!B20/Histórico!N20</f>
        <v>1.0842905405405405</v>
      </c>
      <c r="L20" s="61">
        <f>Histórico!B20/Histórico!J20</f>
        <v>1.14625</v>
      </c>
      <c r="M20" s="61">
        <f>+Histórico!N20/Histórico!F20</f>
        <v>0.95638126009693059</v>
      </c>
      <c r="N20" s="61">
        <f>Histórico!F20/Histórico!AD20</f>
        <v>1.0936395759717314</v>
      </c>
      <c r="O20" s="61">
        <f>Histórico!G20/Histórico!AE20</f>
        <v>1.0936733692986758</v>
      </c>
      <c r="P20" s="61">
        <f>Histórico!F20/Histórico!AD20</f>
        <v>1.0936395759717314</v>
      </c>
    </row>
    <row r="21" spans="1:16" x14ac:dyDescent="0.25">
      <c r="A21" s="59">
        <f>+Histórico!A21</f>
        <v>44105</v>
      </c>
      <c r="B21" s="61">
        <f>Histórico!B21/Histórico!F21</f>
        <v>1.0281576830249397</v>
      </c>
      <c r="C21" s="60">
        <f>Histórico!F21/Histórico!J21</f>
        <v>1.1135997133130264</v>
      </c>
      <c r="D21" s="61">
        <f>Histórico!F21/Histórico!N21</f>
        <v>1.0393845639267498</v>
      </c>
      <c r="E21" s="61">
        <f>Histórico!F21/Histórico!R21</f>
        <v>1.1248868778280543</v>
      </c>
      <c r="F21" s="61">
        <f>Histórico!R21/Histórico!J21</f>
        <v>0.98996595592187775</v>
      </c>
      <c r="G21" s="61">
        <f>Histórico!N21/Histórico!R21</f>
        <v>1.0822624434389141</v>
      </c>
      <c r="H21" s="61">
        <f>Histórico!N21/Histórico!J21</f>
        <v>1.0714029743773517</v>
      </c>
      <c r="I21" s="61">
        <f>Histórico!B21/Histórico!R21</f>
        <v>1.1565610859728508</v>
      </c>
      <c r="J21" s="61">
        <f>Histórico!C21/Histórico!G21</f>
        <v>1.0346756152125278</v>
      </c>
      <c r="K21" s="61">
        <f>Histórico!B21/Histórico!N21</f>
        <v>1.0686512250188143</v>
      </c>
      <c r="L21" s="61">
        <f>Histórico!B21/Histórico!J21</f>
        <v>1.1449561010571583</v>
      </c>
      <c r="M21" s="61">
        <f>+Histórico!N21/Histórico!F21</f>
        <v>0.96210780370072402</v>
      </c>
      <c r="N21" s="61">
        <f>Histórico!F21/Histórico!AD21</f>
        <v>1.1098214285714285</v>
      </c>
      <c r="O21" s="61">
        <f>Histórico!G21/Histórico!AE21</f>
        <v>1.1105590062111801</v>
      </c>
      <c r="P21" s="61">
        <f>Histórico!F21/Histórico!AD21</f>
        <v>1.1098214285714285</v>
      </c>
    </row>
    <row r="22" spans="1:16" x14ac:dyDescent="0.25">
      <c r="A22" s="59">
        <f>+Histórico!A22</f>
        <v>44106</v>
      </c>
      <c r="B22" s="61">
        <f>Histórico!B22/Histórico!F22</f>
        <v>1.0501633986928105</v>
      </c>
      <c r="C22" s="60">
        <f>Histórico!F22/Histórico!J22</f>
        <v>1.1017101710171018</v>
      </c>
      <c r="D22" s="61">
        <f>Histórico!F22/Histórico!N22</f>
        <v>1.0171181651986039</v>
      </c>
      <c r="E22" s="61">
        <f>Histórico!F22/Histórico!R22</f>
        <v>1.1007194244604317</v>
      </c>
      <c r="F22" s="61">
        <f>Histórico!R22/Histórico!J22</f>
        <v>1.0009000900090008</v>
      </c>
      <c r="G22" s="61">
        <f>Histórico!N22/Histórico!R22</f>
        <v>1.0821942446043165</v>
      </c>
      <c r="H22" s="61">
        <f>Histórico!N22/Histórico!J22</f>
        <v>1.0831683168316832</v>
      </c>
      <c r="I22" s="61">
        <f>Histórico!B22/Histórico!R22</f>
        <v>1.155935251798561</v>
      </c>
      <c r="J22" s="61">
        <f>Histórico!C22/Histórico!G22</f>
        <v>1.0259593679458241</v>
      </c>
      <c r="K22" s="61">
        <f>Histórico!B22/Histórico!N22</f>
        <v>1.0681402692371613</v>
      </c>
      <c r="L22" s="61">
        <f>Histórico!B22/Histórico!J22</f>
        <v>1.1569756975697569</v>
      </c>
      <c r="M22" s="61">
        <f>+Histórico!N22/Histórico!F22</f>
        <v>0.98316993464052282</v>
      </c>
      <c r="N22" s="61">
        <f>Histórico!F22/Histórico!AD22</f>
        <v>1.0948121645796065</v>
      </c>
      <c r="O22" s="61">
        <f>Histórico!G22/Histórico!AE22</f>
        <v>1.1158690176322417</v>
      </c>
      <c r="P22" s="61">
        <f>Histórico!F22/Histórico!AD22</f>
        <v>1.0948121645796065</v>
      </c>
    </row>
    <row r="23" spans="1:16" x14ac:dyDescent="0.25">
      <c r="A23" s="59">
        <f>+Histórico!A23</f>
        <v>44109</v>
      </c>
      <c r="B23" s="61">
        <f>Histórico!B23/Histórico!F23</f>
        <v>1.0286354183330668</v>
      </c>
      <c r="C23" s="60">
        <f>Histórico!F23/Histórico!J23</f>
        <v>1.111288888888889</v>
      </c>
      <c r="D23" s="61">
        <f>Histórico!F23/Histórico!N23</f>
        <v>1.0453177257525084</v>
      </c>
      <c r="E23" s="61">
        <f>Histórico!F23/Histórico!R23</f>
        <v>1.1134663341645885</v>
      </c>
      <c r="F23" s="61">
        <f>Histórico!R23/Histórico!J23</f>
        <v>0.9980444444444444</v>
      </c>
      <c r="G23" s="61">
        <f>Histórico!N23/Histórico!R23</f>
        <v>1.0651941574634842</v>
      </c>
      <c r="H23" s="61">
        <f>Histórico!N23/Histórico!J23</f>
        <v>1.0631111111111111</v>
      </c>
      <c r="I23" s="61">
        <f>Histórico!B23/Histórico!R23</f>
        <v>1.1453509084431777</v>
      </c>
      <c r="J23" s="61">
        <f>Histórico!C23/Histórico!G23</f>
        <v>1.0222972972972972</v>
      </c>
      <c r="K23" s="61">
        <f>Histórico!B23/Histórico!N23</f>
        <v>1.0752508361204014</v>
      </c>
      <c r="L23" s="61">
        <f>Histórico!B23/Histórico!J23</f>
        <v>1.1431111111111112</v>
      </c>
      <c r="M23" s="61">
        <f>+Histórico!N23/Histórico!F23</f>
        <v>0.95664693649016153</v>
      </c>
      <c r="N23" s="61">
        <f>Histórico!F23/Histórico!AD23</f>
        <v>1.1063716814159292</v>
      </c>
      <c r="O23" s="61">
        <f>Histórico!G23/Histórico!AE23</f>
        <v>1.1271896420411271</v>
      </c>
      <c r="P23" s="61">
        <f>Histórico!F23/Histórico!AD23</f>
        <v>1.1063716814159292</v>
      </c>
    </row>
    <row r="24" spans="1:16" x14ac:dyDescent="0.25">
      <c r="A24" s="59">
        <f>+Histórico!A24</f>
        <v>44110</v>
      </c>
      <c r="B24" s="61">
        <f>Histórico!B24/Histórico!F24</f>
        <v>1.0271268057784912</v>
      </c>
      <c r="C24" s="60">
        <f>Histórico!F24/Histórico!J24</f>
        <v>1.1146895687958489</v>
      </c>
      <c r="D24" s="61">
        <f>Histórico!F24/Histórico!N24</f>
        <v>1.0686106346483706</v>
      </c>
      <c r="E24" s="61">
        <f>Histórico!F24/Histórico!R24</f>
        <v>1.1125</v>
      </c>
      <c r="F24" s="61">
        <f>Histórico!R24/Histórico!J24</f>
        <v>1.0019681517266059</v>
      </c>
      <c r="G24" s="61">
        <f>Histórico!N24/Histórico!R24</f>
        <v>1.0410714285714286</v>
      </c>
      <c r="H24" s="61">
        <f>Histórico!N24/Histórico!J24</f>
        <v>1.0431204151010913</v>
      </c>
      <c r="I24" s="61">
        <f>Histórico!B24/Histórico!R24</f>
        <v>1.1426785714285714</v>
      </c>
      <c r="J24" s="61">
        <f>Histórico!C24/Histórico!G24</f>
        <v>1.0191226096737906</v>
      </c>
      <c r="K24" s="61">
        <f>Histórico!B24/Histórico!N24</f>
        <v>1.0975986277873071</v>
      </c>
      <c r="L24" s="61">
        <f>Histórico!B24/Histórico!J24</f>
        <v>1.144927536231884</v>
      </c>
      <c r="M24" s="61">
        <f>+Histórico!N24/Histórico!F24</f>
        <v>0.9357945425361156</v>
      </c>
      <c r="N24" s="61">
        <f>Histórico!F24/Histórico!AD24</f>
        <v>1.1125</v>
      </c>
      <c r="O24" s="61">
        <f>Histórico!G24/Histórico!AE24</f>
        <v>1.1084788029925188</v>
      </c>
      <c r="P24" s="61">
        <f>Histórico!F24/Histórico!AD24</f>
        <v>1.1125</v>
      </c>
    </row>
    <row r="25" spans="1:16" x14ac:dyDescent="0.25">
      <c r="A25" s="59">
        <f>+Histórico!A25</f>
        <v>44111</v>
      </c>
      <c r="B25" s="61">
        <f>Histórico!B25/Histórico!F25</f>
        <v>1.0231288146482493</v>
      </c>
      <c r="C25" s="60">
        <f>Histórico!F25/Histórico!J25</f>
        <v>1.125655396854095</v>
      </c>
      <c r="D25" s="61">
        <f>Histórico!F25/Histórico!N25</f>
        <v>1.0679245283018868</v>
      </c>
      <c r="E25" s="61">
        <f>Histórico!F25/Histórico!R25</f>
        <v>1.1179745017058718</v>
      </c>
      <c r="F25" s="61">
        <f>Histórico!R25/Histórico!J25</f>
        <v>1.0068703670222383</v>
      </c>
      <c r="G25" s="61">
        <f>Histórico!N25/Histórico!R25</f>
        <v>1.0468665828694559</v>
      </c>
      <c r="H25" s="61">
        <f>Histórico!N25/Histórico!J25</f>
        <v>1.0540589405170855</v>
      </c>
      <c r="I25" s="61">
        <f>Histórico!B25/Histórico!R25</f>
        <v>1.1438319267372958</v>
      </c>
      <c r="J25" s="61">
        <f>Histórico!C25/Histórico!G25</f>
        <v>1.0142857142857142</v>
      </c>
      <c r="K25" s="61">
        <f>Histórico!B25/Histórico!N25</f>
        <v>1.0926243567753002</v>
      </c>
      <c r="L25" s="61">
        <f>Histórico!B25/Histórico!J25</f>
        <v>1.151690471885735</v>
      </c>
      <c r="M25" s="61">
        <f>+Histórico!N25/Histórico!F25</f>
        <v>0.93639575971731448</v>
      </c>
      <c r="N25" s="61">
        <f>Histórico!F25/Histórico!AD25</f>
        <v>1.1056650683715148</v>
      </c>
      <c r="O25" s="61">
        <f>Histórico!G25/Histórico!AE25</f>
        <v>1.1116625310173698</v>
      </c>
      <c r="P25" s="61">
        <f>Histórico!F25/Histórico!AD25</f>
        <v>1.1056650683715148</v>
      </c>
    </row>
    <row r="26" spans="1:16" x14ac:dyDescent="0.25">
      <c r="A26" s="59">
        <f>+Histórico!A26</f>
        <v>44112</v>
      </c>
      <c r="B26" s="61">
        <f>Histórico!B26/Histórico!F26</f>
        <v>1.0206349206349206</v>
      </c>
      <c r="C26" s="60">
        <f>Histórico!F26/Histórico!J26</f>
        <v>1.1190053285968029</v>
      </c>
      <c r="D26" s="61">
        <f>Histórico!F26/Histórico!N26</f>
        <v>1.0705182667799491</v>
      </c>
      <c r="E26" s="61">
        <f>Histórico!F26/Histórico!R26</f>
        <v>1.1351351351351351</v>
      </c>
      <c r="F26" s="61">
        <f>Histórico!R26/Histórico!J26</f>
        <v>0.98579040852575484</v>
      </c>
      <c r="G26" s="61">
        <f>Histórico!N26/Histórico!R26</f>
        <v>1.0603603603603604</v>
      </c>
      <c r="H26" s="61">
        <f>Histórico!N26/Histórico!J26</f>
        <v>1.0452930728241563</v>
      </c>
      <c r="I26" s="61">
        <f>Histórico!B26/Histórico!R26</f>
        <v>1.1585585585585585</v>
      </c>
      <c r="J26" s="61">
        <f>Histórico!C26/Histórico!G26</f>
        <v>1.0138702460850111</v>
      </c>
      <c r="K26" s="61">
        <f>Histórico!B26/Histórico!N26</f>
        <v>1.092608326253186</v>
      </c>
      <c r="L26" s="61">
        <f>Histórico!B26/Histórico!J26</f>
        <v>1.1420959147424512</v>
      </c>
      <c r="M26" s="61">
        <f>+Histórico!N26/Histórico!F26</f>
        <v>0.93412698412698414</v>
      </c>
      <c r="N26" s="61">
        <f>Histórico!F26/Histórico!AD26</f>
        <v>1.1033274956217163</v>
      </c>
      <c r="O26" s="61">
        <f>Histórico!G26/Histórico!AE26</f>
        <v>1.1100074497144277</v>
      </c>
      <c r="P26" s="61">
        <f>Histórico!F26/Histórico!AD26</f>
        <v>1.1033274956217163</v>
      </c>
    </row>
    <row r="27" spans="1:16" x14ac:dyDescent="0.25">
      <c r="A27" s="59">
        <f>+Histórico!A27</f>
        <v>44113</v>
      </c>
      <c r="B27" s="61">
        <f>Histórico!B27/Histórico!F27</f>
        <v>1.0226032735775525</v>
      </c>
      <c r="C27" s="60">
        <f>Histórico!F27/Histórico!J27</f>
        <v>1.1098615916955017</v>
      </c>
      <c r="D27" s="61">
        <f>Histórico!F27/Histórico!N27</f>
        <v>1.0656146179401993</v>
      </c>
      <c r="E27" s="61">
        <f>Histórico!F27/Histórico!R27</f>
        <v>1.1264266900790167</v>
      </c>
      <c r="F27" s="61">
        <f>Histórico!R27/Histórico!J27</f>
        <v>0.98529411764705888</v>
      </c>
      <c r="G27" s="61">
        <f>Histórico!N27/Histórico!R27</f>
        <v>1.0570676031606672</v>
      </c>
      <c r="H27" s="61">
        <f>Histórico!N27/Histórico!J27</f>
        <v>1.0415224913494809</v>
      </c>
      <c r="I27" s="61">
        <f>Histórico!B27/Histórico!R27</f>
        <v>1.1518876207199298</v>
      </c>
      <c r="J27" s="61">
        <f>Histórico!C27/Histórico!G27</f>
        <v>1.0201207243460766</v>
      </c>
      <c r="K27" s="61">
        <f>Histórico!B27/Histórico!N27</f>
        <v>1.0897009966777409</v>
      </c>
      <c r="L27" s="61">
        <f>Histórico!B27/Histórico!J27</f>
        <v>1.1349480968858132</v>
      </c>
      <c r="M27" s="61">
        <f>+Histórico!N27/Histórico!F27</f>
        <v>0.93842556508183939</v>
      </c>
      <c r="N27" s="61">
        <f>Histórico!F27/Histórico!AD27</f>
        <v>1.081787521079258</v>
      </c>
      <c r="O27" s="61">
        <f>Histórico!G27/Histórico!AE27</f>
        <v>1.0990171990171989</v>
      </c>
      <c r="P27" s="61">
        <f>Histórico!F27/Histórico!AD27</f>
        <v>1.081787521079258</v>
      </c>
    </row>
    <row r="28" spans="1:16" x14ac:dyDescent="0.25">
      <c r="A28" s="59">
        <f>+Histórico!A28</f>
        <v>44117</v>
      </c>
      <c r="B28" s="61">
        <f>Histórico!B28/Histórico!F28</f>
        <v>1.0177332305319968</v>
      </c>
      <c r="C28" s="60">
        <f>Histórico!F28/Histórico!J28</f>
        <v>1.1256726262801597</v>
      </c>
      <c r="D28" s="61">
        <f>Histórico!F28/Histórico!N28</f>
        <v>1.069249793899423</v>
      </c>
      <c r="E28" s="61">
        <f>Histórico!F28/Histórico!R28</f>
        <v>1.1345346396081175</v>
      </c>
      <c r="F28" s="61">
        <f>Histórico!R28/Histórico!J28</f>
        <v>0.99218885610137131</v>
      </c>
      <c r="G28" s="61">
        <f>Histórico!N28/Histórico!R28</f>
        <v>1.0610566829951014</v>
      </c>
      <c r="H28" s="61">
        <f>Histórico!N28/Histórico!J28</f>
        <v>1.0527686165596251</v>
      </c>
      <c r="I28" s="61">
        <f>Histórico!B28/Histórico!R28</f>
        <v>1.1546536039188244</v>
      </c>
      <c r="J28" s="61">
        <f>Histórico!C28/Histórico!G28</f>
        <v>1.0158694680375504</v>
      </c>
      <c r="K28" s="61">
        <f>Histórico!B28/Histórico!N28</f>
        <v>1.0882110469909316</v>
      </c>
      <c r="L28" s="61">
        <f>Histórico!B28/Histórico!J28</f>
        <v>1.1456344384655441</v>
      </c>
      <c r="M28" s="61">
        <f>+Histórico!N28/Histórico!F28</f>
        <v>0.93523515805705471</v>
      </c>
      <c r="N28" s="61">
        <f>Histórico!F28/Histórico!AD28</f>
        <v>1.0899159663865545</v>
      </c>
      <c r="O28" s="61">
        <f>Histórico!G28/Histórico!AE28</f>
        <v>1.1027853093418782</v>
      </c>
      <c r="P28" s="61">
        <f>Histórico!F28/Histórico!AD28</f>
        <v>1.0899159663865545</v>
      </c>
    </row>
    <row r="29" spans="1:16" x14ac:dyDescent="0.25">
      <c r="A29" s="59">
        <f>+Histórico!A29</f>
        <v>44118</v>
      </c>
      <c r="B29" s="61">
        <f>Histórico!B29/Histórico!F29</f>
        <v>1.0029940119760479</v>
      </c>
      <c r="C29" s="60">
        <f>Histórico!F29/Histórico!J29</f>
        <v>1.1379897785349233</v>
      </c>
      <c r="D29" s="61">
        <f>Histórico!F29/Histórico!N29</f>
        <v>1.0888345558272208</v>
      </c>
      <c r="E29" s="61">
        <f>Histórico!F29/Histórico!R29</f>
        <v>1.1770925110132158</v>
      </c>
      <c r="F29" s="61">
        <f>Histórico!R29/Histórico!J29</f>
        <v>0.96678023850085182</v>
      </c>
      <c r="G29" s="61">
        <f>Histórico!N29/Histórico!R29</f>
        <v>1.0810572687224669</v>
      </c>
      <c r="H29" s="61">
        <f>Histórico!N29/Histórico!J29</f>
        <v>1.045144804088586</v>
      </c>
      <c r="I29" s="61">
        <f>Histórico!B29/Histórico!R29</f>
        <v>1.1806167400881058</v>
      </c>
      <c r="J29" s="61">
        <f>Histórico!C29/Histórico!G29</f>
        <v>1.0101237345331833</v>
      </c>
      <c r="K29" s="61">
        <f>Histórico!B29/Histórico!N29</f>
        <v>1.0920945395273023</v>
      </c>
      <c r="L29" s="61">
        <f>Histórico!B29/Histórico!J29</f>
        <v>1.141396933560477</v>
      </c>
      <c r="M29" s="61">
        <f>+Histórico!N29/Histórico!F29</f>
        <v>0.91841317365269459</v>
      </c>
      <c r="N29" s="61">
        <f>Histórico!F29/Histórico!AD29</f>
        <v>1.1041322314049586</v>
      </c>
      <c r="O29" s="61">
        <f>Histórico!G29/Histórico!AE29</f>
        <v>1.0972599358183166</v>
      </c>
      <c r="P29" s="61">
        <f>Histórico!F29/Histórico!AD29</f>
        <v>1.1041322314049586</v>
      </c>
    </row>
    <row r="30" spans="1:16" x14ac:dyDescent="0.25">
      <c r="A30" s="59">
        <f>+Histórico!A30</f>
        <v>44119</v>
      </c>
      <c r="B30" s="61">
        <f>Histórico!B30/Histórico!F30</f>
        <v>1.0105370249255141</v>
      </c>
      <c r="C30" s="60">
        <f>Histórico!F30/Histórico!J30</f>
        <v>1.1701530612244897</v>
      </c>
      <c r="D30" s="61">
        <f>Histórico!F30/Histórico!N30</f>
        <v>1.1053012048192772</v>
      </c>
      <c r="E30" s="61">
        <f>Histórico!F30/Histórico!R30</f>
        <v>1.2286607142857142</v>
      </c>
      <c r="F30" s="61">
        <f>Histórico!R30/Histórico!J30</f>
        <v>0.95238095238095233</v>
      </c>
      <c r="G30" s="61">
        <f>Histórico!N30/Histórico!R30</f>
        <v>1.1116071428571428</v>
      </c>
      <c r="H30" s="61">
        <f>Histórico!N30/Histórico!J30</f>
        <v>1.0586734693877551</v>
      </c>
      <c r="I30" s="61">
        <f>Histórico!B30/Histórico!R30</f>
        <v>1.2416071428571429</v>
      </c>
      <c r="J30" s="61">
        <f>Histórico!C30/Histórico!G30</f>
        <v>1.0036036036036038</v>
      </c>
      <c r="K30" s="61">
        <f>Histórico!B30/Histórico!N30</f>
        <v>1.1169477911646586</v>
      </c>
      <c r="L30" s="61">
        <f>Histórico!B30/Histórico!J30</f>
        <v>1.1824829931972789</v>
      </c>
      <c r="M30" s="61">
        <f>+Histórico!N30/Histórico!F30</f>
        <v>0.90473076084586879</v>
      </c>
      <c r="N30" s="61">
        <f>Histórico!F30/Histórico!AD30</f>
        <v>1.1206026058631922</v>
      </c>
      <c r="O30" s="61">
        <f>Histórico!G30/Histórico!AE30</f>
        <v>1.1413881748071979</v>
      </c>
      <c r="P30" s="61">
        <f>Histórico!F30/Histórico!AD30</f>
        <v>1.1206026058631922</v>
      </c>
    </row>
    <row r="31" spans="1:16" x14ac:dyDescent="0.25">
      <c r="A31" s="59">
        <f>+Histórico!A31</f>
        <v>44120</v>
      </c>
      <c r="B31" s="61">
        <f>Histórico!B31/Histórico!F31</f>
        <v>1.0141369047619047</v>
      </c>
      <c r="C31" s="60">
        <f>Histórico!F31/Histórico!J31</f>
        <v>1.1442193087008343</v>
      </c>
      <c r="D31" s="61">
        <f>Histórico!F31/Histórico!N31</f>
        <v>1.1025430680885973</v>
      </c>
      <c r="E31" s="61">
        <f>Histórico!F31/Histórico!R31</f>
        <v>1.21805328983143</v>
      </c>
      <c r="F31" s="61">
        <f>Histórico!R31/Histórico!J31</f>
        <v>0.93938361995572961</v>
      </c>
      <c r="G31" s="61">
        <f>Histórico!N31/Histórico!R31</f>
        <v>1.1047670835599057</v>
      </c>
      <c r="H31" s="61">
        <f>Histórico!N31/Histórico!J31</f>
        <v>1.0378001021624383</v>
      </c>
      <c r="I31" s="61">
        <f>Histórico!B31/Histórico!R31</f>
        <v>1.2352727931847018</v>
      </c>
      <c r="J31" s="61">
        <f>Histórico!C31/Histórico!G31</f>
        <v>1.002489250961756</v>
      </c>
      <c r="K31" s="61">
        <f>Histórico!B31/Histórico!N31</f>
        <v>1.1181296144380639</v>
      </c>
      <c r="L31" s="61">
        <f>Histórico!B31/Histórico!J31</f>
        <v>1.1603950280946704</v>
      </c>
      <c r="M31" s="61">
        <f>+Histórico!N31/Histórico!F31</f>
        <v>0.90699404761904767</v>
      </c>
      <c r="N31" s="61">
        <f>Histórico!F31/Histórico!AD31</f>
        <v>1.1181364392678868</v>
      </c>
      <c r="O31" s="61">
        <f>Histórico!G31/Histórico!AE31</f>
        <v>1.1389175257731958</v>
      </c>
      <c r="P31" s="61">
        <f>Histórico!F31/Histórico!AD31</f>
        <v>1.1181364392678868</v>
      </c>
    </row>
    <row r="32" spans="1:16" x14ac:dyDescent="0.25">
      <c r="A32" s="59">
        <f>+Histórico!A32</f>
        <v>44123</v>
      </c>
      <c r="B32" s="61">
        <f>Histórico!B32/Histórico!F32</f>
        <v>1.0210526315789474</v>
      </c>
      <c r="C32" s="60">
        <f>Histórico!F32/Histórico!J32</f>
        <v>1.1666666666666667</v>
      </c>
      <c r="D32" s="61">
        <f>Histórico!F32/Histórico!N32</f>
        <v>1.0910582444626744</v>
      </c>
      <c r="E32" s="61">
        <f>Histórico!F32/Histórico!R32</f>
        <v>1.2328513162773451</v>
      </c>
      <c r="F32" s="61">
        <f>Histórico!R32/Histórico!J32</f>
        <v>0.94631578947368422</v>
      </c>
      <c r="G32" s="61">
        <f>Histórico!N32/Histórico!R32</f>
        <v>1.1299592139414163</v>
      </c>
      <c r="H32" s="61">
        <f>Histórico!N32/Histórico!J32</f>
        <v>1.0692982456140352</v>
      </c>
      <c r="I32" s="61">
        <f>Histórico!B32/Histórico!R32</f>
        <v>1.2588060808305526</v>
      </c>
      <c r="J32" s="61">
        <f>Histórico!C32/Histórico!G32</f>
        <v>1.0036908881199538</v>
      </c>
      <c r="K32" s="61">
        <f>Histórico!B32/Histórico!N32</f>
        <v>1.1140278917145201</v>
      </c>
      <c r="L32" s="61">
        <f>Histórico!B32/Histórico!J32</f>
        <v>1.1912280701754385</v>
      </c>
      <c r="M32" s="61">
        <f>+Histórico!N32/Histórico!F32</f>
        <v>0.91654135338345866</v>
      </c>
      <c r="N32" s="61">
        <f>Histórico!F32/Histórico!AD32</f>
        <v>1.1083333333333334</v>
      </c>
      <c r="O32" s="61">
        <f>Histórico!G32/Histórico!AE32</f>
        <v>1.1404893449092346</v>
      </c>
      <c r="P32" s="61">
        <f>Histórico!F32/Histórico!AD32</f>
        <v>1.1083333333333334</v>
      </c>
    </row>
    <row r="33" spans="1:16" x14ac:dyDescent="0.25">
      <c r="A33" s="59">
        <f>+Histórico!A33</f>
        <v>44124</v>
      </c>
      <c r="B33" s="61">
        <f>Histórico!B33/Histórico!F33</f>
        <v>1.0061570806427391</v>
      </c>
      <c r="C33" s="60">
        <f>Histórico!F33/Histórico!J33</f>
        <v>1.1651793525809273</v>
      </c>
      <c r="D33" s="61">
        <f>Histórico!F33/Histórico!N33</f>
        <v>1.1043117744610282</v>
      </c>
      <c r="E33" s="61">
        <f>Histórico!F33/Histórico!R33</f>
        <v>1.2263351749539595</v>
      </c>
      <c r="F33" s="61">
        <f>Histórico!R33/Histórico!J33</f>
        <v>0.95013123359580054</v>
      </c>
      <c r="G33" s="61">
        <f>Histórico!N33/Histórico!R33</f>
        <v>1.1104972375690607</v>
      </c>
      <c r="H33" s="61">
        <f>Histórico!N33/Histórico!J33</f>
        <v>1.0551181102362204</v>
      </c>
      <c r="I33" s="61">
        <f>Histórico!B33/Histórico!R33</f>
        <v>1.2338858195211786</v>
      </c>
      <c r="J33" s="61">
        <f>Histórico!C33/Histórico!G33</f>
        <v>1.0077332044465925</v>
      </c>
      <c r="K33" s="61">
        <f>Histórico!B33/Histórico!N33</f>
        <v>1.1111111111111112</v>
      </c>
      <c r="L33" s="61">
        <f>Histórico!B33/Histórico!J33</f>
        <v>1.1723534558180226</v>
      </c>
      <c r="M33" s="61">
        <f>+Histórico!N33/Histórico!F33</f>
        <v>0.90554137257846523</v>
      </c>
      <c r="N33" s="61">
        <f>Histórico!F33/Histórico!AD33</f>
        <v>1.1116861435726211</v>
      </c>
      <c r="O33" s="61">
        <f>Histórico!G33/Histórico!AE33</f>
        <v>1.1183783783783785</v>
      </c>
      <c r="P33" s="61">
        <f>Histórico!F33/Histórico!AD33</f>
        <v>1.1116861435726211</v>
      </c>
    </row>
    <row r="34" spans="1:16" x14ac:dyDescent="0.25">
      <c r="A34" s="59">
        <f>+Histórico!A34</f>
        <v>44125</v>
      </c>
      <c r="B34" s="61">
        <f>Histórico!B34/Histórico!F34</f>
        <v>1.0418001525553013</v>
      </c>
      <c r="C34" s="60">
        <f>Histórico!F34/Histórico!J34</f>
        <v>1.1439790575916231</v>
      </c>
      <c r="D34" s="61">
        <f>Histórico!F34/Histórico!N34</f>
        <v>1.0747663551401869</v>
      </c>
      <c r="E34" s="61">
        <f>Histórico!F34/Histórico!R34</f>
        <v>1.1686575147085041</v>
      </c>
      <c r="F34" s="61">
        <f>Histórico!R34/Histórico!J34</f>
        <v>0.97888307155322862</v>
      </c>
      <c r="G34" s="61">
        <f>Histórico!N34/Histórico!R34</f>
        <v>1.0873596006418256</v>
      </c>
      <c r="H34" s="61">
        <f>Histórico!N34/Histórico!J34</f>
        <v>1.0643979057591624</v>
      </c>
      <c r="I34" s="61">
        <f>Histórico!B34/Histórico!R34</f>
        <v>1.2175075771082189</v>
      </c>
      <c r="J34" s="61">
        <f>Histórico!C34/Histórico!G34</f>
        <v>1.0218362282878413</v>
      </c>
      <c r="K34" s="61">
        <f>Histórico!B34/Histórico!N34</f>
        <v>1.1196917527463519</v>
      </c>
      <c r="L34" s="61">
        <f>Histórico!B34/Histórico!J34</f>
        <v>1.1917975567190227</v>
      </c>
      <c r="M34" s="61">
        <f>+Histórico!N34/Histórico!F34</f>
        <v>0.93043478260869561</v>
      </c>
      <c r="N34" s="61">
        <f>Histórico!F34/Histórico!AD34</f>
        <v>1.0961538461538463</v>
      </c>
      <c r="O34" s="61">
        <f>Histórico!G34/Histórico!AE34</f>
        <v>1.1101928374655647</v>
      </c>
      <c r="P34" s="61">
        <f>Histórico!F34/Histórico!AD34</f>
        <v>1.0961538461538463</v>
      </c>
    </row>
    <row r="35" spans="1:16" x14ac:dyDescent="0.25">
      <c r="A35" s="59">
        <f>+Histórico!A35</f>
        <v>44126</v>
      </c>
      <c r="B35" s="61">
        <f>Histórico!B35/Histórico!F35</f>
        <v>1.0610091743119265</v>
      </c>
      <c r="C35" s="60">
        <f>Histórico!F35/Histórico!J35</f>
        <v>1.1354166666666667</v>
      </c>
      <c r="D35" s="61">
        <f>Histórico!F35/Histórico!N35</f>
        <v>1.0723069355632071</v>
      </c>
      <c r="E35" s="61">
        <f>Histórico!F35/Histórico!R35</f>
        <v>1.1647373107747105</v>
      </c>
      <c r="F35" s="61">
        <f>Histórico!R35/Histórico!J35</f>
        <v>0.97482638888888884</v>
      </c>
      <c r="G35" s="61">
        <f>Histórico!N35/Histórico!R35</f>
        <v>1.0861976847729296</v>
      </c>
      <c r="H35" s="61">
        <f>Histórico!N35/Histórico!J35</f>
        <v>1.0588541666666667</v>
      </c>
      <c r="I35" s="61">
        <f>Histórico!B35/Histórico!R35</f>
        <v>1.2357969723953695</v>
      </c>
      <c r="J35" s="61">
        <f>Histórico!C35/Histórico!G35</f>
        <v>1.0498753117206983</v>
      </c>
      <c r="K35" s="61">
        <f>Histórico!B35/Histórico!N35</f>
        <v>1.1377274963108706</v>
      </c>
      <c r="L35" s="61">
        <f>Histórico!B35/Histórico!J35</f>
        <v>1.2046874999999999</v>
      </c>
      <c r="M35" s="61">
        <f>+Histórico!N35/Histórico!F35</f>
        <v>0.93256880733944958</v>
      </c>
      <c r="N35" s="61">
        <f>Histórico!F35/Histórico!AD35</f>
        <v>1.0587663914521612</v>
      </c>
      <c r="O35" s="61">
        <f>Histórico!G35/Histórico!AE35</f>
        <v>1.0779569892473118</v>
      </c>
      <c r="P35" s="61">
        <f>Histórico!F35/Histórico!AD35</f>
        <v>1.0587663914521612</v>
      </c>
    </row>
    <row r="36" spans="1:16" x14ac:dyDescent="0.25">
      <c r="A36" s="59">
        <f>+Histórico!A36</f>
        <v>44127</v>
      </c>
      <c r="B36" s="61">
        <f>Histórico!B36/Histórico!F36</f>
        <v>1.0922953451043338</v>
      </c>
      <c r="C36" s="60">
        <f>Histórico!F36/Histórico!J36</f>
        <v>1.1026548672566372</v>
      </c>
      <c r="D36" s="61">
        <f>Histórico!F36/Histórico!N36</f>
        <v>1.0550381033022862</v>
      </c>
      <c r="E36" s="61">
        <f>Histórico!F36/Histórico!R36</f>
        <v>1.141025641025641</v>
      </c>
      <c r="F36" s="61">
        <f>Histórico!R36/Histórico!J36</f>
        <v>0.96637168141592922</v>
      </c>
      <c r="G36" s="61">
        <f>Histórico!N36/Histórico!R36</f>
        <v>1.0815018315018314</v>
      </c>
      <c r="H36" s="61">
        <f>Histórico!N36/Histórico!J36</f>
        <v>1.0451327433628319</v>
      </c>
      <c r="I36" s="61">
        <f>Histórico!B36/Histórico!R36</f>
        <v>1.2463369963369964</v>
      </c>
      <c r="J36" s="61">
        <f>Histórico!C36/Histórico!G36</f>
        <v>1.0874221668742217</v>
      </c>
      <c r="K36" s="61">
        <f>Histórico!B36/Histórico!N36</f>
        <v>1.1524132091447925</v>
      </c>
      <c r="L36" s="61">
        <f>Histórico!B36/Histórico!J36</f>
        <v>1.204424778761062</v>
      </c>
      <c r="M36" s="61">
        <f>+Histórico!N36/Histórico!F36</f>
        <v>0.9478330658105939</v>
      </c>
      <c r="N36" s="61">
        <f>Histórico!F36/Histórico!AD36</f>
        <v>1.0331674958540631</v>
      </c>
      <c r="O36" s="61">
        <f>Histórico!G36/Histórico!AE36</f>
        <v>1.0635761589403974</v>
      </c>
      <c r="P36" s="61">
        <f>Histórico!F36/Histórico!AD36</f>
        <v>1.0331674958540631</v>
      </c>
    </row>
    <row r="37" spans="1:16" x14ac:dyDescent="0.25">
      <c r="A37" s="59">
        <f>+Histórico!A37</f>
        <v>44130</v>
      </c>
      <c r="B37" s="61">
        <f>Histórico!B37/Histórico!F37</f>
        <v>1.0690515806988352</v>
      </c>
      <c r="C37" s="60">
        <f>Histórico!F37/Histórico!J37</f>
        <v>1.1027522935779817</v>
      </c>
      <c r="D37" s="61">
        <f>Histórico!F37/Histórico!N37</f>
        <v>1.0665483584738242</v>
      </c>
      <c r="E37" s="61">
        <f>Histórico!F37/Histórico!R37</f>
        <v>1.1513409961685823</v>
      </c>
      <c r="F37" s="61">
        <f>Histórico!R37/Histórico!J37</f>
        <v>0.95779816513761473</v>
      </c>
      <c r="G37" s="61">
        <f>Histórico!N37/Histórico!R37</f>
        <v>1.0795019157088122</v>
      </c>
      <c r="H37" s="61">
        <f>Histórico!N37/Histórico!J37</f>
        <v>1.0339449541284405</v>
      </c>
      <c r="I37" s="61">
        <f>Histórico!B37/Histórico!R37</f>
        <v>1.2308429118773947</v>
      </c>
      <c r="J37" s="61">
        <f>Histórico!C37/Histórico!G37</f>
        <v>1.0609469003400471</v>
      </c>
      <c r="K37" s="61">
        <f>Histórico!B37/Histórico!N37</f>
        <v>1.1401952085181899</v>
      </c>
      <c r="L37" s="61">
        <f>Histórico!B37/Histórico!J37</f>
        <v>1.1788990825688073</v>
      </c>
      <c r="M37" s="61">
        <f>+Histórico!N37/Histórico!F37</f>
        <v>0.93760399334442601</v>
      </c>
      <c r="N37" s="61">
        <f>Histórico!F37/Histórico!AD37</f>
        <v>1.0637168141592921</v>
      </c>
      <c r="O37" s="61">
        <f>Histórico!G37/Histórico!AE37</f>
        <v>1.0479714912280702</v>
      </c>
      <c r="P37" s="61">
        <f>Histórico!F37/Histórico!AD37</f>
        <v>1.0637168141592921</v>
      </c>
    </row>
    <row r="38" spans="1:16" x14ac:dyDescent="0.25">
      <c r="A38" s="59">
        <f>+Histórico!A38</f>
        <v>44131</v>
      </c>
      <c r="B38" s="61">
        <f>Histórico!B38/Histórico!F38</f>
        <v>1.0820000000000001</v>
      </c>
      <c r="C38" s="60">
        <f>Histórico!F38/Histórico!J38</f>
        <v>1.1320754716981132</v>
      </c>
      <c r="D38" s="61">
        <f>Histórico!F38/Histórico!N38</f>
        <v>1.0849909584086799</v>
      </c>
      <c r="E38" s="61">
        <f>Histórico!F38/Histórico!R38</f>
        <v>1.1764705882352942</v>
      </c>
      <c r="F38" s="61">
        <f>Histórico!R38/Histórico!J38</f>
        <v>0.96226415094339623</v>
      </c>
      <c r="G38" s="61">
        <f>Histórico!N38/Histórico!R38</f>
        <v>1.084313725490196</v>
      </c>
      <c r="H38" s="61">
        <f>Histórico!N38/Histórico!J38</f>
        <v>1.0433962264150944</v>
      </c>
      <c r="I38" s="61">
        <f>Histórico!B38/Histórico!R38</f>
        <v>1.2729411764705882</v>
      </c>
      <c r="J38" s="61">
        <f>Histórico!C38/Histórico!G38</f>
        <v>1.0963793982661907</v>
      </c>
      <c r="K38" s="61">
        <f>Histórico!B38/Histórico!N38</f>
        <v>1.1739602169981918</v>
      </c>
      <c r="L38" s="61">
        <f>Histórico!B38/Histórico!J38</f>
        <v>1.2249056603773585</v>
      </c>
      <c r="M38" s="61">
        <f>+Histórico!N38/Histórico!F38</f>
        <v>0.92166666666666663</v>
      </c>
      <c r="N38" s="61">
        <f>Histórico!F38/Histórico!AD38</f>
        <v>1.0714285714285714</v>
      </c>
      <c r="O38" s="61">
        <f>Histórico!G38/Histórico!AE38</f>
        <v>1.0964495387195974</v>
      </c>
      <c r="P38" s="61">
        <f>Histórico!F38/Histórico!AD38</f>
        <v>1.0714285714285714</v>
      </c>
    </row>
    <row r="39" spans="1:16" x14ac:dyDescent="0.25">
      <c r="A39" s="59">
        <f>+Histórico!A39</f>
        <v>44132</v>
      </c>
      <c r="B39" s="61">
        <f>Histórico!B39/Histórico!F39</f>
        <v>1.143238434163701</v>
      </c>
      <c r="C39" s="60">
        <f>Histórico!F39/Histórico!J39</f>
        <v>1.0807692307692307</v>
      </c>
      <c r="D39" s="61">
        <f>Histórico!F39/Histórico!N39</f>
        <v>1.060377358490566</v>
      </c>
      <c r="E39" s="61">
        <f>Histórico!F39/Histórico!R39</f>
        <v>1.143438453713123</v>
      </c>
      <c r="F39" s="61">
        <f>Histórico!R39/Histórico!J39</f>
        <v>0.94519230769230766</v>
      </c>
      <c r="G39" s="61">
        <f>Histórico!N39/Histórico!R39</f>
        <v>1.0783316378433367</v>
      </c>
      <c r="H39" s="61">
        <f>Histórico!N39/Histórico!J39</f>
        <v>1.0192307692307692</v>
      </c>
      <c r="I39" s="61">
        <f>Histórico!B39/Histórico!R39</f>
        <v>1.3072227873855544</v>
      </c>
      <c r="J39" s="61">
        <f>Histórico!C39/Histórico!G39</f>
        <v>1.1391752577319589</v>
      </c>
      <c r="K39" s="61">
        <f>Histórico!B39/Histórico!N39</f>
        <v>1.2122641509433962</v>
      </c>
      <c r="L39" s="61">
        <f>Histórico!B39/Histórico!J39</f>
        <v>1.2355769230769231</v>
      </c>
      <c r="M39" s="61">
        <f>+Histórico!N39/Histórico!F39</f>
        <v>0.94306049822064053</v>
      </c>
      <c r="N39" s="61">
        <f>Histórico!F39/Histórico!AD39</f>
        <v>1.0544090056285178</v>
      </c>
      <c r="O39" s="61">
        <f>Histórico!G39/Histórico!AE39</f>
        <v>1.0777777777777777</v>
      </c>
      <c r="P39" s="61">
        <f>Histórico!F39/Histórico!AD39</f>
        <v>1.0544090056285178</v>
      </c>
    </row>
    <row r="40" spans="1:16" x14ac:dyDescent="0.25">
      <c r="A40" s="59">
        <f>+Histórico!A40</f>
        <v>44133</v>
      </c>
      <c r="B40" s="61">
        <f>Histórico!B40/Histórico!F40</f>
        <v>1.1603942652329748</v>
      </c>
      <c r="C40" s="60">
        <f>Histórico!F40/Histórico!J40</f>
        <v>1.083495145631068</v>
      </c>
      <c r="D40" s="61">
        <f>Histórico!F40/Histórico!N40</f>
        <v>1.0638703527168731</v>
      </c>
      <c r="E40" s="61">
        <f>Histórico!F40/Histórico!R40</f>
        <v>1.134607564050427</v>
      </c>
      <c r="F40" s="61">
        <f>Histórico!R40/Histórico!J40</f>
        <v>0.95495145631067957</v>
      </c>
      <c r="G40" s="61">
        <f>Histórico!N40/Histórico!R40</f>
        <v>1.0664904432696218</v>
      </c>
      <c r="H40" s="61">
        <f>Histórico!N40/Histórico!J40</f>
        <v>1.0184466019417475</v>
      </c>
      <c r="I40" s="61">
        <f>Histórico!B40/Histórico!R40</f>
        <v>1.3165921106140708</v>
      </c>
      <c r="J40" s="61">
        <f>Histórico!C40/Histórico!G40</f>
        <v>1.174496644295302</v>
      </c>
      <c r="K40" s="61">
        <f>Histórico!B40/Histórico!N40</f>
        <v>1.2345090562440419</v>
      </c>
      <c r="L40" s="61">
        <f>Histórico!B40/Histórico!J40</f>
        <v>1.2572815533980584</v>
      </c>
      <c r="M40" s="61">
        <f>+Histórico!N40/Histórico!F40</f>
        <v>0.93996415770609321</v>
      </c>
      <c r="N40" s="61">
        <f>Histórico!F40/Histórico!AD40</f>
        <v>1.0628571428571429</v>
      </c>
      <c r="O40" s="61">
        <f>Histórico!G40/Histórico!AE40</f>
        <v>1.0888139404159642</v>
      </c>
      <c r="P40" s="61">
        <f>Histórico!F40/Histórico!AD40</f>
        <v>1.0628571428571429</v>
      </c>
    </row>
    <row r="41" spans="1:16" x14ac:dyDescent="0.25">
      <c r="A41" s="59">
        <f>+Histórico!A41</f>
        <v>44134</v>
      </c>
      <c r="B41" s="61">
        <f>Histórico!B41/Histórico!F41</f>
        <v>1.1761467889908257</v>
      </c>
      <c r="C41" s="60">
        <f>Histórico!F41/Histórico!J41</f>
        <v>1.0854411471818364</v>
      </c>
      <c r="D41" s="61">
        <f>Histórico!F41/Histórico!N41</f>
        <v>1.0515145668531738</v>
      </c>
      <c r="E41" s="61">
        <f>Histórico!F41/Histórico!R41</f>
        <v>1.1264985531211245</v>
      </c>
      <c r="F41" s="61">
        <f>Histórico!R41/Histórico!J41</f>
        <v>0.96355307707627957</v>
      </c>
      <c r="G41" s="61">
        <f>Histórico!N41/Histórico!R41</f>
        <v>1.0713104588673006</v>
      </c>
      <c r="H41" s="61">
        <f>Histórico!N41/Histórico!J41</f>
        <v>1.0322644891455885</v>
      </c>
      <c r="I41" s="61">
        <f>Histórico!B41/Histórico!R41</f>
        <v>1.3249276560562215</v>
      </c>
      <c r="J41" s="61">
        <f>Histórico!C41/Histórico!G41</f>
        <v>1.1800262812089357</v>
      </c>
      <c r="K41" s="61">
        <f>Histórico!B41/Histórico!N41</f>
        <v>1.2367354813814393</v>
      </c>
      <c r="L41" s="61">
        <f>Histórico!B41/Histórico!J41</f>
        <v>1.2766381198964349</v>
      </c>
      <c r="M41" s="61">
        <f>+Histórico!N41/Histórico!F41</f>
        <v>0.95100917431192655</v>
      </c>
      <c r="N41" s="61">
        <f>Histórico!F41/Histórico!AD41</f>
        <v>1.0709373157791315</v>
      </c>
      <c r="O41" s="61">
        <f>Histórico!G41/Histórico!AE41</f>
        <v>1.081580443433769</v>
      </c>
      <c r="P41" s="61">
        <f>Histórico!F41/Histórico!AD41</f>
        <v>1.0709373157791315</v>
      </c>
    </row>
    <row r="42" spans="1:16" x14ac:dyDescent="0.25">
      <c r="A42" s="59">
        <f>+Histórico!A42</f>
        <v>44137</v>
      </c>
      <c r="B42" s="61">
        <f>Histórico!B42/Histórico!F42</f>
        <v>1.1366171003717471</v>
      </c>
      <c r="C42" s="60">
        <f>Histórico!F42/Histórico!J42</f>
        <v>1.0814070351758793</v>
      </c>
      <c r="D42" s="61">
        <f>Histórico!F42/Histórico!N42</f>
        <v>1.0368086336481017</v>
      </c>
      <c r="E42" s="61">
        <f>Histórico!F42/Histórico!R42</f>
        <v>1.1243469174503657</v>
      </c>
      <c r="F42" s="61">
        <f>Histórico!R42/Histórico!J42</f>
        <v>0.96180904522613064</v>
      </c>
      <c r="G42" s="61">
        <f>Histórico!N42/Histórico!R42</f>
        <v>1.0844305120167188</v>
      </c>
      <c r="H42" s="61">
        <f>Histórico!N42/Histórico!J42</f>
        <v>1.0430150753768843</v>
      </c>
      <c r="I42" s="61">
        <f>Histórico!B42/Histórico!R42</f>
        <v>1.277951933124347</v>
      </c>
      <c r="J42" s="61">
        <f>Histórico!C42/Histórico!G42</f>
        <v>1.1312111801242235</v>
      </c>
      <c r="K42" s="61">
        <f>Histórico!B42/Histórico!N42</f>
        <v>1.1784544228174985</v>
      </c>
      <c r="L42" s="61">
        <f>Histórico!B42/Histórico!J42</f>
        <v>1.2291457286432161</v>
      </c>
      <c r="M42" s="61">
        <f>+Histórico!N42/Histórico!F42</f>
        <v>0.96449814126394051</v>
      </c>
      <c r="N42" s="61">
        <f>Histórico!F42/Histórico!AD42</f>
        <v>1.0549019607843138</v>
      </c>
      <c r="O42" s="61">
        <f>Histórico!G42/Histórico!AE42</f>
        <v>1.0915254237288137</v>
      </c>
      <c r="P42" s="61">
        <f>Histórico!F42/Histórico!AD42</f>
        <v>1.0549019607843138</v>
      </c>
    </row>
    <row r="43" spans="1:16" x14ac:dyDescent="0.25">
      <c r="A43" s="59">
        <f>+Histórico!A43</f>
        <v>44138</v>
      </c>
      <c r="B43" s="61">
        <f>Histórico!B43/Histórico!F43</f>
        <v>1.1680297397769517</v>
      </c>
      <c r="C43" s="60">
        <f>Histórico!F43/Histórico!J43</f>
        <v>1.0642927794263106</v>
      </c>
      <c r="D43" s="61">
        <f>Histórico!F43/Histórico!N43</f>
        <v>1.018939393939394</v>
      </c>
      <c r="E43" s="61">
        <f>Histórico!F43/Histórico!R43</f>
        <v>1.109278350515464</v>
      </c>
      <c r="F43" s="61">
        <f>Histórico!R43/Histórico!J43</f>
        <v>0.95944609297725025</v>
      </c>
      <c r="G43" s="61">
        <f>Histórico!N43/Histórico!R43</f>
        <v>1.0886597938144329</v>
      </c>
      <c r="H43" s="61">
        <f>Histórico!N43/Histórico!J43</f>
        <v>1.0445103857566767</v>
      </c>
      <c r="I43" s="61">
        <f>Histórico!B43/Histórico!R43</f>
        <v>1.2956701030927835</v>
      </c>
      <c r="J43" s="61">
        <f>Histórico!C43/Histórico!G43</f>
        <v>1.1672746221990618</v>
      </c>
      <c r="K43" s="61">
        <f>Histórico!B43/Histórico!N43</f>
        <v>1.1901515151515152</v>
      </c>
      <c r="L43" s="61">
        <f>Histórico!B43/Histórico!J43</f>
        <v>1.2431256181998023</v>
      </c>
      <c r="M43" s="61">
        <f>+Histórico!N43/Histórico!F43</f>
        <v>0.98141263940520451</v>
      </c>
      <c r="N43" s="61">
        <f>Histórico!F43/Histórico!AD43</f>
        <v>1.027501909854851</v>
      </c>
      <c r="O43" s="61">
        <f>Histórico!G43/Histórico!AE43</f>
        <v>1.0631578947368421</v>
      </c>
      <c r="P43" s="61">
        <f>Histórico!F43/Histórico!AD43</f>
        <v>1.027501909854851</v>
      </c>
    </row>
    <row r="44" spans="1:16" x14ac:dyDescent="0.25">
      <c r="A44" s="59">
        <f>+Histórico!A44</f>
        <v>44139</v>
      </c>
      <c r="B44" s="61">
        <f>Histórico!B44/Histórico!F44</f>
        <v>1.1929170549860204</v>
      </c>
      <c r="C44" s="60">
        <f>Histórico!F44/Histórico!J44</f>
        <v>1.0488758553274682</v>
      </c>
      <c r="D44" s="61">
        <f>Histórico!F44/Histórico!N44</f>
        <v>1.0122641509433963</v>
      </c>
      <c r="E44" s="61">
        <f>Histórico!F44/Histórico!R44</f>
        <v>1.1005128205128205</v>
      </c>
      <c r="F44" s="61">
        <f>Histórico!R44/Histórico!J44</f>
        <v>0.95307917888563054</v>
      </c>
      <c r="G44" s="61">
        <f>Histórico!N44/Histórico!R44</f>
        <v>1.0871794871794871</v>
      </c>
      <c r="H44" s="61">
        <f>Histórico!N44/Histórico!J44</f>
        <v>1.0361681329423265</v>
      </c>
      <c r="I44" s="61">
        <f>Histórico!B44/Histórico!R44</f>
        <v>1.3128205128205128</v>
      </c>
      <c r="J44" s="61">
        <f>Histórico!C44/Histórico!G44</f>
        <v>1.1695754102630893</v>
      </c>
      <c r="K44" s="61">
        <f>Histórico!B44/Histórico!N44</f>
        <v>1.2075471698113207</v>
      </c>
      <c r="L44" s="61">
        <f>Histórico!B44/Histórico!J44</f>
        <v>1.2512218963831867</v>
      </c>
      <c r="M44" s="61">
        <f>+Histórico!N44/Histórico!F44</f>
        <v>0.9878844361602982</v>
      </c>
      <c r="N44" s="61">
        <f>Histórico!F44/Histórico!AD44</f>
        <v>1.0122641509433963</v>
      </c>
      <c r="O44" s="61">
        <f>Histórico!G44/Histórico!AE44</f>
        <v>1.0426398696360673</v>
      </c>
      <c r="P44" s="61">
        <f>Histórico!F44/Histórico!AD44</f>
        <v>1.0122641509433963</v>
      </c>
    </row>
    <row r="45" spans="1:16" x14ac:dyDescent="0.25">
      <c r="A45" s="59">
        <f>+Histórico!A45</f>
        <v>44140</v>
      </c>
      <c r="B45" s="61">
        <f>Histórico!B45/Histórico!F45</f>
        <v>1.1985157699443414</v>
      </c>
      <c r="C45" s="60">
        <f>Histórico!F45/Histórico!J45</f>
        <v>1.0415458937198068</v>
      </c>
      <c r="D45" s="61">
        <f>Histórico!F45/Histórico!N45</f>
        <v>1.0103092783505154</v>
      </c>
      <c r="E45" s="61">
        <f>Histórico!F45/Histórico!R45</f>
        <v>1.0823293172690762</v>
      </c>
      <c r="F45" s="61">
        <f>Histórico!R45/Histórico!J45</f>
        <v>0.96231884057971018</v>
      </c>
      <c r="G45" s="61">
        <f>Histórico!N45/Histórico!R45</f>
        <v>1.071285140562249</v>
      </c>
      <c r="H45" s="61">
        <f>Histórico!N45/Histórico!J45</f>
        <v>1.0309178743961354</v>
      </c>
      <c r="I45" s="61">
        <f>Histórico!B45/Histórico!R45</f>
        <v>1.2971887550200802</v>
      </c>
      <c r="J45" s="61">
        <f>Histórico!C45/Histórico!G45</f>
        <v>1.1976836009476177</v>
      </c>
      <c r="K45" s="61">
        <f>Histórico!B45/Histórico!N45</f>
        <v>1.2108716026241799</v>
      </c>
      <c r="L45" s="61">
        <f>Histórico!B45/Histórico!J45</f>
        <v>1.2483091787439613</v>
      </c>
      <c r="M45" s="61">
        <f>+Histórico!N45/Histórico!F45</f>
        <v>0.98979591836734693</v>
      </c>
      <c r="N45" s="61">
        <f>Histórico!F45/Histórico!AD45</f>
        <v>0.99814814814814812</v>
      </c>
      <c r="O45" s="61">
        <f>Histórico!G45/Histórico!AE45</f>
        <v>1.0079596710002654</v>
      </c>
      <c r="P45" s="61">
        <f>Histórico!F45/Histórico!AD45</f>
        <v>0.99814814814814812</v>
      </c>
    </row>
    <row r="46" spans="1:16" x14ac:dyDescent="0.25">
      <c r="A46" s="59">
        <f>+Histórico!A46</f>
        <v>44141</v>
      </c>
      <c r="B46" s="61">
        <f>Histórico!B46/Histórico!F46</f>
        <v>1.18364312267658</v>
      </c>
      <c r="C46" s="60">
        <f>Histórico!F46/Histórico!J46</f>
        <v>1.0446601941747573</v>
      </c>
      <c r="D46" s="61">
        <f>Histórico!F46/Histórico!N46</f>
        <v>1.0061716850570412</v>
      </c>
      <c r="E46" s="61">
        <f>Histórico!F46/Histórico!R46</f>
        <v>1.0764305722288916</v>
      </c>
      <c r="F46" s="61">
        <f>Histórico!R46/Histórico!J46</f>
        <v>0.97048543689320388</v>
      </c>
      <c r="G46" s="61">
        <f>Histórico!N46/Histórico!R46</f>
        <v>1.069827931172469</v>
      </c>
      <c r="H46" s="61">
        <f>Histórico!N46/Histórico!J46</f>
        <v>1.038252427184466</v>
      </c>
      <c r="I46" s="61">
        <f>Histórico!B46/Histórico!R46</f>
        <v>1.274109643857543</v>
      </c>
      <c r="J46" s="61">
        <f>Histórico!C46/Histórico!G46</f>
        <v>1.1949999999999998</v>
      </c>
      <c r="K46" s="61">
        <f>Histórico!B46/Histórico!N46</f>
        <v>1.1909481952496728</v>
      </c>
      <c r="L46" s="61">
        <f>Histórico!B46/Histórico!J46</f>
        <v>1.2365048543689321</v>
      </c>
      <c r="M46" s="61">
        <f>+Histórico!N46/Histórico!F46</f>
        <v>0.99386617100371744</v>
      </c>
      <c r="N46" s="61">
        <f>Histórico!F46/Histórico!AD46</f>
        <v>0.99537465309898243</v>
      </c>
      <c r="O46" s="61">
        <f>Histórico!G46/Histórico!AE46</f>
        <v>1.0079575596816976</v>
      </c>
      <c r="P46" s="61">
        <f>Histórico!F46/Histórico!AD46</f>
        <v>0.99537465309898243</v>
      </c>
    </row>
    <row r="47" spans="1:16" x14ac:dyDescent="0.25">
      <c r="A47" s="59">
        <f>+Histórico!A47</f>
        <v>44144</v>
      </c>
      <c r="B47" s="61">
        <f>Histórico!B47/Histórico!F47</f>
        <v>1.1810835629017447</v>
      </c>
      <c r="C47" s="60">
        <f>Histórico!F47/Histórico!J47</f>
        <v>1.0177570093457944</v>
      </c>
      <c r="D47" s="61">
        <f>Histórico!F47/Histórico!N47</f>
        <v>1.0081466395112015</v>
      </c>
      <c r="E47" s="61">
        <f>Histórico!F47/Histórico!R47</f>
        <v>1.0868263473053892</v>
      </c>
      <c r="F47" s="61">
        <f>Histórico!R47/Histórico!J47</f>
        <v>0.93644859813084114</v>
      </c>
      <c r="G47" s="61">
        <f>Histórico!N47/Histórico!R47</f>
        <v>1.0780439121756487</v>
      </c>
      <c r="H47" s="61">
        <f>Histórico!N47/Histórico!J47</f>
        <v>1.0095327102803737</v>
      </c>
      <c r="I47" s="61">
        <f>Histórico!B47/Histórico!R47</f>
        <v>1.2836327345309382</v>
      </c>
      <c r="J47" s="61">
        <f>Histórico!C47/Histórico!G47</f>
        <v>1.1916558018252934</v>
      </c>
      <c r="K47" s="61">
        <f>Histórico!B47/Histórico!N47</f>
        <v>1.1907054249213109</v>
      </c>
      <c r="L47" s="61">
        <f>Histórico!B47/Histórico!J47</f>
        <v>1.2020560747663551</v>
      </c>
      <c r="M47" s="61">
        <f>+Histórico!N47/Histórico!F47</f>
        <v>0.99191919191919187</v>
      </c>
      <c r="N47" s="61">
        <f>Histórico!F47/Histórico!AD47</f>
        <v>1.0139664804469273</v>
      </c>
      <c r="O47" s="61">
        <f>Histórico!G47/Histórico!AE47</f>
        <v>1.0020904102430102</v>
      </c>
      <c r="P47" s="61">
        <f>Histórico!F47/Histórico!AD47</f>
        <v>1.0139664804469273</v>
      </c>
    </row>
    <row r="48" spans="1:16" x14ac:dyDescent="0.25">
      <c r="A48" s="59">
        <f>+Histórico!A48</f>
        <v>44145</v>
      </c>
      <c r="B48" s="61">
        <f>Histórico!B48/Histórico!F48</f>
        <v>1.1763027066838521</v>
      </c>
      <c r="C48" s="60">
        <f>Histórico!F48/Histórico!J48</f>
        <v>1.0285984848484848</v>
      </c>
      <c r="D48" s="61">
        <f>Histórico!F48/Histórico!N48</f>
        <v>0.98745454545454547</v>
      </c>
      <c r="E48" s="61">
        <f>Histórico!F48/Histórico!R48</f>
        <v>1.0797216699801193</v>
      </c>
      <c r="F48" s="61">
        <f>Histórico!R48/Histórico!J48</f>
        <v>0.95265151515151514</v>
      </c>
      <c r="G48" s="61">
        <f>Histórico!N48/Histórico!R48</f>
        <v>1.0934393638170974</v>
      </c>
      <c r="H48" s="61">
        <f>Histórico!N48/Histórico!J48</f>
        <v>1.0416666666666667</v>
      </c>
      <c r="I48" s="61">
        <f>Histórico!B48/Histórico!R48</f>
        <v>1.270079522862823</v>
      </c>
      <c r="J48" s="61">
        <f>Histórico!C48/Histórico!G48</f>
        <v>1.17578125</v>
      </c>
      <c r="K48" s="61">
        <f>Histórico!B48/Histórico!N48</f>
        <v>1.1615454545454544</v>
      </c>
      <c r="L48" s="61">
        <f>Histórico!B48/Histórico!J48</f>
        <v>1.2099431818181818</v>
      </c>
      <c r="M48" s="61">
        <f>+Histórico!N48/Histórico!F48</f>
        <v>1.012704842570429</v>
      </c>
      <c r="N48" s="61">
        <f>Histórico!F48/Histórico!AD48</f>
        <v>0.9872750409016543</v>
      </c>
      <c r="O48" s="61">
        <f>Histórico!G48/Histórico!AE48</f>
        <v>1</v>
      </c>
      <c r="P48" s="61">
        <f>Histórico!F48/Histórico!AD48</f>
        <v>0.9872750409016543</v>
      </c>
    </row>
    <row r="49" spans="1:16" x14ac:dyDescent="0.25">
      <c r="A49" s="59">
        <f>+Histórico!A49</f>
        <v>44146</v>
      </c>
      <c r="B49" s="61">
        <f>Histórico!B49/Histórico!F49</f>
        <v>1.1095530236634532</v>
      </c>
      <c r="C49" s="60">
        <f>Histórico!F49/Histórico!J49</f>
        <v>1.0780423280423281</v>
      </c>
      <c r="D49" s="61">
        <f>Histórico!F49/Histórico!N49</f>
        <v>1.0026362038664323</v>
      </c>
      <c r="E49" s="61">
        <f>Histórico!F49/Histórico!R49</f>
        <v>1.1186274509803922</v>
      </c>
      <c r="F49" s="61">
        <f>Histórico!R49/Histórico!J49</f>
        <v>0.96371882086167804</v>
      </c>
      <c r="G49" s="61">
        <f>Histórico!N49/Histórico!R49</f>
        <v>1.115686274509804</v>
      </c>
      <c r="H49" s="61">
        <f>Histórico!N49/Histórico!J49</f>
        <v>1.0752078609221467</v>
      </c>
      <c r="I49" s="61">
        <f>Histórico!B49/Histórico!R49</f>
        <v>1.2411764705882353</v>
      </c>
      <c r="J49" s="61">
        <f>Histórico!C49/Histórico!G49</f>
        <v>1.1428571428571428</v>
      </c>
      <c r="K49" s="61">
        <f>Histórico!B49/Histórico!N49</f>
        <v>1.1124780316344465</v>
      </c>
      <c r="L49" s="61">
        <f>Histórico!B49/Histórico!J49</f>
        <v>1.1961451247165533</v>
      </c>
      <c r="M49" s="61">
        <f>+Histórico!N49/Histórico!F49</f>
        <v>0.99737072743207711</v>
      </c>
      <c r="N49" s="61">
        <f>Histórico!F49/Histórico!AD49</f>
        <v>1.0151245551601424</v>
      </c>
      <c r="O49" s="61">
        <f>Histórico!G49/Histórico!AE49</f>
        <v>1.0116129032258065</v>
      </c>
      <c r="P49" s="61">
        <f>Histórico!F49/Histórico!AD49</f>
        <v>1.0151245551601424</v>
      </c>
    </row>
    <row r="50" spans="1:16" x14ac:dyDescent="0.25">
      <c r="A50" s="59">
        <f>+Histórico!A50</f>
        <v>44147</v>
      </c>
      <c r="B50" s="61">
        <f>Histórico!B50/Histórico!F50</f>
        <v>1.1101163831692031</v>
      </c>
      <c r="C50" s="60">
        <f>Histórico!F50/Histórico!J50</f>
        <v>1.0717712531184034</v>
      </c>
      <c r="D50" s="61">
        <f>Histórico!F50/Histórico!N50</f>
        <v>1.0044964028776979</v>
      </c>
      <c r="E50" s="61">
        <f>Histórico!F50/Histórico!R50</f>
        <v>1.0961727183513248</v>
      </c>
      <c r="F50" s="61">
        <f>Histórico!R50/Histórico!J50</f>
        <v>0.97773939742851657</v>
      </c>
      <c r="G50" s="61">
        <f>Histórico!N50/Histórico!R50</f>
        <v>1.0912659470068695</v>
      </c>
      <c r="H50" s="61">
        <f>Histórico!N50/Histórico!J50</f>
        <v>1.0669737094607561</v>
      </c>
      <c r="I50" s="61">
        <f>Histórico!B50/Histórico!R50</f>
        <v>1.2168792934249264</v>
      </c>
      <c r="J50" s="61">
        <f>Histórico!C50/Histórico!G50</f>
        <v>1.1147707119331138</v>
      </c>
      <c r="K50" s="61">
        <f>Histórico!B50/Histórico!N50</f>
        <v>1.1151079136690647</v>
      </c>
      <c r="L50" s="61">
        <f>Histórico!B50/Histórico!J50</f>
        <v>1.1897908270965265</v>
      </c>
      <c r="M50" s="61">
        <f>+Histórico!N50/Histórico!F50</f>
        <v>0.99552372426141456</v>
      </c>
      <c r="N50" s="61">
        <f>Histórico!F50/Histórico!AD50</f>
        <v>1.0238313473877176</v>
      </c>
      <c r="O50" s="61">
        <f>Histórico!G50/Histórico!AE50</f>
        <v>1.0265279583875162</v>
      </c>
      <c r="P50" s="61">
        <f>Histórico!F50/Histórico!AD50</f>
        <v>1.0238313473877176</v>
      </c>
    </row>
    <row r="51" spans="1:16" x14ac:dyDescent="0.25">
      <c r="A51" s="59">
        <f>+Histórico!A51</f>
        <v>44148</v>
      </c>
      <c r="B51" s="61">
        <f>Histórico!B51/Histórico!F51</f>
        <v>1.1320319432120673</v>
      </c>
      <c r="C51" s="60">
        <f>Histórico!F51/Histórico!J51</f>
        <v>1.0765116056929984</v>
      </c>
      <c r="D51" s="61">
        <f>Histórico!F51/Histórico!N51</f>
        <v>1.0007103534008168</v>
      </c>
      <c r="E51" s="61">
        <f>Histórico!F51/Histórico!R51</f>
        <v>1.0963035019455254</v>
      </c>
      <c r="F51" s="61">
        <f>Histórico!R51/Histórico!J51</f>
        <v>0.9819466997803038</v>
      </c>
      <c r="G51" s="61">
        <f>Histórico!N51/Histórico!R51</f>
        <v>1.0955252918287939</v>
      </c>
      <c r="H51" s="61">
        <f>Histórico!N51/Histórico!J51</f>
        <v>1.0757474448371382</v>
      </c>
      <c r="I51" s="61">
        <f>Histórico!B51/Histórico!R51</f>
        <v>1.2410505836575876</v>
      </c>
      <c r="J51" s="61">
        <f>Histórico!C51/Histórico!G51</f>
        <v>1.1278195488721805</v>
      </c>
      <c r="K51" s="61">
        <f>Histórico!B51/Histórico!N51</f>
        <v>1.1328360859527615</v>
      </c>
      <c r="L51" s="61">
        <f>Histórico!B51/Histórico!J51</f>
        <v>1.2186455248829879</v>
      </c>
      <c r="M51" s="61">
        <f>+Histórico!N51/Histórico!F51</f>
        <v>0.99929015084294592</v>
      </c>
      <c r="N51" s="61">
        <f>Histórico!F51/Histórico!AD51</f>
        <v>1.010762331838565</v>
      </c>
      <c r="O51" s="61">
        <f>Histórico!G51/Histórico!AE51</f>
        <v>1.0262345679012346</v>
      </c>
      <c r="P51" s="61">
        <f>Histórico!F51/Histórico!AD51</f>
        <v>1.010762331838565</v>
      </c>
    </row>
    <row r="52" spans="1:16" x14ac:dyDescent="0.25">
      <c r="A52" s="59">
        <f>+Histórico!A52</f>
        <v>44151</v>
      </c>
      <c r="B52" s="61">
        <f>Histórico!B52/Histórico!F52</f>
        <v>1.1139130434782609</v>
      </c>
      <c r="C52" s="60">
        <f>Histórico!F52/Histórico!J52</f>
        <v>1.074967283604412</v>
      </c>
      <c r="D52" s="61">
        <f>Histórico!F52/Histórico!N52</f>
        <v>1.0052447552447552</v>
      </c>
      <c r="E52" s="61">
        <f>Histórico!F52/Histórico!R52</f>
        <v>1.1100386100386099</v>
      </c>
      <c r="F52" s="61">
        <f>Histórico!R52/Histórico!J52</f>
        <v>0.9684053094036269</v>
      </c>
      <c r="G52" s="61">
        <f>Histórico!N52/Histórico!R52</f>
        <v>1.1042471042471043</v>
      </c>
      <c r="H52" s="61">
        <f>Histórico!N52/Histórico!J52</f>
        <v>1.0693587586464759</v>
      </c>
      <c r="I52" s="61">
        <f>Histórico!B52/Histórico!R52</f>
        <v>1.2364864864864864</v>
      </c>
      <c r="J52" s="61">
        <f>Histórico!C52/Histórico!G52</f>
        <v>1.1177347242921014</v>
      </c>
      <c r="K52" s="61">
        <f>Histórico!B52/Histórico!N52</f>
        <v>1.1197552447552448</v>
      </c>
      <c r="L52" s="61">
        <f>Histórico!B52/Histórico!J52</f>
        <v>1.1974200785193494</v>
      </c>
      <c r="M52" s="61">
        <f>+Histórico!N52/Histórico!F52</f>
        <v>0.99478260869565216</v>
      </c>
      <c r="N52" s="61">
        <f>Histórico!F52/Histórico!AD52</f>
        <v>1.0267857142857142</v>
      </c>
      <c r="O52" s="61">
        <f>Histórico!G52/Histórico!AE52</f>
        <v>1.0288780986455404</v>
      </c>
      <c r="P52" s="61">
        <f>Histórico!F52/Histórico!AD52</f>
        <v>1.0267857142857142</v>
      </c>
    </row>
    <row r="53" spans="1:16" x14ac:dyDescent="0.25">
      <c r="A53" s="59">
        <f>+Histórico!A53</f>
        <v>44152</v>
      </c>
      <c r="B53" s="61">
        <f>Histórico!B53/Histórico!F53</f>
        <v>1.0931778929188256</v>
      </c>
      <c r="C53" s="60">
        <f>Histórico!F53/Histórico!J53</f>
        <v>1.0692520775623269</v>
      </c>
      <c r="D53" s="61">
        <f>Histórico!F53/Histórico!N53</f>
        <v>1.0106475824751266</v>
      </c>
      <c r="E53" s="61">
        <f>Histórico!F53/Histórico!R53</f>
        <v>1.1254738069783263</v>
      </c>
      <c r="F53" s="61">
        <f>Histórico!R53/Histórico!J53</f>
        <v>0.95004616805170827</v>
      </c>
      <c r="G53" s="61">
        <f>Histórico!N53/Histórico!R53</f>
        <v>1.1136164836232869</v>
      </c>
      <c r="H53" s="61">
        <f>Histórico!N53/Histórico!J53</f>
        <v>1.0579870729455216</v>
      </c>
      <c r="I53" s="61">
        <f>Histórico!B53/Histórico!R53</f>
        <v>1.2303430848478958</v>
      </c>
      <c r="J53" s="61">
        <f>Histórico!C53/Histórico!G53</f>
        <v>1.0963165754106521</v>
      </c>
      <c r="K53" s="61">
        <f>Histórico!B53/Histórico!N53</f>
        <v>1.1048175946936638</v>
      </c>
      <c r="L53" s="61">
        <f>Histórico!B53/Histórico!J53</f>
        <v>1.1688827331486611</v>
      </c>
      <c r="M53" s="61">
        <f>+Histórico!N53/Histórico!F53</f>
        <v>0.98946459412780652</v>
      </c>
      <c r="N53" s="61">
        <f>Histórico!F53/Histórico!AD53</f>
        <v>1.0339285714285715</v>
      </c>
      <c r="O53" s="61">
        <f>Histórico!G53/Histórico!AE53</f>
        <v>1.0449934980494147</v>
      </c>
      <c r="P53" s="61">
        <f>Histórico!F53/Histórico!AD53</f>
        <v>1.0339285714285715</v>
      </c>
    </row>
    <row r="54" spans="1:16" x14ac:dyDescent="0.25">
      <c r="A54" s="59">
        <f>+Histórico!A54</f>
        <v>44153</v>
      </c>
      <c r="B54" s="61">
        <f>Histórico!B54/Histórico!F54</f>
        <v>1.1024137931034483</v>
      </c>
      <c r="C54" s="60">
        <f>Histórico!F54/Histórico!J54</f>
        <v>1.0506294719681188</v>
      </c>
      <c r="D54" s="61">
        <f>Histórico!F54/Histórico!N54</f>
        <v>1.0034602076124568</v>
      </c>
      <c r="E54" s="61">
        <f>Histórico!F54/Histórico!R54</f>
        <v>1.1047619047619048</v>
      </c>
      <c r="F54" s="61">
        <f>Histórico!R54/Histórico!J54</f>
        <v>0.95100081514355583</v>
      </c>
      <c r="G54" s="61">
        <f>Histórico!N54/Histórico!R54</f>
        <v>1.1009523809523809</v>
      </c>
      <c r="H54" s="61">
        <f>Histórico!N54/Histórico!J54</f>
        <v>1.0470066117199528</v>
      </c>
      <c r="I54" s="61">
        <f>Histórico!B54/Histórico!R54</f>
        <v>1.2179047619047618</v>
      </c>
      <c r="J54" s="61">
        <f>Histórico!C54/Histórico!G54</f>
        <v>1.0946149974836437</v>
      </c>
      <c r="K54" s="61">
        <f>Histórico!B54/Histórico!N54</f>
        <v>1.1062283737024221</v>
      </c>
      <c r="L54" s="61">
        <f>Histórico!B54/Histórico!J54</f>
        <v>1.1582284213386469</v>
      </c>
      <c r="M54" s="61">
        <f>+Histórico!N54/Histórico!F54</f>
        <v>0.99655172413793103</v>
      </c>
      <c r="N54" s="61">
        <f>Histórico!F54/Histórico!AD54</f>
        <v>1.0394265232974911</v>
      </c>
      <c r="O54" s="61">
        <f>Histórico!G54/Histórico!AE54</f>
        <v>1.0416775884665794</v>
      </c>
      <c r="P54" s="61">
        <f>Histórico!F54/Histórico!AD54</f>
        <v>1.0394265232974911</v>
      </c>
    </row>
    <row r="55" spans="1:16" x14ac:dyDescent="0.25">
      <c r="A55" s="59">
        <f>+Histórico!A55</f>
        <v>44154</v>
      </c>
      <c r="B55" s="61">
        <f>Histórico!B55/Histórico!F55</f>
        <v>1.0887061877974902</v>
      </c>
      <c r="C55" s="60">
        <f>Histórico!F55/Histórico!J55</f>
        <v>1.060091743119266</v>
      </c>
      <c r="D55" s="61">
        <f>Histórico!F55/Histórico!N55</f>
        <v>1.0058321727019499</v>
      </c>
      <c r="E55" s="61">
        <f>Histórico!F55/Histórico!R55</f>
        <v>1.1072249904177847</v>
      </c>
      <c r="F55" s="61">
        <f>Histórico!R55/Histórico!J55</f>
        <v>0.95743119266055043</v>
      </c>
      <c r="G55" s="61">
        <f>Histórico!N55/Histórico!R55</f>
        <v>1.100804906094289</v>
      </c>
      <c r="H55" s="61">
        <f>Histórico!N55/Histórico!J55</f>
        <v>1.0539449541284405</v>
      </c>
      <c r="I55" s="61">
        <f>Histórico!B55/Histórico!R55</f>
        <v>1.2054426983518589</v>
      </c>
      <c r="J55" s="61">
        <f>Histórico!C55/Histórico!G55</f>
        <v>1.0727872178544255</v>
      </c>
      <c r="K55" s="61">
        <f>Histórico!B55/Histórico!N55</f>
        <v>1.0950557103064067</v>
      </c>
      <c r="L55" s="61">
        <f>Histórico!B55/Histórico!J55</f>
        <v>1.1541284403669725</v>
      </c>
      <c r="M55" s="61">
        <f>+Histórico!N55/Histórico!F55</f>
        <v>0.99420164430982261</v>
      </c>
      <c r="N55" s="61">
        <f>Histórico!F55/Histórico!AD55</f>
        <v>1.0466485507246377</v>
      </c>
      <c r="O55" s="61">
        <f>Histórico!G55/Histórico!AE55</f>
        <v>1.0571045576407507</v>
      </c>
      <c r="P55" s="61">
        <f>Histórico!F55/Histórico!AD55</f>
        <v>1.0466485507246377</v>
      </c>
    </row>
    <row r="56" spans="1:16" x14ac:dyDescent="0.25">
      <c r="A56" s="59">
        <f>+Histórico!A56</f>
        <v>44155</v>
      </c>
      <c r="B56" s="61">
        <f>Histórico!B56/Histórico!F56</f>
        <v>1.0937010614233513</v>
      </c>
      <c r="C56" s="60">
        <f>Histórico!F56/Histórico!J56</f>
        <v>1.0568223611621921</v>
      </c>
      <c r="D56" s="61">
        <f>Histórico!F56/Histórico!N56</f>
        <v>1.0100175746924429</v>
      </c>
      <c r="E56" s="61">
        <f>Histórico!F56/Histórico!R56</f>
        <v>1.0989578353571088</v>
      </c>
      <c r="F56" s="61">
        <f>Histórico!R56/Histórico!J56</f>
        <v>0.96165869805075399</v>
      </c>
      <c r="G56" s="61">
        <f>Histórico!N56/Histórico!R56</f>
        <v>1.0880581317525575</v>
      </c>
      <c r="H56" s="61">
        <f>Histórico!N56/Histórico!J56</f>
        <v>1.0463405663847003</v>
      </c>
      <c r="I56" s="61">
        <f>Histórico!B56/Histórico!R56</f>
        <v>1.2019313509895784</v>
      </c>
      <c r="J56" s="61">
        <f>Histórico!C56/Histórico!G56</f>
        <v>1.0806658130601794</v>
      </c>
      <c r="K56" s="61">
        <f>Histórico!B56/Histórico!N56</f>
        <v>1.1046572934973637</v>
      </c>
      <c r="L56" s="61">
        <f>Histórico!B56/Histórico!J56</f>
        <v>1.1558477381390218</v>
      </c>
      <c r="M56" s="61">
        <f>+Histórico!N56/Histórico!F56</f>
        <v>0.99008178179919959</v>
      </c>
      <c r="N56" s="61">
        <f>Histórico!F56/Histórico!AD56</f>
        <v>1.0373646209386282</v>
      </c>
      <c r="O56" s="61">
        <f>Histórico!G56/Histórico!AE56</f>
        <v>1.0371845949535192</v>
      </c>
      <c r="P56" s="61">
        <f>Histórico!F56/Histórico!AD56</f>
        <v>1.0373646209386282</v>
      </c>
    </row>
    <row r="57" spans="1:16" x14ac:dyDescent="0.25">
      <c r="A57" s="59">
        <f>+Histórico!A57</f>
        <v>44159</v>
      </c>
      <c r="B57" s="61">
        <f>Histórico!B57/Histórico!F57</f>
        <v>1.0982593559617058</v>
      </c>
      <c r="C57" s="60">
        <f>Histórico!F57/Histórico!J57</f>
        <v>1.0760442030342761</v>
      </c>
      <c r="D57" s="61">
        <f>Histórico!F57/Histórico!N57</f>
        <v>1.0277280858676208</v>
      </c>
      <c r="E57" s="61">
        <f>Histórico!F57/Histórico!R57</f>
        <v>1.1048076923076924</v>
      </c>
      <c r="F57" s="61">
        <f>Histórico!R57/Histórico!J57</f>
        <v>0.97396516201535865</v>
      </c>
      <c r="G57" s="61">
        <f>Histórico!N57/Histórico!R57</f>
        <v>1.075</v>
      </c>
      <c r="H57" s="61">
        <f>Histórico!N57/Histórico!J57</f>
        <v>1.0470125491665105</v>
      </c>
      <c r="I57" s="61">
        <f>Histórico!B57/Histórico!R57</f>
        <v>1.2133653846153847</v>
      </c>
      <c r="J57" s="61">
        <f>Histórico!C57/Histórico!G57</f>
        <v>1.0978120978120978</v>
      </c>
      <c r="K57" s="61">
        <f>Histórico!B57/Histórico!N57</f>
        <v>1.1287119856887298</v>
      </c>
      <c r="L57" s="61">
        <f>Histórico!B57/Histórico!J57</f>
        <v>1.1817756134107511</v>
      </c>
      <c r="M57" s="61">
        <f>+Histórico!N57/Histórico!F57</f>
        <v>0.9730200174064404</v>
      </c>
      <c r="N57" s="61">
        <f>Histórico!F57/Histórico!AD57</f>
        <v>1.0386910142831314</v>
      </c>
      <c r="O57" s="61">
        <f>Histórico!G57/Histórico!AE57</f>
        <v>1.0346205059920108</v>
      </c>
      <c r="P57" s="61">
        <f>Histórico!F57/Histórico!AD57</f>
        <v>1.0386910142831314</v>
      </c>
    </row>
    <row r="58" spans="1:16" x14ac:dyDescent="0.25">
      <c r="A58" s="59">
        <f>+Histórico!A58</f>
        <v>44160</v>
      </c>
      <c r="B58" s="61">
        <f>Histórico!B58/Histórico!F58</f>
        <v>1.1000000000000001</v>
      </c>
      <c r="C58" s="60">
        <f>Histórico!F58/Histórico!J58</f>
        <v>1.0853152132880333</v>
      </c>
      <c r="D58" s="61">
        <f>Histórico!F58/Histórico!N58</f>
        <v>1.0450745183569612</v>
      </c>
      <c r="E58" s="61">
        <f>Histórico!F58/Histórico!R58</f>
        <v>1.1081133166313355</v>
      </c>
      <c r="F58" s="61">
        <f>Histórico!R58/Histórico!J58</f>
        <v>0.9794261985654964</v>
      </c>
      <c r="G58" s="61">
        <f>Histórico!N58/Histórico!R58</f>
        <v>1.0603199074966274</v>
      </c>
      <c r="H58" s="61">
        <f>Histórico!N58/Histórico!J58</f>
        <v>1.0385050962627407</v>
      </c>
      <c r="I58" s="61">
        <f>Histórico!B58/Histórico!R58</f>
        <v>1.2189246482944691</v>
      </c>
      <c r="J58" s="61">
        <f>Histórico!C58/Histórico!G58</f>
        <v>1.1045918367346936</v>
      </c>
      <c r="K58" s="61">
        <f>Histórico!B58/Histórico!N58</f>
        <v>1.1495819701926573</v>
      </c>
      <c r="L58" s="61">
        <f>Histórico!B58/Histórico!J58</f>
        <v>1.1938467346168364</v>
      </c>
      <c r="M58" s="61">
        <f>+Histórico!N58/Histórico!F58</f>
        <v>0.9568695652173913</v>
      </c>
      <c r="N58" s="61">
        <f>Histórico!F58/Histórico!AD58</f>
        <v>1.0599078341013826</v>
      </c>
      <c r="O58" s="61">
        <f>Histórico!G58/Histórico!AE58</f>
        <v>1.0523489932885908</v>
      </c>
      <c r="P58" s="61">
        <f>Histórico!F58/Histórico!AD58</f>
        <v>1.0599078341013826</v>
      </c>
    </row>
    <row r="59" spans="1:16" x14ac:dyDescent="0.25">
      <c r="A59" s="59">
        <f>+Histórico!A59</f>
        <v>44161</v>
      </c>
      <c r="B59" s="61">
        <f>Histórico!B59/Histórico!F59</f>
        <v>1.1075739023963618</v>
      </c>
      <c r="C59" s="60">
        <f>Histórico!F59/Histórico!J59</f>
        <v>1.0910305343511451</v>
      </c>
      <c r="D59" s="61">
        <f>Histórico!F59/Histórico!N59</f>
        <v>1.0338155515370706</v>
      </c>
      <c r="E59" s="61">
        <f>Histórico!F59/Histórico!R59</f>
        <v>1.1124732438217553</v>
      </c>
      <c r="F59" s="61">
        <f>Histórico!R59/Histórico!J59</f>
        <v>0.98072519083969467</v>
      </c>
      <c r="G59" s="61">
        <f>Histórico!N59/Histórico!R59</f>
        <v>1.0760848414088344</v>
      </c>
      <c r="H59" s="61">
        <f>Histórico!N59/Histórico!J59</f>
        <v>1.0553435114503817</v>
      </c>
      <c r="I59" s="61">
        <f>Histórico!B59/Histórico!R59</f>
        <v>1.2321463319712007</v>
      </c>
      <c r="J59" s="61">
        <f>Histórico!C59/Histórico!G59</f>
        <v>1.1076923076923078</v>
      </c>
      <c r="K59" s="61">
        <f>Histórico!B59/Histórico!N59</f>
        <v>1.1450271247739603</v>
      </c>
      <c r="L59" s="61">
        <f>Histórico!B59/Histórico!J59</f>
        <v>1.2083969465648854</v>
      </c>
      <c r="M59" s="61">
        <f>+Histórico!N59/Histórico!F59</f>
        <v>0.9672905369949274</v>
      </c>
      <c r="N59" s="61">
        <f>Histórico!F59/Histórico!AD59</f>
        <v>1.040400363967243</v>
      </c>
      <c r="O59" s="61">
        <f>Histórico!G59/Histórico!AE59</f>
        <v>1.0427807486631016</v>
      </c>
      <c r="P59" s="61">
        <f>Histórico!F59/Histórico!AD59</f>
        <v>1.040400363967243</v>
      </c>
    </row>
    <row r="60" spans="1:16" x14ac:dyDescent="0.25">
      <c r="A60" s="59">
        <f>+Histórico!A60</f>
        <v>44162</v>
      </c>
      <c r="B60" s="61">
        <f>Histórico!B60/Histórico!F60</f>
        <v>1.1015156855833628</v>
      </c>
      <c r="C60" s="60">
        <f>Histórico!F60/Histórico!J60</f>
        <v>1.0727925883910001</v>
      </c>
      <c r="D60" s="61">
        <f>Histórico!F60/Histórico!N60</f>
        <v>1.0363470319634702</v>
      </c>
      <c r="E60" s="61">
        <f>Histórico!F60/Histórico!R60</f>
        <v>1.1041058571706557</v>
      </c>
      <c r="F60" s="61">
        <f>Histórico!R60/Histórico!J60</f>
        <v>0.97163925127623374</v>
      </c>
      <c r="G60" s="61">
        <f>Histórico!N60/Histórico!R60</f>
        <v>1.0653823701109164</v>
      </c>
      <c r="H60" s="61">
        <f>Histórico!N60/Histórico!J60</f>
        <v>1.0351673284174703</v>
      </c>
      <c r="I60" s="61">
        <f>Histórico!B60/Histórico!R60</f>
        <v>1.2161899202179411</v>
      </c>
      <c r="J60" s="61">
        <f>Histórico!C60/Histórico!G60</f>
        <v>1.1015124327095618</v>
      </c>
      <c r="K60" s="61">
        <f>Histórico!B60/Histórico!N60</f>
        <v>1.1415525114155252</v>
      </c>
      <c r="L60" s="61">
        <f>Histórico!B60/Histórico!J60</f>
        <v>1.1816978634902628</v>
      </c>
      <c r="M60" s="61">
        <f>+Histórico!N60/Histórico!F60</f>
        <v>0.9649277405710257</v>
      </c>
      <c r="N60" s="61">
        <f>Histórico!F60/Histórico!AD60</f>
        <v>1.0177578475336322</v>
      </c>
      <c r="O60" s="61">
        <f>Histórico!G60/Histórico!AE60</f>
        <v>1.0311921755220723</v>
      </c>
      <c r="P60" s="61">
        <f>Histórico!F60/Histórico!AD60</f>
        <v>1.0177578475336322</v>
      </c>
    </row>
    <row r="61" spans="1:16" x14ac:dyDescent="0.25">
      <c r="A61" s="59">
        <f>+Histórico!A61</f>
        <v>44165</v>
      </c>
      <c r="B61" s="61">
        <f>Histórico!B61/Histórico!F61</f>
        <v>1.1075076151227379</v>
      </c>
      <c r="C61" s="60">
        <f>Histórico!F61/Histórico!J61</f>
        <v>1.071414858898061</v>
      </c>
      <c r="D61" s="61">
        <f>Histórico!F61/Histórico!N61</f>
        <v>1.0391956056233125</v>
      </c>
      <c r="E61" s="61">
        <f>Histórico!F61/Histórico!R61</f>
        <v>1.1051485148514852</v>
      </c>
      <c r="F61" s="61">
        <f>Histórico!R61/Histórico!J61</f>
        <v>0.96947590708389331</v>
      </c>
      <c r="G61" s="61">
        <f>Histórico!N61/Histórico!R61</f>
        <v>1.0634653465346535</v>
      </c>
      <c r="H61" s="61">
        <f>Histórico!N61/Histórico!J61</f>
        <v>1.0310040314839701</v>
      </c>
      <c r="I61" s="61">
        <f>Histórico!B61/Histórico!R61</f>
        <v>1.2239603960396039</v>
      </c>
      <c r="J61" s="61">
        <f>Histórico!C61/Histórico!G61</f>
        <v>1.092981092981093</v>
      </c>
      <c r="K61" s="61">
        <f>Histórico!B61/Histórico!N61</f>
        <v>1.1509170468299041</v>
      </c>
      <c r="L61" s="61">
        <f>Histórico!B61/Histórico!J61</f>
        <v>1.1866001151852563</v>
      </c>
      <c r="M61" s="61">
        <f>+Histórico!N61/Histórico!F61</f>
        <v>0.96228274502777278</v>
      </c>
      <c r="N61" s="61">
        <f>Histórico!F61/Histórico!AD61</f>
        <v>1.0414256391117747</v>
      </c>
      <c r="O61" s="61">
        <f>Histórico!G61/Histórico!AE61</f>
        <v>1.0520435967302451</v>
      </c>
      <c r="P61" s="61">
        <f>Histórico!F61/Histórico!AD61</f>
        <v>1.0414256391117747</v>
      </c>
    </row>
    <row r="62" spans="1:16" x14ac:dyDescent="0.25">
      <c r="A62" s="59">
        <f>+Histórico!A62</f>
        <v>44166</v>
      </c>
      <c r="B62" s="61">
        <f>Histórico!B62/Histórico!F62</f>
        <v>1.0955459770114941</v>
      </c>
      <c r="C62" s="60">
        <f>Histórico!F62/Histórico!J62</f>
        <v>1.0791743385987014</v>
      </c>
      <c r="D62" s="61">
        <f>Histórico!F62/Histórico!N62</f>
        <v>1.0311111111111111</v>
      </c>
      <c r="E62" s="61">
        <f>Histórico!F62/Histórico!R62</f>
        <v>1.1071783654802148</v>
      </c>
      <c r="F62" s="61">
        <f>Histórico!R62/Histórico!J62</f>
        <v>0.97470685143909297</v>
      </c>
      <c r="G62" s="61">
        <f>Histórico!N62/Histórico!R62</f>
        <v>1.0737721216941738</v>
      </c>
      <c r="H62" s="61">
        <f>Histórico!N62/Histórico!J62</f>
        <v>1.0466130438996026</v>
      </c>
      <c r="I62" s="61">
        <f>Histórico!B62/Histórico!R62</f>
        <v>1.212964804136011</v>
      </c>
      <c r="J62" s="61">
        <f>Histórico!C62/Histórico!G62</f>
        <v>1.0878378378378379</v>
      </c>
      <c r="K62" s="61">
        <f>Histórico!B62/Histórico!N62</f>
        <v>1.1296296296296295</v>
      </c>
      <c r="L62" s="61">
        <f>Histórico!B62/Histórico!J62</f>
        <v>1.1822851051458474</v>
      </c>
      <c r="M62" s="61">
        <f>+Histórico!N62/Histórico!F62</f>
        <v>0.96982758620689657</v>
      </c>
      <c r="N62" s="61">
        <f>Histórico!F62/Histórico!AD62</f>
        <v>1.0525519848771268</v>
      </c>
      <c r="O62" s="61">
        <f>Histórico!G62/Histórico!AE62</f>
        <v>1.0513661202185791</v>
      </c>
      <c r="P62" s="61">
        <f>Histórico!F62/Histórico!AD62</f>
        <v>1.0525519848771268</v>
      </c>
    </row>
    <row r="63" spans="1:16" x14ac:dyDescent="0.25">
      <c r="A63" s="59">
        <f>+Histórico!A63</f>
        <v>44167</v>
      </c>
      <c r="B63" s="61">
        <f>Histórico!B63/Histórico!F63</f>
        <v>1.0764405412671387</v>
      </c>
      <c r="C63" s="60">
        <f>Histórico!F63/Histórico!J63</f>
        <v>1.090811339198436</v>
      </c>
      <c r="D63" s="61">
        <f>Histórico!F63/Histórico!N63</f>
        <v>1.0361188486536677</v>
      </c>
      <c r="E63" s="61">
        <f>Histórico!F63/Histórico!R63</f>
        <v>1.1158999999999999</v>
      </c>
      <c r="F63" s="61">
        <f>Histórico!R63/Histórico!J63</f>
        <v>0.97751710654936463</v>
      </c>
      <c r="G63" s="61">
        <f>Histórico!N63/Histórico!R63</f>
        <v>1.077</v>
      </c>
      <c r="H63" s="61">
        <f>Histórico!N63/Histórico!J63</f>
        <v>1.0527859237536656</v>
      </c>
      <c r="I63" s="61">
        <f>Histórico!B63/Histórico!R63</f>
        <v>1.2012</v>
      </c>
      <c r="J63" s="61">
        <f>Histórico!C63/Histórico!G63</f>
        <v>1.0804657179818888</v>
      </c>
      <c r="K63" s="61">
        <f>Histórico!B63/Histórico!N63</f>
        <v>1.1153203342618385</v>
      </c>
      <c r="L63" s="61">
        <f>Histórico!B63/Histórico!J63</f>
        <v>1.1741935483870967</v>
      </c>
      <c r="M63" s="61">
        <f>+Histórico!N63/Histórico!F63</f>
        <v>0.96514024554171518</v>
      </c>
      <c r="N63" s="61">
        <f>Histórico!F63/Histórico!AD63</f>
        <v>1.0627619047619048</v>
      </c>
      <c r="O63" s="61">
        <f>Histórico!G63/Histórico!AE63</f>
        <v>1.0647382920110193</v>
      </c>
      <c r="P63" s="61">
        <f>Histórico!F63/Histórico!AD63</f>
        <v>1.0627619047619048</v>
      </c>
    </row>
    <row r="64" spans="1:16" x14ac:dyDescent="0.25">
      <c r="A64" s="59">
        <f>+Histórico!A64</f>
        <v>44168</v>
      </c>
      <c r="B64" s="61">
        <f>Histórico!B64/Histórico!F64</f>
        <v>1.073394495412844</v>
      </c>
      <c r="C64" s="60">
        <f>Histórico!F64/Histórico!J64</f>
        <v>1.0867397806580259</v>
      </c>
      <c r="D64" s="61">
        <f>Histórico!F64/Histórico!N64</f>
        <v>1.0351377018043684</v>
      </c>
      <c r="E64" s="61">
        <f>Histórico!F64/Histórico!R64</f>
        <v>1.1102057445508251</v>
      </c>
      <c r="F64" s="61">
        <f>Histórico!R64/Histórico!J64</f>
        <v>0.97886340977068798</v>
      </c>
      <c r="G64" s="61">
        <f>Histórico!N64/Histórico!R64</f>
        <v>1.0725198614789162</v>
      </c>
      <c r="H64" s="61">
        <f>Histórico!N64/Histórico!J64</f>
        <v>1.0498504486540379</v>
      </c>
      <c r="I64" s="61">
        <f>Histórico!B64/Histórico!R64</f>
        <v>1.1916887349765737</v>
      </c>
      <c r="J64" s="61">
        <f>Histórico!C64/Histórico!G64</f>
        <v>1.0741025641025641</v>
      </c>
      <c r="K64" s="61">
        <f>Histórico!B64/Histórico!N64</f>
        <v>1.1111111111111112</v>
      </c>
      <c r="L64" s="61">
        <f>Histórico!B64/Histórico!J64</f>
        <v>1.1665004985044864</v>
      </c>
      <c r="M64" s="61">
        <f>+Histórico!N64/Histórico!F64</f>
        <v>0.96605504587155966</v>
      </c>
      <c r="N64" s="61">
        <f>Histórico!F64/Histórico!AD64</f>
        <v>1.0642452645967584</v>
      </c>
      <c r="O64" s="61">
        <f>Histórico!G64/Histórico!AE64</f>
        <v>1.0726072607260726</v>
      </c>
      <c r="P64" s="61">
        <f>Histórico!F64/Histórico!AD64</f>
        <v>1.0642452645967584</v>
      </c>
    </row>
    <row r="65" spans="1:16" x14ac:dyDescent="0.25">
      <c r="A65" s="59">
        <f>+Histórico!A65</f>
        <v>44169</v>
      </c>
      <c r="B65" s="61">
        <f>Histórico!B65/Histórico!F65</f>
        <v>1.0797008936713477</v>
      </c>
      <c r="C65" s="60">
        <f>Histórico!F65/Histórico!J65</f>
        <v>1.0900596421471174</v>
      </c>
      <c r="D65" s="61">
        <f>Histórico!F65/Histórico!N65</f>
        <v>1.0473734479465138</v>
      </c>
      <c r="E65" s="61">
        <f>Histórico!F65/Histórico!R65</f>
        <v>1.1263352506162696</v>
      </c>
      <c r="F65" s="61">
        <f>Histórico!R65/Histórico!J65</f>
        <v>0.96779324055666005</v>
      </c>
      <c r="G65" s="61">
        <f>Histórico!N65/Histórico!R65</f>
        <v>1.0753903040262942</v>
      </c>
      <c r="H65" s="61">
        <f>Histórico!N65/Histórico!J65</f>
        <v>1.0407554671968191</v>
      </c>
      <c r="I65" s="61">
        <f>Histórico!B65/Histórico!R65</f>
        <v>1.2161051766639277</v>
      </c>
      <c r="J65" s="61">
        <f>Histórico!C65/Histórico!G65</f>
        <v>1.0818652849740931</v>
      </c>
      <c r="K65" s="61">
        <f>Histórico!B65/Histórico!N65</f>
        <v>1.1308500477554919</v>
      </c>
      <c r="L65" s="61">
        <f>Histórico!B65/Histórico!J65</f>
        <v>1.1769383697813121</v>
      </c>
      <c r="M65" s="61">
        <f>+Histórico!N65/Histórico!F65</f>
        <v>0.95476928688674079</v>
      </c>
      <c r="N65" s="61">
        <f>Histórico!F65/Histórico!AD65</f>
        <v>1.0784815106215577</v>
      </c>
      <c r="O65" s="61">
        <f>Histórico!G65/Histórico!AE65</f>
        <v>1.0725201444845791</v>
      </c>
      <c r="P65" s="61">
        <f>Histórico!F65/Histórico!AD65</f>
        <v>1.0784815106215577</v>
      </c>
    </row>
    <row r="66" spans="1:16" x14ac:dyDescent="0.25">
      <c r="A66" s="59">
        <f>+Histórico!A66</f>
        <v>44174</v>
      </c>
      <c r="B66" s="61">
        <f>Histórico!B66/Histórico!F66</f>
        <v>1.0711013377313543</v>
      </c>
      <c r="C66" s="60">
        <f>Histórico!F66/Histórico!J66</f>
        <v>1.113673469387755</v>
      </c>
      <c r="D66" s="61">
        <f>Histórico!F66/Histórico!N66</f>
        <v>1.0534749034749036</v>
      </c>
      <c r="E66" s="61">
        <f>Histórico!F66/Histórico!R66</f>
        <v>1.1347473487211479</v>
      </c>
      <c r="F66" s="61">
        <f>Histórico!R66/Histórico!J66</f>
        <v>0.98142857142857143</v>
      </c>
      <c r="G66" s="61">
        <f>Histórico!N66/Histórico!R66</f>
        <v>1.0771470160116448</v>
      </c>
      <c r="H66" s="61">
        <f>Histórico!N66/Histórico!J66</f>
        <v>1.0571428571428572</v>
      </c>
      <c r="I66" s="61">
        <f>Histórico!B66/Histórico!R66</f>
        <v>1.215429403202329</v>
      </c>
      <c r="J66" s="61">
        <f>Histórico!C66/Histórico!G66</f>
        <v>1.0659509202453989</v>
      </c>
      <c r="K66" s="61">
        <f>Histórico!B66/Histórico!N66</f>
        <v>1.1283783783783783</v>
      </c>
      <c r="L66" s="61">
        <f>Histórico!B66/Histórico!J66</f>
        <v>1.1928571428571428</v>
      </c>
      <c r="M66" s="61">
        <f>+Histórico!N66/Histórico!F66</f>
        <v>0.94923950888766717</v>
      </c>
      <c r="N66" s="61">
        <f>Histórico!F66/Histórico!AD66</f>
        <v>1.0979879275653923</v>
      </c>
      <c r="O66" s="61">
        <f>Histórico!G66/Histórico!AE66</f>
        <v>1.095798319327731</v>
      </c>
      <c r="P66" s="61">
        <f>Histórico!F66/Histórico!AD66</f>
        <v>1.0979879275653923</v>
      </c>
    </row>
    <row r="67" spans="1:16" x14ac:dyDescent="0.25">
      <c r="A67" s="59">
        <f>+Histórico!A67</f>
        <v>44175</v>
      </c>
      <c r="B67" s="61">
        <f>Histórico!B67/Histórico!F67</f>
        <v>1.0623746124384461</v>
      </c>
      <c r="C67" s="60">
        <f>Histórico!F67/Histórico!J67</f>
        <v>1.1144308943089432</v>
      </c>
      <c r="D67" s="61">
        <f>Histórico!F67/Histórico!N67</f>
        <v>1.0625968992248063</v>
      </c>
      <c r="E67" s="61">
        <f>Histórico!F67/Histórico!R67</f>
        <v>1.1485127775450357</v>
      </c>
      <c r="F67" s="61">
        <f>Histórico!R67/Histórico!J67</f>
        <v>0.97032520325203253</v>
      </c>
      <c r="G67" s="61">
        <f>Histórico!N67/Histórico!R67</f>
        <v>1.080854629241726</v>
      </c>
      <c r="H67" s="61">
        <f>Histórico!N67/Histórico!J67</f>
        <v>1.0487804878048781</v>
      </c>
      <c r="I67" s="61">
        <f>Histórico!B67/Histórico!R67</f>
        <v>1.2201508169250104</v>
      </c>
      <c r="J67" s="61">
        <f>Histórico!C67/Histórico!G67</f>
        <v>1.0617595160070581</v>
      </c>
      <c r="K67" s="61">
        <f>Histórico!B67/Histórico!N67</f>
        <v>1.1288759689922481</v>
      </c>
      <c r="L67" s="61">
        <f>Histórico!B67/Histórico!J67</f>
        <v>1.1839430894308942</v>
      </c>
      <c r="M67" s="61">
        <f>+Histórico!N67/Histórico!F67</f>
        <v>0.94109064380813423</v>
      </c>
      <c r="N67" s="61">
        <f>Histórico!F67/Histórico!AD67</f>
        <v>1.0857425742574258</v>
      </c>
      <c r="O67" s="61">
        <f>Histórico!G67/Histórico!AE67</f>
        <v>1.0809264305177111</v>
      </c>
      <c r="P67" s="61">
        <f>Histórico!F67/Histórico!AD67</f>
        <v>1.0857425742574258</v>
      </c>
    </row>
    <row r="68" spans="1:16" x14ac:dyDescent="0.25">
      <c r="A68" s="59">
        <f>+Histórico!A68</f>
        <v>44176</v>
      </c>
      <c r="B68" s="61">
        <f>Histórico!B68/Histórico!F68</f>
        <v>1.0574506283662477</v>
      </c>
      <c r="C68" s="60">
        <f>Histórico!F68/Histórico!J68</f>
        <v>1.1195979899497488</v>
      </c>
      <c r="D68" s="61">
        <f>Histórico!F68/Histórico!N68</f>
        <v>1.0690978886756237</v>
      </c>
      <c r="E68" s="61">
        <f>Histórico!F68/Histórico!R68</f>
        <v>1.1413934426229508</v>
      </c>
      <c r="F68" s="61">
        <f>Histórico!R68/Histórico!J68</f>
        <v>0.98090452261306538</v>
      </c>
      <c r="G68" s="61">
        <f>Histórico!N68/Histórico!R68</f>
        <v>1.0676229508196722</v>
      </c>
      <c r="H68" s="61">
        <f>Histórico!N68/Histórico!J68</f>
        <v>1.0472361809045225</v>
      </c>
      <c r="I68" s="61">
        <f>Histórico!B68/Histórico!R68</f>
        <v>1.2069672131147542</v>
      </c>
      <c r="J68" s="61">
        <f>Histórico!C68/Histórico!G68</f>
        <v>1.0519447929736512</v>
      </c>
      <c r="K68" s="61">
        <f>Histórico!B68/Histórico!N68</f>
        <v>1.1305182341650672</v>
      </c>
      <c r="L68" s="61">
        <f>Histórico!B68/Histórico!J68</f>
        <v>1.1839195979899497</v>
      </c>
      <c r="M68" s="61">
        <f>+Histórico!N68/Histórico!F68</f>
        <v>0.93536804308797128</v>
      </c>
      <c r="N68" s="61">
        <f>Histórico!F68/Histórico!AD68</f>
        <v>1.0708449485725271</v>
      </c>
      <c r="O68" s="61">
        <f>Histórico!G68/Histórico!AE68</f>
        <v>1.077027027027027</v>
      </c>
      <c r="P68" s="61">
        <f>Histórico!F68/Histórico!AD68</f>
        <v>1.0708449485725271</v>
      </c>
    </row>
    <row r="69" spans="1:16" x14ac:dyDescent="0.25">
      <c r="A69" s="59">
        <f>+Histórico!A69</f>
        <v>44179</v>
      </c>
      <c r="B69" s="61">
        <f>Histórico!B69/Histórico!F69</f>
        <v>1.0357016613644396</v>
      </c>
      <c r="C69" s="60">
        <f>Histórico!F69/Histórico!J69</f>
        <v>1.1327327327327328</v>
      </c>
      <c r="D69" s="61">
        <f>Histórico!F69/Histórico!N69</f>
        <v>1.0777142857142856</v>
      </c>
      <c r="E69" s="61">
        <f>Histórico!F69/Histórico!R69</f>
        <v>1.1615684664339971</v>
      </c>
      <c r="F69" s="61">
        <f>Histórico!R69/Histórico!J69</f>
        <v>0.97517517517517516</v>
      </c>
      <c r="G69" s="61">
        <f>Histórico!N69/Histórico!R69</f>
        <v>1.0778074317388626</v>
      </c>
      <c r="H69" s="61">
        <f>Histórico!N69/Histórico!J69</f>
        <v>1.0510510510510511</v>
      </c>
      <c r="I69" s="61">
        <f>Histórico!B69/Histórico!R69</f>
        <v>1.2030383904742352</v>
      </c>
      <c r="J69" s="61">
        <f>Histórico!C69/Histórico!G69</f>
        <v>1.0416563352343169</v>
      </c>
      <c r="K69" s="61">
        <f>Histórico!B69/Histórico!N69</f>
        <v>1.1161904761904762</v>
      </c>
      <c r="L69" s="61">
        <f>Histórico!B69/Histórico!J69</f>
        <v>1.1731731731731732</v>
      </c>
      <c r="M69" s="61">
        <f>+Histórico!N69/Histórico!F69</f>
        <v>0.92788971367974549</v>
      </c>
      <c r="N69" s="61">
        <f>Histórico!F69/Histórico!AD69</f>
        <v>1.0818355640535373</v>
      </c>
      <c r="O69" s="61">
        <f>Histórico!G69/Histórico!AE69</f>
        <v>1.0870619946091644</v>
      </c>
      <c r="P69" s="61">
        <f>Histórico!F69/Histórico!AD69</f>
        <v>1.0818355640535373</v>
      </c>
    </row>
    <row r="70" spans="1:16" x14ac:dyDescent="0.25">
      <c r="A70" s="59">
        <f>+Histórico!A70</f>
        <v>44180</v>
      </c>
      <c r="B70" s="61">
        <f>Histórico!B70/Histórico!F70</f>
        <v>1.0357583230579532</v>
      </c>
      <c r="C70" s="60">
        <f>Histórico!F70/Histórico!J70</f>
        <v>1.1354</v>
      </c>
      <c r="D70" s="61">
        <f>Histórico!F70/Histórico!N70</f>
        <v>1.0760045489006824</v>
      </c>
      <c r="E70" s="61">
        <f>Histórico!F70/Histórico!R70</f>
        <v>1.1526903553299492</v>
      </c>
      <c r="F70" s="61">
        <f>Histórico!R70/Histórico!J70</f>
        <v>0.98499999999999999</v>
      </c>
      <c r="G70" s="61">
        <f>Histórico!N70/Histórico!R70</f>
        <v>1.071269035532995</v>
      </c>
      <c r="H70" s="61">
        <f>Histórico!N70/Histórico!J70</f>
        <v>1.0551999999999999</v>
      </c>
      <c r="I70" s="61">
        <f>Histórico!B70/Histórico!R70</f>
        <v>1.1939086294416243</v>
      </c>
      <c r="J70" s="61">
        <f>Histórico!C70/Histórico!G70</f>
        <v>1.042967774169373</v>
      </c>
      <c r="K70" s="61">
        <f>Histórico!B70/Histórico!N70</f>
        <v>1.1144806671721001</v>
      </c>
      <c r="L70" s="61">
        <f>Histórico!B70/Histórico!J70</f>
        <v>1.1759999999999999</v>
      </c>
      <c r="M70" s="61">
        <f>+Histórico!N70/Histórico!F70</f>
        <v>0.92936410075744236</v>
      </c>
      <c r="N70" s="61">
        <f>Histórico!F70/Histórico!AD70</f>
        <v>1.0896353166986563</v>
      </c>
      <c r="O70" s="61">
        <f>Histórico!G70/Histórico!AE70</f>
        <v>1.0910329790133553</v>
      </c>
      <c r="P70" s="61">
        <f>Histórico!F70/Histórico!AD70</f>
        <v>1.0896353166986563</v>
      </c>
    </row>
    <row r="71" spans="1:16" x14ac:dyDescent="0.25">
      <c r="A71" s="59">
        <f>+Histórico!A71</f>
        <v>44181</v>
      </c>
      <c r="B71" s="61">
        <f>Histórico!B71/Histórico!F71</f>
        <v>1.03834860752736</v>
      </c>
      <c r="C71" s="60">
        <f>Histórico!F71/Histórico!J71</f>
        <v>1.1352525252525252</v>
      </c>
      <c r="D71" s="61">
        <f>Histórico!F71/Histórico!N71</f>
        <v>1.0663187855787477</v>
      </c>
      <c r="E71" s="61">
        <f>Histórico!F71/Histórico!R71</f>
        <v>1.1445010183299389</v>
      </c>
      <c r="F71" s="61">
        <f>Histórico!R71/Histórico!J71</f>
        <v>0.99191919191919187</v>
      </c>
      <c r="G71" s="61">
        <f>Histórico!N71/Histórico!R71</f>
        <v>1.0733197556008147</v>
      </c>
      <c r="H71" s="61">
        <f>Histórico!N71/Histórico!J71</f>
        <v>1.0646464646464646</v>
      </c>
      <c r="I71" s="61">
        <f>Histórico!B71/Histórico!R71</f>
        <v>1.1883910386965377</v>
      </c>
      <c r="J71" s="61">
        <f>Histórico!C71/Histórico!G71</f>
        <v>1.044494720965309</v>
      </c>
      <c r="K71" s="61">
        <f>Histórico!B71/Histórico!N71</f>
        <v>1.1072106261859582</v>
      </c>
      <c r="L71" s="61">
        <f>Histórico!B71/Histórico!J71</f>
        <v>1.1787878787878787</v>
      </c>
      <c r="M71" s="61">
        <f>+Histórico!N71/Histórico!F71</f>
        <v>0.93780585461339971</v>
      </c>
      <c r="N71" s="61">
        <f>Histórico!F71/Histórico!AD71</f>
        <v>1.0879961277831558</v>
      </c>
      <c r="O71" s="61">
        <f>Histórico!G71/Histórico!AE71</f>
        <v>1.0868852459016394</v>
      </c>
      <c r="P71" s="61">
        <f>Histórico!F71/Histórico!AD71</f>
        <v>1.0879961277831558</v>
      </c>
    </row>
    <row r="72" spans="1:16" x14ac:dyDescent="0.25">
      <c r="A72" s="59">
        <f>+Histórico!A72</f>
        <v>44182</v>
      </c>
      <c r="B72" s="61">
        <f>Histórico!B72/Histórico!F72</f>
        <v>1.0376181137457656</v>
      </c>
      <c r="C72" s="60">
        <f>Histórico!F72/Histórico!J72</f>
        <v>1.1133386264390632</v>
      </c>
      <c r="D72" s="61">
        <f>Histórico!F72/Histórico!N72</f>
        <v>1.0484112149532709</v>
      </c>
      <c r="E72" s="61">
        <f>Histórico!F72/Histórico!R72</f>
        <v>1.1412004069175992</v>
      </c>
      <c r="F72" s="61">
        <f>Histórico!R72/Histórico!J72</f>
        <v>0.9755855498213577</v>
      </c>
      <c r="G72" s="61">
        <f>Histórico!N72/Histórico!R72</f>
        <v>1.0885045778229909</v>
      </c>
      <c r="H72" s="61">
        <f>Histórico!N72/Histórico!J72</f>
        <v>1.0619293370385074</v>
      </c>
      <c r="I72" s="61">
        <f>Histórico!B72/Histórico!R72</f>
        <v>1.1841302136317395</v>
      </c>
      <c r="J72" s="61">
        <f>Histórico!C72/Histórico!G72</f>
        <v>1.0434236947791165</v>
      </c>
      <c r="K72" s="61">
        <f>Histórico!B72/Histórico!N72</f>
        <v>1.0878504672897196</v>
      </c>
      <c r="L72" s="61">
        <f>Histórico!B72/Histórico!J72</f>
        <v>1.1552203255260023</v>
      </c>
      <c r="M72" s="61">
        <f>+Histórico!N72/Histórico!F72</f>
        <v>0.95382421108932069</v>
      </c>
      <c r="N72" s="61">
        <f>Histórico!F72/Histórico!AD72</f>
        <v>1.079692011549567</v>
      </c>
      <c r="O72" s="61">
        <f>Histórico!G72/Histórico!AE72</f>
        <v>1.0796747967479676</v>
      </c>
      <c r="P72" s="61">
        <f>Histórico!F72/Histórico!AD72</f>
        <v>1.079692011549567</v>
      </c>
    </row>
    <row r="73" spans="1:16" x14ac:dyDescent="0.25">
      <c r="A73" s="59">
        <f>+Histórico!A73</f>
        <v>44183</v>
      </c>
      <c r="B73" s="61">
        <f>Histórico!B73/Histórico!F73</f>
        <v>1.0348056537102472</v>
      </c>
      <c r="C73" s="60">
        <f>Histórico!F73/Histórico!J73</f>
        <v>1.1026690044808105</v>
      </c>
      <c r="D73" s="61">
        <f>Histórico!F73/Histórico!N73</f>
        <v>1.0385321100917431</v>
      </c>
      <c r="E73" s="61">
        <f>Histórico!F73/Histórico!R73</f>
        <v>1.1319999999999999</v>
      </c>
      <c r="F73" s="61">
        <f>Histórico!R73/Histórico!J73</f>
        <v>0.97408922657315411</v>
      </c>
      <c r="G73" s="61">
        <f>Histórico!N73/Histórico!R73</f>
        <v>1.0900000000000001</v>
      </c>
      <c r="H73" s="61">
        <f>Histórico!N73/Histórico!J73</f>
        <v>1.061757256964738</v>
      </c>
      <c r="I73" s="61">
        <f>Histórico!B73/Histórico!R73</f>
        <v>1.1714</v>
      </c>
      <c r="J73" s="61">
        <f>Histórico!C73/Histórico!G73</f>
        <v>1.038040775733466</v>
      </c>
      <c r="K73" s="61">
        <f>Histórico!B73/Histórico!N73</f>
        <v>1.0746788990825689</v>
      </c>
      <c r="L73" s="61">
        <f>Histórico!B73/Histórico!J73</f>
        <v>1.1410481200077927</v>
      </c>
      <c r="M73" s="61">
        <f>+Histórico!N73/Histórico!F73</f>
        <v>0.96289752650176674</v>
      </c>
      <c r="N73" s="61">
        <f>Histórico!F73/Histórico!AD73</f>
        <v>1.078095238095238</v>
      </c>
      <c r="O73" s="61">
        <f>Histórico!G73/Histórico!AE73</f>
        <v>1.0838049043384532</v>
      </c>
      <c r="P73" s="61">
        <f>Histórico!F73/Histórico!AD73</f>
        <v>1.078095238095238</v>
      </c>
    </row>
    <row r="74" spans="1:16" x14ac:dyDescent="0.25">
      <c r="A74" s="59">
        <f>+Histórico!A74</f>
        <v>44186</v>
      </c>
      <c r="B74" s="61">
        <f>Histórico!B74/Histórico!F74</f>
        <v>1.0380194518125552</v>
      </c>
      <c r="C74" s="60">
        <f>Histórico!F74/Histórico!J74</f>
        <v>1.1023391812865497</v>
      </c>
      <c r="D74" s="61">
        <f>Histórico!F74/Histórico!N74</f>
        <v>1.0540540540540539</v>
      </c>
      <c r="E74" s="61">
        <f>Histórico!F74/Histórico!R74</f>
        <v>1.1475243506493507</v>
      </c>
      <c r="F74" s="61">
        <f>Histórico!R74/Histórico!J74</f>
        <v>0.96062378167641327</v>
      </c>
      <c r="G74" s="61">
        <f>Histórico!N74/Histórico!R74</f>
        <v>1.088676948051948</v>
      </c>
      <c r="H74" s="61">
        <f>Histórico!N74/Histórico!J74</f>
        <v>1.0458089668615984</v>
      </c>
      <c r="I74" s="61">
        <f>Histórico!B74/Histórico!R74</f>
        <v>1.1911525974025974</v>
      </c>
      <c r="J74" s="61">
        <f>Histórico!C74/Histórico!G74</f>
        <v>1.0363368524429168</v>
      </c>
      <c r="K74" s="61">
        <f>Histórico!B74/Histórico!N74</f>
        <v>1.0941286113699906</v>
      </c>
      <c r="L74" s="61">
        <f>Histórico!B74/Histórico!J74</f>
        <v>1.1442495126705654</v>
      </c>
      <c r="M74" s="61">
        <f>+Histórico!N74/Histórico!F74</f>
        <v>0.94871794871794868</v>
      </c>
      <c r="N74" s="61">
        <f>Histórico!F74/Histórico!AD74</f>
        <v>1.0771428571428572</v>
      </c>
      <c r="O74" s="61">
        <f>Histórico!G74/Histórico!AE74</f>
        <v>1.0789403973509932</v>
      </c>
      <c r="P74" s="61">
        <f>Histórico!F74/Histórico!AD74</f>
        <v>1.0771428571428572</v>
      </c>
    </row>
    <row r="75" spans="1:16" x14ac:dyDescent="0.25">
      <c r="A75" s="59">
        <f>+Histórico!A75</f>
        <v>44187</v>
      </c>
      <c r="B75" s="61">
        <f>Histórico!B75/Histórico!F75</f>
        <v>1.0368356428696719</v>
      </c>
      <c r="C75" s="60">
        <f>Histórico!F75/Histórico!J75</f>
        <v>1.1080660835762877</v>
      </c>
      <c r="D75" s="61">
        <f>Histórico!F75/Histórico!N75</f>
        <v>1.0557407407407406</v>
      </c>
      <c r="E75" s="61">
        <f>Histórico!F75/Histórico!R75</f>
        <v>1.1336249751441638</v>
      </c>
      <c r="F75" s="61">
        <f>Histórico!R75/Histórico!J75</f>
        <v>0.97745383867832847</v>
      </c>
      <c r="G75" s="61">
        <f>Histórico!N75/Histórico!R75</f>
        <v>1.0737721216941738</v>
      </c>
      <c r="H75" s="61">
        <f>Histórico!N75/Histórico!J75</f>
        <v>1.0495626822157433</v>
      </c>
      <c r="I75" s="61">
        <f>Histórico!B75/Histórico!R75</f>
        <v>1.1753827798767151</v>
      </c>
      <c r="J75" s="61">
        <f>Histórico!C75/Histórico!G75</f>
        <v>1.039056742815033</v>
      </c>
      <c r="K75" s="61">
        <f>Histórico!B75/Histórico!N75</f>
        <v>1.0946296296296296</v>
      </c>
      <c r="L75" s="61">
        <f>Histórico!B75/Histórico!J75</f>
        <v>1.1488824101069</v>
      </c>
      <c r="M75" s="61">
        <f>+Histórico!N75/Histórico!F75</f>
        <v>0.94720224522013685</v>
      </c>
      <c r="N75" s="61">
        <f>Histórico!F75/Histórico!AD75</f>
        <v>1.0756603773584905</v>
      </c>
      <c r="O75" s="61">
        <f>Histórico!G75/Histórico!AE75</f>
        <v>1.0841544607190414</v>
      </c>
      <c r="P75" s="61">
        <f>Histórico!F75/Histórico!AD75</f>
        <v>1.0756603773584905</v>
      </c>
    </row>
    <row r="76" spans="1:16" x14ac:dyDescent="0.25">
      <c r="A76" s="59">
        <f>+Histórico!A76</f>
        <v>44188</v>
      </c>
      <c r="B76" s="61">
        <f>Histórico!B76/Histórico!F76</f>
        <v>1.0436765479740397</v>
      </c>
      <c r="C76" s="60">
        <f>Histórico!F76/Histórico!J76</f>
        <v>1.1027079303675049</v>
      </c>
      <c r="D76" s="61">
        <f>Histórico!F76/Histórico!N76</f>
        <v>1.0450962419798351</v>
      </c>
      <c r="E76" s="61">
        <f>Histórico!F76/Histórico!R76</f>
        <v>1.1402000000000001</v>
      </c>
      <c r="F76" s="61">
        <f>Histórico!R76/Histórico!J76</f>
        <v>0.96711798839458418</v>
      </c>
      <c r="G76" s="61">
        <f>Histórico!N76/Histórico!R76</f>
        <v>1.091</v>
      </c>
      <c r="H76" s="61">
        <f>Histórico!N76/Histórico!J76</f>
        <v>1.0551257253384914</v>
      </c>
      <c r="I76" s="61">
        <f>Histórico!B76/Histórico!R76</f>
        <v>1.19</v>
      </c>
      <c r="J76" s="61">
        <f>Histórico!C76/Histórico!G76</f>
        <v>1.0406203840472674</v>
      </c>
      <c r="K76" s="61">
        <f>Histórico!B76/Histórico!N76</f>
        <v>1.0907424381301558</v>
      </c>
      <c r="L76" s="61">
        <f>Histórico!B76/Histórico!J76</f>
        <v>1.1508704061895552</v>
      </c>
      <c r="M76" s="61">
        <f>+Histórico!N76/Histórico!F76</f>
        <v>0.95684967549552713</v>
      </c>
      <c r="N76" s="61">
        <f>Histórico!F76/Histórico!AD76</f>
        <v>1.0736346516007533</v>
      </c>
      <c r="O76" s="61">
        <f>Histórico!G76/Histórico!AE76</f>
        <v>1.0904697986577181</v>
      </c>
      <c r="P76" s="61">
        <f>Histórico!F76/Histórico!AD76</f>
        <v>1.0736346516007533</v>
      </c>
    </row>
    <row r="77" spans="1:16" x14ac:dyDescent="0.25">
      <c r="A77" s="59">
        <f>+Histórico!A77</f>
        <v>44193</v>
      </c>
      <c r="B77" s="61">
        <f>Histórico!B77/Histórico!F77</f>
        <v>1.0461054837582955</v>
      </c>
      <c r="C77" s="60">
        <f>Histórico!F77/Histórico!J77</f>
        <v>1.0990403071017274</v>
      </c>
      <c r="D77" s="61">
        <f>Histórico!F77/Histórico!N77</f>
        <v>1.0354430379746835</v>
      </c>
      <c r="E77" s="61">
        <f>Histórico!F77/Histórico!R77</f>
        <v>1.1249508840864439</v>
      </c>
      <c r="F77" s="61">
        <f>Histórico!R77/Histórico!J77</f>
        <v>0.97696737044145876</v>
      </c>
      <c r="G77" s="61">
        <f>Histórico!N77/Histórico!R77</f>
        <v>1.0864440078585462</v>
      </c>
      <c r="H77" s="61">
        <f>Histórico!N77/Histórico!J77</f>
        <v>1.0614203454894433</v>
      </c>
      <c r="I77" s="61">
        <f>Histórico!B77/Histórico!R77</f>
        <v>1.1768172888015718</v>
      </c>
      <c r="J77" s="61">
        <f>Histórico!C77/Histórico!G77</f>
        <v>1.0327628361858192</v>
      </c>
      <c r="K77" s="61">
        <f>Histórico!B77/Histórico!N77</f>
        <v>1.0831826401446654</v>
      </c>
      <c r="L77" s="61">
        <f>Histórico!B77/Histórico!J77</f>
        <v>1.1497120921305182</v>
      </c>
      <c r="M77" s="61">
        <f>+Histórico!N77/Histórico!F77</f>
        <v>0.96577017114914421</v>
      </c>
      <c r="N77" s="61">
        <f>Histórico!F77/Histórico!AD77</f>
        <v>1.0804792904991036</v>
      </c>
      <c r="O77" s="61">
        <f>Histórico!G77/Histórico!AE77</f>
        <v>1.1024258760107817</v>
      </c>
      <c r="P77" s="61">
        <f>Histórico!F77/Histórico!AD77</f>
        <v>1.0804792904991036</v>
      </c>
    </row>
    <row r="78" spans="1:16" x14ac:dyDescent="0.25">
      <c r="A78" s="59">
        <f>+Histórico!A78</f>
        <v>44194</v>
      </c>
      <c r="B78" s="61">
        <f>Histórico!B78/Histórico!F78</f>
        <v>1.0493719469644103</v>
      </c>
      <c r="C78" s="60">
        <f>Histórico!F78/Histórico!J78</f>
        <v>1.0991371045062319</v>
      </c>
      <c r="D78" s="61">
        <f>Histórico!F78/Histórico!N78</f>
        <v>1.0478976234003656</v>
      </c>
      <c r="E78" s="61">
        <f>Histórico!F78/Histórico!R78</f>
        <v>1.1218318817888246</v>
      </c>
      <c r="F78" s="61">
        <f>Histórico!R78/Histórico!J78</f>
        <v>0.97976989453499519</v>
      </c>
      <c r="G78" s="61">
        <f>Histórico!N78/Histórico!R78</f>
        <v>1.0705548488110384</v>
      </c>
      <c r="H78" s="61">
        <f>Histórico!N78/Histórico!J78</f>
        <v>1.0488974113135188</v>
      </c>
      <c r="I78" s="61">
        <f>Histórico!B78/Histórico!R78</f>
        <v>1.1772189059594873</v>
      </c>
      <c r="J78" s="61">
        <f>Histórico!C78/Histórico!G78</f>
        <v>1.0346933789396531</v>
      </c>
      <c r="K78" s="61">
        <f>Histórico!B78/Histórico!N78</f>
        <v>1.0996343692870201</v>
      </c>
      <c r="L78" s="61">
        <f>Histórico!B78/Histórico!J78</f>
        <v>1.1534036433365293</v>
      </c>
      <c r="M78" s="61">
        <f>+Histórico!N78/Histórico!F78</f>
        <v>0.95429169574319606</v>
      </c>
      <c r="N78" s="61">
        <f>Histórico!F78/Histórico!AD78</f>
        <v>1.0866350710900474</v>
      </c>
      <c r="O78" s="61">
        <f>Histórico!G78/Histórico!AE78</f>
        <v>1.1065152743984861</v>
      </c>
      <c r="P78" s="61">
        <f>Histórico!F78/Histórico!AD78</f>
        <v>1.0866350710900474</v>
      </c>
    </row>
    <row r="79" spans="1:16" x14ac:dyDescent="0.25">
      <c r="A79" s="59">
        <f>+Histórico!A79</f>
        <v>44195</v>
      </c>
      <c r="B79" s="61">
        <f>Histórico!B79/Histórico!F79</f>
        <v>1.0451928110277438</v>
      </c>
      <c r="C79" s="60">
        <f>Histórico!F79/Histórico!J79</f>
        <v>1.1085106382978724</v>
      </c>
      <c r="D79" s="61">
        <f>Histórico!F79/Histórico!N79</f>
        <v>1.0642525533890437</v>
      </c>
      <c r="E79" s="61">
        <f>Histórico!F79/Histórico!R79</f>
        <v>1.1237254901960785</v>
      </c>
      <c r="F79" s="61">
        <f>Histórico!R79/Histórico!J79</f>
        <v>0.98646034816247585</v>
      </c>
      <c r="G79" s="61">
        <f>Histórico!N79/Histórico!R79</f>
        <v>1.0558823529411765</v>
      </c>
      <c r="H79" s="61">
        <f>Histórico!N79/Histórico!J79</f>
        <v>1.0415860735009672</v>
      </c>
      <c r="I79" s="61">
        <f>Histórico!B79/Histórico!R79</f>
        <v>1.1745098039215687</v>
      </c>
      <c r="J79" s="61">
        <f>Histórico!C79/Histórico!G79</f>
        <v>1.0344406448461163</v>
      </c>
      <c r="K79" s="61">
        <f>Histórico!B79/Histórico!N79</f>
        <v>1.1123491179201486</v>
      </c>
      <c r="L79" s="61">
        <f>Histórico!B79/Histórico!J79</f>
        <v>1.1586073500967118</v>
      </c>
      <c r="M79" s="61">
        <f>+Histórico!N79/Histórico!F79</f>
        <v>0.93962659221776301</v>
      </c>
      <c r="N79" s="61">
        <f>Histórico!F79/Histórico!AD79</f>
        <v>1.0766485064813076</v>
      </c>
      <c r="O79" s="61">
        <f>Histórico!G79/Histórico!AE79</f>
        <v>1.1035040431266845</v>
      </c>
      <c r="P79" s="61">
        <f>Histórico!F79/Histórico!AD79</f>
        <v>1.0766485064813076</v>
      </c>
    </row>
    <row r="80" spans="1:16" x14ac:dyDescent="0.25">
      <c r="A80" s="59">
        <f>+Histórico!A80</f>
        <v>44200</v>
      </c>
      <c r="B80" s="61">
        <f>Histórico!B80/Histórico!F80</f>
        <v>1.0344827586206897</v>
      </c>
      <c r="C80" s="60">
        <f>Histórico!F80/Histórico!J80</f>
        <v>1.1145229818462727</v>
      </c>
      <c r="D80" s="61">
        <f>Histórico!F80/Histórico!N80</f>
        <v>1.077282060854956</v>
      </c>
      <c r="E80" s="61">
        <f>Histórico!F80/Histórico!R80</f>
        <v>1.1611670020120723</v>
      </c>
      <c r="F80" s="61">
        <f>Histórico!R80/Histórico!J80</f>
        <v>0.95983005021243728</v>
      </c>
      <c r="G80" s="61">
        <f>Histórico!N80/Histórico!R80</f>
        <v>1.077867203219316</v>
      </c>
      <c r="H80" s="61">
        <f>Histórico!N80/Histórico!J80</f>
        <v>1.0345693317883353</v>
      </c>
      <c r="I80" s="61">
        <f>Histórico!B80/Histórico!R80</f>
        <v>1.2012072434607646</v>
      </c>
      <c r="J80" s="61">
        <f>Histórico!C80/Histórico!G80</f>
        <v>1.0199753390875463</v>
      </c>
      <c r="K80" s="61">
        <f>Histórico!B80/Histórico!N80</f>
        <v>1.1144297181258167</v>
      </c>
      <c r="L80" s="61">
        <f>Histórico!B80/Histórico!J80</f>
        <v>1.1529548088064889</v>
      </c>
      <c r="M80" s="61">
        <f>+Histórico!N80/Histórico!F80</f>
        <v>0.92826199965343958</v>
      </c>
      <c r="N80" s="61">
        <f>Histórico!F80/Histórico!AD80</f>
        <v>1.0971482889733841</v>
      </c>
      <c r="O80" s="61">
        <f>Histórico!G80/Histórico!AE80</f>
        <v>1.1124828532235937</v>
      </c>
      <c r="P80" s="61">
        <f>Histórico!F80/Histórico!AD80</f>
        <v>1.0971482889733841</v>
      </c>
    </row>
    <row r="81" spans="1:16" x14ac:dyDescent="0.25">
      <c r="A81" s="59">
        <f>+Histórico!A81</f>
        <v>44201</v>
      </c>
      <c r="B81" s="61">
        <f>Histórico!B81/Histórico!F81</f>
        <v>1.0356524749048113</v>
      </c>
      <c r="C81" s="60">
        <f>Histórico!F81/Histórico!J81</f>
        <v>1.1208535402521824</v>
      </c>
      <c r="D81" s="61">
        <f>Histórico!F81/Histórico!N81</f>
        <v>1.0719851576994435</v>
      </c>
      <c r="E81" s="61">
        <f>Histórico!F81/Histórico!R81</f>
        <v>1.1556</v>
      </c>
      <c r="F81" s="61">
        <f>Histórico!R81/Histórico!J81</f>
        <v>0.96993210475266733</v>
      </c>
      <c r="G81" s="61">
        <f>Histórico!N81/Histórico!R81</f>
        <v>1.0780000000000001</v>
      </c>
      <c r="H81" s="61">
        <f>Histórico!N81/Histórico!J81</f>
        <v>1.0455868089233753</v>
      </c>
      <c r="I81" s="61">
        <f>Histórico!B81/Histórico!R81</f>
        <v>1.1968000000000001</v>
      </c>
      <c r="J81" s="61">
        <f>Histórico!C81/Histórico!G81</f>
        <v>1.0248447204968945</v>
      </c>
      <c r="K81" s="61">
        <f>Histórico!B81/Histórico!N81</f>
        <v>1.1102040816326531</v>
      </c>
      <c r="L81" s="61">
        <f>Histórico!B81/Histórico!J81</f>
        <v>1.1608147429679923</v>
      </c>
      <c r="M81" s="61">
        <f>+Histórico!N81/Histórico!F81</f>
        <v>0.93284873658705436</v>
      </c>
      <c r="N81" s="61">
        <f>Histórico!F81/Histórico!AD81</f>
        <v>1.0901886792452831</v>
      </c>
      <c r="O81" s="61">
        <f>Histórico!G81/Histórico!AE81</f>
        <v>1.1149584487534625</v>
      </c>
      <c r="P81" s="61">
        <f>Histórico!F81/Histórico!AD81</f>
        <v>1.0901886792452831</v>
      </c>
    </row>
    <row r="82" spans="1:16" x14ac:dyDescent="0.25">
      <c r="A82" s="59">
        <f>+Histórico!A82</f>
        <v>44202</v>
      </c>
      <c r="B82" s="61">
        <f>Histórico!B82/Histórico!F82</f>
        <v>1.0424870466321243</v>
      </c>
      <c r="C82" s="60">
        <f>Histórico!F82/Histórico!J82</f>
        <v>1.1102588686481305</v>
      </c>
      <c r="D82" s="61">
        <f>Histórico!F82/Histórico!N82</f>
        <v>1.0672811059907834</v>
      </c>
      <c r="E82" s="61">
        <f>Histórico!F82/Histórico!R82</f>
        <v>1.153386454183267</v>
      </c>
      <c r="F82" s="61">
        <f>Histórico!R82/Histórico!J82</f>
        <v>0.96260786193672099</v>
      </c>
      <c r="G82" s="61">
        <f>Histórico!N82/Histórico!R82</f>
        <v>1.0806772908366533</v>
      </c>
      <c r="H82" s="61">
        <f>Histórico!N82/Histórico!J82</f>
        <v>1.0402684563758389</v>
      </c>
      <c r="I82" s="61">
        <f>Histórico!B82/Histórico!R82</f>
        <v>1.2023904382470119</v>
      </c>
      <c r="J82" s="61">
        <f>Histórico!C82/Histórico!G82</f>
        <v>1.0349127182044888</v>
      </c>
      <c r="K82" s="61">
        <f>Histórico!B82/Histórico!N82</f>
        <v>1.112626728110599</v>
      </c>
      <c r="L82" s="61">
        <f>Histórico!B82/Histórico!J82</f>
        <v>1.1574304889741132</v>
      </c>
      <c r="M82" s="61">
        <f>+Histórico!N82/Histórico!F82</f>
        <v>0.93696027633851464</v>
      </c>
      <c r="N82" s="61">
        <f>Histórico!F82/Histórico!AD82</f>
        <v>1.080223880597015</v>
      </c>
      <c r="O82" s="61">
        <f>Histórico!G82/Histórico!AE82</f>
        <v>1.0971272229822162</v>
      </c>
      <c r="P82" s="61">
        <f>Histórico!F82/Histórico!AD82</f>
        <v>1.080223880597015</v>
      </c>
    </row>
    <row r="83" spans="1:16" x14ac:dyDescent="0.25">
      <c r="A83" s="59">
        <f>+Histórico!A83</f>
        <v>44203</v>
      </c>
      <c r="B83" s="61">
        <f>Histórico!B83/Histórico!F83</f>
        <v>1.044382801664355</v>
      </c>
      <c r="C83" s="60">
        <f>Histórico!F83/Histórico!J83</f>
        <v>1.1181545022777939</v>
      </c>
      <c r="D83" s="61">
        <f>Histórico!F83/Histórico!N83</f>
        <v>1.0544789762340037</v>
      </c>
      <c r="E83" s="61">
        <f>Histórico!F83/Histórico!R83</f>
        <v>1.1267825747216254</v>
      </c>
      <c r="F83" s="61">
        <f>Histórico!R83/Histórico!J83</f>
        <v>0.99234273529126682</v>
      </c>
      <c r="G83" s="61">
        <f>Histórico!N83/Histórico!R83</f>
        <v>1.068568079703067</v>
      </c>
      <c r="H83" s="61">
        <f>Histórico!N83/Histórico!J83</f>
        <v>1.060385771057478</v>
      </c>
      <c r="I83" s="61">
        <f>Histórico!B83/Histórico!R83</f>
        <v>1.1767923422543465</v>
      </c>
      <c r="J83" s="61">
        <f>Histórico!C83/Histórico!G83</f>
        <v>1.0424778761061946</v>
      </c>
      <c r="K83" s="61">
        <f>Histórico!B83/Histórico!N83</f>
        <v>1.1012797074954297</v>
      </c>
      <c r="L83" s="61">
        <f>Histórico!B83/Histórico!J83</f>
        <v>1.167781331782495</v>
      </c>
      <c r="M83" s="61">
        <f>+Histórico!N83/Histórico!F83</f>
        <v>0.94833564493758671</v>
      </c>
      <c r="N83" s="61">
        <f>Histórico!F83/Histórico!AD83</f>
        <v>1.07012987012987</v>
      </c>
      <c r="O83" s="61">
        <f>Histórico!G83/Histórico!AE83</f>
        <v>1.0895316804407713</v>
      </c>
      <c r="P83" s="61">
        <f>Histórico!F83/Histórico!AD83</f>
        <v>1.07012987012987</v>
      </c>
    </row>
    <row r="84" spans="1:16" x14ac:dyDescent="0.25">
      <c r="A84" s="59">
        <f>+Histórico!A84</f>
        <v>44204</v>
      </c>
      <c r="B84" s="61">
        <f>Histórico!B84/Histórico!F84</f>
        <v>1.0471204188481675</v>
      </c>
      <c r="C84" s="60">
        <f>Histórico!F84/Histórico!J84</f>
        <v>1.1106803644117076</v>
      </c>
      <c r="D84" s="61">
        <f>Histórico!F84/Histórico!N84</f>
        <v>1.0552486187845305</v>
      </c>
      <c r="E84" s="61">
        <f>Histórico!F84/Histórico!R84</f>
        <v>1.1137026239067056</v>
      </c>
      <c r="F84" s="61">
        <f>Histórico!R84/Histórico!J84</f>
        <v>0.99728629579375849</v>
      </c>
      <c r="G84" s="61">
        <f>Histórico!N84/Histórico!R84</f>
        <v>1.055393586005831</v>
      </c>
      <c r="H84" s="61">
        <f>Histórico!N84/Histórico!J84</f>
        <v>1.0525295599922466</v>
      </c>
      <c r="I84" s="61">
        <f>Histórico!B84/Histórico!R84</f>
        <v>1.1661807580174928</v>
      </c>
      <c r="J84" s="61">
        <f>Histórico!C84/Histórico!G84</f>
        <v>1.0341772151898734</v>
      </c>
      <c r="K84" s="61">
        <f>Histórico!B84/Histórico!N84</f>
        <v>1.1049723756906078</v>
      </c>
      <c r="L84" s="61">
        <f>Histórico!B84/Histórico!J84</f>
        <v>1.1630160883892227</v>
      </c>
      <c r="M84" s="61">
        <f>+Histórico!N84/Histórico!F84</f>
        <v>0.94764397905759157</v>
      </c>
      <c r="N84" s="61">
        <f>Histórico!F84/Histórico!AD84</f>
        <v>1.0720299345182414</v>
      </c>
      <c r="O84" s="61">
        <f>Histórico!G84/Histórico!AE84</f>
        <v>1.0905577029265598</v>
      </c>
      <c r="P84" s="61">
        <f>Histórico!F84/Histórico!AD84</f>
        <v>1.0720299345182414</v>
      </c>
    </row>
    <row r="85" spans="1:16" x14ac:dyDescent="0.25">
      <c r="A85" s="59">
        <f>+Histórico!A85</f>
        <v>44207</v>
      </c>
      <c r="B85" s="61">
        <f>Histórico!B85/Histórico!F85</f>
        <v>1.0500702740688685</v>
      </c>
      <c r="C85" s="60">
        <f>Histórico!F85/Histórico!J85</f>
        <v>1.1073929961089495</v>
      </c>
      <c r="D85" s="61">
        <f>Histórico!F85/Histórico!N85</f>
        <v>1.0619402985074626</v>
      </c>
      <c r="E85" s="61">
        <f>Histórico!F85/Histórico!R85</f>
        <v>1.1161878615550545</v>
      </c>
      <c r="F85" s="61">
        <f>Histórico!R85/Histórico!J85</f>
        <v>0.99212062256809341</v>
      </c>
      <c r="G85" s="61">
        <f>Histórico!N85/Histórico!R85</f>
        <v>1.0510834395528974</v>
      </c>
      <c r="H85" s="61">
        <f>Histórico!N85/Histórico!J85</f>
        <v>1.0428015564202335</v>
      </c>
      <c r="I85" s="61">
        <f>Histórico!B85/Histórico!R85</f>
        <v>1.1720756936954604</v>
      </c>
      <c r="J85" s="61">
        <f>Histórico!C85/Histórico!G85</f>
        <v>1.0448258196721312</v>
      </c>
      <c r="K85" s="61">
        <f>Histórico!B85/Histórico!N85</f>
        <v>1.1151119402985075</v>
      </c>
      <c r="L85" s="61">
        <f>Histórico!B85/Histórico!J85</f>
        <v>1.1628404669260701</v>
      </c>
      <c r="M85" s="61">
        <f>+Histórico!N85/Histórico!F85</f>
        <v>0.94167252283907243</v>
      </c>
      <c r="N85" s="61">
        <f>Histórico!F85/Histórico!AD85</f>
        <v>1.0700253783250306</v>
      </c>
      <c r="O85" s="61">
        <f>Histórico!G85/Histórico!AE85</f>
        <v>1.0844444444444443</v>
      </c>
      <c r="P85" s="61">
        <f>Histórico!F85/Histórico!AD85</f>
        <v>1.0700253783250306</v>
      </c>
    </row>
    <row r="86" spans="1:16" x14ac:dyDescent="0.25">
      <c r="A86" s="59">
        <f>+Histórico!A86</f>
        <v>44208</v>
      </c>
      <c r="B86" s="61">
        <f>Histórico!B86/Histórico!F86</f>
        <v>1.0512367491166077</v>
      </c>
      <c r="C86" s="60">
        <f>Histórico!F86/Histórico!J86</f>
        <v>1.1067657411028549</v>
      </c>
      <c r="D86" s="61">
        <f>Histórico!F86/Histórico!N86</f>
        <v>1.0619136960600375</v>
      </c>
      <c r="E86" s="61">
        <f>Histórico!F86/Histórico!R86</f>
        <v>1.1207920792079209</v>
      </c>
      <c r="F86" s="61">
        <f>Histórico!R86/Histórico!J86</f>
        <v>0.9874853343762221</v>
      </c>
      <c r="G86" s="61">
        <f>Histórico!N86/Histórico!R86</f>
        <v>1.0554455445544555</v>
      </c>
      <c r="H86" s="61">
        <f>Histórico!N86/Histórico!J86</f>
        <v>1.0422369964802503</v>
      </c>
      <c r="I86" s="61">
        <f>Histórico!B86/Histórico!R86</f>
        <v>1.1782178217821782</v>
      </c>
      <c r="J86" s="61">
        <f>Histórico!C86/Histórico!G86</f>
        <v>1.048924180327869</v>
      </c>
      <c r="K86" s="61">
        <f>Histórico!B86/Histórico!N86</f>
        <v>1.1163227016885553</v>
      </c>
      <c r="L86" s="61">
        <f>Histórico!B86/Histórico!J86</f>
        <v>1.1634728197105983</v>
      </c>
      <c r="M86" s="61">
        <f>+Histórico!N86/Histórico!F86</f>
        <v>0.94169611307420498</v>
      </c>
      <c r="N86" s="61">
        <f>Histórico!F86/Histórico!AD86</f>
        <v>1.0673203846879125</v>
      </c>
      <c r="O86" s="61">
        <f>Histórico!G86/Histórico!AE86</f>
        <v>1.0963212580735748</v>
      </c>
      <c r="P86" s="61">
        <f>Histórico!F86/Histórico!AD86</f>
        <v>1.0673203846879125</v>
      </c>
    </row>
    <row r="87" spans="1:16" x14ac:dyDescent="0.25">
      <c r="A87" s="59">
        <f>+Histórico!A87</f>
        <v>44209</v>
      </c>
      <c r="B87" s="61">
        <f>Histórico!B87/Histórico!F87</f>
        <v>1.0510547775217161</v>
      </c>
      <c r="C87" s="60">
        <f>Histórico!F87/Histórico!J87</f>
        <v>1.1170297029702971</v>
      </c>
      <c r="D87" s="61">
        <f>Histórico!F87/Histórico!N87</f>
        <v>1.073453853472883</v>
      </c>
      <c r="E87" s="61">
        <f>Histórico!F87/Histórico!R87</f>
        <v>1.1395959595959595</v>
      </c>
      <c r="F87" s="61">
        <f>Histórico!R87/Histórico!J87</f>
        <v>0.98019801980198018</v>
      </c>
      <c r="G87" s="61">
        <f>Histórico!N87/Histórico!R87</f>
        <v>1.0616161616161617</v>
      </c>
      <c r="H87" s="61">
        <f>Histórico!N87/Histórico!J87</f>
        <v>1.0405940594059406</v>
      </c>
      <c r="I87" s="61">
        <f>Histórico!B87/Histórico!R87</f>
        <v>1.1977777777777778</v>
      </c>
      <c r="J87" s="61">
        <f>Histórico!C87/Histórico!G87</f>
        <v>1.0400205233453053</v>
      </c>
      <c r="K87" s="61">
        <f>Histórico!B87/Histórico!N87</f>
        <v>1.1282588011417698</v>
      </c>
      <c r="L87" s="61">
        <f>Histórico!B87/Histórico!J87</f>
        <v>1.174059405940594</v>
      </c>
      <c r="M87" s="61">
        <f>+Histórico!N87/Histórico!F87</f>
        <v>0.9315724162382556</v>
      </c>
      <c r="N87" s="61">
        <f>Histórico!F87/Histórico!AD87</f>
        <v>1.0921587608906098</v>
      </c>
      <c r="O87" s="61">
        <f>Histórico!G87/Histórico!AE87</f>
        <v>1.1029994340690434</v>
      </c>
      <c r="P87" s="61">
        <f>Histórico!F87/Histórico!AD87</f>
        <v>1.0921587608906098</v>
      </c>
    </row>
    <row r="88" spans="1:16" x14ac:dyDescent="0.25">
      <c r="A88" s="59">
        <f>+Histórico!A88</f>
        <v>44210</v>
      </c>
      <c r="B88" s="61">
        <f>Histórico!B88/Histórico!F88</f>
        <v>1.0436557231588288</v>
      </c>
      <c r="C88" s="60">
        <f>Histórico!F88/Histórico!J88</f>
        <v>1.1247504990019961</v>
      </c>
      <c r="D88" s="61">
        <f>Histórico!F88/Histórico!N88</f>
        <v>1.0857418111753372</v>
      </c>
      <c r="E88" s="61">
        <f>Histórico!F88/Histórico!R88</f>
        <v>1.1430020283975659</v>
      </c>
      <c r="F88" s="61">
        <f>Histórico!R88/Histórico!J88</f>
        <v>0.98403193612774453</v>
      </c>
      <c r="G88" s="61">
        <f>Histórico!N88/Histórico!R88</f>
        <v>1.052738336713996</v>
      </c>
      <c r="H88" s="61">
        <f>Histórico!N88/Histórico!J88</f>
        <v>1.0359281437125749</v>
      </c>
      <c r="I88" s="61">
        <f>Histórico!B88/Histórico!R88</f>
        <v>1.1929006085192697</v>
      </c>
      <c r="J88" s="61">
        <f>Histórico!C88/Histórico!G88</f>
        <v>1.0381935483870968</v>
      </c>
      <c r="K88" s="61">
        <f>Histórico!B88/Histórico!N88</f>
        <v>1.1331406551059731</v>
      </c>
      <c r="L88" s="61">
        <f>Histórico!B88/Histórico!J88</f>
        <v>1.1738522954091817</v>
      </c>
      <c r="M88" s="61">
        <f>+Histórico!N88/Histórico!F88</f>
        <v>0.92102928127772843</v>
      </c>
      <c r="N88" s="61">
        <f>Histórico!F88/Histórico!AD88</f>
        <v>1.1105636578636184</v>
      </c>
      <c r="O88" s="61">
        <f>Histórico!G88/Histórico!AE88</f>
        <v>1.1248185776487662</v>
      </c>
      <c r="P88" s="61">
        <f>Histórico!F88/Histórico!AD88</f>
        <v>1.1105636578636184</v>
      </c>
    </row>
    <row r="89" spans="1:16" x14ac:dyDescent="0.25">
      <c r="A89" s="59">
        <f>+Histórico!A89</f>
        <v>44211</v>
      </c>
      <c r="B89" s="61">
        <f>Histórico!B89/Histórico!F89</f>
        <v>1.0471111111111111</v>
      </c>
      <c r="C89" s="60">
        <f>Histórico!F89/Histórico!J89</f>
        <v>1.113861386138614</v>
      </c>
      <c r="D89" s="61">
        <f>Histórico!F89/Histórico!N89</f>
        <v>1.0775862068965518</v>
      </c>
      <c r="E89" s="61">
        <f>Histórico!F89/Histórico!R89</f>
        <v>1.1386639676113359</v>
      </c>
      <c r="F89" s="61">
        <f>Histórico!R89/Histórico!J89</f>
        <v>0.9782178217821782</v>
      </c>
      <c r="G89" s="61">
        <f>Histórico!N89/Histórico!R89</f>
        <v>1.0566801619433199</v>
      </c>
      <c r="H89" s="61">
        <f>Histórico!N89/Histórico!J89</f>
        <v>1.0336633663366337</v>
      </c>
      <c r="I89" s="61">
        <f>Histórico!B89/Histórico!R89</f>
        <v>1.1923076923076923</v>
      </c>
      <c r="J89" s="61">
        <f>Histórico!C89/Histórico!G89</f>
        <v>1.0359265960196433</v>
      </c>
      <c r="K89" s="61">
        <f>Histórico!B89/Histórico!N89</f>
        <v>1.1283524904214559</v>
      </c>
      <c r="L89" s="61">
        <f>Histórico!B89/Histórico!J89</f>
        <v>1.1663366336633663</v>
      </c>
      <c r="M89" s="61">
        <f>+Histórico!N89/Histórico!F89</f>
        <v>0.92800000000000005</v>
      </c>
      <c r="N89" s="61">
        <f>Histórico!F89/Histórico!AD89</f>
        <v>1.0901162790697674</v>
      </c>
      <c r="O89" s="61">
        <f>Histórico!G89/Histórico!AE89</f>
        <v>1.108595988538682</v>
      </c>
      <c r="P89" s="61">
        <f>Histórico!F89/Histórico!AD89</f>
        <v>1.0901162790697674</v>
      </c>
    </row>
    <row r="90" spans="1:16" x14ac:dyDescent="0.25">
      <c r="A90" s="59">
        <f>+Histórico!A90</f>
        <v>44214</v>
      </c>
      <c r="B90" s="61">
        <f>Histórico!B90/Histórico!F90</f>
        <v>1.0379432624113476</v>
      </c>
      <c r="C90" s="60">
        <f>Histórico!F90/Histórico!J90</f>
        <v>1.1291291291291292</v>
      </c>
      <c r="D90" s="61">
        <f>Histórico!F90/Histórico!N90</f>
        <v>1.0783938814531548</v>
      </c>
      <c r="E90" s="61">
        <f>Histórico!F90/Histórico!R90</f>
        <v>1.1382441977800202</v>
      </c>
      <c r="F90" s="61">
        <f>Histórico!R90/Histórico!J90</f>
        <v>0.99199199199199195</v>
      </c>
      <c r="G90" s="61">
        <f>Histórico!N90/Histórico!R90</f>
        <v>1.0554994954591321</v>
      </c>
      <c r="H90" s="61">
        <f>Histórico!N90/Histórico!J90</f>
        <v>1.047047047047047</v>
      </c>
      <c r="I90" s="61">
        <f>Histórico!B90/Histórico!R90</f>
        <v>1.1814328960645812</v>
      </c>
      <c r="J90" s="61">
        <f>Histórico!C90/Histórico!G90</f>
        <v>1.0335051546391754</v>
      </c>
      <c r="K90" s="61">
        <f>Histórico!B90/Histórico!N90</f>
        <v>1.1193116634799236</v>
      </c>
      <c r="L90" s="61">
        <f>Histórico!B90/Histórico!J90</f>
        <v>1.1719719719719719</v>
      </c>
      <c r="M90" s="61">
        <f>+Histórico!N90/Histórico!F90</f>
        <v>0.92730496453900713</v>
      </c>
      <c r="N90" s="61">
        <f>Histórico!F90/Histórico!AD90</f>
        <v>1.1011323701679032</v>
      </c>
      <c r="O90" s="61">
        <f>Histórico!G90/Histórico!AE90</f>
        <v>1.1149425287356323</v>
      </c>
      <c r="P90" s="61">
        <f>Histórico!F90/Histórico!AD90</f>
        <v>1.1011323701679032</v>
      </c>
    </row>
    <row r="91" spans="1:16" x14ac:dyDescent="0.25">
      <c r="A91" s="59">
        <f>+Histórico!A91</f>
        <v>44215</v>
      </c>
      <c r="B91" s="61">
        <f>Histórico!B91/Histórico!F91</f>
        <v>1.0435938330675172</v>
      </c>
      <c r="C91" s="60">
        <f>Histórico!F91/Histórico!J91</f>
        <v>1.1272473032361165</v>
      </c>
      <c r="D91" s="61">
        <f>Histórico!F91/Histórico!N91</f>
        <v>1.0697630331753554</v>
      </c>
      <c r="E91" s="61">
        <f>Histórico!F91/Histórico!R91</f>
        <v>1.1372430471584039</v>
      </c>
      <c r="F91" s="61">
        <f>Histórico!R91/Histórico!J91</f>
        <v>0.99121054734318814</v>
      </c>
      <c r="G91" s="61">
        <f>Histórico!N91/Histórico!R91</f>
        <v>1.0630794034663442</v>
      </c>
      <c r="H91" s="61">
        <f>Histórico!N91/Histórico!J91</f>
        <v>1.0537355173791449</v>
      </c>
      <c r="I91" s="61">
        <f>Histórico!B91/Histórico!R91</f>
        <v>1.1868198307134219</v>
      </c>
      <c r="J91" s="61">
        <f>Histórico!C91/Histórico!G91</f>
        <v>1.0363495746326374</v>
      </c>
      <c r="K91" s="61">
        <f>Histórico!B91/Histórico!N91</f>
        <v>1.1163981042654028</v>
      </c>
      <c r="L91" s="61">
        <f>Histórico!B91/Histórico!J91</f>
        <v>1.176388333999201</v>
      </c>
      <c r="M91" s="61">
        <f>+Histórico!N91/Histórico!F91</f>
        <v>0.93478646110225061</v>
      </c>
      <c r="N91" s="61">
        <f>Histórico!F91/Histórico!AD91</f>
        <v>1.0779369627507163</v>
      </c>
      <c r="O91" s="61">
        <f>Histórico!G91/Histórico!AE91</f>
        <v>1.0896067415730337</v>
      </c>
      <c r="P91" s="61">
        <f>Histórico!F91/Histórico!AD91</f>
        <v>1.0779369627507163</v>
      </c>
    </row>
    <row r="92" spans="1:16" x14ac:dyDescent="0.25">
      <c r="A92" s="59">
        <f>+Histórico!A92</f>
        <v>44216</v>
      </c>
      <c r="B92" s="61">
        <f>Histórico!B92/Histórico!F92</f>
        <v>1.04162976085031</v>
      </c>
      <c r="C92" s="60">
        <f>Histórico!F92/Histórico!J92</f>
        <v>1.1337617995581442</v>
      </c>
      <c r="D92" s="61">
        <f>Histórico!F92/Histórico!N92</f>
        <v>1.0633889045869831</v>
      </c>
      <c r="E92" s="61">
        <f>Histórico!F92/Histórico!R92</f>
        <v>1.1421345472938795</v>
      </c>
      <c r="F92" s="61">
        <f>Histórico!R92/Histórico!J92</f>
        <v>0.99266921068487646</v>
      </c>
      <c r="G92" s="61">
        <f>Histórico!N92/Histórico!R92</f>
        <v>1.0740515933232171</v>
      </c>
      <c r="H92" s="61">
        <f>Histórico!N92/Histórico!J92</f>
        <v>1.0661779473789919</v>
      </c>
      <c r="I92" s="61">
        <f>Histórico!B92/Histórico!R92</f>
        <v>1.1896813353566009</v>
      </c>
      <c r="J92" s="61">
        <f>Histórico!C92/Histórico!G92</f>
        <v>1.0376871450696954</v>
      </c>
      <c r="K92" s="61">
        <f>Histórico!B92/Histórico!N92</f>
        <v>1.1076575303758123</v>
      </c>
      <c r="L92" s="61">
        <f>Histórico!B92/Histórico!J92</f>
        <v>1.1809600321349669</v>
      </c>
      <c r="M92" s="61">
        <f>+Histórico!N92/Histórico!F92</f>
        <v>0.9403897254207263</v>
      </c>
      <c r="N92" s="61">
        <f>Histórico!F92/Histórico!AD92</f>
        <v>1.0752380952380953</v>
      </c>
      <c r="O92" s="61">
        <f>Histórico!G92/Histórico!AE92</f>
        <v>1.07940930621343</v>
      </c>
      <c r="P92" s="61">
        <f>Histórico!F92/Histórico!AD92</f>
        <v>1.0752380952380953</v>
      </c>
    </row>
    <row r="93" spans="1:16" x14ac:dyDescent="0.25">
      <c r="A93" s="59">
        <f>+Histórico!A93</f>
        <v>44217</v>
      </c>
      <c r="B93" s="61">
        <f>Histórico!B93/Histórico!F93</f>
        <v>1.0315211616787674</v>
      </c>
      <c r="C93" s="60">
        <f>Histórico!F93/Histórico!J93</f>
        <v>1.1510395434162251</v>
      </c>
      <c r="D93" s="61">
        <f>Histórico!F93/Histórico!N93</f>
        <v>1.070521327014218</v>
      </c>
      <c r="E93" s="61">
        <f>Histórico!F93/Histórico!R93</f>
        <v>1.1489318413021363</v>
      </c>
      <c r="F93" s="61">
        <f>Histórico!R93/Histórico!J93</f>
        <v>1.0018344883815735</v>
      </c>
      <c r="G93" s="61">
        <f>Histórico!N93/Histórico!R93</f>
        <v>1.0732451678535098</v>
      </c>
      <c r="H93" s="61">
        <f>Histórico!N93/Histórico!J93</f>
        <v>1.0752140236445169</v>
      </c>
      <c r="I93" s="61">
        <f>Histórico!B93/Histórico!R93</f>
        <v>1.1851475076297049</v>
      </c>
      <c r="J93" s="61">
        <f>Histórico!C93/Histórico!G93</f>
        <v>1.0312742310674594</v>
      </c>
      <c r="K93" s="61">
        <f>Histórico!B93/Histórico!N93</f>
        <v>1.1042654028436019</v>
      </c>
      <c r="L93" s="61">
        <f>Histórico!B93/Histórico!J93</f>
        <v>1.1873216469629027</v>
      </c>
      <c r="M93" s="61">
        <f>+Histórico!N93/Histórico!F93</f>
        <v>0.93412431379493532</v>
      </c>
      <c r="N93" s="61">
        <f>Histórico!F93/Histórico!AD93</f>
        <v>1.0776717557251909</v>
      </c>
      <c r="O93" s="61">
        <f>Histórico!G93/Histórico!AE93</f>
        <v>1.0895522388059702</v>
      </c>
      <c r="P93" s="61">
        <f>Histórico!F93/Histórico!AD93</f>
        <v>1.0776717557251909</v>
      </c>
    </row>
    <row r="94" spans="1:16" x14ac:dyDescent="0.25">
      <c r="A94" s="59">
        <f>+Histórico!A94</f>
        <v>44218</v>
      </c>
      <c r="B94" s="61">
        <f>Histórico!B94/Histórico!F94</f>
        <v>1.0338412473423104</v>
      </c>
      <c r="C94" s="60">
        <f>Histórico!F94/Histórico!J94</f>
        <v>1.1419322205361659</v>
      </c>
      <c r="D94" s="61">
        <f>Histórico!F94/Histórico!N94</f>
        <v>1.0597070972587308</v>
      </c>
      <c r="E94" s="61">
        <f>Histórico!F94/Histórico!R94</f>
        <v>1.1450598498681275</v>
      </c>
      <c r="F94" s="61">
        <f>Histórico!R94/Histórico!J94</f>
        <v>0.99726858877086499</v>
      </c>
      <c r="G94" s="61">
        <f>Histórico!N94/Histórico!R94</f>
        <v>1.0805437208358692</v>
      </c>
      <c r="H94" s="61">
        <f>Histórico!N94/Histórico!J94</f>
        <v>1.0775923115832069</v>
      </c>
      <c r="I94" s="61">
        <f>Histórico!B94/Histórico!R94</f>
        <v>1.1838101034692636</v>
      </c>
      <c r="J94" s="61">
        <f>Histórico!C94/Histórico!G94</f>
        <v>1.0338588782631171</v>
      </c>
      <c r="K94" s="61">
        <f>Histórico!B94/Histórico!N94</f>
        <v>1.0955689072474653</v>
      </c>
      <c r="L94" s="61">
        <f>Histórico!B94/Histórico!J94</f>
        <v>1.1805766312594841</v>
      </c>
      <c r="M94" s="61">
        <f>+Histórico!N94/Histórico!F94</f>
        <v>0.94365698086463501</v>
      </c>
      <c r="N94" s="61">
        <f>Histórico!F94/Histórico!AD94</f>
        <v>1.0600056343318622</v>
      </c>
      <c r="O94" s="61">
        <f>Histórico!G94/Histórico!AE94</f>
        <v>1.0658402203856749</v>
      </c>
      <c r="P94" s="61">
        <f>Histórico!F94/Histórico!AD94</f>
        <v>1.0600056343318622</v>
      </c>
    </row>
    <row r="95" spans="1:16" x14ac:dyDescent="0.25">
      <c r="A95" s="59">
        <f>+Histórico!A95</f>
        <v>44221</v>
      </c>
      <c r="B95" s="61">
        <f>Histórico!B95/Histórico!F95</f>
        <v>1.0378359264497878</v>
      </c>
      <c r="C95" s="60">
        <f>Histórico!F95/Histórico!J95</f>
        <v>1.1368844221105527</v>
      </c>
      <c r="D95" s="61">
        <f>Histórico!F95/Histórico!N95</f>
        <v>1.0513011152416356</v>
      </c>
      <c r="E95" s="61">
        <f>Histórico!F95/Histórico!R95</f>
        <v>1.1507629704984741</v>
      </c>
      <c r="F95" s="61">
        <f>Histórico!R95/Histórico!J95</f>
        <v>0.98793969849246233</v>
      </c>
      <c r="G95" s="61">
        <f>Histórico!N95/Histórico!R95</f>
        <v>1.0946083418107833</v>
      </c>
      <c r="H95" s="61">
        <f>Histórico!N95/Histórico!J95</f>
        <v>1.0814070351758793</v>
      </c>
      <c r="I95" s="61">
        <f>Histórico!B95/Histórico!R95</f>
        <v>1.1943031536113937</v>
      </c>
      <c r="J95" s="61">
        <f>Histórico!C95/Histórico!G95</f>
        <v>1.0323498964803313</v>
      </c>
      <c r="K95" s="61">
        <f>Histórico!B95/Histórico!N95</f>
        <v>1.0910780669144982</v>
      </c>
      <c r="L95" s="61">
        <f>Histórico!B95/Histórico!J95</f>
        <v>1.1798994974874373</v>
      </c>
      <c r="M95" s="61">
        <f>+Histórico!N95/Histórico!F95</f>
        <v>0.95120226308345124</v>
      </c>
      <c r="N95" s="61">
        <f>Histórico!F95/Histórico!AD95</f>
        <v>1.0611632270168856</v>
      </c>
      <c r="O95" s="61">
        <f>Histórico!G95/Histórico!AE95</f>
        <v>1.0745272525027809</v>
      </c>
      <c r="P95" s="61">
        <f>Histórico!F95/Histórico!AD95</f>
        <v>1.0611632270168856</v>
      </c>
    </row>
    <row r="96" spans="1:16" x14ac:dyDescent="0.25">
      <c r="A96" s="59">
        <f>+Histórico!A96</f>
        <v>44222</v>
      </c>
      <c r="B96" s="61">
        <f>Histórico!B96/Histórico!F96</f>
        <v>1.0393506264337391</v>
      </c>
      <c r="C96" s="60">
        <f>Histórico!F96/Histórico!J96</f>
        <v>1.1266401590457256</v>
      </c>
      <c r="D96" s="61">
        <f>Histórico!F96/Histórico!N96</f>
        <v>1.0484736355226643</v>
      </c>
      <c r="E96" s="61">
        <f>Histórico!F96/Histórico!R96</f>
        <v>1.1402414486921528</v>
      </c>
      <c r="F96" s="61">
        <f>Histórico!R96/Histórico!J96</f>
        <v>0.98807157057654071</v>
      </c>
      <c r="G96" s="61">
        <f>Histórico!N96/Histórico!R96</f>
        <v>1.0875251509054327</v>
      </c>
      <c r="H96" s="61">
        <f>Histórico!N96/Histórico!J96</f>
        <v>1.0745526838966202</v>
      </c>
      <c r="I96" s="61">
        <f>Histórico!B96/Histórico!R96</f>
        <v>1.1851106639839035</v>
      </c>
      <c r="J96" s="61">
        <f>Histórico!C96/Histórico!G96</f>
        <v>1.0329186106791084</v>
      </c>
      <c r="K96" s="61">
        <f>Histórico!B96/Histórico!N96</f>
        <v>1.0897317298797409</v>
      </c>
      <c r="L96" s="61">
        <f>Histórico!B96/Histórico!J96</f>
        <v>1.1709741550695825</v>
      </c>
      <c r="M96" s="61">
        <f>+Histórico!N96/Histórico!F96</f>
        <v>0.95376742544556203</v>
      </c>
      <c r="N96" s="61">
        <f>Histórico!F96/Histórico!AD96</f>
        <v>1.0692452830188679</v>
      </c>
      <c r="O96" s="61">
        <f>Histórico!G96/Histórico!AE96</f>
        <v>1.068402104680144</v>
      </c>
      <c r="P96" s="61">
        <f>Histórico!F96/Histórico!AD96</f>
        <v>1.0692452830188679</v>
      </c>
    </row>
    <row r="97" spans="1:16" x14ac:dyDescent="0.25">
      <c r="A97" s="59">
        <f>+Histórico!A97</f>
        <v>44223</v>
      </c>
      <c r="B97" s="61">
        <f>Histórico!B97/Histórico!F97</f>
        <v>1.0354872881355932</v>
      </c>
      <c r="C97" s="60">
        <f>Histórico!F97/Histórico!J97</f>
        <v>1.1213621065135617</v>
      </c>
      <c r="D97" s="61">
        <f>Histórico!F97/Histórico!N97</f>
        <v>1.0421343146274149</v>
      </c>
      <c r="E97" s="61">
        <f>Histórico!F97/Histórico!R97</f>
        <v>1.143087790110999</v>
      </c>
      <c r="F97" s="61">
        <f>Histórico!R97/Histórico!J97</f>
        <v>0.98099386260146504</v>
      </c>
      <c r="G97" s="61">
        <f>Histórico!N97/Histórico!R97</f>
        <v>1.0968718466195762</v>
      </c>
      <c r="H97" s="61">
        <f>Histórico!N97/Histórico!J97</f>
        <v>1.0760245495941398</v>
      </c>
      <c r="I97" s="61">
        <f>Histórico!B97/Histórico!R97</f>
        <v>1.1836528758829465</v>
      </c>
      <c r="J97" s="61">
        <f>Histórico!C97/Histórico!G97</f>
        <v>1.0366900858704138</v>
      </c>
      <c r="K97" s="61">
        <f>Histórico!B97/Histórico!N97</f>
        <v>1.079116835326587</v>
      </c>
      <c r="L97" s="61">
        <f>Histórico!B97/Histórico!J97</f>
        <v>1.1611562066917442</v>
      </c>
      <c r="M97" s="61">
        <f>+Histórico!N97/Histórico!F97</f>
        <v>0.95956920903954801</v>
      </c>
      <c r="N97" s="61">
        <f>Histórico!F97/Histórico!AD97</f>
        <v>1.0620663791486968</v>
      </c>
      <c r="O97" s="61">
        <f>Histórico!G97/Histórico!AE97</f>
        <v>1.0734636871508381</v>
      </c>
      <c r="P97" s="61">
        <f>Histórico!F97/Histórico!AD97</f>
        <v>1.0620663791486968</v>
      </c>
    </row>
    <row r="98" spans="1:16" x14ac:dyDescent="0.25">
      <c r="A98" s="59">
        <f>+Histórico!A98</f>
        <v>44224</v>
      </c>
      <c r="B98" s="61">
        <f>Histórico!B98/Histórico!F98</f>
        <v>1.034452296819788</v>
      </c>
      <c r="C98" s="60">
        <f>Histórico!F98/Histórico!J98</f>
        <v>1.1221252973830294</v>
      </c>
      <c r="D98" s="61">
        <f>Histórico!F98/Histórico!N98</f>
        <v>1.0337899543378994</v>
      </c>
      <c r="E98" s="61">
        <f>Histórico!F98/Histórico!R98</f>
        <v>1.1331331331331331</v>
      </c>
      <c r="F98" s="61">
        <f>Histórico!R98/Histórico!J98</f>
        <v>0.99028548770816816</v>
      </c>
      <c r="G98" s="61">
        <f>Histórico!N98/Histórico!R98</f>
        <v>1.0960960960960962</v>
      </c>
      <c r="H98" s="61">
        <f>Histórico!N98/Histórico!J98</f>
        <v>1.0854480570975416</v>
      </c>
      <c r="I98" s="61">
        <f>Histórico!B98/Histórico!R98</f>
        <v>1.1721721721721721</v>
      </c>
      <c r="J98" s="61">
        <f>Histórico!C98/Histórico!G98</f>
        <v>1.0308335510844002</v>
      </c>
      <c r="K98" s="61">
        <f>Histórico!B98/Histórico!N98</f>
        <v>1.069406392694064</v>
      </c>
      <c r="L98" s="61">
        <f>Histórico!B98/Histórico!J98</f>
        <v>1.1607850911974624</v>
      </c>
      <c r="M98" s="61">
        <f>+Histórico!N98/Histórico!F98</f>
        <v>0.96731448763250882</v>
      </c>
      <c r="N98" s="61">
        <f>Histórico!F98/Histórico!AD98</f>
        <v>1.0619136960600375</v>
      </c>
      <c r="O98" s="61">
        <f>Histórico!G98/Histórico!AE98</f>
        <v>1.0704895104895107</v>
      </c>
      <c r="P98" s="61">
        <f>Histórico!F98/Histórico!AD98</f>
        <v>1.0619136960600375</v>
      </c>
    </row>
    <row r="99" spans="1:16" x14ac:dyDescent="0.25">
      <c r="A99" s="59">
        <f>+Histórico!A99</f>
        <v>44225</v>
      </c>
      <c r="B99" s="61">
        <f>Histórico!B99/Histórico!F99</f>
        <v>1.0421099290780143</v>
      </c>
      <c r="C99" s="60">
        <f>Histórico!F99/Histórico!J99</f>
        <v>1.1282256451290258</v>
      </c>
      <c r="D99" s="61">
        <f>Histórico!F99/Histórico!N99</f>
        <v>1.034672537149147</v>
      </c>
      <c r="E99" s="61">
        <f>Histórico!F99/Histórico!R99</f>
        <v>1.1393939393939394</v>
      </c>
      <c r="F99" s="61">
        <f>Histórico!R99/Histórico!J99</f>
        <v>0.99019803960792163</v>
      </c>
      <c r="G99" s="61">
        <f>Histórico!N99/Histórico!R99</f>
        <v>1.1012121212121213</v>
      </c>
      <c r="H99" s="61">
        <f>Histórico!N99/Histórico!J99</f>
        <v>1.0904180836167234</v>
      </c>
      <c r="I99" s="61">
        <f>Histórico!B99/Histórico!R99</f>
        <v>1.1873737373737374</v>
      </c>
      <c r="J99" s="61">
        <f>Histórico!C99/Histórico!G99</f>
        <v>1.0369690613529103</v>
      </c>
      <c r="K99" s="61">
        <f>Histórico!B99/Histórico!N99</f>
        <v>1.0782425243074665</v>
      </c>
      <c r="L99" s="61">
        <f>Histórico!B99/Histórico!J99</f>
        <v>1.175735147029406</v>
      </c>
      <c r="M99" s="61">
        <f>+Histórico!N99/Histórico!F99</f>
        <v>0.96648936170212763</v>
      </c>
      <c r="N99" s="61">
        <f>Histórico!F99/Histórico!AD99</f>
        <v>1.0673732021196063</v>
      </c>
      <c r="O99" s="61">
        <f>Histórico!G99/Histórico!AE99</f>
        <v>1.0683473389355742</v>
      </c>
      <c r="P99" s="61">
        <f>Histórico!F99/Histórico!AD99</f>
        <v>1.0673732021196063</v>
      </c>
    </row>
    <row r="100" spans="1:16" x14ac:dyDescent="0.25">
      <c r="A100" s="59">
        <f>+Histórico!A100</f>
        <v>44228</v>
      </c>
      <c r="B100" s="61">
        <f>Histórico!B100/Histórico!F100</f>
        <v>1.0433628318584072</v>
      </c>
      <c r="C100" s="60">
        <f>Histórico!F100/Histórico!J100</f>
        <v>1.1237072394590295</v>
      </c>
      <c r="D100" s="61">
        <f>Histórico!F100/Histórico!N100</f>
        <v>1.0342302764049058</v>
      </c>
      <c r="E100" s="61">
        <f>Histórico!F100/Histórico!R100</f>
        <v>1.138195004029009</v>
      </c>
      <c r="F100" s="61">
        <f>Histórico!R100/Histórico!J100</f>
        <v>0.9872712808273667</v>
      </c>
      <c r="G100" s="61">
        <f>Histórico!N100/Histórico!R100</f>
        <v>1.1005237711522966</v>
      </c>
      <c r="H100" s="61">
        <f>Histórico!N100/Histórico!J100</f>
        <v>1.0865155131264916</v>
      </c>
      <c r="I100" s="61">
        <f>Histórico!B100/Histórico!R100</f>
        <v>1.1875503626107977</v>
      </c>
      <c r="J100" s="61">
        <f>Histórico!C100/Histórico!G100</f>
        <v>1.0443686006825939</v>
      </c>
      <c r="K100" s="61">
        <f>Histórico!B100/Histórico!N100</f>
        <v>1.0790774299835255</v>
      </c>
      <c r="L100" s="61">
        <f>Histórico!B100/Histórico!J100</f>
        <v>1.1724343675417661</v>
      </c>
      <c r="M100" s="61">
        <f>+Histórico!N100/Histórico!F100</f>
        <v>0.96690265486725668</v>
      </c>
      <c r="N100" s="61">
        <f>Histórico!F100/Histórico!AD100</f>
        <v>1.0560747663551402</v>
      </c>
      <c r="O100" s="61">
        <f>Histórico!G100/Histórico!AE100</f>
        <v>1.0654545454545457</v>
      </c>
      <c r="P100" s="61">
        <f>Histórico!F100/Histórico!AD100</f>
        <v>1.0560747663551402</v>
      </c>
    </row>
    <row r="101" spans="1:16" x14ac:dyDescent="0.25">
      <c r="A101" s="59">
        <f>+Histórico!A101</f>
        <v>44229</v>
      </c>
      <c r="B101" s="61">
        <f>Histórico!B101/Histórico!F101</f>
        <v>1.0513183507343833</v>
      </c>
      <c r="C101" s="60">
        <f>Histórico!F101/Histórico!J101</f>
        <v>1.1241296996220409</v>
      </c>
      <c r="D101" s="61">
        <f>Histórico!F101/Histórico!N101</f>
        <v>1.0322403872499772</v>
      </c>
      <c r="E101" s="61">
        <f>Histórico!F101/Histórico!R101</f>
        <v>1.1317844982976166</v>
      </c>
      <c r="F101" s="61">
        <f>Histórico!R101/Histórico!J101</f>
        <v>0.99323652277700414</v>
      </c>
      <c r="G101" s="61">
        <f>Histórico!N101/Histórico!R101</f>
        <v>1.0964350090126176</v>
      </c>
      <c r="H101" s="61">
        <f>Histórico!N101/Histórico!J101</f>
        <v>1.0890192958026657</v>
      </c>
      <c r="I101" s="61">
        <f>Histórico!B101/Histórico!R101</f>
        <v>1.1898658121369918</v>
      </c>
      <c r="J101" s="61">
        <f>Histórico!C101/Histórico!G101</f>
        <v>1.0495127732420333</v>
      </c>
      <c r="K101" s="61">
        <f>Histórico!B101/Histórico!N101</f>
        <v>1.0852132614850671</v>
      </c>
      <c r="L101" s="61">
        <f>Histórico!B101/Histórico!J101</f>
        <v>1.1818181818181819</v>
      </c>
      <c r="M101" s="61">
        <f>+Histórico!N101/Histórico!F101</f>
        <v>0.96876658998407361</v>
      </c>
      <c r="N101" s="61">
        <f>Histórico!F101/Histórico!AD101</f>
        <v>1.0572497661365763</v>
      </c>
      <c r="O101" s="61">
        <f>Histórico!G101/Histórico!AE101</f>
        <v>1.0579548620785735</v>
      </c>
      <c r="P101" s="61">
        <f>Histórico!F101/Histórico!AD101</f>
        <v>1.0572497661365763</v>
      </c>
    </row>
    <row r="102" spans="1:16" x14ac:dyDescent="0.25">
      <c r="A102" s="59">
        <f>+Histórico!A102</f>
        <v>44230</v>
      </c>
      <c r="B102" s="61">
        <f>Histórico!B102/Histórico!F102</f>
        <v>1.0455512229705779</v>
      </c>
      <c r="C102" s="60">
        <f>Histórico!F102/Histórico!J102</f>
        <v>1.1119432400472999</v>
      </c>
      <c r="D102" s="61">
        <f>Histórico!F102/Histórico!N102</f>
        <v>1.0419205909510618</v>
      </c>
      <c r="E102" s="61">
        <f>Histórico!F102/Histórico!R102</f>
        <v>1.1306613226452906</v>
      </c>
      <c r="F102" s="61">
        <f>Histórico!R102/Histórico!J102</f>
        <v>0.98344501379582183</v>
      </c>
      <c r="G102" s="61">
        <f>Histórico!N102/Histórico!R102</f>
        <v>1.0851703406813626</v>
      </c>
      <c r="H102" s="61">
        <f>Histórico!N102/Histórico!J102</f>
        <v>1.0672053606621994</v>
      </c>
      <c r="I102" s="61">
        <f>Histórico!B102/Histórico!R102</f>
        <v>1.1821643286573147</v>
      </c>
      <c r="J102" s="61">
        <f>Histórico!C102/Histórico!G102</f>
        <v>1.0481736368448915</v>
      </c>
      <c r="K102" s="61">
        <f>Histórico!B102/Histórico!N102</f>
        <v>1.08938134810711</v>
      </c>
      <c r="L102" s="61">
        <f>Histórico!B102/Histórico!J102</f>
        <v>1.1625936145053213</v>
      </c>
      <c r="M102" s="61">
        <f>+Histórico!N102/Histórico!F102</f>
        <v>0.95976604041120173</v>
      </c>
      <c r="N102" s="61">
        <f>Histórico!F102/Histórico!AD102</f>
        <v>1.0565543071161048</v>
      </c>
      <c r="O102" s="61">
        <f>Histórico!G102/Histórico!AE102</f>
        <v>1.0627285513361464</v>
      </c>
      <c r="P102" s="61">
        <f>Histórico!F102/Histórico!AD102</f>
        <v>1.0565543071161048</v>
      </c>
    </row>
    <row r="103" spans="1:16" x14ac:dyDescent="0.25">
      <c r="A103" s="59">
        <f>+Histórico!A103</f>
        <v>44231</v>
      </c>
      <c r="B103" s="61">
        <f>Histórico!B103/Histórico!F103</f>
        <v>1.05</v>
      </c>
      <c r="C103" s="60">
        <f>Histórico!F103/Histórico!J103</f>
        <v>1.1026392961876832</v>
      </c>
      <c r="D103" s="61">
        <f>Histórico!F103/Histórico!N103</f>
        <v>1.0444444444444445</v>
      </c>
      <c r="E103" s="61">
        <f>Histórico!F103/Histórico!R103</f>
        <v>1.1223880597014926</v>
      </c>
      <c r="F103" s="61">
        <f>Histórico!R103/Histórico!J103</f>
        <v>0.98240469208211145</v>
      </c>
      <c r="G103" s="61">
        <f>Histórico!N103/Histórico!R103</f>
        <v>1.0746268656716418</v>
      </c>
      <c r="H103" s="61">
        <f>Histórico!N103/Histórico!J103</f>
        <v>1.0557184750733137</v>
      </c>
      <c r="I103" s="61">
        <f>Histórico!B103/Histórico!R103</f>
        <v>1.1785074626865673</v>
      </c>
      <c r="J103" s="61">
        <f>Histórico!C103/Histórico!G103</f>
        <v>1.0488841657810839</v>
      </c>
      <c r="K103" s="61">
        <f>Histórico!B103/Histórico!N103</f>
        <v>1.0966666666666667</v>
      </c>
      <c r="L103" s="61">
        <f>Histórico!B103/Histórico!J103</f>
        <v>1.1577712609970674</v>
      </c>
      <c r="M103" s="61">
        <f>+Histórico!N103/Histórico!F103</f>
        <v>0.95744680851063835</v>
      </c>
      <c r="N103" s="61">
        <f>Histórico!F103/Histórico!AD103</f>
        <v>1.0611476952022578</v>
      </c>
      <c r="O103" s="61">
        <f>Histórico!G103/Histórico!AE103</f>
        <v>1.0662889518413599</v>
      </c>
      <c r="P103" s="61">
        <f>Histórico!F103/Histórico!AD103</f>
        <v>1.0611476952022578</v>
      </c>
    </row>
    <row r="104" spans="1:16" x14ac:dyDescent="0.25">
      <c r="A104" s="59">
        <f>+Histórico!A104</f>
        <v>44232</v>
      </c>
      <c r="B104" s="61">
        <f>Histórico!B104/Histórico!F104</f>
        <v>1.0563255152807391</v>
      </c>
      <c r="C104" s="60">
        <f>Histórico!F104/Histórico!J104</f>
        <v>1.1002932551319649</v>
      </c>
      <c r="D104" s="61">
        <f>Histórico!F104/Histórico!N104</f>
        <v>1.0433815350389322</v>
      </c>
      <c r="E104" s="61">
        <f>Histórico!F104/Histórico!R104</f>
        <v>1.1144554455445546</v>
      </c>
      <c r="F104" s="61">
        <f>Histórico!R104/Histórico!J104</f>
        <v>0.98729227761485827</v>
      </c>
      <c r="G104" s="61">
        <f>Histórico!N104/Histórico!R104</f>
        <v>1.0681188118811882</v>
      </c>
      <c r="H104" s="61">
        <f>Histórico!N104/Histórico!J104</f>
        <v>1.0545454545454545</v>
      </c>
      <c r="I104" s="61">
        <f>Histórico!B104/Histórico!R104</f>
        <v>1.1772277227722772</v>
      </c>
      <c r="J104" s="61">
        <f>Histórico!C104/Histórico!G104</f>
        <v>1.0494417862838916</v>
      </c>
      <c r="K104" s="61">
        <f>Histórico!B104/Histórico!N104</f>
        <v>1.1021505376344085</v>
      </c>
      <c r="L104" s="61">
        <f>Histórico!B104/Histórico!J104</f>
        <v>1.1622678396871946</v>
      </c>
      <c r="M104" s="61">
        <f>+Histórico!N104/Histórico!F104</f>
        <v>0.95842217484008529</v>
      </c>
      <c r="N104" s="61">
        <f>Histórico!F104/Histórico!AD104</f>
        <v>1.05</v>
      </c>
      <c r="O104" s="61">
        <f>Histórico!G104/Histórico!AE104</f>
        <v>1.0582278481012659</v>
      </c>
      <c r="P104" s="61">
        <f>Histórico!F104/Histórico!AD104</f>
        <v>1.05</v>
      </c>
    </row>
    <row r="105" spans="1:16" x14ac:dyDescent="0.25">
      <c r="A105" s="59">
        <f>+Histórico!A105</f>
        <v>44235</v>
      </c>
      <c r="B105" s="61">
        <f>Histórico!B105/Histórico!F105</f>
        <v>1.0502842928216063</v>
      </c>
      <c r="C105" s="60">
        <f>Histórico!F105/Histórico!J105</f>
        <v>1.1098402681916781</v>
      </c>
      <c r="D105" s="61">
        <f>Histórico!F105/Histórico!N105</f>
        <v>1.0460966542750929</v>
      </c>
      <c r="E105" s="61">
        <f>Histórico!F105/Histórico!R105</f>
        <v>1.1188866799204771</v>
      </c>
      <c r="F105" s="61">
        <f>Histórico!R105/Histórico!J105</f>
        <v>0.99191480970222834</v>
      </c>
      <c r="G105" s="61">
        <f>Histórico!N105/Histórico!R105</f>
        <v>1.0695825049701788</v>
      </c>
      <c r="H105" s="61">
        <f>Histórico!N105/Histórico!J105</f>
        <v>1.0609347268783278</v>
      </c>
      <c r="I105" s="61">
        <f>Histórico!B105/Histórico!R105</f>
        <v>1.1751491053677932</v>
      </c>
      <c r="J105" s="61">
        <f>Histórico!C105/Histórico!G105</f>
        <v>1.0504648074369189</v>
      </c>
      <c r="K105" s="61">
        <f>Histórico!B105/Histórico!N105</f>
        <v>1.0986988847583643</v>
      </c>
      <c r="L105" s="61">
        <f>Histórico!B105/Histórico!J105</f>
        <v>1.1656478012226386</v>
      </c>
      <c r="M105" s="61">
        <f>+Histórico!N105/Histórico!F105</f>
        <v>0.95593461265103052</v>
      </c>
      <c r="N105" s="61">
        <f>Histórico!F105/Histórico!AD105</f>
        <v>1.053932584269663</v>
      </c>
      <c r="O105" s="61">
        <f>Histórico!G105/Histórico!AE105</f>
        <v>1.0575842696629212</v>
      </c>
      <c r="P105" s="61">
        <f>Histórico!F105/Histórico!AD105</f>
        <v>1.053932584269663</v>
      </c>
    </row>
    <row r="106" spans="1:16" x14ac:dyDescent="0.25">
      <c r="A106" s="59">
        <f>+Histórico!A106</f>
        <v>44236</v>
      </c>
      <c r="B106" s="61">
        <f>Histórico!B106/Histórico!F106</f>
        <v>1.0504619758351101</v>
      </c>
      <c r="C106" s="60">
        <f>Histórico!F106/Histórico!J106</f>
        <v>1.1113744075829384</v>
      </c>
      <c r="D106" s="61">
        <f>Histórico!F106/Histórico!N106</f>
        <v>1.0535380007487831</v>
      </c>
      <c r="E106" s="61">
        <f>Histórico!F106/Histórico!R106</f>
        <v>1.1179976162097736</v>
      </c>
      <c r="F106" s="61">
        <f>Histórico!R106/Histórico!J106</f>
        <v>0.99407582938388628</v>
      </c>
      <c r="G106" s="61">
        <f>Histórico!N106/Histórico!R106</f>
        <v>1.0611839491458086</v>
      </c>
      <c r="H106" s="61">
        <f>Histórico!N106/Histórico!J106</f>
        <v>1.0548973143759874</v>
      </c>
      <c r="I106" s="61">
        <f>Histórico!B106/Histórico!R106</f>
        <v>1.1744139849026618</v>
      </c>
      <c r="J106" s="61">
        <f>Histórico!C106/Histórico!G106</f>
        <v>1.0519722814498933</v>
      </c>
      <c r="K106" s="61">
        <f>Histórico!B106/Histórico!N106</f>
        <v>1.1067016098839386</v>
      </c>
      <c r="L106" s="61">
        <f>Histórico!B106/Histórico!J106</f>
        <v>1.1674565560821486</v>
      </c>
      <c r="M106" s="61">
        <f>+Histórico!N106/Histórico!F106</f>
        <v>0.94918265813788205</v>
      </c>
      <c r="N106" s="61">
        <f>Histórico!F106/Histórico!AD106</f>
        <v>1.0618867924528301</v>
      </c>
      <c r="O106" s="61">
        <f>Histórico!G106/Histórico!AE106</f>
        <v>1.0659090909090909</v>
      </c>
      <c r="P106" s="61">
        <f>Histórico!F106/Histórico!AD106</f>
        <v>1.0618867924528301</v>
      </c>
    </row>
    <row r="107" spans="1:16" x14ac:dyDescent="0.25">
      <c r="A107" s="59">
        <f>+Histórico!A107</f>
        <v>44237</v>
      </c>
      <c r="B107" s="61">
        <f>Histórico!B107/Histórico!F107</f>
        <v>1.0538516405135521</v>
      </c>
      <c r="C107" s="60">
        <f>Histórico!F107/Histórico!J107</f>
        <v>1.1151322330483198</v>
      </c>
      <c r="D107" s="61">
        <f>Histórico!F107/Histórico!N107</f>
        <v>1.053739195791056</v>
      </c>
      <c r="E107" s="61">
        <f>Histórico!F107/Histórico!R107</f>
        <v>1.1194730012975347</v>
      </c>
      <c r="F107" s="61">
        <f>Histórico!R107/Histórico!J107</f>
        <v>0.99612248956054883</v>
      </c>
      <c r="G107" s="61">
        <f>Histórico!N107/Histórico!R107</f>
        <v>1.0623814751971254</v>
      </c>
      <c r="H107" s="61">
        <f>Histórico!N107/Histórico!J107</f>
        <v>1.0582620799363691</v>
      </c>
      <c r="I107" s="61">
        <f>Histórico!B107/Histórico!R107</f>
        <v>1.1797584589280368</v>
      </c>
      <c r="J107" s="61">
        <f>Histórico!C107/Histórico!G107</f>
        <v>1.0523364485981306</v>
      </c>
      <c r="K107" s="61">
        <f>Histórico!B107/Histórico!N107</f>
        <v>1.1104847801578355</v>
      </c>
      <c r="L107" s="61">
        <f>Histórico!B107/Histórico!J107</f>
        <v>1.1751839331875125</v>
      </c>
      <c r="M107" s="61">
        <f>+Histórico!N107/Histórico!F107</f>
        <v>0.94900142653352348</v>
      </c>
      <c r="N107" s="61">
        <f>Histórico!F107/Histórico!AD107</f>
        <v>1.062121212121212</v>
      </c>
      <c r="O107" s="61">
        <f>Histórico!G107/Histórico!AE107</f>
        <v>1.0681688533941813</v>
      </c>
      <c r="P107" s="61">
        <f>Histórico!F107/Histórico!AD107</f>
        <v>1.062121212121212</v>
      </c>
    </row>
    <row r="108" spans="1:16" x14ac:dyDescent="0.25">
      <c r="A108" s="59">
        <f>+Histórico!A108</f>
        <v>44238</v>
      </c>
      <c r="B108" s="61">
        <f>Histórico!B108/Histórico!F108</f>
        <v>1.052823315118397</v>
      </c>
      <c r="C108" s="60">
        <f>Histórico!F108/Histórico!J108</f>
        <v>1.1090909090909091</v>
      </c>
      <c r="D108" s="61">
        <f>Histórico!F108/Histórico!N108</f>
        <v>1.0517241379310345</v>
      </c>
      <c r="E108" s="61">
        <f>Histórico!F108/Histórico!R108</f>
        <v>1.1070780399274047</v>
      </c>
      <c r="F108" s="61">
        <f>Histórico!R108/Histórico!J108</f>
        <v>1.0018181818181817</v>
      </c>
      <c r="G108" s="61">
        <f>Histórico!N108/Histórico!R108</f>
        <v>1.0526315789473684</v>
      </c>
      <c r="H108" s="61">
        <f>Histórico!N108/Histórico!J108</f>
        <v>1.0545454545454545</v>
      </c>
      <c r="I108" s="61">
        <f>Histórico!B108/Histórico!R108</f>
        <v>1.1655575720911473</v>
      </c>
      <c r="J108" s="61">
        <f>Histórico!C108/Histórico!G108</f>
        <v>1.0564712239935155</v>
      </c>
      <c r="K108" s="61">
        <f>Histórico!B108/Histórico!N108</f>
        <v>1.1072796934865901</v>
      </c>
      <c r="L108" s="61">
        <f>Histórico!B108/Histórico!J108</f>
        <v>1.1676767676767676</v>
      </c>
      <c r="M108" s="61">
        <f>+Histórico!N108/Histórico!F108</f>
        <v>0.95081967213114749</v>
      </c>
      <c r="N108" s="61">
        <f>Histórico!F108/Histórico!AD108</f>
        <v>1.0618955512572534</v>
      </c>
      <c r="O108" s="61">
        <f>Histórico!G108/Histórico!AE108</f>
        <v>1.0589413447782545</v>
      </c>
      <c r="P108" s="61">
        <f>Histórico!F108/Histórico!AD108</f>
        <v>1.0618955512572534</v>
      </c>
    </row>
    <row r="109" spans="1:16" x14ac:dyDescent="0.25">
      <c r="A109" s="59">
        <f>+Histórico!A109</f>
        <v>44239</v>
      </c>
      <c r="B109" s="61">
        <f>Histórico!B109/Histórico!F109</f>
        <v>1.0572277963582311</v>
      </c>
      <c r="C109" s="60">
        <f>Histórico!F109/Histórico!J109</f>
        <v>1.0962419798350138</v>
      </c>
      <c r="D109" s="61">
        <f>Histórico!F109/Histórico!N109</f>
        <v>1.0450485436893204</v>
      </c>
      <c r="E109" s="61">
        <f>Histórico!F109/Histórico!R109</f>
        <v>1.0894736842105264</v>
      </c>
      <c r="F109" s="61">
        <f>Histórico!R109/Histórico!J109</f>
        <v>1.0062124452591914</v>
      </c>
      <c r="G109" s="61">
        <f>Histórico!N109/Histórico!R109</f>
        <v>1.0425101214574899</v>
      </c>
      <c r="H109" s="61">
        <f>Histórico!N109/Histórico!J109</f>
        <v>1.0489866585191974</v>
      </c>
      <c r="I109" s="61">
        <f>Histórico!B109/Histórico!R109</f>
        <v>1.1518218623481782</v>
      </c>
      <c r="J109" s="61">
        <f>Histórico!C109/Histórico!G109</f>
        <v>1.0699588477366255</v>
      </c>
      <c r="K109" s="61">
        <f>Histórico!B109/Histórico!N109</f>
        <v>1.1048543689320389</v>
      </c>
      <c r="L109" s="61">
        <f>Histórico!B109/Histórico!J109</f>
        <v>1.1589774926163561</v>
      </c>
      <c r="M109" s="61">
        <f>+Histórico!N109/Histórico!F109</f>
        <v>0.956893348197696</v>
      </c>
      <c r="N109" s="61">
        <f>Histórico!F109/Histórico!AD109</f>
        <v>1.0575751621143643</v>
      </c>
      <c r="O109" s="61">
        <f>Histórico!G109/Histórico!AE109</f>
        <v>1.0471128985923586</v>
      </c>
      <c r="P109" s="61">
        <f>Histórico!F109/Histórico!AD109</f>
        <v>1.0575751621143643</v>
      </c>
    </row>
    <row r="110" spans="1:16" x14ac:dyDescent="0.25">
      <c r="A110" s="59">
        <f>+Histórico!A110</f>
        <v>44244</v>
      </c>
      <c r="B110" s="61">
        <f>Histórico!B110/Histórico!F110</f>
        <v>1.0607521697203472</v>
      </c>
      <c r="C110" s="60">
        <f>Histórico!F110/Histórico!J110</f>
        <v>1.1069598633646456</v>
      </c>
      <c r="D110" s="61">
        <f>Histórico!F110/Histórico!N110</f>
        <v>1.0464177598385469</v>
      </c>
      <c r="E110" s="61">
        <f>Histórico!F110/Histórico!R110</f>
        <v>1.1031914893617021</v>
      </c>
      <c r="F110" s="61">
        <f>Histórico!R110/Histórico!J110</f>
        <v>1.0034158838599487</v>
      </c>
      <c r="G110" s="61">
        <f>Histórico!N110/Histórico!R110</f>
        <v>1.0542553191489361</v>
      </c>
      <c r="H110" s="61">
        <f>Histórico!N110/Histórico!J110</f>
        <v>1.0578565328778822</v>
      </c>
      <c r="I110" s="61">
        <f>Histórico!B110/Histórico!R110</f>
        <v>1.1702127659574468</v>
      </c>
      <c r="J110" s="61">
        <f>Histórico!C110/Histórico!G110</f>
        <v>1.0705589374654123</v>
      </c>
      <c r="K110" s="61">
        <f>Histórico!B110/Histórico!N110</f>
        <v>1.1099899091826437</v>
      </c>
      <c r="L110" s="61">
        <f>Histórico!B110/Histórico!J110</f>
        <v>1.1742100768573869</v>
      </c>
      <c r="M110" s="61">
        <f>+Histórico!N110/Histórico!F110</f>
        <v>0.9556412729026037</v>
      </c>
      <c r="N110" s="61">
        <f>Histórico!F110/Histórico!AD110</f>
        <v>1.0605440785436695</v>
      </c>
      <c r="O110" s="61">
        <f>Histórico!G110/Histórico!AE110</f>
        <v>1.0626286386356956</v>
      </c>
      <c r="P110" s="61">
        <f>Histórico!F110/Histórico!AD110</f>
        <v>1.0605440785436695</v>
      </c>
    </row>
    <row r="111" spans="1:16" x14ac:dyDescent="0.25">
      <c r="A111" s="59">
        <f>+Histórico!A111</f>
        <v>44245</v>
      </c>
      <c r="B111" s="61">
        <f>Histórico!B111/Histórico!F111</f>
        <v>1.0575815738963532</v>
      </c>
      <c r="C111" s="60">
        <f>Histórico!F111/Histórico!J111</f>
        <v>1.1216361679224973</v>
      </c>
      <c r="D111" s="61">
        <f>Histórico!F111/Histórico!N111</f>
        <v>1.0632653061224491</v>
      </c>
      <c r="E111" s="61">
        <f>Histórico!F111/Histórico!R111</f>
        <v>1.1253915109623069</v>
      </c>
      <c r="F111" s="61">
        <f>Histórico!R111/Histórico!J111</f>
        <v>0.99666307857911729</v>
      </c>
      <c r="G111" s="61">
        <f>Histórico!N111/Histórico!R111</f>
        <v>1.0584296360298089</v>
      </c>
      <c r="H111" s="61">
        <f>Histórico!N111/Histórico!J111</f>
        <v>1.054897739504844</v>
      </c>
      <c r="I111" s="61">
        <f>Histórico!B111/Histórico!R111</f>
        <v>1.1901933254131116</v>
      </c>
      <c r="J111" s="61">
        <f>Histórico!C111/Histórico!G111</f>
        <v>1.0598639455782313</v>
      </c>
      <c r="K111" s="61">
        <f>Histórico!B111/Histórico!N111</f>
        <v>1.1244897959183673</v>
      </c>
      <c r="L111" s="61">
        <f>Histórico!B111/Histórico!J111</f>
        <v>1.1862217438105489</v>
      </c>
      <c r="M111" s="61">
        <f>+Histórico!N111/Histórico!F111</f>
        <v>0.94049904030710174</v>
      </c>
      <c r="N111" s="61">
        <f>Histórico!F111/Histórico!AD111</f>
        <v>1.0968421052631578</v>
      </c>
      <c r="O111" s="61">
        <f>Histórico!G111/Histórico!AE111</f>
        <v>1.0780287474332648</v>
      </c>
      <c r="P111" s="61">
        <f>Histórico!F111/Histórico!AD111</f>
        <v>1.0968421052631578</v>
      </c>
    </row>
    <row r="112" spans="1:16" x14ac:dyDescent="0.25">
      <c r="A112" s="59">
        <f>+Histórico!A112</f>
        <v>44246</v>
      </c>
      <c r="B112" s="61">
        <f>Histórico!B112/Histórico!F112</f>
        <v>1.0597484276729561</v>
      </c>
      <c r="C112" s="60">
        <f>Histórico!F112/Histórico!J112</f>
        <v>1.1182417582417583</v>
      </c>
      <c r="D112" s="61">
        <f>Histórico!F112/Histórico!N112</f>
        <v>1.0512396694214876</v>
      </c>
      <c r="E112" s="61">
        <f>Histórico!F112/Histórico!R112</f>
        <v>1.0941935483870968</v>
      </c>
      <c r="F112" s="61">
        <f>Histórico!R112/Histórico!J112</f>
        <v>1.0219780219780219</v>
      </c>
      <c r="G112" s="61">
        <f>Histórico!N112/Histórico!R112</f>
        <v>1.0408602150537634</v>
      </c>
      <c r="H112" s="61">
        <f>Histórico!N112/Histórico!J112</f>
        <v>1.0637362637362637</v>
      </c>
      <c r="I112" s="61">
        <f>Histórico!B112/Histórico!R112</f>
        <v>1.1595698924731184</v>
      </c>
      <c r="J112" s="61">
        <f>Histórico!C112/Histórico!G112</f>
        <v>1.0598572213069741</v>
      </c>
      <c r="K112" s="61">
        <f>Histórico!B112/Histórico!N112</f>
        <v>1.1140495867768596</v>
      </c>
      <c r="L112" s="61">
        <f>Histórico!B112/Histórico!J112</f>
        <v>1.185054945054945</v>
      </c>
      <c r="M112" s="61">
        <f>+Histórico!N112/Histórico!F112</f>
        <v>0.95125786163522008</v>
      </c>
      <c r="N112" s="61">
        <f>Histórico!F112/Histórico!AD112</f>
        <v>1.0791092258748674</v>
      </c>
      <c r="O112" s="61">
        <f>Histórico!G112/Histórico!AE112</f>
        <v>1.0743362831858407</v>
      </c>
      <c r="P112" s="61">
        <f>Histórico!F112/Histórico!AD112</f>
        <v>1.0791092258748674</v>
      </c>
    </row>
    <row r="113" spans="1:16" x14ac:dyDescent="0.25">
      <c r="A113" s="59">
        <f>+Histórico!A113</f>
        <v>44249</v>
      </c>
      <c r="B113" s="61">
        <f>Histórico!B113/Histórico!F113</f>
        <v>1.0336967294350843</v>
      </c>
      <c r="C113" s="60">
        <f>Histórico!F113/Histórico!J113</f>
        <v>1.1349831271091113</v>
      </c>
      <c r="D113" s="61">
        <f>Histórico!F113/Histórico!N113</f>
        <v>1.0632244467860905</v>
      </c>
      <c r="E113" s="61">
        <f>Histórico!F113/Histórico!R113</f>
        <v>1.1161504424778761</v>
      </c>
      <c r="F113" s="61">
        <f>Histórico!R113/Histórico!J113</f>
        <v>1.0168728908886389</v>
      </c>
      <c r="G113" s="61">
        <f>Histórico!N113/Histórico!R113</f>
        <v>1.0497787610619469</v>
      </c>
      <c r="H113" s="61">
        <f>Histórico!N113/Histórico!J113</f>
        <v>1.0674915635545557</v>
      </c>
      <c r="I113" s="61">
        <f>Histórico!B113/Histórico!R113</f>
        <v>1.1537610619469028</v>
      </c>
      <c r="J113" s="61">
        <f>Histórico!C113/Histórico!G113</f>
        <v>1.0522696011004127</v>
      </c>
      <c r="K113" s="61">
        <f>Histórico!B113/Histórico!N113</f>
        <v>1.0990516332982085</v>
      </c>
      <c r="L113" s="61">
        <f>Histórico!B113/Histórico!J113</f>
        <v>1.1732283464566928</v>
      </c>
      <c r="M113" s="61">
        <f>+Histórico!N113/Histórico!F113</f>
        <v>0.94053518334985131</v>
      </c>
      <c r="N113" s="61">
        <f>Histórico!F113/Histórico!AD113</f>
        <v>1.0967391304347827</v>
      </c>
      <c r="O113" s="61">
        <f>Histórico!G113/Histórico!AE113</f>
        <v>1.0850746268656717</v>
      </c>
      <c r="P113" s="61">
        <f>Histórico!F113/Histórico!AD113</f>
        <v>1.0967391304347827</v>
      </c>
    </row>
    <row r="114" spans="1:16" x14ac:dyDescent="0.25">
      <c r="A114" s="59">
        <f>+Histórico!A114</f>
        <v>44250</v>
      </c>
      <c r="B114" s="61">
        <f>Histórico!B114/Histórico!F114</f>
        <v>1.0429999999999999</v>
      </c>
      <c r="C114" s="60">
        <f>Histórico!F114/Histórico!J114</f>
        <v>1.1193194537721065</v>
      </c>
      <c r="D114" s="61">
        <f>Histórico!F114/Histórico!N114</f>
        <v>1.0620220900594732</v>
      </c>
      <c r="E114" s="61">
        <f>Histórico!F114/Histórico!R114</f>
        <v>1.103996467211305</v>
      </c>
      <c r="F114" s="61">
        <f>Histórico!R114/Histórico!J114</f>
        <v>1.0138795612267741</v>
      </c>
      <c r="G114" s="61">
        <f>Histórico!N114/Histórico!R114</f>
        <v>1.0395230735261647</v>
      </c>
      <c r="H114" s="61">
        <f>Histórico!N114/Histórico!J114</f>
        <v>1.0539511976718154</v>
      </c>
      <c r="I114" s="61">
        <f>Histórico!B114/Histórico!R114</f>
        <v>1.1514683153013909</v>
      </c>
      <c r="J114" s="61">
        <f>Histórico!C114/Histórico!G114</f>
        <v>1.0542657342657342</v>
      </c>
      <c r="K114" s="61">
        <f>Histórico!B114/Histórico!N114</f>
        <v>1.1076890399320305</v>
      </c>
      <c r="L114" s="61">
        <f>Histórico!B114/Histórico!J114</f>
        <v>1.1674501902843071</v>
      </c>
      <c r="M114" s="61">
        <f>+Histórico!N114/Histórico!F114</f>
        <v>0.94159999999999999</v>
      </c>
      <c r="N114" s="61">
        <f>Histórico!F114/Histórico!AD114</f>
        <v>1.0869565217391304</v>
      </c>
      <c r="O114" s="61">
        <f>Histórico!G114/Histórico!AE114</f>
        <v>1.0833333333333333</v>
      </c>
      <c r="P114" s="61">
        <f>Histórico!F114/Histórico!AD114</f>
        <v>1.0869565217391304</v>
      </c>
    </row>
    <row r="115" spans="1:16" x14ac:dyDescent="0.25">
      <c r="A115" s="59">
        <f>+Histórico!A115</f>
        <v>44251</v>
      </c>
      <c r="B115" s="61">
        <f>Histórico!B115/Histórico!F115</f>
        <v>1.0532940019665684</v>
      </c>
      <c r="C115" s="60">
        <f>Histórico!F115/Histórico!J115</f>
        <v>1.102319531758075</v>
      </c>
      <c r="D115" s="61">
        <f>Histórico!F115/Histórico!N115</f>
        <v>1.0571725571725572</v>
      </c>
      <c r="E115" s="61">
        <f>Histórico!F115/Histórico!R115</f>
        <v>1.0935483870967742</v>
      </c>
      <c r="F115" s="61">
        <f>Histórico!R115/Histórico!J115</f>
        <v>1.0080208107522219</v>
      </c>
      <c r="G115" s="61">
        <f>Histórico!N115/Histórico!R115</f>
        <v>1.0344086021505376</v>
      </c>
      <c r="H115" s="61">
        <f>Histórico!N115/Histórico!J115</f>
        <v>1.0427053977888576</v>
      </c>
      <c r="I115" s="61">
        <f>Histórico!B115/Histórico!R115</f>
        <v>1.1518279569892473</v>
      </c>
      <c r="J115" s="61">
        <f>Histórico!C115/Histórico!G115</f>
        <v>1.0504434589800444</v>
      </c>
      <c r="K115" s="61">
        <f>Histórico!B115/Histórico!N115</f>
        <v>1.1135135135135135</v>
      </c>
      <c r="L115" s="61">
        <f>Histórico!B115/Histórico!J115</f>
        <v>1.1610665510513765</v>
      </c>
      <c r="M115" s="61">
        <f>+Histórico!N115/Histórico!F115</f>
        <v>0.94591937069813181</v>
      </c>
      <c r="N115" s="61">
        <f>Histórico!F115/Histórico!AD115</f>
        <v>1.0660377358490567</v>
      </c>
      <c r="O115" s="61">
        <f>Histórico!G115/Histórico!AE115</f>
        <v>1.0770149253731343</v>
      </c>
      <c r="P115" s="61">
        <f>Histórico!F115/Histórico!AD115</f>
        <v>1.0660377358490567</v>
      </c>
    </row>
    <row r="116" spans="1:16" x14ac:dyDescent="0.25">
      <c r="A116" s="59">
        <f>+Histórico!A116</f>
        <v>44252</v>
      </c>
      <c r="B116" s="61">
        <f>Histórico!B116/Histórico!F116</f>
        <v>1.0423106646058733</v>
      </c>
      <c r="C116" s="60">
        <f>Histórico!F116/Histórico!J116</f>
        <v>1.1071657754010695</v>
      </c>
      <c r="D116" s="61">
        <f>Histórico!F116/Histórico!N116</f>
        <v>1.0520325203252032</v>
      </c>
      <c r="E116" s="61">
        <f>Histórico!F116/Histórico!R116</f>
        <v>1.0899136660349547</v>
      </c>
      <c r="F116" s="61">
        <f>Histórico!R116/Histórico!J116</f>
        <v>1.0158288770053476</v>
      </c>
      <c r="G116" s="61">
        <f>Histórico!N116/Histórico!R116</f>
        <v>1.0360075805432722</v>
      </c>
      <c r="H116" s="61">
        <f>Histórico!N116/Histórico!J116</f>
        <v>1.0524064171122995</v>
      </c>
      <c r="I116" s="61">
        <f>Histórico!B116/Histórico!R116</f>
        <v>1.1360286376079174</v>
      </c>
      <c r="J116" s="61">
        <f>Histórico!C116/Histórico!G116</f>
        <v>1.0397587057855773</v>
      </c>
      <c r="K116" s="61">
        <f>Histórico!B116/Histórico!N116</f>
        <v>1.0965447154471544</v>
      </c>
      <c r="L116" s="61">
        <f>Histórico!B116/Histórico!J116</f>
        <v>1.1540106951871658</v>
      </c>
      <c r="M116" s="61">
        <f>+Histórico!N116/Histórico!F116</f>
        <v>0.95054095826893359</v>
      </c>
      <c r="N116" s="61">
        <f>Histórico!F116/Histórico!AD116</f>
        <v>1.0862539349422875</v>
      </c>
      <c r="O116" s="61">
        <f>Histórico!G116/Histórico!AE116</f>
        <v>1.0919161676646707</v>
      </c>
      <c r="P116" s="61">
        <f>Histórico!F116/Histórico!AD116</f>
        <v>1.0862539349422875</v>
      </c>
    </row>
    <row r="117" spans="1:16" x14ac:dyDescent="0.25">
      <c r="A117" s="59">
        <f>+Histórico!A117</f>
        <v>44253</v>
      </c>
      <c r="B117" s="61">
        <f>Histórico!B117/Histórico!F117</f>
        <v>1.042528735632184</v>
      </c>
      <c r="C117" s="60">
        <f>Histórico!F117/Histórico!J117</f>
        <v>1.1035940803382664</v>
      </c>
      <c r="D117" s="61">
        <f>Histórico!F117/Histórico!N117</f>
        <v>1.0503018108651911</v>
      </c>
      <c r="E117" s="61">
        <f>Histórico!F117/Histórico!R117</f>
        <v>1.0991787744788377</v>
      </c>
      <c r="F117" s="61">
        <f>Histórico!R117/Histórico!J117</f>
        <v>1.0040169133192389</v>
      </c>
      <c r="G117" s="61">
        <f>Histórico!N117/Histórico!R117</f>
        <v>1.0465361128658666</v>
      </c>
      <c r="H117" s="61">
        <f>Histórico!N117/Histórico!J117</f>
        <v>1.0507399577167018</v>
      </c>
      <c r="I117" s="61">
        <f>Histórico!B117/Histórico!R117</f>
        <v>1.145925457991156</v>
      </c>
      <c r="J117" s="61">
        <f>Histórico!C117/Histórico!G117</f>
        <v>1.0345296356715605</v>
      </c>
      <c r="K117" s="61">
        <f>Histórico!B117/Histórico!N117</f>
        <v>1.0949698189134809</v>
      </c>
      <c r="L117" s="61">
        <f>Histórico!B117/Histórico!J117</f>
        <v>1.1505285412262156</v>
      </c>
      <c r="M117" s="61">
        <f>+Histórico!N117/Histórico!F117</f>
        <v>0.95210727969348663</v>
      </c>
      <c r="N117" s="61">
        <f>Histórico!F117/Histórico!AD117</f>
        <v>1.0874999999999999</v>
      </c>
      <c r="O117" s="61">
        <f>Histórico!G117/Histórico!AE117</f>
        <v>1.1041729210447313</v>
      </c>
      <c r="P117" s="61">
        <f>Histórico!F117/Histórico!AD117</f>
        <v>1.0874999999999999</v>
      </c>
    </row>
    <row r="118" spans="1:16" x14ac:dyDescent="0.25">
      <c r="A118" s="59">
        <f>+Histórico!A118</f>
        <v>44256</v>
      </c>
      <c r="B118" s="61">
        <f>Histórico!B118/Histórico!F118</f>
        <v>1.0363017583664209</v>
      </c>
      <c r="C118" s="60">
        <f>Histórico!F118/Histórico!J118</f>
        <v>1.1090375340742293</v>
      </c>
      <c r="D118" s="61">
        <f>Histórico!F118/Histórico!N118</f>
        <v>1.0458770021752026</v>
      </c>
      <c r="E118" s="61">
        <f>Histórico!F118/Histórico!R118</f>
        <v>1.1125368111064367</v>
      </c>
      <c r="F118" s="61">
        <f>Histórico!R118/Histórico!J118</f>
        <v>0.99685468651708953</v>
      </c>
      <c r="G118" s="61">
        <f>Histórico!N118/Histórico!R118</f>
        <v>1.0637358014303744</v>
      </c>
      <c r="H118" s="61">
        <f>Histórico!N118/Histórico!J118</f>
        <v>1.0603900188718809</v>
      </c>
      <c r="I118" s="61">
        <f>Histórico!B118/Histórico!R118</f>
        <v>1.152923853596971</v>
      </c>
      <c r="J118" s="61">
        <f>Histórico!C118/Histórico!G118</f>
        <v>1.0383360522022838</v>
      </c>
      <c r="K118" s="61">
        <f>Histórico!B118/Histórico!N118</f>
        <v>1.0838441763891635</v>
      </c>
      <c r="L118" s="61">
        <f>Histórico!B118/Histórico!J118</f>
        <v>1.1492975466554833</v>
      </c>
      <c r="M118" s="61">
        <f>+Histórico!N118/Histórico!F118</f>
        <v>0.95613537530724146</v>
      </c>
      <c r="N118" s="61">
        <f>Histórico!F118/Histórico!AD118</f>
        <v>1.0905154639175259</v>
      </c>
      <c r="O118" s="61">
        <f>Histórico!G118/Histórico!AE118</f>
        <v>1.0972553699284009</v>
      </c>
      <c r="P118" s="61">
        <f>Histórico!F118/Histórico!AD118</f>
        <v>1.0905154639175259</v>
      </c>
    </row>
    <row r="119" spans="1:16" x14ac:dyDescent="0.25">
      <c r="A119" s="59">
        <f>+Histórico!A119</f>
        <v>44257</v>
      </c>
      <c r="B119" s="61">
        <f>Histórico!B119/Histórico!F119</f>
        <v>1.0350744861399208</v>
      </c>
      <c r="C119" s="60">
        <f>Histórico!F119/Histórico!J119</f>
        <v>1.1294994675186369</v>
      </c>
      <c r="D119" s="61">
        <f>Histórico!F119/Histórico!N119</f>
        <v>1.0691532258064516</v>
      </c>
      <c r="E119" s="61">
        <f>Histórico!F119/Histórico!R119</f>
        <v>1.1247083775185578</v>
      </c>
      <c r="F119" s="61">
        <f>Histórico!R119/Histórico!J119</f>
        <v>1.0042598509052183</v>
      </c>
      <c r="G119" s="61">
        <f>Histórico!N119/Histórico!R119</f>
        <v>1.0519618239660657</v>
      </c>
      <c r="H119" s="61">
        <f>Histórico!N119/Histórico!J119</f>
        <v>1.0564430244941427</v>
      </c>
      <c r="I119" s="61">
        <f>Histórico!B119/Histórico!R119</f>
        <v>1.1641569459172854</v>
      </c>
      <c r="J119" s="61">
        <f>Histórico!C119/Histórico!G119</f>
        <v>1.038578120694406</v>
      </c>
      <c r="K119" s="61">
        <f>Histórico!B119/Histórico!N119</f>
        <v>1.1066532258064516</v>
      </c>
      <c r="L119" s="61">
        <f>Histórico!B119/Histórico!J119</f>
        <v>1.1691160809371672</v>
      </c>
      <c r="M119" s="61">
        <f>+Histórico!N119/Histórico!F119</f>
        <v>0.93531963039788801</v>
      </c>
      <c r="N119" s="61">
        <f>Histórico!F119/Histórico!AD119</f>
        <v>1.107098121085595</v>
      </c>
      <c r="O119" s="61">
        <f>Histórico!G119/Histórico!AE119</f>
        <v>1.1043822276323798</v>
      </c>
      <c r="P119" s="61">
        <f>Histórico!F119/Histórico!AD119</f>
        <v>1.107098121085595</v>
      </c>
    </row>
    <row r="120" spans="1:16" x14ac:dyDescent="0.25">
      <c r="A120" s="59">
        <f>+Histórico!A120</f>
        <v>44258</v>
      </c>
      <c r="B120" s="61">
        <f>Histórico!B120/Histórico!F120</f>
        <v>1.0336356764928194</v>
      </c>
      <c r="C120" s="60">
        <f>Histórico!F120/Histórico!J120</f>
        <v>1.1259574468085107</v>
      </c>
      <c r="D120" s="61">
        <f>Histórico!F120/Histórico!N120</f>
        <v>1.0788990825688074</v>
      </c>
      <c r="E120" s="61">
        <f>Histórico!F120/Histórico!R120</f>
        <v>1.111764705882353</v>
      </c>
      <c r="F120" s="61">
        <f>Histórico!R120/Histórico!J120</f>
        <v>1.0127659574468084</v>
      </c>
      <c r="G120" s="61">
        <f>Histórico!N120/Histórico!R120</f>
        <v>1.0304621848739495</v>
      </c>
      <c r="H120" s="61">
        <f>Histórico!N120/Histórico!J120</f>
        <v>1.0436170212765958</v>
      </c>
      <c r="I120" s="61">
        <f>Histórico!B120/Histórico!R120</f>
        <v>1.1491596638655461</v>
      </c>
      <c r="J120" s="61">
        <f>Histórico!C120/Histórico!G120</f>
        <v>1.0353395913859746</v>
      </c>
      <c r="K120" s="61">
        <f>Histórico!B120/Histórico!N120</f>
        <v>1.1151885830784913</v>
      </c>
      <c r="L120" s="61">
        <f>Histórico!B120/Histórico!J120</f>
        <v>1.1638297872340426</v>
      </c>
      <c r="M120" s="61">
        <f>+Histórico!N120/Histórico!F120</f>
        <v>0.9268707482993197</v>
      </c>
      <c r="N120" s="61">
        <f>Histórico!F120/Histórico!AD120</f>
        <v>1.107112970711297</v>
      </c>
      <c r="O120" s="61">
        <f>Histórico!G120/Histórico!AE120</f>
        <v>1.111383860079779</v>
      </c>
      <c r="P120" s="61">
        <f>Histórico!F120/Histórico!AD120</f>
        <v>1.107112970711297</v>
      </c>
    </row>
    <row r="121" spans="1:16" x14ac:dyDescent="0.25">
      <c r="A121" s="59">
        <f>+Histórico!A121</f>
        <v>44259</v>
      </c>
      <c r="B121" s="61">
        <f>Histórico!B121/Histórico!F121</f>
        <v>1.036181094904338</v>
      </c>
      <c r="C121" s="60">
        <f>Histórico!F121/Histórico!J121</f>
        <v>1.1177217869997882</v>
      </c>
      <c r="D121" s="61">
        <f>Histórico!F121/Histórico!N121</f>
        <v>1.0688398461226969</v>
      </c>
      <c r="E121" s="61">
        <f>Histórico!F121/Histórico!R121</f>
        <v>1.117485182049111</v>
      </c>
      <c r="F121" s="61">
        <f>Histórico!R121/Histórico!J121</f>
        <v>1.0002117298327335</v>
      </c>
      <c r="G121" s="61">
        <f>Histórico!N121/Histórico!R121</f>
        <v>1.0455122777307366</v>
      </c>
      <c r="H121" s="61">
        <f>Histórico!N121/Histórico!J121</f>
        <v>1.0457336438704214</v>
      </c>
      <c r="I121" s="61">
        <f>Histórico!B121/Histórico!R121</f>
        <v>1.1579170194750212</v>
      </c>
      <c r="J121" s="61">
        <f>Histórico!C121/Histórico!G121</f>
        <v>1.0390324354040681</v>
      </c>
      <c r="K121" s="61">
        <f>Histórico!B121/Histórico!N121</f>
        <v>1.1075116420328002</v>
      </c>
      <c r="L121" s="61">
        <f>Histórico!B121/Histórico!J121</f>
        <v>1.1581621850518737</v>
      </c>
      <c r="M121" s="61">
        <f>+Histórico!N121/Histórico!F121</f>
        <v>0.93559386247395337</v>
      </c>
      <c r="N121" s="61">
        <f>Histórico!F121/Histórico!AD121</f>
        <v>1.1113684210526316</v>
      </c>
      <c r="O121" s="61">
        <f>Histórico!G121/Histórico!AE121</f>
        <v>1.1091463414634148</v>
      </c>
      <c r="P121" s="61">
        <f>Histórico!F121/Histórico!AD121</f>
        <v>1.1113684210526316</v>
      </c>
    </row>
    <row r="122" spans="1:16" x14ac:dyDescent="0.25">
      <c r="A122" s="59">
        <f>+Histórico!A122</f>
        <v>44260</v>
      </c>
      <c r="B122" s="61">
        <f>Histórico!B122/Histórico!F122</f>
        <v>1.0479386385426654</v>
      </c>
      <c r="C122" s="60">
        <f>Histórico!F122/Histórico!J122</f>
        <v>1.133695652173913</v>
      </c>
      <c r="D122" s="61">
        <f>Histórico!F122/Histórico!N122</f>
        <v>1.073045267489712</v>
      </c>
      <c r="E122" s="61">
        <f>Histórico!F122/Histórico!R122</f>
        <v>1.1227125941872982</v>
      </c>
      <c r="F122" s="61">
        <f>Histórico!R122/Histórico!J122</f>
        <v>1.0097826086956523</v>
      </c>
      <c r="G122" s="61">
        <f>Histórico!N122/Histórico!R122</f>
        <v>1.0462863293864371</v>
      </c>
      <c r="H122" s="61">
        <f>Histórico!N122/Histórico!J122</f>
        <v>1.0565217391304347</v>
      </c>
      <c r="I122" s="61">
        <f>Histórico!B122/Histórico!R122</f>
        <v>1.1765339074273413</v>
      </c>
      <c r="J122" s="61">
        <f>Histórico!C122/Histórico!G122</f>
        <v>1.0492307692307692</v>
      </c>
      <c r="K122" s="61">
        <f>Histórico!B122/Histórico!N122</f>
        <v>1.1244855967078189</v>
      </c>
      <c r="L122" s="61">
        <f>Histórico!B122/Histórico!J122</f>
        <v>1.1880434782608695</v>
      </c>
      <c r="M122" s="61">
        <f>+Histórico!N122/Histórico!F122</f>
        <v>0.93192713326941512</v>
      </c>
      <c r="N122" s="61">
        <f>Histórico!F122/Histórico!AD122</f>
        <v>1.1190987124463518</v>
      </c>
      <c r="O122" s="61">
        <f>Histórico!G122/Histórico!AE122</f>
        <v>1.1206896551724139</v>
      </c>
      <c r="P122" s="61">
        <f>Histórico!F122/Histórico!AD122</f>
        <v>1.1190987124463518</v>
      </c>
    </row>
    <row r="123" spans="1:16" x14ac:dyDescent="0.25">
      <c r="A123" s="59">
        <f>+Histórico!A123</f>
        <v>44263</v>
      </c>
      <c r="B123" s="61">
        <f>Histórico!B123/Histórico!F123</f>
        <v>1.0353486575236623</v>
      </c>
      <c r="C123" s="60">
        <f>Histórico!F123/Histórico!J123</f>
        <v>1.1476391044114387</v>
      </c>
      <c r="D123" s="61">
        <f>Histórico!F123/Histórico!N123</f>
        <v>1.0718426501035196</v>
      </c>
      <c r="E123" s="61">
        <f>Histórico!F123/Histórico!R123</f>
        <v>1.1109442060085837</v>
      </c>
      <c r="F123" s="61">
        <f>Histórico!R123/Histórico!J123</f>
        <v>1.0330303702061627</v>
      </c>
      <c r="G123" s="61">
        <f>Histórico!N123/Histórico!R123</f>
        <v>1.0364806866952789</v>
      </c>
      <c r="H123" s="61">
        <f>Histórico!N123/Histórico!J123</f>
        <v>1.0707160274883618</v>
      </c>
      <c r="I123" s="61">
        <f>Histórico!B123/Histórico!R123</f>
        <v>1.150214592274678</v>
      </c>
      <c r="J123" s="61">
        <f>Histórico!C123/Histórico!G123</f>
        <v>1.0333333333333332</v>
      </c>
      <c r="K123" s="61">
        <f>Histórico!B123/Histórico!N123</f>
        <v>1.1097308488612836</v>
      </c>
      <c r="L123" s="61">
        <f>Histórico!B123/Histórico!J123</f>
        <v>1.1882066060740413</v>
      </c>
      <c r="M123" s="61">
        <f>+Histórico!N123/Histórico!F123</f>
        <v>0.93297276414912111</v>
      </c>
      <c r="N123" s="61">
        <f>Histórico!F123/Histórico!AD123</f>
        <v>1.1135728113572811</v>
      </c>
      <c r="O123" s="61">
        <f>Histórico!G123/Histórico!AE123</f>
        <v>1.1254728877679698</v>
      </c>
      <c r="P123" s="61">
        <f>Histórico!F123/Histórico!AD123</f>
        <v>1.1135728113572811</v>
      </c>
    </row>
    <row r="124" spans="1:16" x14ac:dyDescent="0.25">
      <c r="A124" s="59">
        <f>+Histórico!A124</f>
        <v>44264</v>
      </c>
      <c r="B124" s="61">
        <f>Histórico!B124/Histórico!F124</f>
        <v>1.0301428851047172</v>
      </c>
      <c r="C124" s="60">
        <f>Histórico!F124/Histórico!J124</f>
        <v>1.1506756756756757</v>
      </c>
      <c r="D124" s="61">
        <f>Histórico!F124/Histórico!N124</f>
        <v>1.0711814655624279</v>
      </c>
      <c r="E124" s="61">
        <f>Histórico!F124/Histórico!R124</f>
        <v>1.1082429501084599</v>
      </c>
      <c r="F124" s="61">
        <f>Histórico!R124/Histórico!J124</f>
        <v>1.0382882882882882</v>
      </c>
      <c r="G124" s="61">
        <f>Histórico!N124/Histórico!R124</f>
        <v>1.0345986984815618</v>
      </c>
      <c r="H124" s="61">
        <f>Histórico!N124/Histórico!J124</f>
        <v>1.0742117117117118</v>
      </c>
      <c r="I124" s="61">
        <f>Histórico!B124/Histórico!R124</f>
        <v>1.1416485900216919</v>
      </c>
      <c r="J124" s="61">
        <f>Histórico!C124/Histórico!G124</f>
        <v>1.0315879339783722</v>
      </c>
      <c r="K124" s="61">
        <f>Histórico!B124/Histórico!N124</f>
        <v>1.1034699654051787</v>
      </c>
      <c r="L124" s="61">
        <f>Histórico!B124/Histórico!J124</f>
        <v>1.1853603603603604</v>
      </c>
      <c r="M124" s="61">
        <f>+Histórico!N124/Histórico!F124</f>
        <v>0.93354863965550994</v>
      </c>
      <c r="N124" s="61">
        <f>Histórico!F124/Histórico!AD124</f>
        <v>1.1228571428571428</v>
      </c>
      <c r="O124" s="61">
        <f>Histórico!G124/Histórico!AE124</f>
        <v>1.1244799999999999</v>
      </c>
      <c r="P124" s="61">
        <f>Histórico!F124/Histórico!AD124</f>
        <v>1.1228571428571428</v>
      </c>
    </row>
    <row r="125" spans="1:16" x14ac:dyDescent="0.25">
      <c r="A125" s="59">
        <f>+Histórico!A125</f>
        <v>44265</v>
      </c>
      <c r="B125" s="61">
        <f>Histórico!B125/Histórico!F125</f>
        <v>1.0386363636363636</v>
      </c>
      <c r="C125" s="60">
        <f>Histórico!F125/Histórico!J125</f>
        <v>1.1321637426900584</v>
      </c>
      <c r="D125" s="61">
        <f>Histórico!F125/Histórico!N125</f>
        <v>1.0569993448351169</v>
      </c>
      <c r="E125" s="61">
        <f>Histórico!F125/Histórico!R125</f>
        <v>1.0950226244343892</v>
      </c>
      <c r="F125" s="61">
        <f>Histórico!R125/Histórico!J125</f>
        <v>1.0339181286549708</v>
      </c>
      <c r="G125" s="61">
        <f>Histórico!N125/Histórico!R125</f>
        <v>1.0359728506787331</v>
      </c>
      <c r="H125" s="61">
        <f>Histórico!N125/Histórico!J125</f>
        <v>1.0711111111111111</v>
      </c>
      <c r="I125" s="61">
        <f>Histórico!B125/Histórico!R125</f>
        <v>1.1373303167420814</v>
      </c>
      <c r="J125" s="61">
        <f>Histórico!C125/Histórico!G125</f>
        <v>1.0444643390032826</v>
      </c>
      <c r="K125" s="61">
        <f>Histórico!B125/Histórico!N125</f>
        <v>1.0978379558855644</v>
      </c>
      <c r="L125" s="61">
        <f>Histórico!B125/Histórico!J125</f>
        <v>1.175906432748538</v>
      </c>
      <c r="M125" s="61">
        <f>+Histórico!N125/Histórico!F125</f>
        <v>0.94607438016528922</v>
      </c>
      <c r="N125" s="61">
        <f>Histórico!F125/Histórico!AD125</f>
        <v>1.1000000000000001</v>
      </c>
      <c r="O125" s="61">
        <f>Histórico!G125/Histórico!AE125</f>
        <v>1.0922425032594523</v>
      </c>
      <c r="P125" s="61">
        <f>Histórico!F125/Histórico!AD125</f>
        <v>1.1000000000000001</v>
      </c>
    </row>
    <row r="126" spans="1:16" x14ac:dyDescent="0.25">
      <c r="A126" s="59">
        <f>+Histórico!A126</f>
        <v>44266</v>
      </c>
      <c r="B126" s="61">
        <f>Histórico!B126/Histórico!F126</f>
        <v>1.036008230452675</v>
      </c>
      <c r="C126" s="60">
        <f>Histórico!F126/Histórico!J126</f>
        <v>1.1172413793103448</v>
      </c>
      <c r="D126" s="61">
        <f>Histórico!F126/Histórico!N126</f>
        <v>1.0530877573131094</v>
      </c>
      <c r="E126" s="61">
        <f>Histórico!F126/Histórico!R126</f>
        <v>1.0737958462218293</v>
      </c>
      <c r="F126" s="61">
        <f>Histórico!R126/Histórico!J126</f>
        <v>1.0404597701149425</v>
      </c>
      <c r="G126" s="61">
        <f>Histórico!N126/Histórico!R126</f>
        <v>1.0196641626159966</v>
      </c>
      <c r="H126" s="61">
        <f>Histórico!N126/Histórico!J126</f>
        <v>1.060919540229885</v>
      </c>
      <c r="I126" s="61">
        <f>Histórico!B126/Histórico!R126</f>
        <v>1.11246133451171</v>
      </c>
      <c r="J126" s="61">
        <f>Histórico!C126/Histórico!G126</f>
        <v>1.03770783847981</v>
      </c>
      <c r="K126" s="61">
        <f>Histórico!B126/Histórico!N126</f>
        <v>1.0910075839653304</v>
      </c>
      <c r="L126" s="61">
        <f>Histórico!B126/Histórico!J126</f>
        <v>1.157471264367816</v>
      </c>
      <c r="M126" s="61">
        <f>+Histórico!N126/Histórico!F126</f>
        <v>0.94958847736625518</v>
      </c>
      <c r="N126" s="61">
        <f>Histórico!F126/Histórico!AD126</f>
        <v>1.0884658454647256</v>
      </c>
      <c r="O126" s="61">
        <f>Histórico!G126/Histórico!AE126</f>
        <v>1.0882067851373183</v>
      </c>
      <c r="P126" s="61">
        <f>Histórico!F126/Histórico!AD126</f>
        <v>1.0884658454647256</v>
      </c>
    </row>
    <row r="127" spans="1:16" x14ac:dyDescent="0.25">
      <c r="A127" s="59">
        <f>+Histórico!A127</f>
        <v>44267</v>
      </c>
      <c r="B127" s="61">
        <f>Histórico!B127/Histórico!F127</f>
        <v>1.0318209194940775</v>
      </c>
      <c r="C127" s="60">
        <f>Histórico!F127/Histórico!J127</f>
        <v>1.134624145785877</v>
      </c>
      <c r="D127" s="61">
        <f>Histórico!F127/Histórico!N127</f>
        <v>1.0564156945917285</v>
      </c>
      <c r="E127" s="61">
        <f>Histórico!F127/Histórico!R127</f>
        <v>1.0597872340425532</v>
      </c>
      <c r="F127" s="61">
        <f>Histórico!R127/Histórico!J127</f>
        <v>1.070615034168565</v>
      </c>
      <c r="G127" s="61">
        <f>Histórico!N127/Histórico!R127</f>
        <v>1.0031914893617022</v>
      </c>
      <c r="H127" s="61">
        <f>Histórico!N127/Histórico!J127</f>
        <v>1.0740318906605923</v>
      </c>
      <c r="I127" s="61">
        <f>Histórico!B127/Histórico!R127</f>
        <v>1.0935106382978723</v>
      </c>
      <c r="J127" s="61">
        <f>Histórico!C127/Histórico!G127</f>
        <v>1.0325676068624599</v>
      </c>
      <c r="K127" s="61">
        <f>Histórico!B127/Histórico!N127</f>
        <v>1.0900318133616118</v>
      </c>
      <c r="L127" s="61">
        <f>Histórico!B127/Histórico!J127</f>
        <v>1.1707289293849659</v>
      </c>
      <c r="M127" s="61">
        <f>+Histórico!N127/Histórico!F127</f>
        <v>0.94659706886167438</v>
      </c>
      <c r="N127" s="61">
        <f>Histórico!F127/Histórico!AD127</f>
        <v>1.0830615351163297</v>
      </c>
      <c r="O127" s="61">
        <f>Histórico!G127/Histórico!AE127</f>
        <v>1.0969696969696969</v>
      </c>
      <c r="P127" s="61">
        <f>Histórico!F127/Histórico!AD127</f>
        <v>1.0830615351163297</v>
      </c>
    </row>
    <row r="128" spans="1:16" x14ac:dyDescent="0.25">
      <c r="A128" s="59">
        <f>+Histórico!A128</f>
        <v>44270</v>
      </c>
      <c r="B128" s="61">
        <f>Histórico!B128/Histórico!F128</f>
        <v>1.0405539070227499</v>
      </c>
      <c r="C128" s="60">
        <f>Histórico!F128/Histórico!J128</f>
        <v>1.133408071748879</v>
      </c>
      <c r="D128" s="61">
        <f>Histórico!F128/Histórico!N128</f>
        <v>1.0422680412371135</v>
      </c>
      <c r="E128" s="61">
        <f>Histórico!F128/Histórico!R128</f>
        <v>1.0326864147088866</v>
      </c>
      <c r="F128" s="61">
        <f>Histórico!R128/Histórico!J128</f>
        <v>1.0975336322869955</v>
      </c>
      <c r="G128" s="61">
        <f>Histórico!N128/Histórico!R128</f>
        <v>0.99080694586312568</v>
      </c>
      <c r="H128" s="61">
        <f>Histórico!N128/Histórico!J128</f>
        <v>1.0874439461883407</v>
      </c>
      <c r="I128" s="61">
        <f>Histórico!B128/Histórico!R128</f>
        <v>1.0745658835546477</v>
      </c>
      <c r="J128" s="61">
        <f>Histórico!C128/Histórico!G128</f>
        <v>1.0434782608695652</v>
      </c>
      <c r="K128" s="61">
        <f>Histórico!B128/Histórico!N128</f>
        <v>1.0845360824742267</v>
      </c>
      <c r="L128" s="61">
        <f>Histórico!B128/Histórico!J128</f>
        <v>1.1793721973094171</v>
      </c>
      <c r="M128" s="61">
        <f>+Histórico!N128/Histórico!F128</f>
        <v>0.95944609297725025</v>
      </c>
      <c r="N128" s="61">
        <f>Histórico!F128/Histórico!AD128</f>
        <v>1.0917926565874729</v>
      </c>
      <c r="O128" s="61">
        <f>Histórico!G128/Histórico!AE128</f>
        <v>1.0904553961322521</v>
      </c>
      <c r="P128" s="61">
        <f>Histórico!F128/Histórico!AD128</f>
        <v>1.0917926565874729</v>
      </c>
    </row>
    <row r="129" spans="1:16" x14ac:dyDescent="0.25">
      <c r="A129" s="59">
        <f>+Histórico!A129</f>
        <v>44271</v>
      </c>
      <c r="B129" s="61">
        <f>Histórico!B129/Histórico!F129</f>
        <v>1.0353584684508692</v>
      </c>
      <c r="C129" s="60">
        <f>Histórico!F129/Histórico!J129</f>
        <v>1.1275330396475771</v>
      </c>
      <c r="D129" s="61">
        <f>Histórico!F129/Histórico!N129</f>
        <v>1.0425661914460285</v>
      </c>
      <c r="E129" s="61">
        <f>Histórico!F129/Histórico!R129</f>
        <v>1.048330944091747</v>
      </c>
      <c r="F129" s="61">
        <f>Histórico!R129/Histórico!J129</f>
        <v>1.0755506607929515</v>
      </c>
      <c r="G129" s="61">
        <f>Histórico!N129/Histórico!R129</f>
        <v>1.0055293876715135</v>
      </c>
      <c r="H129" s="61">
        <f>Histórico!N129/Histórico!J129</f>
        <v>1.0814977973568283</v>
      </c>
      <c r="I129" s="61">
        <f>Histórico!B129/Histórico!R129</f>
        <v>1.0853983207044851</v>
      </c>
      <c r="J129" s="61">
        <f>Histórico!C129/Histórico!G129</f>
        <v>1.0353107344632768</v>
      </c>
      <c r="K129" s="61">
        <f>Histórico!B129/Histórico!N129</f>
        <v>1.0794297352342159</v>
      </c>
      <c r="L129" s="61">
        <f>Histórico!B129/Histórico!J129</f>
        <v>1.1674008810572687</v>
      </c>
      <c r="M129" s="61">
        <f>+Histórico!N129/Histórico!F129</f>
        <v>0.95917171322523931</v>
      </c>
      <c r="N129" s="61">
        <f>Histórico!F129/Histórico!AD129</f>
        <v>1.0984978540772532</v>
      </c>
      <c r="O129" s="61">
        <f>Histórico!G129/Histórico!AE129</f>
        <v>1.1000621504039776</v>
      </c>
      <c r="P129" s="61">
        <f>Histórico!F129/Histórico!AD129</f>
        <v>1.0984978540772532</v>
      </c>
    </row>
    <row r="130" spans="1:16" x14ac:dyDescent="0.25">
      <c r="A130" s="59">
        <f>+Histórico!A130</f>
        <v>44272</v>
      </c>
      <c r="B130" s="61">
        <f>Histórico!B130/Histórico!F130</f>
        <v>1.0276869832724476</v>
      </c>
      <c r="C130" s="60">
        <f>Histórico!F130/Histórico!J130</f>
        <v>1.1345986038394416</v>
      </c>
      <c r="D130" s="61">
        <f>Histórico!F130/Histórico!N130</f>
        <v>1.0507070707070707</v>
      </c>
      <c r="E130" s="61">
        <f>Histórico!F130/Histórico!R130</f>
        <v>1.066871794871795</v>
      </c>
      <c r="F130" s="61">
        <f>Histórico!R130/Histórico!J130</f>
        <v>1.0634816753926701</v>
      </c>
      <c r="G130" s="61">
        <f>Histórico!N130/Histórico!R130</f>
        <v>1.0153846153846153</v>
      </c>
      <c r="H130" s="61">
        <f>Histórico!N130/Histórico!J130</f>
        <v>1.0798429319371727</v>
      </c>
      <c r="I130" s="61">
        <f>Histórico!B130/Histórico!R130</f>
        <v>1.0964102564102565</v>
      </c>
      <c r="J130" s="61">
        <f>Histórico!C130/Histórico!G130</f>
        <v>1.029050279329609</v>
      </c>
      <c r="K130" s="61">
        <f>Histórico!B130/Histórico!N130</f>
        <v>1.0797979797979798</v>
      </c>
      <c r="L130" s="61">
        <f>Histórico!B130/Histórico!J130</f>
        <v>1.1660122164048865</v>
      </c>
      <c r="M130" s="61">
        <f>+Histórico!N130/Histórico!F130</f>
        <v>0.95174004999038642</v>
      </c>
      <c r="N130" s="61">
        <f>Histórico!F130/Histórico!AD130</f>
        <v>1.090356394129979</v>
      </c>
      <c r="O130" s="61">
        <f>Histórico!G130/Histórico!AE130</f>
        <v>1.0914634146341464</v>
      </c>
      <c r="P130" s="61">
        <f>Histórico!F130/Histórico!AD130</f>
        <v>1.090356394129979</v>
      </c>
    </row>
    <row r="131" spans="1:16" x14ac:dyDescent="0.25">
      <c r="A131" s="59">
        <f>+Histórico!A131</f>
        <v>44273</v>
      </c>
      <c r="B131" s="61">
        <f>Histórico!B131/Histórico!F131</f>
        <v>1.0217034822031446</v>
      </c>
      <c r="C131" s="60">
        <f>Histórico!F131/Histórico!J131</f>
        <v>1.1300414214083279</v>
      </c>
      <c r="D131" s="61">
        <f>Histórico!F131/Histórico!N131</f>
        <v>1.0535569105691056</v>
      </c>
      <c r="E131" s="61">
        <f>Histórico!F131/Histórico!R131</f>
        <v>1.0557026476578411</v>
      </c>
      <c r="F131" s="61">
        <f>Histórico!R131/Histórico!J131</f>
        <v>1.0704163941574014</v>
      </c>
      <c r="G131" s="61">
        <f>Histórico!N131/Histórico!R131</f>
        <v>1.0020366598778003</v>
      </c>
      <c r="H131" s="61">
        <f>Histórico!N131/Histórico!J131</f>
        <v>1.0725964682799216</v>
      </c>
      <c r="I131" s="61">
        <f>Histórico!B131/Histórico!R131</f>
        <v>1.0786150712830957</v>
      </c>
      <c r="J131" s="61">
        <f>Histórico!C131/Histórico!G131</f>
        <v>1.0251256281407035</v>
      </c>
      <c r="K131" s="61">
        <f>Histórico!B131/Histórico!N131</f>
        <v>1.0764227642276423</v>
      </c>
      <c r="L131" s="61">
        <f>Histórico!B131/Histórico!J131</f>
        <v>1.1545672552866797</v>
      </c>
      <c r="M131" s="61">
        <f>+Histórico!N131/Histórico!F131</f>
        <v>0.94916562168419016</v>
      </c>
      <c r="N131" s="61">
        <f>Histórico!F131/Histórico!AD131</f>
        <v>1.1017003188097769</v>
      </c>
      <c r="O131" s="61">
        <f>Histórico!G131/Histórico!AE131</f>
        <v>1.1055555555555556</v>
      </c>
      <c r="P131" s="61">
        <f>Histórico!F131/Histórico!AD131</f>
        <v>1.1017003188097769</v>
      </c>
    </row>
    <row r="132" spans="1:16" x14ac:dyDescent="0.25">
      <c r="A132" s="59">
        <f>+Histórico!A132</f>
        <v>44274</v>
      </c>
      <c r="B132" s="61">
        <f>Histórico!B132/Histórico!F132</f>
        <v>1.0323827936201064</v>
      </c>
      <c r="C132" s="60">
        <f>Histórico!F132/Histórico!J132</f>
        <v>1.1123655913978494</v>
      </c>
      <c r="D132" s="61">
        <f>Histórico!F132/Histórico!N132</f>
        <v>1.0438950554994955</v>
      </c>
      <c r="E132" s="61">
        <f>Histórico!F132/Histórico!R132</f>
        <v>1.0481256332320161</v>
      </c>
      <c r="F132" s="61">
        <f>Histórico!R132/Histórico!J132</f>
        <v>1.0612903225806452</v>
      </c>
      <c r="G132" s="61">
        <f>Histórico!N132/Histórico!R132</f>
        <v>1.0040526849037488</v>
      </c>
      <c r="H132" s="61">
        <f>Histórico!N132/Histórico!J132</f>
        <v>1.0655913978494624</v>
      </c>
      <c r="I132" s="61">
        <f>Histórico!B132/Histórico!R132</f>
        <v>1.0820668693009119</v>
      </c>
      <c r="J132" s="61">
        <f>Histórico!C132/Histórico!G132</f>
        <v>1.0300668151447661</v>
      </c>
      <c r="K132" s="61">
        <f>Histórico!B132/Histórico!N132</f>
        <v>1.0776992936427852</v>
      </c>
      <c r="L132" s="61">
        <f>Histórico!B132/Histórico!J132</f>
        <v>1.1483870967741936</v>
      </c>
      <c r="M132" s="61">
        <f>+Histórico!N132/Histórico!F132</f>
        <v>0.95795070082165301</v>
      </c>
      <c r="N132" s="61">
        <f>Histórico!F132/Histórico!AD132</f>
        <v>1.0855194123819518</v>
      </c>
      <c r="O132" s="61">
        <f>Histórico!G132/Histórico!AE132</f>
        <v>1.0855243275914173</v>
      </c>
      <c r="P132" s="61">
        <f>Histórico!F132/Histórico!AD132</f>
        <v>1.0855194123819518</v>
      </c>
    </row>
    <row r="133" spans="1:16" x14ac:dyDescent="0.25">
      <c r="A133" s="59">
        <f>+Histórico!A133</f>
        <v>44277</v>
      </c>
      <c r="B133" s="61">
        <f>Histórico!B133/Histórico!F133</f>
        <v>1.0283960092095166</v>
      </c>
      <c r="C133" s="60">
        <f>Histórico!F133/Histórico!J133</f>
        <v>1.1124866595517608</v>
      </c>
      <c r="D133" s="61">
        <f>Histórico!F133/Histórico!N133</f>
        <v>1.039489429597128</v>
      </c>
      <c r="E133" s="61">
        <f>Histórico!F133/Histórico!R133</f>
        <v>1.0341269841269842</v>
      </c>
      <c r="F133" s="61">
        <f>Histórico!R133/Histórico!J133</f>
        <v>1.0757737459978656</v>
      </c>
      <c r="G133" s="61">
        <f>Histórico!N133/Histórico!R133</f>
        <v>0.99484126984126986</v>
      </c>
      <c r="H133" s="61">
        <f>Histórico!N133/Histórico!J133</f>
        <v>1.0702241195304163</v>
      </c>
      <c r="I133" s="61">
        <f>Histórico!B133/Histórico!R133</f>
        <v>1.0634920634920635</v>
      </c>
      <c r="J133" s="61">
        <f>Histórico!C133/Histórico!G133</f>
        <v>1.0313100796484482</v>
      </c>
      <c r="K133" s="61">
        <f>Histórico!B133/Histórico!N133</f>
        <v>1.0690067810131632</v>
      </c>
      <c r="L133" s="61">
        <f>Histórico!B133/Histórico!J133</f>
        <v>1.1440768409818569</v>
      </c>
      <c r="M133" s="61">
        <f>+Histórico!N133/Histórico!F133</f>
        <v>0.96201074443591716</v>
      </c>
      <c r="N133" s="61">
        <f>Histórico!F133/Histórico!AD133</f>
        <v>1.0936942608330711</v>
      </c>
      <c r="O133" s="61">
        <f>Histórico!G133/Histórico!AE133</f>
        <v>1.0865413309459862</v>
      </c>
      <c r="P133" s="61">
        <f>Histórico!F133/Histórico!AD133</f>
        <v>1.0936942608330711</v>
      </c>
    </row>
    <row r="134" spans="1:16" x14ac:dyDescent="0.25">
      <c r="A134" s="59">
        <f>+Histórico!A134</f>
        <v>44278</v>
      </c>
      <c r="B134" s="61">
        <f>Histórico!B134/Histórico!F134</f>
        <v>1.0365758754863814</v>
      </c>
      <c r="C134" s="60">
        <f>Histórico!F134/Histórico!J134</f>
        <v>1.1125541125541125</v>
      </c>
      <c r="D134" s="61">
        <f>Histórico!F134/Histórico!N134</f>
        <v>1.0100216152485753</v>
      </c>
      <c r="E134" s="61">
        <f>Histórico!F134/Histórico!R134</f>
        <v>1.0265628120631116</v>
      </c>
      <c r="F134" s="61">
        <f>Histórico!R134/Histórico!J134</f>
        <v>1.0837662337662337</v>
      </c>
      <c r="G134" s="61">
        <f>Histórico!N134/Histórico!R134</f>
        <v>1.0163770720990613</v>
      </c>
      <c r="H134" s="61">
        <f>Histórico!N134/Histórico!J134</f>
        <v>1.1015151515151516</v>
      </c>
      <c r="I134" s="61">
        <f>Histórico!B134/Histórico!R134</f>
        <v>1.0641102456560816</v>
      </c>
      <c r="J134" s="61">
        <f>Histórico!C134/Histórico!G134</f>
        <v>1.0347222222222223</v>
      </c>
      <c r="K134" s="61">
        <f>Histórico!B134/Histórico!N134</f>
        <v>1.046964040086461</v>
      </c>
      <c r="L134" s="61">
        <f>Histórico!B134/Histórico!J134</f>
        <v>1.1532467532467532</v>
      </c>
      <c r="M134" s="61">
        <f>+Histórico!N134/Histórico!F134</f>
        <v>0.99007782101167319</v>
      </c>
      <c r="N134" s="61">
        <f>Histórico!F134/Histórico!AD134</f>
        <v>1.0890984214429495</v>
      </c>
      <c r="O134" s="61">
        <f>Histórico!G134/Histórico!AE134</f>
        <v>1.0879419764279237</v>
      </c>
      <c r="P134" s="61">
        <f>Histórico!F134/Histórico!AD134</f>
        <v>1.0890984214429495</v>
      </c>
    </row>
    <row r="135" spans="1:16" x14ac:dyDescent="0.25">
      <c r="A135" s="59">
        <f>+Histórico!A135</f>
        <v>44280</v>
      </c>
      <c r="B135" s="61">
        <f>Histórico!B135/Histórico!F135</f>
        <v>1.0294471153846154</v>
      </c>
      <c r="C135" s="60">
        <f>Histórico!F135/Histórico!J135</f>
        <v>1.1217977528089889</v>
      </c>
      <c r="D135" s="61">
        <f>Histórico!F135/Histórico!N135</f>
        <v>1.0187755102040816</v>
      </c>
      <c r="E135" s="61">
        <f>Histórico!F135/Histórico!R135</f>
        <v>1.0273718872195925</v>
      </c>
      <c r="F135" s="61">
        <f>Histórico!R135/Histórico!J135</f>
        <v>1.0919101123595505</v>
      </c>
      <c r="G135" s="61">
        <f>Histórico!N135/Histórico!R135</f>
        <v>1.0084379501955134</v>
      </c>
      <c r="H135" s="61">
        <f>Histórico!N135/Histórico!J135</f>
        <v>1.101123595505618</v>
      </c>
      <c r="I135" s="61">
        <f>Histórico!B135/Histórico!R135</f>
        <v>1.057625025725458</v>
      </c>
      <c r="J135" s="61">
        <f>Histórico!C135/Histórico!G135</f>
        <v>1.0302858760260403</v>
      </c>
      <c r="K135" s="61">
        <f>Histórico!B135/Histórico!N135</f>
        <v>1.0487755102040817</v>
      </c>
      <c r="L135" s="61">
        <f>Histórico!B135/Histórico!J135</f>
        <v>1.1548314606741572</v>
      </c>
      <c r="M135" s="61">
        <f>+Histórico!N135/Histórico!F135</f>
        <v>0.98157051282051277</v>
      </c>
      <c r="N135" s="61">
        <f>Histórico!F135/Histórico!AD135</f>
        <v>1.0971428571428572</v>
      </c>
      <c r="O135" s="61">
        <f>Histórico!G135/Histórico!AE135</f>
        <v>1.0992532669570627</v>
      </c>
      <c r="P135" s="61">
        <f>Histórico!F135/Histórico!AD135</f>
        <v>1.0971428571428572</v>
      </c>
    </row>
    <row r="136" spans="1:16" x14ac:dyDescent="0.25">
      <c r="A136" s="59">
        <f>+Histórico!A136</f>
        <v>44281</v>
      </c>
      <c r="B136" s="61">
        <f>Histórico!B136/Histórico!F136</f>
        <v>1.0353783231083844</v>
      </c>
      <c r="C136" s="60">
        <f>Histórico!F136/Histórico!J136</f>
        <v>1.1293302540415704</v>
      </c>
      <c r="D136" s="61">
        <f>Histórico!F136/Histórico!N136</f>
        <v>1.0124223602484472</v>
      </c>
      <c r="E136" s="61">
        <f>Histórico!F136/Histórico!R136</f>
        <v>1.0242982823627984</v>
      </c>
      <c r="F136" s="61">
        <f>Histórico!R136/Histórico!J136</f>
        <v>1.1025404157043881</v>
      </c>
      <c r="G136" s="61">
        <f>Histórico!N136/Histórico!R136</f>
        <v>1.0117302052785924</v>
      </c>
      <c r="H136" s="61">
        <f>Histórico!N136/Histórico!J136</f>
        <v>1.115473441108545</v>
      </c>
      <c r="I136" s="61">
        <f>Histórico!B136/Histórico!R136</f>
        <v>1.0605362379555927</v>
      </c>
      <c r="J136" s="61">
        <f>Histórico!C136/Histórico!G136</f>
        <v>1.0334088335220839</v>
      </c>
      <c r="K136" s="61">
        <f>Histórico!B136/Histórico!N136</f>
        <v>1.0482401656314699</v>
      </c>
      <c r="L136" s="61">
        <f>Histórico!B136/Histórico!J136</f>
        <v>1.169284064665127</v>
      </c>
      <c r="M136" s="61">
        <f>+Histórico!N136/Histórico!F136</f>
        <v>0.98773006134969321</v>
      </c>
      <c r="N136" s="61">
        <f>Histórico!F136/Histórico!AD136</f>
        <v>1.0976430976430978</v>
      </c>
      <c r="O136" s="61">
        <f>Histórico!G136/Histórico!AE136</f>
        <v>1.0999688570538773</v>
      </c>
      <c r="P136" s="61">
        <f>Histórico!F136/Histórico!AD136</f>
        <v>1.0976430976430978</v>
      </c>
    </row>
    <row r="137" spans="1:16" x14ac:dyDescent="0.25">
      <c r="A137" s="59">
        <f>+Histórico!A137</f>
        <v>44284</v>
      </c>
      <c r="B137" s="61">
        <f>Histórico!B137/Histórico!F137</f>
        <v>1.0456154967715059</v>
      </c>
      <c r="C137" s="60">
        <f>Histórico!F137/Histórico!J137</f>
        <v>1.1283196239717979</v>
      </c>
      <c r="D137" s="61">
        <f>Histórico!F137/Histórico!N137</f>
        <v>1.0128691983122362</v>
      </c>
      <c r="E137" s="61">
        <f>Histórico!F137/Histórico!R137</f>
        <v>1.0369330453563714</v>
      </c>
      <c r="F137" s="61">
        <f>Histórico!R137/Histórico!J137</f>
        <v>1.0881316098707403</v>
      </c>
      <c r="G137" s="61">
        <f>Histórico!N137/Histórico!R137</f>
        <v>1.0237580993520519</v>
      </c>
      <c r="H137" s="61">
        <f>Histórico!N137/Histórico!J137</f>
        <v>1.1139835487661576</v>
      </c>
      <c r="I137" s="61">
        <f>Histórico!B137/Histórico!R137</f>
        <v>1.0842332613390928</v>
      </c>
      <c r="J137" s="61">
        <f>Histórico!C137/Histórico!G137</f>
        <v>1.0435535044707238</v>
      </c>
      <c r="K137" s="61">
        <f>Histórico!B137/Histórico!N137</f>
        <v>1.0590717299578059</v>
      </c>
      <c r="L137" s="61">
        <f>Histórico!B137/Histórico!J137</f>
        <v>1.1797884841363102</v>
      </c>
      <c r="M137" s="61">
        <f>+Histórico!N137/Histórico!F137</f>
        <v>0.98729431368464904</v>
      </c>
      <c r="N137" s="61">
        <f>Histórico!F137/Histórico!AD137</f>
        <v>1.0986270022883295</v>
      </c>
      <c r="O137" s="61">
        <f>Histórico!G137/Histórico!AE137</f>
        <v>1.0971518987341773</v>
      </c>
      <c r="P137" s="61">
        <f>Histórico!F137/Histórico!AD137</f>
        <v>1.0986270022883295</v>
      </c>
    </row>
    <row r="138" spans="1:16" x14ac:dyDescent="0.25">
      <c r="A138" s="59">
        <f>+Histórico!A138</f>
        <v>44285</v>
      </c>
      <c r="B138" s="61">
        <f>Histórico!B138/Histórico!F138</f>
        <v>1.0303282093892812</v>
      </c>
      <c r="C138" s="60">
        <f>Histórico!F138/Histórico!J138</f>
        <v>1.124766355140187</v>
      </c>
      <c r="D138" s="61">
        <f>Histórico!F138/Histórico!N138</f>
        <v>1.0158261236547794</v>
      </c>
      <c r="E138" s="61">
        <f>Histórico!F138/Histórico!R138</f>
        <v>1.0286324786324785</v>
      </c>
      <c r="F138" s="61">
        <f>Histórico!R138/Histórico!J138</f>
        <v>1.0934579439252337</v>
      </c>
      <c r="G138" s="61">
        <f>Histórico!N138/Histórico!R138</f>
        <v>1.0126068376068376</v>
      </c>
      <c r="H138" s="61">
        <f>Histórico!N138/Histórico!J138</f>
        <v>1.1072429906542056</v>
      </c>
      <c r="I138" s="61">
        <f>Histórico!B138/Histórico!R138</f>
        <v>1.0598290598290598</v>
      </c>
      <c r="J138" s="61">
        <f>Histórico!C138/Histórico!G138</f>
        <v>1.0440361621463983</v>
      </c>
      <c r="K138" s="61">
        <f>Histórico!B138/Histórico!N138</f>
        <v>1.0466343110360836</v>
      </c>
      <c r="L138" s="61">
        <f>Histórico!B138/Histórico!J138</f>
        <v>1.1588785046728971</v>
      </c>
      <c r="M138" s="61">
        <f>+Histórico!N138/Histórico!F138</f>
        <v>0.98442044038221854</v>
      </c>
      <c r="N138" s="61">
        <f>Histórico!F138/Histórico!AD138</f>
        <v>1.1002171180436522</v>
      </c>
      <c r="O138" s="61">
        <f>Histórico!G138/Histórico!AE138</f>
        <v>1.0955271565495208</v>
      </c>
      <c r="P138" s="61">
        <f>Histórico!F138/Histórico!AD138</f>
        <v>1.1002171180436522</v>
      </c>
    </row>
    <row r="139" spans="1:16" x14ac:dyDescent="0.25">
      <c r="A139" s="59">
        <f>+Histórico!A139</f>
        <v>44286</v>
      </c>
      <c r="B139" s="61">
        <f>Histórico!B139/Histórico!F139</f>
        <v>1.0457502840028916</v>
      </c>
      <c r="C139" s="60">
        <f>Histórico!F139/Histórico!J139</f>
        <v>1.1208473202917004</v>
      </c>
      <c r="D139" s="61">
        <f>Histórico!F139/Histórico!N139</f>
        <v>1.0044605809128631</v>
      </c>
      <c r="E139" s="61">
        <f>Histórico!F139/Histórico!R139</f>
        <v>1.0214135021097046</v>
      </c>
      <c r="F139" s="61">
        <f>Histórico!R139/Histórico!J139</f>
        <v>1.097349230234981</v>
      </c>
      <c r="G139" s="61">
        <f>Histórico!N139/Histórico!R139</f>
        <v>1.0168776371308017</v>
      </c>
      <c r="H139" s="61">
        <f>Histórico!N139/Histórico!J139</f>
        <v>1.1158698923486514</v>
      </c>
      <c r="I139" s="61">
        <f>Histórico!B139/Histórico!R139</f>
        <v>1.0681434599156119</v>
      </c>
      <c r="J139" s="61">
        <f>Histórico!C139/Histórico!G139</f>
        <v>1.0572687224669604</v>
      </c>
      <c r="K139" s="61">
        <f>Histórico!B139/Histórico!N139</f>
        <v>1.0504149377593361</v>
      </c>
      <c r="L139" s="61">
        <f>Histórico!B139/Histórico!J139</f>
        <v>1.1721264035189258</v>
      </c>
      <c r="M139" s="61">
        <f>+Histórico!N139/Histórico!F139</f>
        <v>0.99555922751213466</v>
      </c>
      <c r="N139" s="61">
        <f>Histórico!F139/Histórico!AD139</f>
        <v>1.0936299977411339</v>
      </c>
      <c r="O139" s="61">
        <f>Histórico!G139/Histórico!AE139</f>
        <v>1.0878594249201277</v>
      </c>
      <c r="P139" s="61">
        <f>Histórico!F139/Histórico!AD139</f>
        <v>1.0936299977411339</v>
      </c>
    </row>
    <row r="140" spans="1:16" x14ac:dyDescent="0.25">
      <c r="A140" s="59">
        <f>+Histórico!A140</f>
        <v>44291</v>
      </c>
      <c r="B140" s="61">
        <f>Histórico!B140/Histórico!F140</f>
        <v>1.0368271954674222</v>
      </c>
      <c r="C140" s="60">
        <f>Histórico!F140/Histórico!J140</f>
        <v>1.1387096774193548</v>
      </c>
      <c r="D140" s="61">
        <f>Histórico!F140/Histórico!N140</f>
        <v>1.0319482146585925</v>
      </c>
      <c r="E140" s="61">
        <f>Histórico!F140/Histórico!R140</f>
        <v>1.0514893617021277</v>
      </c>
      <c r="F140" s="61">
        <f>Histórico!R140/Histórico!J140</f>
        <v>1.0829493087557605</v>
      </c>
      <c r="G140" s="61">
        <f>Histórico!N140/Histórico!R140</f>
        <v>1.0189361702127659</v>
      </c>
      <c r="H140" s="61">
        <f>Histórico!N140/Histórico!J140</f>
        <v>1.1034562211981567</v>
      </c>
      <c r="I140" s="61">
        <f>Histórico!B140/Histórico!R140</f>
        <v>1.0902127659574468</v>
      </c>
      <c r="J140" s="61">
        <f>Histórico!C140/Histórico!G140</f>
        <v>1.037589670014347</v>
      </c>
      <c r="K140" s="61">
        <f>Histórico!B140/Histórico!N140</f>
        <v>1.0699519732720819</v>
      </c>
      <c r="L140" s="61">
        <f>Histórico!B140/Histórico!J140</f>
        <v>1.1806451612903226</v>
      </c>
      <c r="M140" s="61">
        <f>+Histórico!N140/Histórico!F140</f>
        <v>0.96904087414002427</v>
      </c>
      <c r="N140" s="61">
        <f>Histórico!F140/Histórico!AD140</f>
        <v>1.1031249999999999</v>
      </c>
      <c r="O140" s="61">
        <f>Histórico!G140/Histórico!AE140</f>
        <v>1.1063492063492064</v>
      </c>
      <c r="P140" s="61">
        <f>Histórico!F140/Histórico!AD140</f>
        <v>1.1031249999999999</v>
      </c>
    </row>
    <row r="141" spans="1:16" x14ac:dyDescent="0.25">
      <c r="A141" s="59">
        <f>+Histórico!A141</f>
        <v>44292</v>
      </c>
      <c r="B141" s="61">
        <f>Histórico!B141/Histórico!F141</f>
        <v>1.0379899497487437</v>
      </c>
      <c r="C141" s="60">
        <f>Histórico!F141/Histórico!J141</f>
        <v>1.1319681456200228</v>
      </c>
      <c r="D141" s="61">
        <f>Histórico!F141/Histórico!N141</f>
        <v>1.0278925619834711</v>
      </c>
      <c r="E141" s="61">
        <f>Histórico!F141/Histórico!R141</f>
        <v>1.0386221294363256</v>
      </c>
      <c r="F141" s="61">
        <f>Histórico!R141/Histórico!J141</f>
        <v>1.0898748577929465</v>
      </c>
      <c r="G141" s="61">
        <f>Histórico!N141/Histórico!R141</f>
        <v>1.010438413361169</v>
      </c>
      <c r="H141" s="61">
        <f>Histórico!N141/Histórico!J141</f>
        <v>1.1012514220705347</v>
      </c>
      <c r="I141" s="61">
        <f>Histórico!B141/Histórico!R141</f>
        <v>1.0780793319415449</v>
      </c>
      <c r="J141" s="61">
        <f>Histórico!C141/Histórico!G141</f>
        <v>1.0366734045625179</v>
      </c>
      <c r="K141" s="61">
        <f>Histórico!B141/Histórico!N141</f>
        <v>1.0669421487603306</v>
      </c>
      <c r="L141" s="61">
        <f>Histórico!B141/Histórico!J141</f>
        <v>1.1749715585893061</v>
      </c>
      <c r="M141" s="61">
        <f>+Histórico!N141/Histórico!F141</f>
        <v>0.97286432160804015</v>
      </c>
      <c r="N141" s="61">
        <f>Histórico!F141/Histórico!AD141</f>
        <v>1.1018826135105204</v>
      </c>
      <c r="O141" s="61">
        <f>Histórico!G141/Histórico!AE141</f>
        <v>1.0993650793650795</v>
      </c>
      <c r="P141" s="61">
        <f>Histórico!F141/Histórico!AD141</f>
        <v>1.1018826135105204</v>
      </c>
    </row>
    <row r="142" spans="1:16" x14ac:dyDescent="0.25">
      <c r="A142" s="59">
        <f>+Histórico!A142</f>
        <v>44293</v>
      </c>
      <c r="B142" s="61">
        <f>Histórico!B142/Histórico!F142</f>
        <v>1.0358148893360162</v>
      </c>
      <c r="C142" s="60">
        <f>Histórico!F142/Histórico!J142</f>
        <v>1.1350919264588328</v>
      </c>
      <c r="D142" s="61">
        <f>Histórico!F142/Histórico!N142</f>
        <v>1.029198591840961</v>
      </c>
      <c r="E142" s="61">
        <f>Histórico!F142/Histórico!R142</f>
        <v>1.0354166666666667</v>
      </c>
      <c r="F142" s="61">
        <f>Histórico!R142/Histórico!J142</f>
        <v>1.0962658444672833</v>
      </c>
      <c r="G142" s="61">
        <f>Histórico!N142/Histórico!R142</f>
        <v>1.0060416666666667</v>
      </c>
      <c r="H142" s="61">
        <f>Histórico!N142/Histórico!J142</f>
        <v>1.1028891172776065</v>
      </c>
      <c r="I142" s="61">
        <f>Histórico!B142/Histórico!R142</f>
        <v>1.0725</v>
      </c>
      <c r="J142" s="61">
        <f>Histórico!C142/Histórico!G142</f>
        <v>1.0352907144923345</v>
      </c>
      <c r="K142" s="61">
        <f>Histórico!B142/Histórico!N142</f>
        <v>1.0660592255125285</v>
      </c>
      <c r="L142" s="61">
        <f>Histórico!B142/Histórico!J142</f>
        <v>1.1757451181911613</v>
      </c>
      <c r="M142" s="61">
        <f>+Histórico!N142/Histórico!F142</f>
        <v>0.97162977867203215</v>
      </c>
      <c r="N142" s="61">
        <f>Histórico!F142/Histórico!AD142</f>
        <v>1.1044444444444443</v>
      </c>
      <c r="O142" s="61">
        <f>Histórico!G142/Histórico!AE142</f>
        <v>1.1108611825192802</v>
      </c>
      <c r="P142" s="61">
        <f>Histórico!F142/Histórico!AD142</f>
        <v>1.1044444444444443</v>
      </c>
    </row>
    <row r="143" spans="1:16" x14ac:dyDescent="0.25">
      <c r="A143" s="59">
        <f>+Histórico!A143</f>
        <v>44294</v>
      </c>
      <c r="B143" s="61">
        <f>Histórico!B143/Histórico!F143</f>
        <v>1.0341708542713568</v>
      </c>
      <c r="C143" s="60">
        <f>Histórico!F143/Histórico!J143</f>
        <v>1.1329993167843315</v>
      </c>
      <c r="D143" s="61">
        <f>Histórico!F143/Histórico!N143</f>
        <v>1.0361345412891805</v>
      </c>
      <c r="E143" s="61">
        <f>Histórico!F143/Histórico!R143</f>
        <v>1.0407949790794979</v>
      </c>
      <c r="F143" s="61">
        <f>Histórico!R143/Histórico!J143</f>
        <v>1.0885902983375086</v>
      </c>
      <c r="G143" s="61">
        <f>Histórico!N143/Histórico!R143</f>
        <v>1.0044979079497909</v>
      </c>
      <c r="H143" s="61">
        <f>Histórico!N143/Histórico!J143</f>
        <v>1.093486677294466</v>
      </c>
      <c r="I143" s="61">
        <f>Histórico!B143/Histórico!R143</f>
        <v>1.0763598326359833</v>
      </c>
      <c r="J143" s="61">
        <f>Histórico!C143/Histórico!G143</f>
        <v>1.043326548415237</v>
      </c>
      <c r="K143" s="61">
        <f>Histórico!B143/Histórico!N143</f>
        <v>1.0715401437050922</v>
      </c>
      <c r="L143" s="61">
        <f>Histórico!B143/Histórico!J143</f>
        <v>1.1717148713277157</v>
      </c>
      <c r="M143" s="61">
        <f>+Histórico!N143/Histórico!F143</f>
        <v>0.96512562814070357</v>
      </c>
      <c r="N143" s="61">
        <f>Histórico!F143/Histórico!AD143</f>
        <v>1.1043285238623752</v>
      </c>
      <c r="O143" s="61">
        <f>Histórico!G143/Histórico!AE143</f>
        <v>1.1047221329906842</v>
      </c>
      <c r="P143" s="61">
        <f>Histórico!F143/Histórico!AD143</f>
        <v>1.1043285238623752</v>
      </c>
    </row>
    <row r="144" spans="1:16" x14ac:dyDescent="0.25">
      <c r="A144" s="59">
        <f>+Histórico!A144</f>
        <v>44295</v>
      </c>
      <c r="B144" s="61">
        <f>Histórico!B144/Histórico!F144</f>
        <v>1.0425531914893618</v>
      </c>
      <c r="C144" s="60">
        <f>Histórico!F144/Histórico!J144</f>
        <v>1.1344827586206896</v>
      </c>
      <c r="D144" s="61">
        <f>Histórico!F144/Histórico!N144</f>
        <v>1.0335078534031414</v>
      </c>
      <c r="E144" s="61">
        <f>Histórico!F144/Histórico!R144</f>
        <v>1.0345911949685536</v>
      </c>
      <c r="F144" s="61">
        <f>Histórico!R144/Histórico!J144</f>
        <v>1.096551724137931</v>
      </c>
      <c r="G144" s="61">
        <f>Histórico!N144/Histórico!R144</f>
        <v>1.0010482180293501</v>
      </c>
      <c r="H144" s="61">
        <f>Histórico!N144/Histórico!J144</f>
        <v>1.0977011494252873</v>
      </c>
      <c r="I144" s="61">
        <f>Histórico!B144/Histórico!R144</f>
        <v>1.078616352201258</v>
      </c>
      <c r="J144" s="61">
        <f>Histórico!C144/Histórico!G144</f>
        <v>1.0421299005266238</v>
      </c>
      <c r="K144" s="61">
        <f>Histórico!B144/Histórico!N144</f>
        <v>1.0774869109947645</v>
      </c>
      <c r="L144" s="61">
        <f>Histórico!B144/Histórico!J144</f>
        <v>1.1827586206896552</v>
      </c>
      <c r="M144" s="61">
        <f>+Histórico!N144/Histórico!F144</f>
        <v>0.96757852077001016</v>
      </c>
      <c r="N144" s="61">
        <f>Histórico!F144/Histórico!AD144</f>
        <v>1.0966666666666667</v>
      </c>
      <c r="O144" s="61">
        <f>Histórico!G144/Histórico!AE144</f>
        <v>1.0990353697749196</v>
      </c>
      <c r="P144" s="61">
        <f>Histórico!F144/Histórico!AD144</f>
        <v>1.0966666666666667</v>
      </c>
    </row>
    <row r="145" spans="1:16" x14ac:dyDescent="0.25">
      <c r="A145" s="59">
        <f>+Histórico!A145</f>
        <v>44298</v>
      </c>
      <c r="B145" s="61">
        <f>Histórico!B145/Histórico!F145</f>
        <v>1.041574167507568</v>
      </c>
      <c r="C145" s="60">
        <f>Histórico!F145/Histórico!J145</f>
        <v>1.1266484765802638</v>
      </c>
      <c r="D145" s="61">
        <f>Histórico!F145/Histórico!N145</f>
        <v>1.0322916666666666</v>
      </c>
      <c r="E145" s="61">
        <f>Histórico!F145/Histórico!R145</f>
        <v>1.0322916666666666</v>
      </c>
      <c r="F145" s="61">
        <f>Histórico!R145/Histórico!J145</f>
        <v>1.0914051841746248</v>
      </c>
      <c r="G145" s="61">
        <f>Histórico!N145/Histórico!R145</f>
        <v>1</v>
      </c>
      <c r="H145" s="61">
        <f>Histórico!N145/Histórico!J145</f>
        <v>1.0914051841746248</v>
      </c>
      <c r="I145" s="61">
        <f>Histórico!B145/Histórico!R145</f>
        <v>1.0752083333333333</v>
      </c>
      <c r="J145" s="61">
        <f>Histórico!C145/Histórico!G145</f>
        <v>1.0461760461760463</v>
      </c>
      <c r="K145" s="61">
        <f>Histórico!B145/Histórico!N145</f>
        <v>1.0752083333333333</v>
      </c>
      <c r="L145" s="61">
        <f>Histórico!B145/Histórico!J145</f>
        <v>1.1734879490677581</v>
      </c>
      <c r="M145" s="61">
        <f>+Histórico!N145/Histórico!F145</f>
        <v>0.96871846619576185</v>
      </c>
      <c r="N145" s="61">
        <f>Histórico!F145/Histórico!AD145</f>
        <v>1.0762380538662033</v>
      </c>
      <c r="O145" s="61">
        <f>Histórico!G145/Histórico!AE145</f>
        <v>1.0828125</v>
      </c>
      <c r="P145" s="61">
        <f>Histórico!F145/Histórico!AD145</f>
        <v>1.0762380538662033</v>
      </c>
    </row>
    <row r="146" spans="1:16" x14ac:dyDescent="0.25">
      <c r="A146" s="59">
        <f>+Histórico!A146</f>
        <v>44299</v>
      </c>
      <c r="B146" s="61">
        <f>Histórico!B146/Histórico!F146</f>
        <v>1.0390185036202735</v>
      </c>
      <c r="C146" s="60">
        <f>Histórico!F146/Histórico!J146</f>
        <v>1.1305138699408823</v>
      </c>
      <c r="D146" s="61">
        <f>Histórico!F146/Histórico!N146</f>
        <v>1.0302527973477</v>
      </c>
      <c r="E146" s="61">
        <f>Histórico!F146/Histórico!R146</f>
        <v>1.0401673640167364</v>
      </c>
      <c r="F146" s="61">
        <f>Histórico!R146/Histórico!J146</f>
        <v>1.0868576625738973</v>
      </c>
      <c r="G146" s="61">
        <f>Histórico!N146/Histórico!R146</f>
        <v>1.0096234309623431</v>
      </c>
      <c r="H146" s="61">
        <f>Histórico!N146/Histórico!J146</f>
        <v>1.0973169622555707</v>
      </c>
      <c r="I146" s="61">
        <f>Histórico!B146/Histórico!R146</f>
        <v>1.0807531380753137</v>
      </c>
      <c r="J146" s="61">
        <f>Histórico!C146/Histórico!G146</f>
        <v>1.0453762205628949</v>
      </c>
      <c r="K146" s="61">
        <f>Histórico!B146/Histórico!N146</f>
        <v>1.0704517198508081</v>
      </c>
      <c r="L146" s="61">
        <f>Histórico!B146/Histórico!J146</f>
        <v>1.17462482946794</v>
      </c>
      <c r="M146" s="61">
        <f>+Histórico!N146/Histórico!F146</f>
        <v>0.97063555913113431</v>
      </c>
      <c r="N146" s="61">
        <f>Histórico!F146/Histórico!AD146</f>
        <v>1.0801651097110581</v>
      </c>
      <c r="O146" s="61">
        <f>Histórico!G146/Histórico!AE146</f>
        <v>1.0847352024922119</v>
      </c>
      <c r="P146" s="61">
        <f>Histórico!F146/Histórico!AD146</f>
        <v>1.0801651097110581</v>
      </c>
    </row>
    <row r="147" spans="1:16" x14ac:dyDescent="0.25">
      <c r="A147" s="59">
        <f>+Histórico!A147</f>
        <v>44300</v>
      </c>
      <c r="B147" s="61">
        <f>Histórico!B147/Histórico!F147</f>
        <v>1.0438543552605111</v>
      </c>
      <c r="C147" s="60">
        <f>Histórico!F147/Histórico!J147</f>
        <v>1.1221218961625281</v>
      </c>
      <c r="D147" s="61">
        <f>Histórico!F147/Histórico!N147</f>
        <v>1.029405674052599</v>
      </c>
      <c r="E147" s="61">
        <f>Histórico!F147/Histórico!R147</f>
        <v>1.0369211514392991</v>
      </c>
      <c r="F147" s="61">
        <f>Histórico!R147/Histórico!J147</f>
        <v>1.0821670428893906</v>
      </c>
      <c r="G147" s="61">
        <f>Histórico!N147/Histórico!R147</f>
        <v>1.0073007926574886</v>
      </c>
      <c r="H147" s="61">
        <f>Histórico!N147/Histórico!J147</f>
        <v>1.0900677200902935</v>
      </c>
      <c r="I147" s="61">
        <f>Histórico!B147/Histórico!R147</f>
        <v>1.0823946599916563</v>
      </c>
      <c r="J147" s="61">
        <f>Histórico!C147/Histórico!G147</f>
        <v>1.052068267283772</v>
      </c>
      <c r="K147" s="61">
        <f>Histórico!B147/Histórico!N147</f>
        <v>1.0745495961896874</v>
      </c>
      <c r="L147" s="61">
        <f>Histórico!B147/Histórico!J147</f>
        <v>1.1713318284424379</v>
      </c>
      <c r="M147" s="61">
        <f>+Histórico!N147/Histórico!F147</f>
        <v>0.97143431905049282</v>
      </c>
      <c r="N147" s="61">
        <f>Histórico!F147/Histórico!AD147</f>
        <v>1.075974025974026</v>
      </c>
      <c r="O147" s="61">
        <f>Histórico!G147/Histórico!AE147</f>
        <v>1.0752721617418353</v>
      </c>
      <c r="P147" s="61">
        <f>Histórico!F147/Histórico!AD147</f>
        <v>1.075974025974026</v>
      </c>
    </row>
    <row r="148" spans="1:16" x14ac:dyDescent="0.25">
      <c r="A148" s="59">
        <f>+Histórico!A148</f>
        <v>44301</v>
      </c>
      <c r="B148" s="61">
        <f>Histórico!B148/Histórico!F148</f>
        <v>1.0477642276422765</v>
      </c>
      <c r="C148" s="60">
        <f>Histórico!F148/Histórico!J148</f>
        <v>1.1058664868509778</v>
      </c>
      <c r="D148" s="61">
        <f>Histórico!F148/Histórico!N148</f>
        <v>1.0271398747390397</v>
      </c>
      <c r="E148" s="61">
        <f>Histórico!F148/Histórico!R148</f>
        <v>1.040169133192389</v>
      </c>
      <c r="F148" s="61">
        <f>Histórico!R148/Histórico!J148</f>
        <v>1.0631602607327488</v>
      </c>
      <c r="G148" s="61">
        <f>Histórico!N148/Histórico!R148</f>
        <v>1.0126849894291754</v>
      </c>
      <c r="H148" s="61">
        <f>Histórico!N148/Histórico!J148</f>
        <v>1.0766464374016633</v>
      </c>
      <c r="I148" s="61">
        <f>Histórico!B148/Histórico!R148</f>
        <v>1.0898520084566596</v>
      </c>
      <c r="J148" s="61">
        <f>Histórico!C148/Histórico!G148</f>
        <v>1.0540145985401461</v>
      </c>
      <c r="K148" s="61">
        <f>Histórico!B148/Histórico!N148</f>
        <v>1.0762004175365345</v>
      </c>
      <c r="L148" s="61">
        <f>Histórico!B148/Histórico!J148</f>
        <v>1.1586873454708924</v>
      </c>
      <c r="M148" s="61">
        <f>+Histórico!N148/Histórico!F148</f>
        <v>0.97357723577235777</v>
      </c>
      <c r="N148" s="61">
        <f>Histórico!F148/Histórico!AD148</f>
        <v>1.0628645495787428</v>
      </c>
      <c r="O148" s="61">
        <f>Histórico!G148/Histórico!AE148</f>
        <v>1.0686427457098284</v>
      </c>
      <c r="P148" s="61">
        <f>Histórico!F148/Histórico!AD148</f>
        <v>1.0628645495787428</v>
      </c>
    </row>
    <row r="149" spans="1:16" x14ac:dyDescent="0.25">
      <c r="A149" s="59">
        <f>+Histórico!A149</f>
        <v>44302</v>
      </c>
      <c r="B149" s="61">
        <f>Histórico!B149/Histórico!F149</f>
        <v>1.0587995930824008</v>
      </c>
      <c r="C149" s="60">
        <f>Histórico!F149/Histórico!J149</f>
        <v>1.1039982030548068</v>
      </c>
      <c r="D149" s="61">
        <f>Histórico!F149/Histórico!N149</f>
        <v>1.0239583333333333</v>
      </c>
      <c r="E149" s="61">
        <f>Histórico!F149/Histórico!R149</f>
        <v>1.0396615547329455</v>
      </c>
      <c r="F149" s="61">
        <f>Histórico!R149/Histórico!J149</f>
        <v>1.0618823000898472</v>
      </c>
      <c r="G149" s="61">
        <f>Histórico!N149/Histórico!R149</f>
        <v>1.0153358011634057</v>
      </c>
      <c r="H149" s="61">
        <f>Histórico!N149/Histórico!J149</f>
        <v>1.0781671159029649</v>
      </c>
      <c r="I149" s="61">
        <f>Histórico!B149/Histórico!R149</f>
        <v>1.1007932310946589</v>
      </c>
      <c r="J149" s="61">
        <f>Histórico!C149/Histórico!G149</f>
        <v>1.0584795321637426</v>
      </c>
      <c r="K149" s="61">
        <f>Histórico!B149/Histórico!N149</f>
        <v>1.0841666666666667</v>
      </c>
      <c r="L149" s="61">
        <f>Histórico!B149/Histórico!J149</f>
        <v>1.1689128481581312</v>
      </c>
      <c r="M149" s="61">
        <f>+Histórico!N149/Histórico!F149</f>
        <v>0.97660223804679558</v>
      </c>
      <c r="N149" s="61">
        <f>Histórico!F149/Histórico!AD149</f>
        <v>1.0569892473118279</v>
      </c>
      <c r="O149" s="61">
        <f>Histórico!G149/Histórico!AE149</f>
        <v>1.0588235294117649</v>
      </c>
      <c r="P149" s="61">
        <f>Histórico!F149/Histórico!AD149</f>
        <v>1.0569892473118279</v>
      </c>
    </row>
    <row r="150" spans="1:16" x14ac:dyDescent="0.25">
      <c r="A150" s="59">
        <f>+Histórico!A150</f>
        <v>44305</v>
      </c>
      <c r="B150" s="61">
        <f>Histórico!B150/Histórico!F150</f>
        <v>1.0499798468359531</v>
      </c>
      <c r="C150" s="60">
        <f>Histórico!F150/Histórico!J150</f>
        <v>1.1135547576301617</v>
      </c>
      <c r="D150" s="61">
        <f>Histórico!F150/Histórico!N150</f>
        <v>1.0252066115702478</v>
      </c>
      <c r="E150" s="61">
        <f>Histórico!F150/Histórico!R150</f>
        <v>1.0468354430379747</v>
      </c>
      <c r="F150" s="61">
        <f>Histórico!R150/Histórico!J150</f>
        <v>1.0637342908438061</v>
      </c>
      <c r="G150" s="61">
        <f>Histórico!N150/Histórico!R150</f>
        <v>1.0210970464135021</v>
      </c>
      <c r="H150" s="61">
        <f>Histórico!N150/Histórico!J150</f>
        <v>1.0861759425493716</v>
      </c>
      <c r="I150" s="61">
        <f>Histórico!B150/Histórico!R150</f>
        <v>1.0991561181434599</v>
      </c>
      <c r="J150" s="61">
        <f>Histórico!C150/Histórico!G150</f>
        <v>1.053244108233925</v>
      </c>
      <c r="K150" s="61">
        <f>Histórico!B150/Histórico!N150</f>
        <v>1.0764462809917354</v>
      </c>
      <c r="L150" s="61">
        <f>Histórico!B150/Histórico!J150</f>
        <v>1.1692100538599641</v>
      </c>
      <c r="M150" s="61">
        <f>+Histórico!N150/Histórico!F150</f>
        <v>0.97541313986295852</v>
      </c>
      <c r="N150" s="61">
        <f>Histórico!F150/Histórico!AD150</f>
        <v>1.0651497263067511</v>
      </c>
      <c r="O150" s="61">
        <f>Histórico!G150/Histórico!AE150</f>
        <v>1.0640866873065016</v>
      </c>
      <c r="P150" s="61">
        <f>Histórico!F150/Histórico!AD150</f>
        <v>1.0651497263067511</v>
      </c>
    </row>
    <row r="151" spans="1:16" x14ac:dyDescent="0.25">
      <c r="A151" s="59">
        <f>+Histórico!A151</f>
        <v>44306</v>
      </c>
      <c r="B151" s="61">
        <f>Histórico!B151/Histórico!F151</f>
        <v>1.0489999999999999</v>
      </c>
      <c r="C151" s="60">
        <f>Histórico!F151/Histórico!J151</f>
        <v>1.1135857461024499</v>
      </c>
      <c r="D151" s="61">
        <f>Histórico!F151/Histórico!N151</f>
        <v>1.0258514567090686</v>
      </c>
      <c r="E151" s="61">
        <f>Histórico!F151/Histórico!R151</f>
        <v>1.0441683199331733</v>
      </c>
      <c r="F151" s="61">
        <f>Histórico!R151/Histórico!J151</f>
        <v>1.0664810690423163</v>
      </c>
      <c r="G151" s="61">
        <f>Histórico!N151/Histórico!R151</f>
        <v>1.0178552782708572</v>
      </c>
      <c r="H151" s="61">
        <f>Histórico!N151/Histórico!J151</f>
        <v>1.0855233853006681</v>
      </c>
      <c r="I151" s="61">
        <f>Histórico!B151/Histórico!R151</f>
        <v>1.0953325676098986</v>
      </c>
      <c r="J151" s="61">
        <f>Histórico!C151/Histórico!G151</f>
        <v>1.0551663747810858</v>
      </c>
      <c r="K151" s="61">
        <f>Histórico!B151/Histórico!N151</f>
        <v>1.0761181780878128</v>
      </c>
      <c r="L151" s="61">
        <f>Histórico!B151/Histórico!J151</f>
        <v>1.1681514476614698</v>
      </c>
      <c r="M151" s="61">
        <f>+Histórico!N151/Histórico!F151</f>
        <v>0.9748</v>
      </c>
      <c r="N151" s="61">
        <f>Histórico!F151/Histórico!AD151</f>
        <v>1.0683760683760684</v>
      </c>
      <c r="O151" s="61">
        <f>Histórico!G151/Histórico!AE151</f>
        <v>1.0672897196261681</v>
      </c>
      <c r="P151" s="61">
        <f>Histórico!F151/Histórico!AD151</f>
        <v>1.0683760683760684</v>
      </c>
    </row>
    <row r="152" spans="1:16" x14ac:dyDescent="0.25">
      <c r="A152" s="59">
        <f>+Histórico!A152</f>
        <v>44307</v>
      </c>
      <c r="B152" s="61">
        <f>Histórico!B152/Histórico!F152</f>
        <v>1.0588470776621297</v>
      </c>
      <c r="C152" s="60">
        <f>Histórico!F152/Histórico!J152</f>
        <v>1.1027480410550712</v>
      </c>
      <c r="D152" s="61">
        <f>Histórico!F152/Histórico!N152</f>
        <v>1.0195918367346939</v>
      </c>
      <c r="E152" s="61">
        <f>Histórico!F152/Histórico!R152</f>
        <v>1.0462827225130891</v>
      </c>
      <c r="F152" s="61">
        <f>Histórico!R152/Histórico!J152</f>
        <v>1.0539675532501931</v>
      </c>
      <c r="G152" s="61">
        <f>Histórico!N152/Histórico!R152</f>
        <v>1.0261780104712042</v>
      </c>
      <c r="H152" s="61">
        <f>Histórico!N152/Histórico!J152</f>
        <v>1.0815583268954863</v>
      </c>
      <c r="I152" s="61">
        <f>Histórico!B152/Histórico!R152</f>
        <v>1.1078534031413612</v>
      </c>
      <c r="J152" s="61">
        <f>Histórico!C152/Histórico!G152</f>
        <v>1.0596797671033478</v>
      </c>
      <c r="K152" s="61">
        <f>Histórico!B152/Histórico!N152</f>
        <v>1.0795918367346939</v>
      </c>
      <c r="L152" s="61">
        <f>Histórico!B152/Histórico!J152</f>
        <v>1.1676415406688003</v>
      </c>
      <c r="M152" s="61">
        <f>+Histórico!N152/Histórico!F152</f>
        <v>0.98078462770216168</v>
      </c>
      <c r="N152" s="61">
        <f>Histórico!F152/Histórico!AD152</f>
        <v>1.0573544973544973</v>
      </c>
      <c r="O152" s="61">
        <f>Histórico!G152/Histórico!AE152</f>
        <v>1.0572483841181901</v>
      </c>
      <c r="P152" s="61">
        <f>Histórico!F152/Histórico!AD152</f>
        <v>1.0573544973544973</v>
      </c>
    </row>
    <row r="153" spans="1:16" x14ac:dyDescent="0.25">
      <c r="A153" s="59">
        <f>+Histórico!A153</f>
        <v>44308</v>
      </c>
      <c r="B153" s="61">
        <f>Histórico!B153/Histórico!F153</f>
        <v>1.0671865626874626</v>
      </c>
      <c r="C153" s="60">
        <f>Histórico!F153/Histórico!J153</f>
        <v>1.0859934853420194</v>
      </c>
      <c r="D153" s="61">
        <f>Histórico!F153/Histórico!N153</f>
        <v>1.0123481781376518</v>
      </c>
      <c r="E153" s="61">
        <f>Histórico!F153/Histórico!R153</f>
        <v>1.0354037267080745</v>
      </c>
      <c r="F153" s="61">
        <f>Histórico!R153/Histórico!J153</f>
        <v>1.0488599348534202</v>
      </c>
      <c r="G153" s="61">
        <f>Histórico!N153/Histórico!R153</f>
        <v>1.0227743271221532</v>
      </c>
      <c r="H153" s="61">
        <f>Histórico!N153/Histórico!J153</f>
        <v>1.0727470141150923</v>
      </c>
      <c r="I153" s="61">
        <f>Histórico!B153/Histórico!R153</f>
        <v>1.1049689440993788</v>
      </c>
      <c r="J153" s="61">
        <f>Histórico!C153/Histórico!G153</f>
        <v>1.0648821646784987</v>
      </c>
      <c r="K153" s="61">
        <f>Histórico!B153/Histórico!N153</f>
        <v>1.0803643724696357</v>
      </c>
      <c r="L153" s="61">
        <f>Histórico!B153/Histórico!J153</f>
        <v>1.1589576547231271</v>
      </c>
      <c r="M153" s="61">
        <f>+Histórico!N153/Histórico!F153</f>
        <v>0.98780243951209756</v>
      </c>
      <c r="N153" s="61">
        <f>Histórico!F153/Histórico!AD153</f>
        <v>1.0570703868103994</v>
      </c>
      <c r="O153" s="61">
        <f>Histórico!G153/Histórico!AE153</f>
        <v>1.0591679506933742</v>
      </c>
      <c r="P153" s="61">
        <f>Histórico!F153/Histórico!AD153</f>
        <v>1.0570703868103994</v>
      </c>
    </row>
    <row r="154" spans="1:16" x14ac:dyDescent="0.25">
      <c r="A154" s="59">
        <f>+Histórico!A154</f>
        <v>44309</v>
      </c>
      <c r="B154" s="61">
        <f>Histórico!B154/Histórico!F154</f>
        <v>1.0636202481780579</v>
      </c>
      <c r="C154" s="60">
        <f>Histórico!F154/Histórico!J154</f>
        <v>1.0904209621993126</v>
      </c>
      <c r="D154" s="61">
        <f>Histórico!F154/Histórico!N154</f>
        <v>1.0178428227746592</v>
      </c>
      <c r="E154" s="61">
        <f>Histórico!F154/Histórico!R154</f>
        <v>1.0535380784395103</v>
      </c>
      <c r="F154" s="61">
        <f>Histórico!R154/Histórico!J154</f>
        <v>1.0350085910652922</v>
      </c>
      <c r="G154" s="61">
        <f>Histórico!N154/Histórico!R154</f>
        <v>1.0350695164971986</v>
      </c>
      <c r="H154" s="61">
        <f>Histórico!N154/Histórico!J154</f>
        <v>1.0713058419243986</v>
      </c>
      <c r="I154" s="61">
        <f>Histórico!B154/Histórico!R154</f>
        <v>1.1205644324548663</v>
      </c>
      <c r="J154" s="61">
        <f>Histórico!C154/Histórico!G154</f>
        <v>1.0680888369374635</v>
      </c>
      <c r="K154" s="61">
        <f>Histórico!B154/Histórico!N154</f>
        <v>1.0825982357658379</v>
      </c>
      <c r="L154" s="61">
        <f>Histórico!B154/Histórico!J154</f>
        <v>1.1597938144329898</v>
      </c>
      <c r="M154" s="61">
        <f>+Histórico!N154/Histórico!F154</f>
        <v>0.98246996257632457</v>
      </c>
      <c r="N154" s="61">
        <f>Histórico!F154/Histórico!AD154</f>
        <v>1.0555093555093555</v>
      </c>
      <c r="O154" s="61">
        <f>Histórico!G154/Histórico!AE154</f>
        <v>1.0578052550231838</v>
      </c>
      <c r="P154" s="61">
        <f>Histórico!F154/Histórico!AD154</f>
        <v>1.0555093555093555</v>
      </c>
    </row>
    <row r="155" spans="1:16" x14ac:dyDescent="0.25">
      <c r="A155" s="59">
        <f>+Histórico!A155</f>
        <v>44312</v>
      </c>
      <c r="B155" s="61">
        <f>Histórico!B155/Histórico!F155</f>
        <v>1.0534351145038168</v>
      </c>
      <c r="C155" s="60">
        <f>Histórico!F155/Histórico!J155</f>
        <v>1.1029256998526626</v>
      </c>
      <c r="D155" s="61">
        <f>Histórico!F155/Histórico!N155</f>
        <v>1.0279548798430602</v>
      </c>
      <c r="E155" s="61">
        <f>Histórico!F155/Histórico!R155</f>
        <v>1.071793822867662</v>
      </c>
      <c r="F155" s="61">
        <f>Histórico!R155/Histórico!J155</f>
        <v>1.0290465165228373</v>
      </c>
      <c r="G155" s="61">
        <f>Histórico!N155/Histórico!R155</f>
        <v>1.0426467580282266</v>
      </c>
      <c r="H155" s="61">
        <f>Histórico!N155/Histórico!J155</f>
        <v>1.0729320143127763</v>
      </c>
      <c r="I155" s="61">
        <f>Histórico!B155/Histórico!R155</f>
        <v>1.1290652485170791</v>
      </c>
      <c r="J155" s="61">
        <f>Histórico!C155/Histórico!G155</f>
        <v>1.056495554918268</v>
      </c>
      <c r="K155" s="61">
        <f>Histórico!B155/Histórico!N155</f>
        <v>1.0828837665522315</v>
      </c>
      <c r="L155" s="61">
        <f>Histórico!B155/Histórico!J155</f>
        <v>1.1618606609134918</v>
      </c>
      <c r="M155" s="61">
        <f>+Histórico!N155/Histórico!F155</f>
        <v>0.97280534351145043</v>
      </c>
      <c r="N155" s="61">
        <f>Histórico!F155/Histórico!AD155</f>
        <v>1.0759753593429158</v>
      </c>
      <c r="O155" s="61">
        <f>Histórico!G155/Histórico!AE155</f>
        <v>1.0788985148514851</v>
      </c>
      <c r="P155" s="61">
        <f>Histórico!F155/Histórico!AD155</f>
        <v>1.0759753593429158</v>
      </c>
    </row>
    <row r="156" spans="1:16" x14ac:dyDescent="0.25">
      <c r="A156" s="59">
        <f>+Histórico!A156</f>
        <v>44313</v>
      </c>
      <c r="B156" s="61">
        <f>Histórico!B156/Histórico!F156</f>
        <v>1.0468164794007491</v>
      </c>
      <c r="C156" s="60">
        <f>Histórico!F156/Histórico!J156</f>
        <v>1.0965092402464065</v>
      </c>
      <c r="D156" s="61">
        <f>Histórico!F156/Histórico!N156</f>
        <v>1.04296875</v>
      </c>
      <c r="E156" s="61">
        <f>Histórico!F156/Histórico!R156</f>
        <v>1.0811905243976514</v>
      </c>
      <c r="F156" s="61">
        <f>Histórico!R156/Histórico!J156</f>
        <v>1.0141683778234085</v>
      </c>
      <c r="G156" s="61">
        <f>Histórico!N156/Histórico!R156</f>
        <v>1.0366470945535533</v>
      </c>
      <c r="H156" s="61">
        <f>Histórico!N156/Histórico!J156</f>
        <v>1.0513347022587269</v>
      </c>
      <c r="I156" s="61">
        <f>Histórico!B156/Histórico!R156</f>
        <v>1.131808058311399</v>
      </c>
      <c r="J156" s="61">
        <f>Histórico!C156/Histórico!G156</f>
        <v>1.0490780141843972</v>
      </c>
      <c r="K156" s="61">
        <f>Histórico!B156/Histórico!N156</f>
        <v>1.091796875</v>
      </c>
      <c r="L156" s="61">
        <f>Histórico!B156/Histórico!J156</f>
        <v>1.1478439425051334</v>
      </c>
      <c r="M156" s="61">
        <f>+Histórico!N156/Histórico!F156</f>
        <v>0.95880149812734083</v>
      </c>
      <c r="N156" s="61">
        <f>Histórico!F156/Histórico!AD156</f>
        <v>1.0853658536585367</v>
      </c>
      <c r="O156" s="61">
        <f>Histórico!G156/Histórico!AE156</f>
        <v>1.0846153846153845</v>
      </c>
      <c r="P156" s="61">
        <f>Histórico!F156/Histórico!AD156</f>
        <v>1.0853658536585367</v>
      </c>
    </row>
    <row r="157" spans="1:16" x14ac:dyDescent="0.25">
      <c r="A157" s="59">
        <f>+Histórico!A157</f>
        <v>44314</v>
      </c>
      <c r="B157" s="61">
        <f>Histórico!B157/Histórico!F157</f>
        <v>1.0547894148341408</v>
      </c>
      <c r="C157" s="60">
        <f>Histórico!F157/Histórico!J157</f>
        <v>1.0951020408163266</v>
      </c>
      <c r="D157" s="61">
        <f>Histórico!F157/Histórico!N157</f>
        <v>1.02895493767977</v>
      </c>
      <c r="E157" s="61">
        <f>Histórico!F157/Histórico!R157</f>
        <v>1.0653166567401231</v>
      </c>
      <c r="F157" s="61">
        <f>Histórico!R157/Histórico!J157</f>
        <v>1.0279591836734694</v>
      </c>
      <c r="G157" s="61">
        <f>Histórico!N157/Histórico!R157</f>
        <v>1.0353384951359936</v>
      </c>
      <c r="H157" s="61">
        <f>Histórico!N157/Histórico!J157</f>
        <v>1.0642857142857143</v>
      </c>
      <c r="I157" s="61">
        <f>Histórico!B157/Histórico!R157</f>
        <v>1.1236847329759778</v>
      </c>
      <c r="J157" s="61">
        <f>Histórico!C157/Histórico!G157</f>
        <v>1.0537482319660536</v>
      </c>
      <c r="K157" s="61">
        <f>Histórico!B157/Histórico!N157</f>
        <v>1.0853307766059443</v>
      </c>
      <c r="L157" s="61">
        <f>Histórico!B157/Histórico!J157</f>
        <v>1.1551020408163266</v>
      </c>
      <c r="M157" s="61">
        <f>+Histórico!N157/Histórico!F157</f>
        <v>0.97185985836749911</v>
      </c>
      <c r="N157" s="61">
        <f>Histórico!F157/Histórico!AD157</f>
        <v>1.0807653575025176</v>
      </c>
      <c r="O157" s="61">
        <f>Histórico!G157/Histórico!AE157</f>
        <v>1.0863552550706823</v>
      </c>
      <c r="P157" s="61">
        <f>Histórico!F157/Histórico!AD157</f>
        <v>1.0807653575025176</v>
      </c>
    </row>
    <row r="158" spans="1:16" x14ac:dyDescent="0.25">
      <c r="A158" s="59">
        <f>+Histórico!A158</f>
        <v>44315</v>
      </c>
      <c r="B158" s="61">
        <f>Histórico!B158/Histórico!F158</f>
        <v>1.0505408429690415</v>
      </c>
      <c r="C158" s="60">
        <f>Histórico!F158/Histórico!J158</f>
        <v>1.1017053626463942</v>
      </c>
      <c r="D158" s="61">
        <f>Histórico!F158/Histórico!N158</f>
        <v>1.0252390057361376</v>
      </c>
      <c r="E158" s="61">
        <f>Histórico!F158/Histórico!R158</f>
        <v>1.064522533253921</v>
      </c>
      <c r="F158" s="61">
        <f>Histórico!R158/Histórico!J158</f>
        <v>1.0349291144442161</v>
      </c>
      <c r="G158" s="61">
        <f>Histórico!N158/Histórico!R158</f>
        <v>1.0383164582092514</v>
      </c>
      <c r="H158" s="61">
        <f>Histórico!N158/Histórico!J158</f>
        <v>1.0745839326073556</v>
      </c>
      <c r="I158" s="61">
        <f>Histórico!B158/Histórico!R158</f>
        <v>1.1183243994441137</v>
      </c>
      <c r="J158" s="61">
        <f>Histórico!C158/Histórico!G158</f>
        <v>1.0445642917967641</v>
      </c>
      <c r="K158" s="61">
        <f>Histórico!B158/Histórico!N158</f>
        <v>1.077055449330784</v>
      </c>
      <c r="L158" s="61">
        <f>Histórico!B158/Histórico!J158</f>
        <v>1.1573864803780562</v>
      </c>
      <c r="M158" s="61">
        <f>+Histórico!N158/Histórico!F158</f>
        <v>0.9753823200298396</v>
      </c>
      <c r="N158" s="61">
        <f>Histórico!F158/Histórico!AD158</f>
        <v>1.0836701697655617</v>
      </c>
      <c r="O158" s="61">
        <f>Histórico!G158/Histórico!AE158</f>
        <v>1.0856702619414482</v>
      </c>
      <c r="P158" s="61">
        <f>Histórico!F158/Histórico!AD158</f>
        <v>1.0836701697655617</v>
      </c>
    </row>
    <row r="159" spans="1:16" x14ac:dyDescent="0.25">
      <c r="A159" s="59">
        <f>+Histórico!A159</f>
        <v>44316</v>
      </c>
      <c r="B159" s="61">
        <f>Histórico!B159/Histórico!F159</f>
        <v>1.0525135488693702</v>
      </c>
      <c r="C159" s="60">
        <f>Histórico!F159/Histórico!J159</f>
        <v>1.0995582040480838</v>
      </c>
      <c r="D159" s="61">
        <f>Histórico!F159/Histórico!N159</f>
        <v>1.0241148325358851</v>
      </c>
      <c r="E159" s="61">
        <f>Histórico!F159/Histórico!R159</f>
        <v>1.0597088820675313</v>
      </c>
      <c r="F159" s="61">
        <f>Histórico!R159/Histórico!J159</f>
        <v>1.0376040275351897</v>
      </c>
      <c r="G159" s="61">
        <f>Histórico!N159/Histórico!R159</f>
        <v>1.034755916427369</v>
      </c>
      <c r="H159" s="61">
        <f>Histórico!N159/Histórico!J159</f>
        <v>1.0736669064009041</v>
      </c>
      <c r="I159" s="61">
        <f>Histórico!B159/Histórico!R159</f>
        <v>1.1153579562332905</v>
      </c>
      <c r="J159" s="61">
        <f>Histórico!C159/Histórico!G159</f>
        <v>1.0480659840728102</v>
      </c>
      <c r="K159" s="61">
        <f>Histórico!B159/Histórico!N159</f>
        <v>1.0778947368421052</v>
      </c>
      <c r="L159" s="61">
        <f>Histórico!B159/Histórico!J159</f>
        <v>1.1572999075310799</v>
      </c>
      <c r="M159" s="61">
        <f>+Histórico!N159/Histórico!F159</f>
        <v>0.97645299943935715</v>
      </c>
      <c r="N159" s="61">
        <f>Histórico!F159/Histórico!AD159</f>
        <v>1.0691308691308692</v>
      </c>
      <c r="O159" s="61">
        <f>Histórico!G159/Histórico!AE159</f>
        <v>1.0719512195121952</v>
      </c>
      <c r="P159" s="61">
        <f>Histórico!F159/Histórico!AD159</f>
        <v>1.0691308691308692</v>
      </c>
    </row>
    <row r="160" spans="1:16" x14ac:dyDescent="0.25">
      <c r="A160" s="59">
        <f>+Histórico!A160</f>
        <v>44319</v>
      </c>
      <c r="B160" s="61">
        <f>Histórico!B160/Histórico!F160</f>
        <v>1.053707489314254</v>
      </c>
      <c r="C160" s="60">
        <f>Histórico!F160/Histórico!J160</f>
        <v>1.09369918699187</v>
      </c>
      <c r="D160" s="61">
        <f>Histórico!F160/Histórico!N160</f>
        <v>1.0368015414258189</v>
      </c>
      <c r="E160" s="61">
        <f>Histórico!F160/Histórico!R160</f>
        <v>1.0676587301587301</v>
      </c>
      <c r="F160" s="61">
        <f>Histórico!R160/Histórico!J160</f>
        <v>1.024390243902439</v>
      </c>
      <c r="G160" s="61">
        <f>Histórico!N160/Histórico!R160</f>
        <v>1.0297619047619047</v>
      </c>
      <c r="H160" s="61">
        <f>Histórico!N160/Histórico!J160</f>
        <v>1.0548780487804879</v>
      </c>
      <c r="I160" s="61">
        <f>Histórico!B160/Histórico!R160</f>
        <v>1.125</v>
      </c>
      <c r="J160" s="61">
        <f>Histórico!C160/Histórico!G160</f>
        <v>1.0451961341671405</v>
      </c>
      <c r="K160" s="61">
        <f>Histórico!B160/Histórico!N160</f>
        <v>1.0924855491329479</v>
      </c>
      <c r="L160" s="61">
        <f>Histórico!B160/Histórico!J160</f>
        <v>1.1524390243902438</v>
      </c>
      <c r="M160" s="61">
        <f>+Histórico!N160/Histórico!F160</f>
        <v>0.96450473889611599</v>
      </c>
      <c r="N160" s="61">
        <f>Histórico!F160/Histórico!AD160</f>
        <v>1.0594605237251427</v>
      </c>
      <c r="O160" s="61">
        <f>Histórico!G160/Histórico!AE160</f>
        <v>1.0774885145482389</v>
      </c>
      <c r="P160" s="61">
        <f>Histórico!F160/Histórico!AD160</f>
        <v>1.0594605237251427</v>
      </c>
    </row>
    <row r="161" spans="1:16" x14ac:dyDescent="0.25">
      <c r="A161" s="59">
        <f>+Histórico!A161</f>
        <v>44320</v>
      </c>
      <c r="B161" s="61">
        <f>Histórico!B161/Histórico!F161</f>
        <v>1.0516248839368616</v>
      </c>
      <c r="C161" s="60">
        <f>Histórico!F161/Histórico!J161</f>
        <v>1.0889787664307382</v>
      </c>
      <c r="D161" s="61">
        <f>Histórico!F161/Histórico!N161</f>
        <v>1.0308192955589586</v>
      </c>
      <c r="E161" s="61">
        <f>Histórico!F161/Histórico!R161</f>
        <v>1.0652818991097923</v>
      </c>
      <c r="F161" s="61">
        <f>Histórico!R161/Histórico!J161</f>
        <v>1.0222446916076846</v>
      </c>
      <c r="G161" s="61">
        <f>Histórico!N161/Histórico!R161</f>
        <v>1.0334322453016815</v>
      </c>
      <c r="H161" s="61">
        <f>Histórico!N161/Histórico!J161</f>
        <v>1.0564206268958545</v>
      </c>
      <c r="I161" s="61">
        <f>Histórico!B161/Histórico!R161</f>
        <v>1.1202769535113748</v>
      </c>
      <c r="J161" s="61">
        <f>Histórico!C161/Histórico!G161</f>
        <v>1.0464123006833714</v>
      </c>
      <c r="K161" s="61">
        <f>Histórico!B161/Histórico!N161</f>
        <v>1.0840352220520675</v>
      </c>
      <c r="L161" s="61">
        <f>Histórico!B161/Histórico!J161</f>
        <v>1.1451971688574318</v>
      </c>
      <c r="M161" s="61">
        <f>+Histórico!N161/Histórico!F161</f>
        <v>0.97010213556174563</v>
      </c>
      <c r="N161" s="61">
        <f>Histórico!F161/Histórico!AD161</f>
        <v>1.069088743299583</v>
      </c>
      <c r="O161" s="61">
        <f>Histórico!G161/Histórico!AE161</f>
        <v>1.0773006134969323</v>
      </c>
      <c r="P161" s="61">
        <f>Histórico!F161/Histórico!AD161</f>
        <v>1.069088743299583</v>
      </c>
    </row>
    <row r="162" spans="1:16" x14ac:dyDescent="0.25">
      <c r="A162" s="59">
        <f>+Histórico!A162</f>
        <v>44321</v>
      </c>
      <c r="B162" s="61">
        <f>Histórico!B162/Histórico!F162</f>
        <v>1.0528756957328387</v>
      </c>
      <c r="C162" s="60">
        <f>Histórico!F162/Histórico!J162</f>
        <v>1.0982070089649552</v>
      </c>
      <c r="D162" s="61">
        <f>Histórico!F162/Histórico!N162</f>
        <v>1.034548944337812</v>
      </c>
      <c r="E162" s="61">
        <f>Histórico!F162/Histórico!R162</f>
        <v>1.066904196357878</v>
      </c>
      <c r="F162" s="61">
        <f>Histórico!R162/Histórico!J162</f>
        <v>1.0293398533007334</v>
      </c>
      <c r="G162" s="61">
        <f>Histórico!N162/Histórico!R162</f>
        <v>1.0312747426761679</v>
      </c>
      <c r="H162" s="61">
        <f>Histórico!N162/Histórico!J162</f>
        <v>1.0615321923390384</v>
      </c>
      <c r="I162" s="61">
        <f>Histórico!B162/Histórico!R162</f>
        <v>1.123317498020586</v>
      </c>
      <c r="J162" s="61">
        <f>Histórico!C162/Histórico!G162</f>
        <v>1.0445205479452055</v>
      </c>
      <c r="K162" s="61">
        <f>Histórico!B162/Histórico!N162</f>
        <v>1.0892514395393473</v>
      </c>
      <c r="L162" s="61">
        <f>Histórico!B162/Histórico!J162</f>
        <v>1.1562754686226568</v>
      </c>
      <c r="M162" s="61">
        <f>+Histórico!N162/Histórico!F162</f>
        <v>0.96660482374768086</v>
      </c>
      <c r="N162" s="61">
        <f>Histórico!F162/Histórico!AD162</f>
        <v>1.0762779552715656</v>
      </c>
      <c r="O162" s="61">
        <f>Histórico!G162/Histórico!AE162</f>
        <v>1.0848297213622291</v>
      </c>
      <c r="P162" s="61">
        <f>Histórico!F162/Histórico!AD162</f>
        <v>1.0762779552715656</v>
      </c>
    </row>
    <row r="163" spans="1:16" x14ac:dyDescent="0.25">
      <c r="A163" s="59">
        <f>+Histórico!A163</f>
        <v>44322</v>
      </c>
      <c r="B163" s="61">
        <f>Histórico!B163/Histórico!F163</f>
        <v>1.0512581547064306</v>
      </c>
      <c r="C163" s="60">
        <f>Histórico!F163/Histórico!J163</f>
        <v>1.1165452653485952</v>
      </c>
      <c r="D163" s="61">
        <f>Histórico!F163/Histórico!N163</f>
        <v>1.0357142857142858</v>
      </c>
      <c r="E163" s="61">
        <f>Histórico!F163/Histórico!R163</f>
        <v>1.073</v>
      </c>
      <c r="F163" s="61">
        <f>Histórico!R163/Histórico!J163</f>
        <v>1.0405827263267429</v>
      </c>
      <c r="G163" s="61">
        <f>Histórico!N163/Histórico!R163</f>
        <v>1.036</v>
      </c>
      <c r="H163" s="61">
        <f>Histórico!N163/Histórico!J163</f>
        <v>1.0780437044745057</v>
      </c>
      <c r="I163" s="61">
        <f>Histórico!B163/Histórico!R163</f>
        <v>1.1279999999999999</v>
      </c>
      <c r="J163" s="61">
        <f>Histórico!C163/Histórico!G163</f>
        <v>1.0509059534081102</v>
      </c>
      <c r="K163" s="61">
        <f>Histórico!B163/Histórico!N163</f>
        <v>1.0888030888030888</v>
      </c>
      <c r="L163" s="61">
        <f>Histórico!B163/Histórico!J163</f>
        <v>1.173777315296566</v>
      </c>
      <c r="M163" s="61">
        <f>+Histórico!N163/Histórico!F163</f>
        <v>0.96551724137931039</v>
      </c>
      <c r="N163" s="61">
        <f>Histórico!F163/Histórico!AD163</f>
        <v>1.0720351683484863</v>
      </c>
      <c r="O163" s="61">
        <f>Histórico!G163/Histórico!AE163</f>
        <v>1.0798136645962733</v>
      </c>
      <c r="P163" s="61">
        <f>Histórico!F163/Histórico!AD163</f>
        <v>1.0720351683484863</v>
      </c>
    </row>
    <row r="164" spans="1:16" x14ac:dyDescent="0.25">
      <c r="A164" s="59">
        <f>+Histórico!A164</f>
        <v>44323</v>
      </c>
      <c r="B164" s="61">
        <f>Histórico!B164/Histórico!F164</f>
        <v>1.0568353474320242</v>
      </c>
      <c r="C164" s="60">
        <f>Histórico!F164/Histórico!J164</f>
        <v>1.0964803312629399</v>
      </c>
      <c r="D164" s="61">
        <f>Histórico!F164/Histórico!N164</f>
        <v>1.0273520853540252</v>
      </c>
      <c r="E164" s="61">
        <f>Histórico!F164/Histórico!R164</f>
        <v>1.0626003210272874</v>
      </c>
      <c r="F164" s="61">
        <f>Histórico!R164/Histórico!J164</f>
        <v>1.0318840579710145</v>
      </c>
      <c r="G164" s="61">
        <f>Histórico!N164/Histórico!R164</f>
        <v>1.0343097913322632</v>
      </c>
      <c r="H164" s="61">
        <f>Histórico!N164/Histórico!J164</f>
        <v>1.0672877846790891</v>
      </c>
      <c r="I164" s="61">
        <f>Histórico!B164/Histórico!R164</f>
        <v>1.1229935794542536</v>
      </c>
      <c r="J164" s="61">
        <f>Histórico!C164/Histórico!G164</f>
        <v>1.0583090379008746</v>
      </c>
      <c r="K164" s="61">
        <f>Histórico!B164/Histórico!N164</f>
        <v>1.0857419980601357</v>
      </c>
      <c r="L164" s="61">
        <f>Histórico!B164/Histórico!J164</f>
        <v>1.15879917184265</v>
      </c>
      <c r="M164" s="61">
        <f>+Histórico!N164/Histórico!F164</f>
        <v>0.97337613293051362</v>
      </c>
      <c r="N164" s="61">
        <f>Histórico!F164/Histórico!AD164</f>
        <v>1.0613226452905811</v>
      </c>
      <c r="O164" s="61">
        <f>Histórico!G164/Histórico!AE164</f>
        <v>1.0748981510498274</v>
      </c>
      <c r="P164" s="61">
        <f>Histórico!F164/Histórico!AD164</f>
        <v>1.0613226452905811</v>
      </c>
    </row>
    <row r="165" spans="1:16" x14ac:dyDescent="0.25">
      <c r="A165" s="59">
        <f>+Histórico!A165</f>
        <v>44326</v>
      </c>
      <c r="B165" s="61">
        <f>Histórico!B165/Histórico!F165</f>
        <v>1.054380664652568</v>
      </c>
      <c r="C165" s="60">
        <f>Histórico!F165/Histórico!J165</f>
        <v>1.1020705441681407</v>
      </c>
      <c r="D165" s="61">
        <f>Histórico!F165/Histórico!N165</f>
        <v>1.035386119257087</v>
      </c>
      <c r="E165" s="61">
        <f>Histórico!F165/Histórico!R165</f>
        <v>1.0662371652909202</v>
      </c>
      <c r="F165" s="61">
        <f>Histórico!R165/Histórico!J165</f>
        <v>1.0336073249401727</v>
      </c>
      <c r="G165" s="61">
        <f>Histórico!N165/Histórico!R165</f>
        <v>1.02979665794242</v>
      </c>
      <c r="H165" s="61">
        <f>Histórico!N165/Histórico!J165</f>
        <v>1.0644053688481947</v>
      </c>
      <c r="I165" s="61">
        <f>Histórico!B165/Histórico!R165</f>
        <v>1.1242198510167103</v>
      </c>
      <c r="J165" s="61">
        <f>Histórico!C165/Histórico!G165</f>
        <v>1.058139534883721</v>
      </c>
      <c r="K165" s="61">
        <f>Histórico!B165/Histórico!N165</f>
        <v>1.0916911045943305</v>
      </c>
      <c r="L165" s="61">
        <f>Histórico!B165/Histórico!J165</f>
        <v>1.1620018728540213</v>
      </c>
      <c r="M165" s="61">
        <f>+Histórico!N165/Histórico!F165</f>
        <v>0.96582326283987918</v>
      </c>
      <c r="N165" s="61">
        <f>Histórico!F165/Histórico!AD165</f>
        <v>1.0764227642276423</v>
      </c>
      <c r="O165" s="61">
        <f>Histórico!G165/Histórico!AE165</f>
        <v>1.0800627943485086</v>
      </c>
      <c r="P165" s="61">
        <f>Histórico!F165/Histórico!AD165</f>
        <v>1.0764227642276423</v>
      </c>
    </row>
    <row r="166" spans="1:16" x14ac:dyDescent="0.25">
      <c r="A166" s="59">
        <f>+Histórico!A166</f>
        <v>44327</v>
      </c>
      <c r="B166" s="61">
        <f>Histórico!B166/Histórico!F166</f>
        <v>1.0569498069498069</v>
      </c>
      <c r="C166" s="60">
        <f>Histórico!F166/Histórico!J166</f>
        <v>1.0962962962962963</v>
      </c>
      <c r="D166" s="61">
        <f>Histórico!F166/Histórico!N166</f>
        <v>1.0213940648723256</v>
      </c>
      <c r="E166" s="61">
        <f>Histórico!F166/Histórico!R166</f>
        <v>1.0487953026928527</v>
      </c>
      <c r="F166" s="61">
        <f>Histórico!R166/Histórico!J166</f>
        <v>1.0452910052910054</v>
      </c>
      <c r="G166" s="61">
        <f>Histórico!N166/Histórico!R166</f>
        <v>1.0268272929742863</v>
      </c>
      <c r="H166" s="61">
        <f>Histórico!N166/Histórico!J166</f>
        <v>1.0733333333333333</v>
      </c>
      <c r="I166" s="61">
        <f>Histórico!B166/Histórico!R166</f>
        <v>1.108523992711075</v>
      </c>
      <c r="J166" s="61">
        <f>Histórico!C166/Histórico!G166</f>
        <v>1.0617977528089886</v>
      </c>
      <c r="K166" s="61">
        <f>Histórico!B166/Histórico!N166</f>
        <v>1.0795622596864833</v>
      </c>
      <c r="L166" s="61">
        <f>Histórico!B166/Histórico!J166</f>
        <v>1.1587301587301588</v>
      </c>
      <c r="M166" s="61">
        <f>+Histórico!N166/Histórico!F166</f>
        <v>0.9790540540540541</v>
      </c>
      <c r="N166" s="61">
        <f>Histórico!F166/Histórico!AD166</f>
        <v>1.0791666666666666</v>
      </c>
      <c r="O166" s="61">
        <f>Histórico!G166/Histórico!AE166</f>
        <v>1.0736507936507937</v>
      </c>
      <c r="P166" s="61">
        <f>Histórico!F166/Histórico!AD166</f>
        <v>1.0791666666666666</v>
      </c>
    </row>
    <row r="167" spans="1:16" x14ac:dyDescent="0.25">
      <c r="A167" s="59">
        <f>+Histórico!A167</f>
        <v>44328</v>
      </c>
      <c r="B167" s="61">
        <f>Histórico!B167/Histórico!F167</f>
        <v>1.0610409491006505</v>
      </c>
      <c r="C167" s="60">
        <f>Histórico!F167/Histórico!J167</f>
        <v>1.1046290424857323</v>
      </c>
      <c r="D167" s="61">
        <f>Histórico!F167/Histórico!N167</f>
        <v>1.0229007633587786</v>
      </c>
      <c r="E167" s="61">
        <f>Histórico!F167/Histórico!R167</f>
        <v>1.0641417226634087</v>
      </c>
      <c r="F167" s="61">
        <f>Histórico!R167/Histórico!J167</f>
        <v>1.0380469245402664</v>
      </c>
      <c r="G167" s="61">
        <f>Histórico!N167/Histórico!R167</f>
        <v>1.0403176542455712</v>
      </c>
      <c r="H167" s="61">
        <f>Histórico!N167/Histórico!J167</f>
        <v>1.0798985415345592</v>
      </c>
      <c r="I167" s="61">
        <f>Histórico!B167/Histórico!R167</f>
        <v>1.1290979433923845</v>
      </c>
      <c r="J167" s="61">
        <f>Histórico!C167/Histórico!G167</f>
        <v>1.0644972148929934</v>
      </c>
      <c r="K167" s="61">
        <f>Histórico!B167/Histórico!N167</f>
        <v>1.0853395967899784</v>
      </c>
      <c r="L167" s="61">
        <f>Histórico!B167/Histórico!J167</f>
        <v>1.1720566476432044</v>
      </c>
      <c r="M167" s="61">
        <f>+Histórico!N167/Histórico!F167</f>
        <v>0.97761194029850751</v>
      </c>
      <c r="N167" s="61">
        <f>Histórico!F167/Histórico!AD167</f>
        <v>1.0754192818191173</v>
      </c>
      <c r="O167" s="61">
        <f>Histórico!G167/Histórico!AE167</f>
        <v>1.0746691871455576</v>
      </c>
      <c r="P167" s="61">
        <f>Histórico!F167/Histórico!AD167</f>
        <v>1.0754192818191173</v>
      </c>
    </row>
    <row r="168" spans="1:16" x14ac:dyDescent="0.25">
      <c r="A168" s="59">
        <f>+Histórico!A168</f>
        <v>44329</v>
      </c>
      <c r="B168" s="61">
        <f>Histórico!B168/Histórico!F168</f>
        <v>1.0682509505703421</v>
      </c>
      <c r="C168" s="60">
        <f>Histórico!F168/Histórico!J168</f>
        <v>1.0924195223260644</v>
      </c>
      <c r="D168" s="61">
        <f>Histórico!F168/Histórico!N168</f>
        <v>1.021359223300971</v>
      </c>
      <c r="E168" s="61">
        <f>Histórico!F168/Histórico!R168</f>
        <v>1.0541082164328657</v>
      </c>
      <c r="F168" s="61">
        <f>Histórico!R168/Histórico!J168</f>
        <v>1.0363447559709242</v>
      </c>
      <c r="G168" s="61">
        <f>Histórico!N168/Histórico!R168</f>
        <v>1.0320641282565131</v>
      </c>
      <c r="H168" s="61">
        <f>Histórico!N168/Histórico!J168</f>
        <v>1.0695742471443406</v>
      </c>
      <c r="I168" s="61">
        <f>Histórico!B168/Histórico!R168</f>
        <v>1.1260521042084168</v>
      </c>
      <c r="J168" s="61">
        <f>Histórico!C168/Histórico!G168</f>
        <v>1.0651665692577441</v>
      </c>
      <c r="K168" s="61">
        <f>Histórico!B168/Histórico!N168</f>
        <v>1.0910679611650484</v>
      </c>
      <c r="L168" s="61">
        <f>Histórico!B168/Histórico!J168</f>
        <v>1.1669781931464174</v>
      </c>
      <c r="M168" s="61">
        <f>+Histórico!N168/Histórico!F168</f>
        <v>0.97908745247148288</v>
      </c>
      <c r="N168" s="61">
        <f>Histórico!F168/Histórico!AD168</f>
        <v>1.06888843730949</v>
      </c>
      <c r="O168" s="61">
        <f>Histórico!G168/Histórico!AE168</f>
        <v>1.074074074074074</v>
      </c>
      <c r="P168" s="61">
        <f>Histórico!F168/Histórico!AD168</f>
        <v>1.06888843730949</v>
      </c>
    </row>
    <row r="169" spans="1:16" x14ac:dyDescent="0.25">
      <c r="A169" s="59">
        <f>+Histórico!A169</f>
        <v>44330</v>
      </c>
      <c r="B169" s="61">
        <f>Histórico!B169/Histórico!F169</f>
        <v>1.0646950092421441</v>
      </c>
      <c r="C169" s="60">
        <f>Histórico!F169/Histórico!J169</f>
        <v>1.0841683366733468</v>
      </c>
      <c r="D169" s="61">
        <f>Histórico!F169/Histórico!N169</f>
        <v>1.0170128771501081</v>
      </c>
      <c r="E169" s="61">
        <f>Histórico!F169/Histórico!R169</f>
        <v>1.0612004707728522</v>
      </c>
      <c r="F169" s="61">
        <f>Histórico!R169/Histórico!J169</f>
        <v>1.0216432865731464</v>
      </c>
      <c r="G169" s="61">
        <f>Histórico!N169/Histórico!R169</f>
        <v>1.0434484111416242</v>
      </c>
      <c r="H169" s="61">
        <f>Histórico!N169/Histórico!J169</f>
        <v>1.0660320641282566</v>
      </c>
      <c r="I169" s="61">
        <f>Histórico!B169/Histórico!R169</f>
        <v>1.1298548450372696</v>
      </c>
      <c r="J169" s="61">
        <f>Histórico!C169/Histórico!G169</f>
        <v>1.0664006839555429</v>
      </c>
      <c r="K169" s="61">
        <f>Histórico!B169/Histórico!N169</f>
        <v>1.082808534636714</v>
      </c>
      <c r="L169" s="61">
        <f>Histórico!B169/Histórico!J169</f>
        <v>1.154308617234469</v>
      </c>
      <c r="M169" s="61">
        <f>+Histórico!N169/Histórico!F169</f>
        <v>0.98327171903881705</v>
      </c>
      <c r="N169" s="61">
        <f>Histórico!F169/Histórico!AD169</f>
        <v>1.0612004707728522</v>
      </c>
      <c r="O169" s="61">
        <f>Histórico!G169/Histórico!AE169</f>
        <v>1.0601208459214502</v>
      </c>
      <c r="P169" s="61">
        <f>Histórico!F169/Histórico!AD169</f>
        <v>1.0612004707728522</v>
      </c>
    </row>
    <row r="170" spans="1:16" x14ac:dyDescent="0.25">
      <c r="A170" s="59">
        <f>+Histórico!A170</f>
        <v>44333</v>
      </c>
      <c r="B170" s="61">
        <f>Histórico!B170/Histórico!F170</f>
        <v>1.067741351204492</v>
      </c>
      <c r="C170" s="60">
        <f>Histórico!F170/Histórico!J170</f>
        <v>1.0829737151824246</v>
      </c>
      <c r="D170" s="61">
        <f>Histórico!F170/Histórico!N170</f>
        <v>1.0130275229357799</v>
      </c>
      <c r="E170" s="61">
        <f>Histórico!F170/Histórico!R170</f>
        <v>1.0598963332693416</v>
      </c>
      <c r="F170" s="61">
        <f>Histórico!R170/Histórico!J170</f>
        <v>1.0217732444095724</v>
      </c>
      <c r="G170" s="61">
        <f>Histórico!N170/Histórico!R170</f>
        <v>1.0462660779420234</v>
      </c>
      <c r="H170" s="61">
        <f>Histórico!N170/Histórico!J170</f>
        <v>1.0690466849744997</v>
      </c>
      <c r="I170" s="61">
        <f>Histórico!B170/Histórico!R170</f>
        <v>1.1316951430216933</v>
      </c>
      <c r="J170" s="61">
        <f>Histórico!C170/Histórico!G170</f>
        <v>1.0658263305322127</v>
      </c>
      <c r="K170" s="61">
        <f>Histórico!B170/Histórico!N170</f>
        <v>1.081651376146789</v>
      </c>
      <c r="L170" s="61">
        <f>Histórico!B170/Histórico!J170</f>
        <v>1.1563358179678305</v>
      </c>
      <c r="M170" s="61">
        <f>+Histórico!N170/Histórico!F170</f>
        <v>0.9871400108675964</v>
      </c>
      <c r="N170" s="61">
        <f>Histórico!F170/Histórico!AD170</f>
        <v>1.0526215443279314</v>
      </c>
      <c r="O170" s="61">
        <f>Histórico!G170/Histórico!AE170</f>
        <v>1.0534080849808203</v>
      </c>
      <c r="P170" s="61">
        <f>Histórico!F170/Histórico!AD170</f>
        <v>1.0526215443279314</v>
      </c>
    </row>
    <row r="171" spans="1:16" x14ac:dyDescent="0.25">
      <c r="A171" s="59">
        <f>+Histórico!A171</f>
        <v>44334</v>
      </c>
      <c r="B171" s="61">
        <f>Histórico!B171/Histórico!F171</f>
        <v>1.0673528349584687</v>
      </c>
      <c r="C171" s="60">
        <f>Histórico!F171/Histórico!J171</f>
        <v>1.0712834896991972</v>
      </c>
      <c r="D171" s="61">
        <f>Histórico!F171/Histórico!N171</f>
        <v>0.99963898916967509</v>
      </c>
      <c r="E171" s="61">
        <f>Histórico!F171/Histórico!R171</f>
        <v>1.0488636363636363</v>
      </c>
      <c r="F171" s="61">
        <f>Histórico!R171/Histórico!J171</f>
        <v>1.0213753747944676</v>
      </c>
      <c r="G171" s="61">
        <f>Histórico!N171/Histórico!R171</f>
        <v>1.0492424242424243</v>
      </c>
      <c r="H171" s="61">
        <f>Histórico!N171/Histórico!J171</f>
        <v>1.0716703743108618</v>
      </c>
      <c r="I171" s="61">
        <f>Histórico!B171/Histórico!R171</f>
        <v>1.1195075757575759</v>
      </c>
      <c r="J171" s="61">
        <f>Histórico!C171/Histórico!G171</f>
        <v>1.0644257703081232</v>
      </c>
      <c r="K171" s="61">
        <f>Histórico!B171/Histórico!N171</f>
        <v>1.0669675090252708</v>
      </c>
      <c r="L171" s="61">
        <f>Histórico!B171/Histórico!J171</f>
        <v>1.1434374697746397</v>
      </c>
      <c r="M171" s="61">
        <f>+Histórico!N171/Histórico!F171</f>
        <v>1.0003611412062117</v>
      </c>
      <c r="N171" s="61">
        <f>Histórico!F171/Histórico!AD171</f>
        <v>1.0334017540585929</v>
      </c>
      <c r="O171" s="61">
        <f>Histórico!G171/Histórico!AE171</f>
        <v>1.0408163265306125</v>
      </c>
      <c r="P171" s="61">
        <f>Histórico!F171/Histórico!AD171</f>
        <v>1.0334017540585929</v>
      </c>
    </row>
    <row r="172" spans="1:16" x14ac:dyDescent="0.25">
      <c r="A172" s="59">
        <f>+Histórico!A172</f>
        <v>44335</v>
      </c>
      <c r="B172" s="61">
        <f>Histórico!B172/Histórico!F172</f>
        <v>1.0659620991253644</v>
      </c>
      <c r="C172" s="60">
        <f>Histórico!F172/Histórico!J172</f>
        <v>1.0594594594594595</v>
      </c>
      <c r="D172" s="61">
        <f>Histórico!F172/Histórico!N172</f>
        <v>0.9924050632911392</v>
      </c>
      <c r="E172" s="61">
        <f>Histórico!F172/Histórico!R172</f>
        <v>1.0382141505864548</v>
      </c>
      <c r="F172" s="61">
        <f>Histórico!R172/Histórico!J172</f>
        <v>1.0204633204633204</v>
      </c>
      <c r="G172" s="61">
        <f>Histórico!N172/Histórico!R172</f>
        <v>1.0461596670450246</v>
      </c>
      <c r="H172" s="61">
        <f>Histórico!N172/Histórico!J172</f>
        <v>1.0675675675675675</v>
      </c>
      <c r="I172" s="61">
        <f>Histórico!B172/Histórico!R172</f>
        <v>1.1066969353007945</v>
      </c>
      <c r="J172" s="61">
        <f>Histórico!C172/Histórico!G172</f>
        <v>1.0678642714570858</v>
      </c>
      <c r="K172" s="61">
        <f>Histórico!B172/Histórico!N172</f>
        <v>1.0578661844484629</v>
      </c>
      <c r="L172" s="61">
        <f>Histórico!B172/Histórico!J172</f>
        <v>1.1293436293436294</v>
      </c>
      <c r="M172" s="61">
        <f>+Histórico!N172/Histórico!F172</f>
        <v>1.0076530612244898</v>
      </c>
      <c r="N172" s="61">
        <f>Histórico!F172/Histórico!AD172</f>
        <v>1.0200743494423792</v>
      </c>
      <c r="O172" s="61">
        <f>Histórico!G172/Histórico!AE172</f>
        <v>1.0329896907216494</v>
      </c>
      <c r="P172" s="61">
        <f>Histórico!F172/Histórico!AD172</f>
        <v>1.0200743494423792</v>
      </c>
    </row>
    <row r="173" spans="1:16" x14ac:dyDescent="0.25">
      <c r="A173" s="59">
        <f>+Histórico!A173</f>
        <v>44336</v>
      </c>
      <c r="B173" s="61">
        <f>Histórico!B173/Histórico!F173</f>
        <v>1.0696781272860278</v>
      </c>
      <c r="C173" s="60">
        <f>Histórico!F173/Histórico!J173</f>
        <v>1.0485139022051775</v>
      </c>
      <c r="D173" s="61">
        <f>Histórico!F173/Histórico!N173</f>
        <v>0.97992831541218639</v>
      </c>
      <c r="E173" s="61">
        <f>Histórico!F173/Histórico!R173</f>
        <v>1.0297551789077213</v>
      </c>
      <c r="F173" s="61">
        <f>Histórico!R173/Histórico!J173</f>
        <v>1.0182166826462129</v>
      </c>
      <c r="G173" s="61">
        <f>Histórico!N173/Histórico!R173</f>
        <v>1.0508474576271187</v>
      </c>
      <c r="H173" s="61">
        <f>Histórico!N173/Histórico!J173</f>
        <v>1.0699904122722914</v>
      </c>
      <c r="I173" s="61">
        <f>Histórico!B173/Histórico!R173</f>
        <v>1.1015065913370998</v>
      </c>
      <c r="J173" s="61">
        <f>Histórico!C173/Histórico!G173</f>
        <v>1.0721679125934445</v>
      </c>
      <c r="K173" s="61">
        <f>Histórico!B173/Histórico!N173</f>
        <v>1.0482078853046595</v>
      </c>
      <c r="L173" s="61">
        <f>Histórico!B173/Histórico!J173</f>
        <v>1.1215723873441994</v>
      </c>
      <c r="M173" s="61">
        <f>+Histórico!N173/Histórico!F173</f>
        <v>1.0204828090709583</v>
      </c>
      <c r="N173" s="61">
        <f>Histórico!F173/Histórico!AD173</f>
        <v>1.0127801444711984</v>
      </c>
      <c r="O173" s="61">
        <f>Histórico!G173/Histórico!AE173</f>
        <v>1.0259587020648968</v>
      </c>
      <c r="P173" s="61">
        <f>Histórico!F173/Histórico!AD173</f>
        <v>1.0127801444711984</v>
      </c>
    </row>
    <row r="174" spans="1:16" x14ac:dyDescent="0.25">
      <c r="A174" s="59">
        <f>+Histórico!A174</f>
        <v>44337</v>
      </c>
      <c r="B174" s="61">
        <f>Histórico!B174/Histórico!F174</f>
        <v>1.0736049926578561</v>
      </c>
      <c r="C174" s="60">
        <f>Histórico!F174/Histórico!J174</f>
        <v>1.0609542356377799</v>
      </c>
      <c r="D174" s="61">
        <f>Histórico!F174/Histórico!N174</f>
        <v>0.97477187332259796</v>
      </c>
      <c r="E174" s="61">
        <f>Histórico!F174/Histórico!R174</f>
        <v>1.0221388367729831</v>
      </c>
      <c r="F174" s="61">
        <f>Histórico!R174/Histórico!J174</f>
        <v>1.0379746835443038</v>
      </c>
      <c r="G174" s="61">
        <f>Histórico!N174/Histórico!R174</f>
        <v>1.0485928705440901</v>
      </c>
      <c r="H174" s="61">
        <f>Histórico!N174/Histórico!J174</f>
        <v>1.0884128529698149</v>
      </c>
      <c r="I174" s="61">
        <f>Histórico!B174/Histórico!R174</f>
        <v>1.0973733583489682</v>
      </c>
      <c r="J174" s="61">
        <f>Histórico!C174/Histórico!G174</f>
        <v>1.073546511627907</v>
      </c>
      <c r="K174" s="61">
        <f>Histórico!B174/Histórico!N174</f>
        <v>1.0465199499015925</v>
      </c>
      <c r="L174" s="61">
        <f>Histórico!B174/Histórico!J174</f>
        <v>1.13904576436222</v>
      </c>
      <c r="M174" s="61">
        <f>+Histórico!N174/Histórico!F174</f>
        <v>1.0258810572687225</v>
      </c>
      <c r="N174" s="61">
        <f>Histórico!F174/Histórico!AD174</f>
        <v>1.0221388367729831</v>
      </c>
      <c r="O174" s="61">
        <f>Histórico!G174/Histórico!AE174</f>
        <v>1.0192592592592593</v>
      </c>
      <c r="P174" s="61">
        <f>Histórico!F174/Histórico!AD174</f>
        <v>1.0221388367729831</v>
      </c>
    </row>
    <row r="175" spans="1:16" x14ac:dyDescent="0.25">
      <c r="A175" s="59">
        <f>+Histórico!A175</f>
        <v>44342</v>
      </c>
      <c r="B175" s="61">
        <f>Histórico!B175/Histórico!F175</f>
        <v>1.0708548991611637</v>
      </c>
      <c r="C175" s="60">
        <f>Histórico!F175/Histórico!J175</f>
        <v>1.0672380952380953</v>
      </c>
      <c r="D175" s="61">
        <f>Histórico!F175/Histórico!N175</f>
        <v>0.96954490396262327</v>
      </c>
      <c r="E175" s="61">
        <f>Histórico!F175/Histórico!R175</f>
        <v>1.0243144424131627</v>
      </c>
      <c r="F175" s="61">
        <f>Histórico!R175/Histórico!J175</f>
        <v>1.0419047619047619</v>
      </c>
      <c r="G175" s="61">
        <f>Histórico!N175/Histórico!R175</f>
        <v>1.0564899451553931</v>
      </c>
      <c r="H175" s="61">
        <f>Histórico!N175/Histórico!J175</f>
        <v>1.1007619047619048</v>
      </c>
      <c r="I175" s="61">
        <f>Histórico!B175/Histórico!R175</f>
        <v>1.0968921389396709</v>
      </c>
      <c r="J175" s="61">
        <f>Histórico!C175/Histórico!G175</f>
        <v>1.0654442877291961</v>
      </c>
      <c r="K175" s="61">
        <f>Histórico!B175/Histórico!N175</f>
        <v>1.038241910365115</v>
      </c>
      <c r="L175" s="61">
        <f>Histórico!B175/Histórico!J175</f>
        <v>1.1428571428571428</v>
      </c>
      <c r="M175" s="61">
        <f>+Histórico!N175/Histórico!F175</f>
        <v>1.0314117437087276</v>
      </c>
      <c r="N175" s="61">
        <f>Histórico!F175/Histórico!AD175</f>
        <v>1.0237529691211402</v>
      </c>
      <c r="O175" s="61">
        <f>Histórico!G175/Histórico!AE175</f>
        <v>1.0335276967930032</v>
      </c>
      <c r="P175" s="61">
        <f>Histórico!F175/Histórico!AD175</f>
        <v>1.0237529691211402</v>
      </c>
    </row>
    <row r="176" spans="1:16" x14ac:dyDescent="0.25">
      <c r="A176" s="59">
        <f>+Histórico!A176</f>
        <v>44343</v>
      </c>
      <c r="B176" s="61">
        <f>Histórico!B176/Histórico!F176</f>
        <v>1.0741166077738515</v>
      </c>
      <c r="C176" s="60">
        <f>Histórico!F176/Histórico!J176</f>
        <v>1.054986020503262</v>
      </c>
      <c r="D176" s="61">
        <f>Histórico!F176/Histórico!N176</f>
        <v>0.96504688832054564</v>
      </c>
      <c r="E176" s="61">
        <f>Histórico!F176/Histórico!R176</f>
        <v>1.0017699115044247</v>
      </c>
      <c r="F176" s="61">
        <f>Histórico!R176/Histórico!J176</f>
        <v>1.0531220876048462</v>
      </c>
      <c r="G176" s="61">
        <f>Histórico!N176/Histórico!R176</f>
        <v>1.0380530973451327</v>
      </c>
      <c r="H176" s="61">
        <f>Histórico!N176/Histórico!J176</f>
        <v>1.0931966449207828</v>
      </c>
      <c r="I176" s="61">
        <f>Histórico!B176/Histórico!R176</f>
        <v>1.0760176991150443</v>
      </c>
      <c r="J176" s="61">
        <f>Histórico!C176/Histórico!G176</f>
        <v>1.0684240044868201</v>
      </c>
      <c r="K176" s="61">
        <f>Histórico!B176/Histórico!N176</f>
        <v>1.0365728900255755</v>
      </c>
      <c r="L176" s="61">
        <f>Histórico!B176/Histórico!J176</f>
        <v>1.1331780055917986</v>
      </c>
      <c r="M176" s="61">
        <f>+Histórico!N176/Histórico!F176</f>
        <v>1.0362190812720848</v>
      </c>
      <c r="N176" s="61">
        <f>Histórico!F176/Histórico!AD176</f>
        <v>1.0281562216167122</v>
      </c>
      <c r="O176" s="61">
        <f>Histórico!G176/Histórico!AE176</f>
        <v>1.0270737327188939</v>
      </c>
      <c r="P176" s="61">
        <f>Histórico!F176/Histórico!AD176</f>
        <v>1.0281562216167122</v>
      </c>
    </row>
    <row r="177" spans="1:16" x14ac:dyDescent="0.25">
      <c r="A177" s="59">
        <f>+Histórico!A177</f>
        <v>44344</v>
      </c>
      <c r="B177" s="61">
        <f>Histórico!B177/Histórico!F177</f>
        <v>1.0642071656615821</v>
      </c>
      <c r="C177" s="60">
        <f>Histórico!F177/Histórico!J177</f>
        <v>1.0577861163227016</v>
      </c>
      <c r="D177" s="61">
        <f>Histórico!F177/Histórico!N177</f>
        <v>0.9713153587733655</v>
      </c>
      <c r="E177" s="61">
        <f>Histórico!F177/Histórico!R177</f>
        <v>1.0195298372513562</v>
      </c>
      <c r="F177" s="61">
        <f>Histórico!R177/Histórico!J177</f>
        <v>1.0375234521575984</v>
      </c>
      <c r="G177" s="61">
        <f>Histórico!N177/Histórico!R177</f>
        <v>1.0496383363471971</v>
      </c>
      <c r="H177" s="61">
        <f>Histórico!N177/Histórico!J177</f>
        <v>1.0890243902439025</v>
      </c>
      <c r="I177" s="61">
        <f>Histórico!B177/Histórico!R177</f>
        <v>1.0849909584086799</v>
      </c>
      <c r="J177" s="61">
        <f>Histórico!C177/Histórico!G177</f>
        <v>1.0647807637906648</v>
      </c>
      <c r="K177" s="61">
        <f>Histórico!B177/Histórico!N177</f>
        <v>1.033680764923766</v>
      </c>
      <c r="L177" s="61">
        <f>Histórico!B177/Histórico!J177</f>
        <v>1.125703564727955</v>
      </c>
      <c r="M177" s="61">
        <f>+Histórico!N177/Histórico!F177</f>
        <v>1.029531748847109</v>
      </c>
      <c r="N177" s="61">
        <f>Histórico!F177/Histórico!AD177</f>
        <v>1.0214693359905789</v>
      </c>
      <c r="O177" s="61">
        <f>Histórico!G177/Histórico!AE177</f>
        <v>1.0261248185776488</v>
      </c>
      <c r="P177" s="61">
        <f>Histórico!F177/Histórico!AD177</f>
        <v>1.0214693359905789</v>
      </c>
    </row>
    <row r="178" spans="1:16" x14ac:dyDescent="0.25">
      <c r="A178" s="59">
        <f>+Histórico!A178</f>
        <v>44347</v>
      </c>
      <c r="B178" s="61">
        <f>Histórico!B178/Histórico!F178</f>
        <v>1.0661244695898162</v>
      </c>
      <c r="C178" s="60">
        <f>Histórico!F178/Histórico!J178</f>
        <v>1.0552238805970149</v>
      </c>
      <c r="D178" s="61">
        <f>Histórico!F178/Histórico!N178</f>
        <v>0.97483626335746298</v>
      </c>
      <c r="E178" s="61">
        <f>Histórico!F178/Histórico!R178</f>
        <v>1.0255666364460563</v>
      </c>
      <c r="F178" s="61">
        <f>Histórico!R178/Histórico!J178</f>
        <v>1.0289179104477613</v>
      </c>
      <c r="G178" s="61">
        <f>Histórico!N178/Histórico!R178</f>
        <v>1.0520398912058024</v>
      </c>
      <c r="H178" s="61">
        <f>Histórico!N178/Histórico!J178</f>
        <v>1.0824626865671643</v>
      </c>
      <c r="I178" s="61">
        <f>Histórico!B178/Histórico!R178</f>
        <v>1.0933816863100634</v>
      </c>
      <c r="J178" s="61">
        <f>Histórico!C178/Histórico!G178</f>
        <v>1.0651558073654392</v>
      </c>
      <c r="K178" s="61">
        <f>Histórico!B178/Histórico!N178</f>
        <v>1.0392967942088935</v>
      </c>
      <c r="L178" s="61">
        <f>Histórico!B178/Histórico!J178</f>
        <v>1.125</v>
      </c>
      <c r="M178" s="61">
        <f>+Histórico!N178/Histórico!F178</f>
        <v>1.0258132956152759</v>
      </c>
      <c r="N178" s="61">
        <f>Histórico!F178/Histórico!AD178</f>
        <v>1.026497277676951</v>
      </c>
      <c r="O178" s="61">
        <f>Histórico!G178/Histórico!AE178</f>
        <v>1.0264611805757486</v>
      </c>
      <c r="P178" s="61">
        <f>Histórico!F178/Histórico!AD178</f>
        <v>1.026497277676951</v>
      </c>
    </row>
    <row r="179" spans="1:16" x14ac:dyDescent="0.25">
      <c r="A179" s="59">
        <f>+Histórico!A179</f>
        <v>44348</v>
      </c>
      <c r="B179" s="61">
        <f>Histórico!B179/Histórico!F179</f>
        <v>1.0610820244328099</v>
      </c>
      <c r="C179" s="60">
        <f>Histórico!F179/Histórico!J179</f>
        <v>1.0504124656278644</v>
      </c>
      <c r="D179" s="61">
        <f>Histórico!F179/Histórico!N179</f>
        <v>0.96464646464646464</v>
      </c>
      <c r="E179" s="61">
        <f>Histórico!F179/Histórico!R179</f>
        <v>1.019935920256319</v>
      </c>
      <c r="F179" s="61">
        <f>Histórico!R179/Histórico!J179</f>
        <v>1.0298808432630615</v>
      </c>
      <c r="G179" s="61">
        <f>Histórico!N179/Histórico!R179</f>
        <v>1.057315770736917</v>
      </c>
      <c r="H179" s="61">
        <f>Histórico!N179/Histórico!J179</f>
        <v>1.0889092575618697</v>
      </c>
      <c r="I179" s="61">
        <f>Histórico!B179/Histórico!R179</f>
        <v>1.0822356710573158</v>
      </c>
      <c r="J179" s="61">
        <f>Histórico!C179/Histórico!G179</f>
        <v>1.0632022471910112</v>
      </c>
      <c r="K179" s="61">
        <f>Histórico!B179/Histórico!N179</f>
        <v>1.0235690235690236</v>
      </c>
      <c r="L179" s="61">
        <f>Histórico!B179/Histórico!J179</f>
        <v>1.1145737855178734</v>
      </c>
      <c r="M179" s="61">
        <f>+Histórico!N179/Histórico!F179</f>
        <v>1.036649214659686</v>
      </c>
      <c r="N179" s="61">
        <f>Histórico!F179/Histórico!AD179</f>
        <v>1.0241286863270778</v>
      </c>
      <c r="O179" s="61">
        <f>Histórico!G179/Histórico!AE179</f>
        <v>1.0265282583621684</v>
      </c>
      <c r="P179" s="61">
        <f>Histórico!F179/Histórico!AD179</f>
        <v>1.0241286863270778</v>
      </c>
    </row>
    <row r="180" spans="1:16" x14ac:dyDescent="0.25">
      <c r="A180" s="59">
        <f>+Histórico!A180</f>
        <v>44349</v>
      </c>
      <c r="B180" s="61">
        <f>Histórico!B180/Histórico!F180</f>
        <v>1.0678023850085179</v>
      </c>
      <c r="C180" s="60">
        <f>Histórico!F180/Histórico!J180</f>
        <v>1.0596624244065349</v>
      </c>
      <c r="D180" s="61">
        <f>Histórico!F180/Histórico!N180</f>
        <v>0.96387520525451564</v>
      </c>
      <c r="E180" s="61">
        <f>Histórico!F180/Histórico!R180</f>
        <v>1.0217580504786772</v>
      </c>
      <c r="F180" s="61">
        <f>Histórico!R180/Histórico!J180</f>
        <v>1.0370972109396155</v>
      </c>
      <c r="G180" s="61">
        <f>Histórico!N180/Histórico!R180</f>
        <v>1.0600522193211488</v>
      </c>
      <c r="H180" s="61">
        <f>Histórico!N180/Histórico!J180</f>
        <v>1.0993772001083131</v>
      </c>
      <c r="I180" s="61">
        <f>Histórico!B180/Histórico!R180</f>
        <v>1.091035683202785</v>
      </c>
      <c r="J180" s="61">
        <f>Histórico!C180/Histórico!G180</f>
        <v>1.056473829201102</v>
      </c>
      <c r="K180" s="61">
        <f>Histórico!B180/Histórico!N180</f>
        <v>1.0292282430213464</v>
      </c>
      <c r="L180" s="61">
        <f>Histórico!B180/Histórico!J180</f>
        <v>1.1315100640852063</v>
      </c>
      <c r="M180" s="61">
        <f>+Histórico!N180/Histórico!F180</f>
        <v>1.0374787052810903</v>
      </c>
      <c r="N180" s="61">
        <f>Histórico!F180/Histórico!AD180</f>
        <v>1.0289219982471516</v>
      </c>
      <c r="O180" s="61">
        <f>Histórico!G180/Histórico!AE180</f>
        <v>1.0312499999999998</v>
      </c>
      <c r="P180" s="61">
        <f>Histórico!F180/Histórico!AD180</f>
        <v>1.0289219982471516</v>
      </c>
    </row>
    <row r="181" spans="1:16" x14ac:dyDescent="0.25">
      <c r="A181" s="59">
        <f>+Histórico!A181</f>
        <v>44350</v>
      </c>
      <c r="B181" s="61">
        <f>Histórico!B181/Histórico!F181</f>
        <v>1.0608665749656121</v>
      </c>
      <c r="C181" s="60">
        <f>Histórico!F181/Histórico!J181</f>
        <v>1.0720737327188941</v>
      </c>
      <c r="D181" s="61">
        <f>Histórico!F181/Histórico!N181</f>
        <v>0.96933333333333338</v>
      </c>
      <c r="E181" s="61">
        <f>Histórico!F181/Histórico!R181</f>
        <v>1.0192779530318963</v>
      </c>
      <c r="F181" s="61">
        <f>Histórico!R181/Histórico!J181</f>
        <v>1.0517972350230416</v>
      </c>
      <c r="G181" s="61">
        <f>Histórico!N181/Histórico!R181</f>
        <v>1.0515247108307044</v>
      </c>
      <c r="H181" s="61">
        <f>Histórico!N181/Histórico!J181</f>
        <v>1.1059907834101383</v>
      </c>
      <c r="I181" s="61">
        <f>Histórico!B181/Histórico!R181</f>
        <v>1.0813179109709079</v>
      </c>
      <c r="J181" s="61">
        <f>Histórico!C181/Histórico!G181</f>
        <v>1.0596393897364773</v>
      </c>
      <c r="K181" s="61">
        <f>Histórico!B181/Histórico!N181</f>
        <v>1.0283333333333333</v>
      </c>
      <c r="L181" s="61">
        <f>Histórico!B181/Histórico!J181</f>
        <v>1.1373271889400922</v>
      </c>
      <c r="M181" s="61">
        <f>+Histórico!N181/Histórico!F181</f>
        <v>1.0316368638239339</v>
      </c>
      <c r="N181" s="61">
        <f>Histórico!F181/Histórico!AD181</f>
        <v>1.0386641664434324</v>
      </c>
      <c r="O181" s="61">
        <f>Histórico!G181/Histórico!AE181</f>
        <v>1.0374100719424459</v>
      </c>
      <c r="P181" s="61">
        <f>Histórico!F181/Histórico!AD181</f>
        <v>1.0386641664434324</v>
      </c>
    </row>
    <row r="182" spans="1:16" x14ac:dyDescent="0.25">
      <c r="A182" s="59">
        <f>+Histórico!A182</f>
        <v>44351</v>
      </c>
      <c r="B182" s="61">
        <f>Histórico!B182/Histórico!F182</f>
        <v>1.0560083232183111</v>
      </c>
      <c r="C182" s="60">
        <f>Histórico!F182/Histórico!J182</f>
        <v>1.0691509084167594</v>
      </c>
      <c r="D182" s="61">
        <f>Histórico!F182/Histórico!N182</f>
        <v>0.96924369747899164</v>
      </c>
      <c r="E182" s="61">
        <f>Histórico!F182/Histórico!R182</f>
        <v>1.0106905012267788</v>
      </c>
      <c r="F182" s="61">
        <f>Histórico!R182/Histórico!J182</f>
        <v>1.0578420467185763</v>
      </c>
      <c r="G182" s="61">
        <f>Histórico!N182/Histórico!R182</f>
        <v>1.0427620049071153</v>
      </c>
      <c r="H182" s="61">
        <f>Histórico!N182/Histórico!J182</f>
        <v>1.1030774935113088</v>
      </c>
      <c r="I182" s="61">
        <f>Histórico!B182/Histórico!R182</f>
        <v>1.0672975814931651</v>
      </c>
      <c r="J182" s="61">
        <f>Histórico!C182/Histórico!G182</f>
        <v>1.0613668061366806</v>
      </c>
      <c r="K182" s="61">
        <f>Histórico!B182/Histórico!N182</f>
        <v>1.0235294117647058</v>
      </c>
      <c r="L182" s="61">
        <f>Histórico!B182/Histórico!J182</f>
        <v>1.1290322580645162</v>
      </c>
      <c r="M182" s="61">
        <f>+Histórico!N182/Histórico!F182</f>
        <v>1.0317322698109936</v>
      </c>
      <c r="N182" s="61">
        <f>Histórico!F182/Histórico!AD182</f>
        <v>1.0336051617528452</v>
      </c>
      <c r="O182" s="61">
        <f>Histórico!G182/Histórico!AE182</f>
        <v>1.0367264314632736</v>
      </c>
      <c r="P182" s="61">
        <f>Histórico!F182/Histórico!AD182</f>
        <v>1.0336051617528452</v>
      </c>
    </row>
    <row r="183" spans="1:16" x14ac:dyDescent="0.25">
      <c r="A183" s="59">
        <f>+Histórico!A183</f>
        <v>44354</v>
      </c>
      <c r="B183" s="61">
        <f>Histórico!B183/Histórico!F183</f>
        <v>1.0494880546075085</v>
      </c>
      <c r="C183" s="60">
        <f>Histórico!F183/Histórico!J183</f>
        <v>1.0892193308550187</v>
      </c>
      <c r="D183" s="61">
        <f>Histórico!F183/Histórico!N183</f>
        <v>0.97342192691029905</v>
      </c>
      <c r="E183" s="61">
        <f>Histórico!F183/Histórico!R183</f>
        <v>1.0278898438870374</v>
      </c>
      <c r="F183" s="61">
        <f>Histórico!R183/Histórico!J183</f>
        <v>1.0596654275092936</v>
      </c>
      <c r="G183" s="61">
        <f>Histórico!N183/Histórico!R183</f>
        <v>1.0559550955972636</v>
      </c>
      <c r="H183" s="61">
        <f>Histórico!N183/Histórico!J183</f>
        <v>1.1189591078066914</v>
      </c>
      <c r="I183" s="61">
        <f>Histórico!B183/Histórico!R183</f>
        <v>1.0787581126118224</v>
      </c>
      <c r="J183" s="61">
        <f>Histórico!C183/Histórico!G183</f>
        <v>1.0457534246575344</v>
      </c>
      <c r="K183" s="61">
        <f>Histórico!B183/Histórico!N183</f>
        <v>1.021594684385382</v>
      </c>
      <c r="L183" s="61">
        <f>Histórico!B183/Histórico!J183</f>
        <v>1.1431226765799256</v>
      </c>
      <c r="M183" s="61">
        <f>+Histórico!N183/Histórico!F183</f>
        <v>1.0273037542662116</v>
      </c>
      <c r="N183" s="61">
        <f>Histórico!F183/Histórico!AD183</f>
        <v>1.043633125556545</v>
      </c>
      <c r="O183" s="61">
        <f>Histórico!G183/Histórico!AE183</f>
        <v>1.0458452722063039</v>
      </c>
      <c r="P183" s="61">
        <f>Histórico!F183/Histórico!AD183</f>
        <v>1.043633125556545</v>
      </c>
    </row>
    <row r="184" spans="1:16" x14ac:dyDescent="0.25">
      <c r="A184" s="59">
        <f>+Histórico!A184</f>
        <v>44355</v>
      </c>
      <c r="B184" s="61">
        <f>Histórico!B184/Histórico!F184</f>
        <v>1.0452785726308702</v>
      </c>
      <c r="C184" s="60">
        <f>Histórico!F184/Histórico!J184</f>
        <v>1.0981515711645102</v>
      </c>
      <c r="D184" s="61">
        <f>Histórico!F184/Histórico!N184</f>
        <v>0.98475053870379581</v>
      </c>
      <c r="E184" s="61">
        <f>Histórico!F184/Histórico!R184</f>
        <v>1.0332173913043479</v>
      </c>
      <c r="F184" s="61">
        <f>Histórico!R184/Histórico!J184</f>
        <v>1.0628465804066543</v>
      </c>
      <c r="G184" s="61">
        <f>Histórico!N184/Histórico!R184</f>
        <v>1.0492173913043479</v>
      </c>
      <c r="H184" s="61">
        <f>Histórico!N184/Histórico!J184</f>
        <v>1.1151571164510166</v>
      </c>
      <c r="I184" s="61">
        <f>Histórico!B184/Histórico!R184</f>
        <v>1.08</v>
      </c>
      <c r="J184" s="61">
        <f>Histórico!C184/Histórico!G184</f>
        <v>1.0467314964883845</v>
      </c>
      <c r="K184" s="61">
        <f>Histórico!B184/Histórico!N184</f>
        <v>1.0293386374937843</v>
      </c>
      <c r="L184" s="61">
        <f>Histórico!B184/Histórico!J184</f>
        <v>1.1478743068391868</v>
      </c>
      <c r="M184" s="61">
        <f>+Histórico!N184/Histórico!F184</f>
        <v>1.0154856084834203</v>
      </c>
      <c r="N184" s="61">
        <f>Histórico!F184/Histórico!AD184</f>
        <v>1.0477954144620811</v>
      </c>
      <c r="O184" s="61">
        <f>Histórico!G184/Histórico!AE184</f>
        <v>1.0487252124645894</v>
      </c>
      <c r="P184" s="61">
        <f>Histórico!F184/Histórico!AD184</f>
        <v>1.0477954144620811</v>
      </c>
    </row>
    <row r="185" spans="1:16" x14ac:dyDescent="0.25">
      <c r="A185" s="59">
        <f>+Histórico!A185</f>
        <v>44356</v>
      </c>
      <c r="B185" s="61">
        <f>Histórico!B185/Histórico!F185</f>
        <v>1.0525615435795077</v>
      </c>
      <c r="C185" s="60">
        <f>Histórico!F185/Histórico!J185</f>
        <v>1.0891304347826087</v>
      </c>
      <c r="D185" s="61">
        <f>Histórico!F185/Histórico!N185</f>
        <v>0.9888157894736842</v>
      </c>
      <c r="E185" s="61">
        <f>Histórico!F185/Histórico!R185</f>
        <v>1.0278680116259189</v>
      </c>
      <c r="F185" s="61">
        <f>Histórico!R185/Histórico!J185</f>
        <v>1.0596014492753623</v>
      </c>
      <c r="G185" s="61">
        <f>Histórico!N185/Histórico!R185</f>
        <v>1.039493930586425</v>
      </c>
      <c r="H185" s="61">
        <f>Histórico!N185/Histórico!J185</f>
        <v>1.1014492753623188</v>
      </c>
      <c r="I185" s="61">
        <f>Histórico!B185/Histórico!R185</f>
        <v>1.0818943409129766</v>
      </c>
      <c r="J185" s="61">
        <f>Histórico!C185/Histórico!G185</f>
        <v>1.0438247011952191</v>
      </c>
      <c r="K185" s="61">
        <f>Histórico!B185/Histórico!N185</f>
        <v>1.0407894736842105</v>
      </c>
      <c r="L185" s="61">
        <f>Histórico!B185/Histórico!J185</f>
        <v>1.1463768115942028</v>
      </c>
      <c r="M185" s="61">
        <f>+Histórico!N185/Histórico!F185</f>
        <v>1.0113107119095144</v>
      </c>
      <c r="N185" s="61">
        <f>Histórico!F185/Histórico!AD185</f>
        <v>1.0464751958224543</v>
      </c>
      <c r="O185" s="61">
        <f>Histórico!G185/Histórico!AE185</f>
        <v>1.0458333333333334</v>
      </c>
      <c r="P185" s="61">
        <f>Histórico!F185/Histórico!AD185</f>
        <v>1.0464751958224543</v>
      </c>
    </row>
    <row r="186" spans="1:16" x14ac:dyDescent="0.25">
      <c r="A186" s="59">
        <f>+Histórico!A186</f>
        <v>44357</v>
      </c>
      <c r="B186" s="61">
        <f>Histórico!B186/Histórico!F186</f>
        <v>1.0413907284768211</v>
      </c>
      <c r="C186" s="60">
        <f>Histórico!F186/Histórico!J186</f>
        <v>1.0863309352517985</v>
      </c>
      <c r="D186" s="61">
        <f>Histórico!F186/Histórico!N186</f>
        <v>0.99358447113012005</v>
      </c>
      <c r="E186" s="61">
        <f>Histórico!F186/Histórico!R186</f>
        <v>1.0237288135593221</v>
      </c>
      <c r="F186" s="61">
        <f>Histórico!R186/Histórico!J186</f>
        <v>1.0611510791366907</v>
      </c>
      <c r="G186" s="61">
        <f>Histórico!N186/Histórico!R186</f>
        <v>1.0303389830508474</v>
      </c>
      <c r="H186" s="61">
        <f>Histórico!N186/Histórico!J186</f>
        <v>1.0933453237410071</v>
      </c>
      <c r="I186" s="61">
        <f>Histórico!B186/Histórico!R186</f>
        <v>1.0661016949152542</v>
      </c>
      <c r="J186" s="61">
        <f>Histórico!C186/Histórico!G186</f>
        <v>1.0402949697129313</v>
      </c>
      <c r="K186" s="61">
        <f>Histórico!B186/Histórico!N186</f>
        <v>1.0347096561934528</v>
      </c>
      <c r="L186" s="61">
        <f>Histórico!B186/Histórico!J186</f>
        <v>1.1312949640287771</v>
      </c>
      <c r="M186" s="61">
        <f>+Histórico!N186/Histórico!F186</f>
        <v>1.0064569536423842</v>
      </c>
      <c r="N186" s="61">
        <f>Histórico!F186/Histórico!AD186</f>
        <v>1.0541012216404886</v>
      </c>
      <c r="O186" s="61">
        <f>Histórico!G186/Histórico!AE186</f>
        <v>1.0547222222222221</v>
      </c>
      <c r="P186" s="61">
        <f>Histórico!F186/Histórico!AD186</f>
        <v>1.0541012216404886</v>
      </c>
    </row>
    <row r="187" spans="1:16" x14ac:dyDescent="0.25">
      <c r="A187" s="59">
        <f>+Histórico!A187</f>
        <v>44358</v>
      </c>
      <c r="B187" s="61">
        <f>Histórico!B187/Histórico!F187</f>
        <v>1.046242774566474</v>
      </c>
      <c r="C187" s="60">
        <f>Histórico!F187/Histórico!J187</f>
        <v>1.0940464359924111</v>
      </c>
      <c r="D187" s="61">
        <f>Histórico!F187/Histórico!N187</f>
        <v>0.9893790849673203</v>
      </c>
      <c r="E187" s="61">
        <f>Histórico!F187/Histórico!R187</f>
        <v>1.0125418060200668</v>
      </c>
      <c r="F187" s="61">
        <f>Histórico!R187/Histórico!J187</f>
        <v>1.080495076339326</v>
      </c>
      <c r="G187" s="61">
        <f>Histórico!N187/Histórico!R187</f>
        <v>1.0234113712374582</v>
      </c>
      <c r="H187" s="61">
        <f>Histórico!N187/Histórico!J187</f>
        <v>1.1057909476917518</v>
      </c>
      <c r="I187" s="61">
        <f>Histórico!B187/Histórico!R187</f>
        <v>1.0593645484949832</v>
      </c>
      <c r="J187" s="61">
        <f>Histórico!C187/Histórico!G187</f>
        <v>1.04177545691906</v>
      </c>
      <c r="K187" s="61">
        <f>Histórico!B187/Histórico!N187</f>
        <v>1.0351307189542485</v>
      </c>
      <c r="L187" s="61">
        <f>Histórico!B187/Histórico!J187</f>
        <v>1.1446381786972626</v>
      </c>
      <c r="M187" s="61">
        <f>+Histórico!N187/Histórico!F187</f>
        <v>1.0107349298100743</v>
      </c>
      <c r="N187" s="61">
        <f>Histórico!F187/Histórico!AD187</f>
        <v>1.0613496932515338</v>
      </c>
      <c r="O187" s="61">
        <f>Histórico!G187/Histórico!AE187</f>
        <v>1.0612357993904127</v>
      </c>
      <c r="P187" s="61">
        <f>Histórico!F187/Histórico!AD187</f>
        <v>1.0613496932515338</v>
      </c>
    </row>
    <row r="188" spans="1:16" x14ac:dyDescent="0.25">
      <c r="A188" s="59">
        <f>+Histórico!A188</f>
        <v>44361</v>
      </c>
      <c r="B188" s="61">
        <f>Histórico!B188/Histórico!F188</f>
        <v>1.0414083808579222</v>
      </c>
      <c r="C188" s="60">
        <f>Histórico!F188/Histórico!J188</f>
        <v>1.0939421338155515</v>
      </c>
      <c r="D188" s="61">
        <f>Histórico!F188/Histórico!N188</f>
        <v>0.99498355263157889</v>
      </c>
      <c r="E188" s="61">
        <f>Histórico!F188/Histórico!R188</f>
        <v>1.0153575025176234</v>
      </c>
      <c r="F188" s="61">
        <f>Histórico!R188/Histórico!J188</f>
        <v>1.0773960216998191</v>
      </c>
      <c r="G188" s="61">
        <f>Histórico!N188/Histórico!R188</f>
        <v>1.0204766700234977</v>
      </c>
      <c r="H188" s="61">
        <f>Histórico!N188/Histórico!J188</f>
        <v>1.0994575045207957</v>
      </c>
      <c r="I188" s="61">
        <f>Histórico!B188/Histórico!R188</f>
        <v>1.0574018126888218</v>
      </c>
      <c r="J188" s="61">
        <f>Histórico!C188/Histórico!G188</f>
        <v>1.0404699738903396</v>
      </c>
      <c r="K188" s="61">
        <f>Histórico!B188/Histórico!N188</f>
        <v>1.0361842105263157</v>
      </c>
      <c r="L188" s="61">
        <f>Histórico!B188/Histórico!J188</f>
        <v>1.139240506329114</v>
      </c>
      <c r="M188" s="61">
        <f>+Histórico!N188/Histórico!F188</f>
        <v>1.005041738986693</v>
      </c>
      <c r="N188" s="61">
        <f>Histórico!F188/Histórico!AD188</f>
        <v>1.0650528169014084</v>
      </c>
      <c r="O188" s="61">
        <f>Histórico!G188/Histórico!AE188</f>
        <v>1.064184495693248</v>
      </c>
      <c r="P188" s="61">
        <f>Histórico!F188/Histórico!AD188</f>
        <v>1.0650528169014084</v>
      </c>
    </row>
    <row r="189" spans="1:16" x14ac:dyDescent="0.25">
      <c r="A189" s="59"/>
      <c r="B189" s="61"/>
      <c r="C189" s="60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</row>
    <row r="190" spans="1:16" x14ac:dyDescent="0.25">
      <c r="A190" s="59"/>
      <c r="B190" s="61"/>
      <c r="C190" s="60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</row>
    <row r="191" spans="1:16" x14ac:dyDescent="0.25">
      <c r="A191" s="59"/>
      <c r="B191" s="61"/>
      <c r="C191" s="60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</row>
    <row r="192" spans="1:16" x14ac:dyDescent="0.25">
      <c r="A192" s="59"/>
      <c r="B192" s="61"/>
      <c r="C192" s="60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</row>
    <row r="193" spans="1:16" x14ac:dyDescent="0.25">
      <c r="A193" s="59"/>
      <c r="B193" s="61"/>
      <c r="C193" s="60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</row>
    <row r="194" spans="1:16" x14ac:dyDescent="0.25">
      <c r="A194" s="59"/>
      <c r="B194" s="61"/>
      <c r="C194" s="60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</row>
    <row r="195" spans="1:16" x14ac:dyDescent="0.25">
      <c r="A195" s="59"/>
      <c r="B195" s="61"/>
      <c r="C195" s="60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</row>
    <row r="196" spans="1:16" x14ac:dyDescent="0.25">
      <c r="A196" s="59"/>
      <c r="B196" s="61"/>
      <c r="C196" s="60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</row>
    <row r="197" spans="1:16" x14ac:dyDescent="0.25">
      <c r="A197" s="59"/>
      <c r="B197" s="61"/>
      <c r="C197" s="60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</row>
    <row r="198" spans="1:16" x14ac:dyDescent="0.25">
      <c r="A198" s="59"/>
      <c r="B198" s="61"/>
      <c r="C198" s="60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</row>
    <row r="199" spans="1:16" x14ac:dyDescent="0.25">
      <c r="A199" s="59"/>
      <c r="B199" s="61"/>
      <c r="C199" s="60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</row>
    <row r="200" spans="1:16" x14ac:dyDescent="0.25">
      <c r="A200" s="59"/>
      <c r="B200" s="61"/>
      <c r="C200" s="60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</row>
    <row r="201" spans="1:16" x14ac:dyDescent="0.25">
      <c r="A201" s="59"/>
      <c r="B201" s="61"/>
      <c r="C201" s="60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</row>
    <row r="202" spans="1:16" x14ac:dyDescent="0.25">
      <c r="A202" s="59"/>
      <c r="B202" s="61"/>
      <c r="C202" s="60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</row>
    <row r="203" spans="1:16" x14ac:dyDescent="0.25">
      <c r="A203" s="59"/>
      <c r="B203" s="61"/>
      <c r="C203" s="60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</row>
    <row r="207" spans="1:16" x14ac:dyDescent="0.25">
      <c r="A207" s="58"/>
    </row>
    <row r="208" spans="1:16" x14ac:dyDescent="0.25">
      <c r="A208" s="58"/>
    </row>
  </sheetData>
  <pageMargins left="0.7" right="0.7" top="0.75" bottom="0.75" header="0.3" footer="0.3"/>
  <pageSetup orientation="portrait" r:id="rId1"/>
  <ignoredErrors>
    <ignoredError sqref="O15:O121 O122:O127 O9:O14 O128:O139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91"/>
  <sheetViews>
    <sheetView showGridLines="0" zoomScale="80" zoomScaleNormal="80" workbookViewId="0">
      <selection activeCell="A192" sqref="A192:XFD193"/>
    </sheetView>
  </sheetViews>
  <sheetFormatPr baseColWidth="10" defaultRowHeight="15" x14ac:dyDescent="0.25"/>
  <cols>
    <col min="7" max="7" width="14.140625" customWidth="1"/>
  </cols>
  <sheetData>
    <row r="2" spans="1:7" x14ac:dyDescent="0.25">
      <c r="B2" s="152" t="s">
        <v>150</v>
      </c>
      <c r="C2" s="152" t="s">
        <v>149</v>
      </c>
      <c r="D2" s="152" t="s">
        <v>151</v>
      </c>
      <c r="E2" s="152" t="s">
        <v>153</v>
      </c>
      <c r="F2" s="152" t="s">
        <v>152</v>
      </c>
      <c r="G2" s="152" t="s">
        <v>169</v>
      </c>
    </row>
    <row r="3" spans="1:7" x14ac:dyDescent="0.25">
      <c r="A3" s="59">
        <f>+Histórico!A4</f>
        <v>44082</v>
      </c>
      <c r="B3" s="151">
        <f>+Histórico!V4/Histórico!B4</f>
        <v>1.0114473890544142</v>
      </c>
      <c r="C3" s="151">
        <f>Histórico!Z4/Histórico!F4</f>
        <v>1.0007911392405062</v>
      </c>
      <c r="D3" s="151">
        <f>Histórico!AD4/Histórico!J4</f>
        <v>1.0034090909090909</v>
      </c>
      <c r="E3" s="151">
        <f>Histórico!AH4/Histórico!N4</f>
        <v>0</v>
      </c>
      <c r="F3" s="151">
        <f>Histórico!AL4/Histórico!R4</f>
        <v>1.0869565217391304</v>
      </c>
      <c r="G3" s="151"/>
    </row>
    <row r="4" spans="1:7" x14ac:dyDescent="0.25">
      <c r="A4" s="59">
        <f>+Histórico!A5</f>
        <v>44083</v>
      </c>
      <c r="B4" s="151">
        <f>+Histórico!V5/Histórico!B5</f>
        <v>1.0175222871195819</v>
      </c>
      <c r="C4" s="151">
        <f>Histórico!Z5/Histórico!F5</f>
        <v>1.0004704406460718</v>
      </c>
      <c r="D4" s="151">
        <f>Histórico!AD5/Histórico!J5</f>
        <v>0.99911816578483248</v>
      </c>
      <c r="E4" s="151">
        <f>Histórico!AH5/Histórico!N5</f>
        <v>1.0017571884984025</v>
      </c>
      <c r="F4" s="151">
        <f>Histórico!AL5/Histórico!R5</f>
        <v>0.99732142857142858</v>
      </c>
      <c r="G4" s="151"/>
    </row>
    <row r="5" spans="1:7" x14ac:dyDescent="0.25">
      <c r="A5" s="59">
        <f>+Histórico!A6</f>
        <v>44084</v>
      </c>
      <c r="B5" s="151">
        <f>+Histórico!V6/Histórico!B6</f>
        <v>1.0166171202073329</v>
      </c>
      <c r="C5" s="151">
        <f>Histórico!Z6/Histórico!F6</f>
        <v>1.0007794232268121</v>
      </c>
      <c r="D5" s="151">
        <f>Histórico!AD6/Histórico!J6</f>
        <v>0.99911331796417802</v>
      </c>
      <c r="E5" s="151">
        <f>Histórico!AH6/Histórico!N6</f>
        <v>1.0239234449760766</v>
      </c>
      <c r="F5" s="151">
        <f>Histórico!AL6/Histórico!R6</f>
        <v>1.0061030335666845</v>
      </c>
      <c r="G5" s="151"/>
    </row>
    <row r="6" spans="1:7" x14ac:dyDescent="0.25">
      <c r="A6" s="59">
        <f>+Histórico!A7</f>
        <v>44085</v>
      </c>
      <c r="B6" s="151">
        <f>+Histórico!V7/Histórico!B7</f>
        <v>1.031880486677961</v>
      </c>
      <c r="C6" s="151">
        <f>Histórico!Z7/Histórico!F7</f>
        <v>1.0045305421027964</v>
      </c>
      <c r="D6" s="151">
        <f>Histórico!AD7/Histórico!J7</f>
        <v>1.0035906642728905</v>
      </c>
      <c r="E6" s="151">
        <f>Histórico!AH7/Histórico!N7</f>
        <v>1.0315024232633279</v>
      </c>
      <c r="F6" s="151">
        <f>Histórico!AL7/Histórico!R7</f>
        <v>1.0181488203266789</v>
      </c>
      <c r="G6" s="151"/>
    </row>
    <row r="7" spans="1:7" x14ac:dyDescent="0.25">
      <c r="A7" s="59">
        <f>+Histórico!A8</f>
        <v>44088</v>
      </c>
      <c r="B7" s="151">
        <f>+Histórico!V8/Histórico!B8</f>
        <v>1.0505443234836702</v>
      </c>
      <c r="C7" s="151">
        <f>Histórico!Z8/Histórico!F8</f>
        <v>0.99827882960413084</v>
      </c>
      <c r="D7" s="151">
        <f>Histórico!AD8/Histórico!J8</f>
        <v>1.0081521739130435</v>
      </c>
      <c r="E7" s="151">
        <f>Histórico!AH8/Histórico!N8</f>
        <v>1.0596783410890684</v>
      </c>
      <c r="F7" s="151">
        <f>Histórico!AL8/Histórico!R8</f>
        <v>1.0506445672191529</v>
      </c>
      <c r="G7" s="151"/>
    </row>
    <row r="8" spans="1:7" x14ac:dyDescent="0.25">
      <c r="A8" s="59">
        <f>+Histórico!A9</f>
        <v>44089</v>
      </c>
      <c r="B8" s="151">
        <f>+Histórico!V9/Histórico!B9</f>
        <v>1.05616</v>
      </c>
      <c r="C8" s="151">
        <f>Histórico!Z9/Histórico!F9</f>
        <v>1.004009623095429</v>
      </c>
      <c r="D8" s="151">
        <f>Histórico!AD9/Histórico!J9</f>
        <v>1.0250506538957451</v>
      </c>
      <c r="E8" s="151">
        <f>Histórico!AH9/Histórico!N9</f>
        <v>1.0737815126050421</v>
      </c>
      <c r="F8" s="151">
        <f>Histórico!AL9/Histórico!R9</f>
        <v>1.0693310817149826</v>
      </c>
      <c r="G8" s="151">
        <f>Histórico!AA9/Histórico!G9</f>
        <v>0.97885669537979647</v>
      </c>
    </row>
    <row r="9" spans="1:7" x14ac:dyDescent="0.25">
      <c r="A9" s="59">
        <f>+Histórico!A10</f>
        <v>44090</v>
      </c>
      <c r="B9" s="151">
        <f>+Histórico!V10/Histórico!B10</f>
        <v>1.0454323400097705</v>
      </c>
      <c r="C9" s="151">
        <f>Histórico!Z10/Histórico!F10</f>
        <v>1</v>
      </c>
      <c r="D9" s="151">
        <f>Histórico!AD10/Histórico!J10</f>
        <v>1.0299625468164795</v>
      </c>
      <c r="E9" s="151">
        <f>Histórico!AH10/Histórico!N10</f>
        <v>1.0671256454388984</v>
      </c>
      <c r="F9" s="151">
        <f>Histórico!AL10/Histórico!R10</f>
        <v>1.0558589633036313</v>
      </c>
      <c r="G9" s="151">
        <f>Histórico!AA10/Histórico!G10</f>
        <v>1.0029190992493744</v>
      </c>
    </row>
    <row r="10" spans="1:7" x14ac:dyDescent="0.25">
      <c r="A10" s="59">
        <f>+Histórico!A11</f>
        <v>44091</v>
      </c>
      <c r="B10" s="151">
        <f>+Histórico!V11/Histórico!B11</f>
        <v>1.0313531353135315</v>
      </c>
      <c r="C10" s="151">
        <f>Histórico!Z11/Histórico!F11</f>
        <v>1.0025316455696203</v>
      </c>
      <c r="D10" s="151">
        <f>Histórico!AD11/Histórico!J11</f>
        <v>0.99980772928283024</v>
      </c>
      <c r="E10" s="151">
        <f>Histórico!AH11/Histórico!N11</f>
        <v>1.0607142857142857</v>
      </c>
      <c r="F10" s="151">
        <f>Histórico!AL11/Histórico!R11</f>
        <v>1.0536779324055665</v>
      </c>
      <c r="G10" s="151">
        <f>Histórico!AA11/Histórico!G11</f>
        <v>0.98614072494669514</v>
      </c>
    </row>
    <row r="11" spans="1:7" x14ac:dyDescent="0.25">
      <c r="A11" s="59">
        <f>+Histórico!A12</f>
        <v>44092</v>
      </c>
      <c r="B11" s="151">
        <f>+Histórico!V12/Histórico!B12</f>
        <v>1.0265700483091786</v>
      </c>
      <c r="C11" s="151">
        <f>Histórico!Z12/Histórico!F12</f>
        <v>1.0063829787234042</v>
      </c>
      <c r="D11" s="151">
        <f>Histórico!AD12/Histórico!J12</f>
        <v>1.0093632958801497</v>
      </c>
      <c r="E11" s="151">
        <f>Histórico!AH12/Histórico!N12</f>
        <v>1.0617928633594429</v>
      </c>
      <c r="F11" s="151">
        <f>Histórico!AL12/Histórico!R12</f>
        <v>1.0469667318982387</v>
      </c>
      <c r="G11" s="151">
        <f>Histórico!AA12/Histórico!G12</f>
        <v>0.99554140127388535</v>
      </c>
    </row>
    <row r="12" spans="1:7" x14ac:dyDescent="0.25">
      <c r="A12" s="59">
        <f>+Histórico!A13</f>
        <v>44095</v>
      </c>
      <c r="B12" s="151">
        <f>+Histórico!V13/Histórico!B13</f>
        <v>1.0128410914927768</v>
      </c>
      <c r="C12" s="151">
        <f>Histórico!Z13/Histórico!F13</f>
        <v>1.0056282072504552</v>
      </c>
      <c r="D12" s="151">
        <f>Histórico!AD13/Histórico!J13</f>
        <v>1.0065851364063969</v>
      </c>
      <c r="E12" s="151">
        <f>Histórico!AH13/Histórico!N13</f>
        <v>1.0603448275862069</v>
      </c>
      <c r="F12" s="151">
        <f>Histórico!AL13/Histórico!R13</f>
        <v>1.0220125786163523</v>
      </c>
      <c r="G12" s="151">
        <f>Histórico!AA13/Histórico!G13</f>
        <v>0.99197745013009542</v>
      </c>
    </row>
    <row r="13" spans="1:7" x14ac:dyDescent="0.25">
      <c r="A13" s="59">
        <f>+Histórico!A14</f>
        <v>44096</v>
      </c>
      <c r="B13" s="151">
        <f>+Histórico!V14/Histórico!B14</f>
        <v>1.0159744408945688</v>
      </c>
      <c r="C13" s="151">
        <f>Histórico!Z14/Histórico!F14</f>
        <v>1</v>
      </c>
      <c r="D13" s="151">
        <f>Histórico!AD14/Histórico!J14</f>
        <v>1.0235849056603774</v>
      </c>
      <c r="E13" s="151">
        <f>Histórico!AH14/Histórico!N14</f>
        <v>1.0874458874458874</v>
      </c>
      <c r="F13" s="151">
        <f>Histórico!AL14/Histórico!R14</f>
        <v>1.0498031496062992</v>
      </c>
      <c r="G13" s="151">
        <f>Histórico!AA14/Histórico!G14</f>
        <v>0.99867812293456704</v>
      </c>
    </row>
    <row r="14" spans="1:7" x14ac:dyDescent="0.25">
      <c r="A14" s="59">
        <f>+Histórico!A15</f>
        <v>44097</v>
      </c>
      <c r="B14" s="151">
        <f>+Histórico!V15/Histórico!B15</f>
        <v>1.0215221459762944</v>
      </c>
      <c r="C14" s="151">
        <f>Histórico!Z15/Histórico!F15</f>
        <v>0.99601275917065391</v>
      </c>
      <c r="D14" s="151">
        <f>Histórico!AD15/Histórico!J15</f>
        <v>1.0164784299203851</v>
      </c>
      <c r="E14" s="151">
        <f>Histórico!AH15/Histórico!N15</f>
        <v>1.0725229826353422</v>
      </c>
      <c r="F14" s="151">
        <f>Histórico!AL15/Histórico!R15</f>
        <v>1.0377358490566038</v>
      </c>
      <c r="G14" s="151">
        <f>Histórico!AA15/Histórico!G15</f>
        <v>0.99462943071965626</v>
      </c>
    </row>
    <row r="15" spans="1:7" x14ac:dyDescent="0.25">
      <c r="A15" s="59">
        <f>+Histórico!A16</f>
        <v>44098</v>
      </c>
      <c r="B15" s="151">
        <f>+Histórico!V16/Histórico!B16</f>
        <v>1.0241935483870968</v>
      </c>
      <c r="C15" s="151">
        <f>Histórico!Z16/Histórico!F16</f>
        <v>0.99925249169435215</v>
      </c>
      <c r="D15" s="151">
        <f>Histórico!AD16/Histórico!J16</f>
        <v>1.0311926605504587</v>
      </c>
      <c r="E15" s="151">
        <f>Histórico!AH16/Histórico!N16</f>
        <v>1.0529077393965893</v>
      </c>
      <c r="F15" s="151">
        <f>Histórico!AL16/Histórico!R16</f>
        <v>1.0503802281368821</v>
      </c>
      <c r="G15" s="151">
        <f>Histórico!AA16/Histórico!G16</f>
        <v>0.99347826086956526</v>
      </c>
    </row>
    <row r="16" spans="1:7" x14ac:dyDescent="0.25">
      <c r="A16" s="59">
        <f>+Histórico!A17</f>
        <v>44099</v>
      </c>
      <c r="B16" s="151">
        <f>+Histórico!V17/Histórico!B17</f>
        <v>1.032826261008807</v>
      </c>
      <c r="C16" s="151">
        <f>Histórico!Z17/Histórico!F17</f>
        <v>0.99754701553556824</v>
      </c>
      <c r="D16" s="151">
        <f>Histórico!AD17/Histórico!J17</f>
        <v>1.0126582278481013</v>
      </c>
      <c r="E16" s="151">
        <f>Histórico!AH17/Histórico!N17</f>
        <v>1.0747096550528688</v>
      </c>
      <c r="F16" s="151">
        <f>Histórico!AL17/Histórico!R17</f>
        <v>1.0605774674466881</v>
      </c>
      <c r="G16" s="151">
        <f>Histórico!AA17/Histórico!G17</f>
        <v>1.0019911504424779</v>
      </c>
    </row>
    <row r="17" spans="1:7" x14ac:dyDescent="0.25">
      <c r="A17" s="59">
        <f>+Histórico!A18</f>
        <v>44102</v>
      </c>
      <c r="B17" s="151">
        <f>+Histórico!V18/Histórico!B18</f>
        <v>1.04661487236404</v>
      </c>
      <c r="C17" s="151">
        <f>Histórico!Z18/Histórico!F18</f>
        <v>0.99837793998377944</v>
      </c>
      <c r="D17" s="151">
        <f>Histórico!AD18/Histórico!J18</f>
        <v>1.0107047279214987</v>
      </c>
      <c r="E17" s="151">
        <f>Histórico!AH18/Histórico!N18</f>
        <v>1.0604683077450896</v>
      </c>
      <c r="F17" s="151">
        <f>Histórico!AL18/Histórico!R18</f>
        <v>1.0698198198198199</v>
      </c>
      <c r="G17" s="151">
        <f>Histórico!AA18/Histórico!G18</f>
        <v>0.99888641425389757</v>
      </c>
    </row>
    <row r="18" spans="1:7" x14ac:dyDescent="0.25">
      <c r="A18" s="59">
        <f>+Histórico!A19</f>
        <v>44103</v>
      </c>
      <c r="B18" s="151">
        <f>+Histórico!V19/Histórico!B19</f>
        <v>1.0449402891263357</v>
      </c>
      <c r="C18" s="151">
        <f>Histórico!Z19/Histórico!F19</f>
        <v>0.99983870967741939</v>
      </c>
      <c r="D18" s="151">
        <f>Histórico!AD19/Histórico!J19</f>
        <v>1.0261496844003606</v>
      </c>
      <c r="E18" s="151">
        <f>Histórico!AH19/Histórico!N19</f>
        <v>1.0852514919011083</v>
      </c>
      <c r="F18" s="151">
        <f>Histórico!AL19/Histórico!R19</f>
        <v>1.0756457564575646</v>
      </c>
      <c r="G18" s="151">
        <f>Histórico!AA19/Histórico!G19</f>
        <v>0.99552272218491156</v>
      </c>
    </row>
    <row r="19" spans="1:7" x14ac:dyDescent="0.25">
      <c r="A19" s="59">
        <f>+Histórico!A20</f>
        <v>44104</v>
      </c>
      <c r="B19" s="151">
        <f>+Histórico!V20/Histórico!B20</f>
        <v>1.0422184140831905</v>
      </c>
      <c r="C19" s="151">
        <f>Histórico!Z20/Histórico!F20</f>
        <v>1.0046849757673668</v>
      </c>
      <c r="D19" s="151">
        <f>Histórico!AD20/Histórico!J20</f>
        <v>1.0107142857142857</v>
      </c>
      <c r="E19" s="151">
        <f>Histórico!AH20/Histórico!N20</f>
        <v>1.0777027027027026</v>
      </c>
      <c r="F19" s="151">
        <f>Histórico!AL20/Histórico!R20</f>
        <v>1.0709023941068141</v>
      </c>
      <c r="G19" s="151">
        <f>Histórico!AA20/Histórico!G20</f>
        <v>1.0024663677130046</v>
      </c>
    </row>
    <row r="20" spans="1:7" x14ac:dyDescent="0.25">
      <c r="A20" s="59">
        <f>+Histórico!A21</f>
        <v>44105</v>
      </c>
      <c r="B20" s="151">
        <f>+Histórico!V21/Histórico!B21</f>
        <v>1.0532081377151801</v>
      </c>
      <c r="C20" s="151">
        <f>Histórico!Z21/Histórico!F21</f>
        <v>0.99927594529364439</v>
      </c>
      <c r="D20" s="151">
        <f>Histórico!AD21/Histórico!J21</f>
        <v>1.00340440781222</v>
      </c>
      <c r="E20" s="151">
        <f>Histórico!AH21/Histórico!N21</f>
        <v>1.0703236056526466</v>
      </c>
      <c r="F20" s="151">
        <f>Histórico!AL21/Histórico!R21</f>
        <v>1.0568325791855204</v>
      </c>
      <c r="G20" s="151">
        <f>Histórico!AA21/Histórico!G21</f>
        <v>0.99328859060402674</v>
      </c>
    </row>
    <row r="21" spans="1:7" x14ac:dyDescent="0.25">
      <c r="A21" s="59">
        <f>+Histórico!A22</f>
        <v>44106</v>
      </c>
      <c r="B21" s="151">
        <f>+Histórico!V22/Histórico!B22</f>
        <v>1.0611482806908354</v>
      </c>
      <c r="C21" s="151">
        <f>Histórico!Z22/Histórico!F22</f>
        <v>1.0049019607843137</v>
      </c>
      <c r="D21" s="151">
        <f>Histórico!AD22/Histórico!J22</f>
        <v>1.0063006300630064</v>
      </c>
      <c r="E21" s="151">
        <f>Histórico!AH22/Histórico!N22</f>
        <v>1.0553431942828653</v>
      </c>
      <c r="F21" s="151">
        <f>Histórico!AL22/Histórico!R22</f>
        <v>1.0609712230215826</v>
      </c>
      <c r="G21" s="151">
        <f>Histórico!AA22/Histórico!G22</f>
        <v>0.99300225733634317</v>
      </c>
    </row>
    <row r="22" spans="1:7" x14ac:dyDescent="0.25">
      <c r="A22" s="59">
        <f>+Histórico!A23</f>
        <v>44109</v>
      </c>
      <c r="B22" s="151">
        <f>+Histórico!V23/Histórico!B23</f>
        <v>1.0631415241057542</v>
      </c>
      <c r="C22" s="151">
        <f>Histórico!Z23/Histórico!F23</f>
        <v>0.99424092145256759</v>
      </c>
      <c r="D22" s="151">
        <f>Histórico!AD23/Histórico!J23</f>
        <v>1.0044444444444445</v>
      </c>
      <c r="E22" s="151">
        <f>Histórico!AH23/Histórico!N23</f>
        <v>1.0535117056856187</v>
      </c>
      <c r="F22" s="151">
        <f>Histórico!AL23/Histórico!R23</f>
        <v>1.0527253295333097</v>
      </c>
      <c r="G22" s="151">
        <f>Histórico!AA23/Histórico!G23</f>
        <v>0.97860360360360366</v>
      </c>
    </row>
    <row r="23" spans="1:7" x14ac:dyDescent="0.25">
      <c r="A23" s="59">
        <f>+Histórico!A24</f>
        <v>44110</v>
      </c>
      <c r="B23" s="151">
        <f>+Histórico!V24/Histórico!B24</f>
        <v>1.0517268323175497</v>
      </c>
      <c r="C23" s="151">
        <f>Histórico!Z24/Histórico!F24</f>
        <v>0.99020866773675764</v>
      </c>
      <c r="D23" s="151">
        <f>Histórico!AD24/Histórico!J24</f>
        <v>1.0019681517266059</v>
      </c>
      <c r="E23" s="151">
        <f>Histórico!AH24/Histórico!N24</f>
        <v>1.0626072041166381</v>
      </c>
      <c r="F23" s="151">
        <f>Histórico!AL24/Histórico!R24</f>
        <v>1.0526785714285714</v>
      </c>
      <c r="G23" s="151">
        <f>Histórico!AA24/Histórico!G24</f>
        <v>0.98987626546681662</v>
      </c>
    </row>
    <row r="24" spans="1:7" x14ac:dyDescent="0.25">
      <c r="A24" s="59">
        <f>+Histórico!A25</f>
        <v>44111</v>
      </c>
      <c r="B24" s="151">
        <f>+Histórico!V25/Histórico!B25</f>
        <v>1.053375196232339</v>
      </c>
      <c r="C24" s="151">
        <f>Histórico!Z25/Histórico!F25</f>
        <v>0.99823321554770317</v>
      </c>
      <c r="D24" s="151">
        <f>Histórico!AD25/Histórico!J25</f>
        <v>1.0180799132164167</v>
      </c>
      <c r="E24" s="151">
        <f>Histórico!AH25/Histórico!N25</f>
        <v>1.0632933104631217</v>
      </c>
      <c r="F24" s="151">
        <f>Histórico!AL25/Histórico!R25</f>
        <v>1.0314239540312444</v>
      </c>
      <c r="G24" s="151">
        <f>Histórico!AA25/Histórico!G25</f>
        <v>0.99330357142857151</v>
      </c>
    </row>
    <row r="25" spans="1:7" x14ac:dyDescent="0.25">
      <c r="A25" s="59">
        <f>+Histórico!A26</f>
        <v>44112</v>
      </c>
      <c r="B25" s="151">
        <f>+Histórico!V26/Histórico!B26</f>
        <v>1.0532659409020217</v>
      </c>
      <c r="C25" s="151">
        <f>Histórico!Z26/Histórico!F26</f>
        <v>1.0001587301587302</v>
      </c>
      <c r="D25" s="151">
        <f>Histórico!AD26/Histórico!J26</f>
        <v>1.0142095914742451</v>
      </c>
      <c r="E25" s="151">
        <f>Histórico!AH26/Histórico!N26</f>
        <v>1.0696686491079015</v>
      </c>
      <c r="F25" s="151">
        <f>Histórico!AL26/Histórico!R26</f>
        <v>1.0342342342342343</v>
      </c>
      <c r="G25" s="151">
        <f>Histórico!AA26/Histórico!G26</f>
        <v>1.0022371364653242</v>
      </c>
    </row>
    <row r="26" spans="1:7" x14ac:dyDescent="0.25">
      <c r="A26" s="59">
        <f>+Histórico!A27</f>
        <v>44113</v>
      </c>
      <c r="B26" s="151">
        <f>+Histórico!V27/Histórico!B27</f>
        <v>1.0716463414634145</v>
      </c>
      <c r="C26" s="151">
        <f>Histórico!Z27/Histórico!F27</f>
        <v>1.0101325019485581</v>
      </c>
      <c r="D26" s="151">
        <f>Histórico!AD27/Histórico!J27</f>
        <v>1.0259515570934257</v>
      </c>
      <c r="E26" s="151">
        <f>Histórico!AH27/Histórico!N27</f>
        <v>1.084717607973422</v>
      </c>
      <c r="F26" s="151">
        <f>Histórico!AL27/Histórico!R27</f>
        <v>1.0453028972783143</v>
      </c>
      <c r="G26" s="151">
        <f>Histórico!AA27/Histórico!G27</f>
        <v>1.0064833445115136</v>
      </c>
    </row>
    <row r="27" spans="1:7" x14ac:dyDescent="0.25">
      <c r="A27" s="59">
        <f>+Histórico!A28</f>
        <v>44117</v>
      </c>
      <c r="B27" s="151">
        <f>+Histórico!V28/Histórico!B28</f>
        <v>1.0712121212121213</v>
      </c>
      <c r="C27" s="151">
        <f>Histórico!Z28/Histórico!F28</f>
        <v>1.0161141094834232</v>
      </c>
      <c r="D27" s="151">
        <f>Histórico!AD28/Histórico!J28</f>
        <v>1.0328068043742407</v>
      </c>
      <c r="E27" s="151">
        <f>Histórico!AH28/Histórico!N28</f>
        <v>1.0898598516075846</v>
      </c>
      <c r="F27" s="151">
        <f>Histórico!AL28/Histórico!R28</f>
        <v>1.0365640307907629</v>
      </c>
      <c r="G27" s="151">
        <f>Histórico!AA28/Histórico!G28</f>
        <v>1.0060348681269558</v>
      </c>
    </row>
    <row r="28" spans="1:7" x14ac:dyDescent="0.25">
      <c r="A28" s="59">
        <f>+Histórico!A29</f>
        <v>44118</v>
      </c>
      <c r="B28" s="151">
        <f>+Histórico!V29/Histórico!B29</f>
        <v>1.0820895522388059</v>
      </c>
      <c r="C28" s="151">
        <f>Histórico!Z29/Histórico!F29</f>
        <v>1.0089820359281436</v>
      </c>
      <c r="D28" s="151">
        <f>Histórico!AD29/Histórico!J29</f>
        <v>1.030664395229983</v>
      </c>
      <c r="E28" s="151">
        <f>Histórico!AH29/Histórico!N29</f>
        <v>1.0839445802770986</v>
      </c>
      <c r="F28" s="151">
        <f>Histórico!AL29/Histórico!R29</f>
        <v>1.0396475770925111</v>
      </c>
      <c r="G28" s="151">
        <f>Histórico!AA29/Histórico!G29</f>
        <v>1.0236220472440944</v>
      </c>
    </row>
    <row r="29" spans="1:7" x14ac:dyDescent="0.25">
      <c r="A29" s="59">
        <f>+Histórico!A30</f>
        <v>44119</v>
      </c>
      <c r="B29" s="151">
        <f>+Histórico!V30/Histórico!B30</f>
        <v>1.0427153746584208</v>
      </c>
      <c r="C29" s="151">
        <f>Histórico!Z30/Histórico!F30</f>
        <v>1.0061768766804737</v>
      </c>
      <c r="D29" s="151">
        <f>Histórico!AD30/Histórico!J30</f>
        <v>1.0442176870748299</v>
      </c>
      <c r="E29" s="151">
        <f>Histórico!AH30/Histórico!N30</f>
        <v>1.0923694779116466</v>
      </c>
      <c r="F29" s="151">
        <f>Histórico!AL30/Histórico!R30</f>
        <v>1.0714285714285714</v>
      </c>
      <c r="G29" s="151">
        <f>Histórico!AA30/Histórico!G30</f>
        <v>1.0022522522522523</v>
      </c>
    </row>
    <row r="30" spans="1:7" x14ac:dyDescent="0.25">
      <c r="A30" s="59">
        <f>+Histórico!A31</f>
        <v>44120</v>
      </c>
      <c r="B30" s="151">
        <f>+Histórico!V31/Histórico!B31</f>
        <v>1.0638297872340425</v>
      </c>
      <c r="C30" s="151">
        <f>Histórico!Z31/Histórico!F31</f>
        <v>1.0245535714285714</v>
      </c>
      <c r="D30" s="151">
        <f>Histórico!AD31/Histórico!J31</f>
        <v>1.0233270900732163</v>
      </c>
      <c r="E30" s="151">
        <f>Histórico!AH31/Histórico!N31</f>
        <v>1.1484823625922889</v>
      </c>
      <c r="F30" s="151">
        <f>Histórico!AL31/Histórico!R31</f>
        <v>1.1054921152800434</v>
      </c>
      <c r="G30" s="151">
        <f>Histórico!AA31/Histórico!G31</f>
        <v>1.002489250961756</v>
      </c>
    </row>
    <row r="31" spans="1:7" x14ac:dyDescent="0.25">
      <c r="A31" s="59">
        <f>+Histórico!A32</f>
        <v>44123</v>
      </c>
      <c r="B31" s="151">
        <f>+Histórico!V32/Histórico!B32</f>
        <v>1.0353460972017674</v>
      </c>
      <c r="C31" s="151">
        <f>Histórico!Z32/Histórico!F32</f>
        <v>1.0218045112781955</v>
      </c>
      <c r="D31" s="151">
        <f>Histórico!AD32/Histórico!J32</f>
        <v>1.0526315789473684</v>
      </c>
      <c r="E31" s="151">
        <f>Histórico!AH32/Histórico!N32</f>
        <v>1.1091058244462675</v>
      </c>
      <c r="F31" s="151">
        <f>Histórico!AL32/Histórico!R32</f>
        <v>1.0872265480163144</v>
      </c>
      <c r="G31" s="151">
        <f>Histórico!AA32/Histórico!G32</f>
        <v>1.0103806228373702</v>
      </c>
    </row>
    <row r="32" spans="1:7" x14ac:dyDescent="0.25">
      <c r="A32" s="59">
        <f>+Histórico!A33</f>
        <v>44124</v>
      </c>
      <c r="B32" s="151">
        <f>+Histórico!V33/Histórico!B33</f>
        <v>1.0641791044776119</v>
      </c>
      <c r="C32" s="151">
        <f>Histórico!Z33/Histórico!F33</f>
        <v>1.0049556990539119</v>
      </c>
      <c r="D32" s="151">
        <f>Histórico!AD33/Histórico!J33</f>
        <v>1.0481189851268591</v>
      </c>
      <c r="E32" s="151">
        <f>Histórico!AH33/Histórico!N33</f>
        <v>1.1441127694859039</v>
      </c>
      <c r="F32" s="151">
        <f>Histórico!AL33/Histórico!R33</f>
        <v>1.0994475138121547</v>
      </c>
      <c r="G32" s="151">
        <f>Histórico!AA33/Histórico!G33</f>
        <v>1.0077332044465925</v>
      </c>
    </row>
    <row r="33" spans="1:7" x14ac:dyDescent="0.25">
      <c r="A33" s="59">
        <f>+Histórico!A34</f>
        <v>44125</v>
      </c>
      <c r="B33" s="151">
        <f>+Histórico!V34/Histórico!B34</f>
        <v>1.0821496558793382</v>
      </c>
      <c r="C33" s="151">
        <f>Histórico!Z34/Histórico!F34</f>
        <v>1.0358504958047292</v>
      </c>
      <c r="D33" s="151">
        <f>Histórico!AD34/Histórico!J34</f>
        <v>1.043630017452007</v>
      </c>
      <c r="E33" s="151">
        <f>Histórico!AH34/Histórico!N34</f>
        <v>1.1805213969503197</v>
      </c>
      <c r="F33" s="151">
        <f>Histórico!AL34/Histórico!R34</f>
        <v>1.1009092529862721</v>
      </c>
      <c r="G33" s="151">
        <f>Histórico!AA34/Histórico!G34</f>
        <v>1.0062034739454093</v>
      </c>
    </row>
    <row r="34" spans="1:7" x14ac:dyDescent="0.25">
      <c r="A34" s="59">
        <f>+Histórico!A35</f>
        <v>44126</v>
      </c>
      <c r="B34" s="151">
        <f>+Histórico!V35/Histórico!B35</f>
        <v>1.1095258682807321</v>
      </c>
      <c r="C34" s="151">
        <f>Histórico!Z35/Histórico!F35</f>
        <v>1.0435779816513762</v>
      </c>
      <c r="D34" s="151">
        <f>Histórico!AD35/Histórico!J35</f>
        <v>1.0723958333333334</v>
      </c>
      <c r="E34" s="151">
        <f>Histórico!AH35/Histórico!N35</f>
        <v>1.1887194622069193</v>
      </c>
      <c r="F34" s="151">
        <f>Histórico!AL35/Histórico!R35</f>
        <v>1.1130899376669634</v>
      </c>
      <c r="G34" s="151">
        <f>Histórico!AA35/Histórico!G35</f>
        <v>1.0349127182044888</v>
      </c>
    </row>
    <row r="35" spans="1:7" x14ac:dyDescent="0.25">
      <c r="A35" s="59">
        <f>+Histórico!A36</f>
        <v>44127</v>
      </c>
      <c r="B35" s="151">
        <f>+Histórico!V36/Histórico!B36</f>
        <v>1.130051432770022</v>
      </c>
      <c r="C35" s="151">
        <f>Histórico!Z36/Histórico!F36</f>
        <v>1.0770465489566614</v>
      </c>
      <c r="D35" s="151">
        <f>Histórico!AD36/Histórico!J36</f>
        <v>1.0672566371681416</v>
      </c>
      <c r="E35" s="151">
        <f>Histórico!AH36/Histórico!N36</f>
        <v>1.2125317527519051</v>
      </c>
      <c r="F35" s="151">
        <f>Histórico!AL36/Histórico!R36</f>
        <v>1.1355311355311355</v>
      </c>
      <c r="G35" s="151">
        <f>Histórico!AA36/Histórico!G36</f>
        <v>1.0585305105853051</v>
      </c>
    </row>
    <row r="36" spans="1:7" x14ac:dyDescent="0.25">
      <c r="A36" s="59">
        <f>+Histórico!A37</f>
        <v>44130</v>
      </c>
      <c r="B36" s="151">
        <f>+Histórico!V37/Histórico!B37</f>
        <v>1.1565758754863813</v>
      </c>
      <c r="C36" s="151">
        <f>Histórico!Z37/Histórico!F37</f>
        <v>1.0740432612312811</v>
      </c>
      <c r="D36" s="151">
        <f>Histórico!AD37/Histórico!J37</f>
        <v>1.036697247706422</v>
      </c>
      <c r="E36" s="151">
        <f>Histórico!AH37/Histórico!N37</f>
        <v>1.251109139307897</v>
      </c>
      <c r="F36" s="151">
        <f>Histórico!AL37/Histórico!R37</f>
        <v>1.1494252873563218</v>
      </c>
      <c r="G36" s="151">
        <f>Histórico!AA37/Histórico!G37</f>
        <v>1.0593774522626211</v>
      </c>
    </row>
    <row r="37" spans="1:7" x14ac:dyDescent="0.25">
      <c r="A37" s="59">
        <f>+Histórico!A38</f>
        <v>44131</v>
      </c>
      <c r="B37" s="151">
        <f>+Histórico!V38/Histórico!B38</f>
        <v>1.0643869377695625</v>
      </c>
      <c r="C37" s="151">
        <f>Histórico!Z38/Histórico!F38</f>
        <v>1.0429999999999999</v>
      </c>
      <c r="D37" s="151">
        <f>Histórico!AD38/Histórico!J38</f>
        <v>1.0566037735849056</v>
      </c>
      <c r="E37" s="151">
        <f>Histórico!AH38/Histórico!N38</f>
        <v>1.1772151898734178</v>
      </c>
      <c r="F37" s="151">
        <f>Histórico!AL38/Histórico!R38</f>
        <v>1.1274509803921569</v>
      </c>
      <c r="G37" s="151">
        <f>Histórico!AA38/Histórico!G38</f>
        <v>1.0326364099949006</v>
      </c>
    </row>
    <row r="38" spans="1:7" x14ac:dyDescent="0.25">
      <c r="A38" s="59">
        <f>+Histórico!A39</f>
        <v>44132</v>
      </c>
      <c r="B38" s="151">
        <f>+Histórico!V39/Histórico!B39</f>
        <v>1.0894941634241244</v>
      </c>
      <c r="C38" s="151">
        <f>Histórico!Z39/Histórico!F39</f>
        <v>1.0765124555160142</v>
      </c>
      <c r="D38" s="151">
        <f>Histórico!AD39/Histórico!J39</f>
        <v>1.0249999999999999</v>
      </c>
      <c r="E38" s="151">
        <f>Histórico!AH39/Histórico!N39</f>
        <v>1.1528301886792454</v>
      </c>
      <c r="F38" s="151">
        <f>Histórico!AL39/Histórico!R39</f>
        <v>1.11088504577823</v>
      </c>
      <c r="G38" s="151">
        <f>Histórico!AA39/Histórico!G39</f>
        <v>1.0438144329896908</v>
      </c>
    </row>
    <row r="39" spans="1:7" x14ac:dyDescent="0.25">
      <c r="A39" s="59">
        <f>+Histórico!A40</f>
        <v>44133</v>
      </c>
      <c r="B39" s="151">
        <f>+Histórico!V40/Histórico!B40</f>
        <v>1.0656370656370657</v>
      </c>
      <c r="C39" s="151">
        <f>Histórico!Z40/Histórico!F40</f>
        <v>1.0222222222222221</v>
      </c>
      <c r="D39" s="151">
        <f>Histórico!AD40/Histórico!J40</f>
        <v>1.0194174757281553</v>
      </c>
      <c r="E39" s="151">
        <f>Histórico!AH40/Histórico!N40</f>
        <v>1.2202097235462346</v>
      </c>
      <c r="F39" s="151">
        <f>Histórico!AL40/Histórico!R40</f>
        <v>1.1081740544936967</v>
      </c>
      <c r="G39" s="151">
        <f>Histórico!AA40/Histórico!G40</f>
        <v>1.0216830149716054</v>
      </c>
    </row>
    <row r="40" spans="1:7" x14ac:dyDescent="0.25">
      <c r="A40" s="59">
        <f>+Histórico!A41</f>
        <v>44134</v>
      </c>
      <c r="B40" s="151">
        <f>+Histórico!V41/Histórico!B41</f>
        <v>1.0436817472698907</v>
      </c>
      <c r="C40" s="151">
        <f>Histórico!Z41/Histórico!F41</f>
        <v>1.0623853211009173</v>
      </c>
      <c r="D40" s="151">
        <f>Histórico!AD41/Histórico!J41</f>
        <v>1.0135431189006174</v>
      </c>
      <c r="E40" s="151">
        <f>Histórico!AH41/Histórico!N41</f>
        <v>1.1769245610650203</v>
      </c>
      <c r="F40" s="151">
        <f>Histórico!AL41/Histórico!R41</f>
        <v>1.0748243075651096</v>
      </c>
      <c r="G40" s="151">
        <f>Histórico!AA41/Histórico!G41</f>
        <v>1.0473061760841</v>
      </c>
    </row>
    <row r="41" spans="1:7" x14ac:dyDescent="0.25">
      <c r="A41" s="59">
        <f>+Histórico!A42</f>
        <v>44137</v>
      </c>
      <c r="B41" s="151">
        <f>+Histórico!V42/Histórico!B42</f>
        <v>1.0523303352412101</v>
      </c>
      <c r="C41" s="151">
        <f>Histórico!Z42/Histórico!F42</f>
        <v>1.0605947955390334</v>
      </c>
      <c r="D41" s="151">
        <f>Histórico!AD42/Histórico!J42</f>
        <v>1.0251256281407035</v>
      </c>
      <c r="E41" s="151">
        <f>Histórico!AH42/Histórico!N42</f>
        <v>1.1187126613991134</v>
      </c>
      <c r="F41" s="151">
        <f>Histórico!AL42/Histórico!R42</f>
        <v>1.1076280041797284</v>
      </c>
      <c r="G41" s="151">
        <f>Histórico!AA42/Histórico!G42</f>
        <v>1.0473602484472049</v>
      </c>
    </row>
    <row r="42" spans="1:7" x14ac:dyDescent="0.25">
      <c r="A42" s="59">
        <f>+Histórico!A43</f>
        <v>44138</v>
      </c>
      <c r="B42" s="151">
        <f>+Histórico!V43/Histórico!B43</f>
        <v>1.018539147040102</v>
      </c>
      <c r="C42" s="151">
        <f>Histórico!Z43/Histórico!F43</f>
        <v>1.0808550185873607</v>
      </c>
      <c r="D42" s="151">
        <f>Histórico!AD43/Histórico!J43</f>
        <v>1.0358061325420376</v>
      </c>
      <c r="E42" s="151">
        <f>Histórico!AH43/Histórico!N43</f>
        <v>1.1079545454545454</v>
      </c>
      <c r="F42" s="151">
        <f>Histórico!AL43/Histórico!R43</f>
        <v>1.0927835051546391</v>
      </c>
      <c r="G42" s="151">
        <f>Histórico!AA43/Histórico!G43</f>
        <v>1.0721730067743616</v>
      </c>
    </row>
    <row r="43" spans="1:7" x14ac:dyDescent="0.25">
      <c r="A43" s="59">
        <f>+Histórico!A44</f>
        <v>44139</v>
      </c>
      <c r="B43" s="151">
        <f>+Histórico!V44/Histórico!B44</f>
        <v>1.00390625</v>
      </c>
      <c r="C43" s="151">
        <f>Histórico!Z44/Histórico!F44</f>
        <v>1.0987884436160298</v>
      </c>
      <c r="D43" s="151">
        <f>Histórico!AD44/Histórico!J44</f>
        <v>1.0361681329423265</v>
      </c>
      <c r="E43" s="151">
        <f>Histórico!AH44/Histórico!N44</f>
        <v>1.1603773584905661</v>
      </c>
      <c r="F43" s="151">
        <f>Histórico!AL44/Histórico!R44</f>
        <v>1.0974358974358975</v>
      </c>
      <c r="G43" s="151">
        <f>Histórico!AA44/Histórico!G44</f>
        <v>1.0659025787965617</v>
      </c>
    </row>
    <row r="44" spans="1:7" x14ac:dyDescent="0.25">
      <c r="A44" s="59">
        <f>+Histórico!A45</f>
        <v>44140</v>
      </c>
      <c r="B44" s="151">
        <f>+Histórico!V45/Histórico!B45</f>
        <v>1.068111455108359</v>
      </c>
      <c r="C44" s="151">
        <f>Histórico!Z45/Histórico!F45</f>
        <v>1.0927643784786643</v>
      </c>
      <c r="D44" s="151">
        <f>Histórico!AD45/Histórico!J45</f>
        <v>1.0434782608695652</v>
      </c>
      <c r="E44" s="151">
        <f>Histórico!AH45/Histórico!N45</f>
        <v>1.162136832239925</v>
      </c>
      <c r="F44" s="151">
        <f>Histórico!AL45/Histórico!R45</f>
        <v>1.142570281124498</v>
      </c>
      <c r="G44" s="151">
        <f>Histórico!AA45/Histórico!G45</f>
        <v>1.070018425901553</v>
      </c>
    </row>
    <row r="45" spans="1:7" x14ac:dyDescent="0.25">
      <c r="A45" s="59">
        <f>+Histórico!A46</f>
        <v>44141</v>
      </c>
      <c r="B45" s="151">
        <f>+Histórico!V46/Histórico!B46</f>
        <v>1.0128768844221105</v>
      </c>
      <c r="C45" s="151">
        <f>Histórico!Z46/Histórico!F46</f>
        <v>1.0873605947955389</v>
      </c>
      <c r="D45" s="151">
        <f>Histórico!AD46/Histórico!J46</f>
        <v>1.0495145631067961</v>
      </c>
      <c r="E45" s="151">
        <f>Histórico!AH46/Histórico!N46</f>
        <v>1.0622779128483262</v>
      </c>
      <c r="F45" s="151">
        <f>Histórico!AL46/Histórico!R46</f>
        <v>1.1364545818327332</v>
      </c>
      <c r="G45" s="151">
        <f>Histórico!AA46/Histórico!G46</f>
        <v>1.0657894736842106</v>
      </c>
    </row>
    <row r="46" spans="1:7" x14ac:dyDescent="0.25">
      <c r="A46" s="59">
        <f>+Histórico!A47</f>
        <v>44144</v>
      </c>
      <c r="B46" s="151">
        <f>+Histórico!V47/Histórico!B47</f>
        <v>1.0342092987093765</v>
      </c>
      <c r="C46" s="151">
        <f>Histórico!Z47/Histórico!F47</f>
        <v>1.098255280073462</v>
      </c>
      <c r="D46" s="151">
        <f>Histórico!AD47/Histórico!J47</f>
        <v>1.0037383177570094</v>
      </c>
      <c r="E46" s="151">
        <f>Histórico!AH47/Histórico!N47</f>
        <v>1.1433067950379558</v>
      </c>
      <c r="F46" s="151">
        <f>Histórico!AL47/Histórico!R47</f>
        <v>1.1187624750499001</v>
      </c>
      <c r="G46" s="151">
        <f>Histórico!AA47/Histórico!G47</f>
        <v>1.0857887874837027</v>
      </c>
    </row>
    <row r="47" spans="1:7" x14ac:dyDescent="0.25">
      <c r="A47" s="59">
        <f>+Histórico!A48</f>
        <v>44145</v>
      </c>
      <c r="B47" s="151">
        <f>+Histórico!V48/Histórico!B48</f>
        <v>1.0409329263520388</v>
      </c>
      <c r="C47" s="151">
        <f>Histórico!Z48/Histórico!F48</f>
        <v>1.1009022279506537</v>
      </c>
      <c r="D47" s="151">
        <f>Histórico!AD48/Histórico!J48</f>
        <v>1.0418560606060605</v>
      </c>
      <c r="E47" s="151">
        <f>Histórico!AH48/Histórico!N48</f>
        <v>1.0909090909090908</v>
      </c>
      <c r="F47" s="151">
        <f>Histórico!AL48/Histórico!R48</f>
        <v>1.1222664015904573</v>
      </c>
      <c r="G47" s="151">
        <f>Histórico!AA48/Histórico!G48</f>
        <v>1.0807291666666667</v>
      </c>
    </row>
    <row r="48" spans="1:7" x14ac:dyDescent="0.25">
      <c r="A48" s="59">
        <f>+Histórico!A49</f>
        <v>44146</v>
      </c>
      <c r="B48" s="151">
        <f>+Histórico!V49/Histórico!B49</f>
        <v>1.0505529225908372</v>
      </c>
      <c r="C48" s="151">
        <f>Histórico!Z49/Histórico!F49</f>
        <v>1.0499561787905347</v>
      </c>
      <c r="D48" s="151">
        <f>Histórico!AD49/Histórico!J49</f>
        <v>1.0619803476946335</v>
      </c>
      <c r="E48" s="151">
        <f>Histórico!AH49/Histórico!N49</f>
        <v>1.0878734622144113</v>
      </c>
      <c r="F48" s="151">
        <f>Histórico!AL49/Histórico!R49</f>
        <v>1.0991176470588235</v>
      </c>
      <c r="G48" s="151">
        <f>Histórico!AA49/Histórico!G49</f>
        <v>1.068877551020408</v>
      </c>
    </row>
    <row r="49" spans="1:7" x14ac:dyDescent="0.25">
      <c r="A49" s="59">
        <f>+Histórico!A50</f>
        <v>44147</v>
      </c>
      <c r="B49" s="151">
        <f>+Histórico!V50/Histórico!B50</f>
        <v>1.0564516129032258</v>
      </c>
      <c r="C49" s="151">
        <f>Histórico!Z50/Histórico!F50</f>
        <v>1.0689346463742166</v>
      </c>
      <c r="D49" s="151">
        <f>Histórico!AD50/Histórico!J50</f>
        <v>1.0468240260986375</v>
      </c>
      <c r="E49" s="151">
        <f>Histórico!AH50/Histórico!N50</f>
        <v>1.1043165467625899</v>
      </c>
      <c r="F49" s="151">
        <f>Histórico!AL50/Histórico!R50</f>
        <v>1.1089303238469088</v>
      </c>
      <c r="G49" s="151">
        <f>Histórico!AA50/Histórico!G50</f>
        <v>1.0704332404357741</v>
      </c>
    </row>
    <row r="50" spans="1:7" x14ac:dyDescent="0.25">
      <c r="A50" s="59">
        <f>+Histórico!A51</f>
        <v>44148</v>
      </c>
      <c r="B50" s="151">
        <f>+Histórico!V51/Histórico!B51</f>
        <v>1.0424831478288132</v>
      </c>
      <c r="C50" s="151">
        <f>Histórico!Z51/Histórico!F51</f>
        <v>1.0736468500443657</v>
      </c>
      <c r="D50" s="151">
        <f>Histórico!AD51/Histórico!J51</f>
        <v>1.065049192855096</v>
      </c>
      <c r="E50" s="151">
        <f>Histórico!AH51/Histórico!N51</f>
        <v>1.101047771266205</v>
      </c>
      <c r="F50" s="151">
        <f>Histórico!AL51/Histórico!R51</f>
        <v>1.1060311284046693</v>
      </c>
      <c r="G50" s="151">
        <f>Histórico!AA51/Histórico!G51</f>
        <v>1.0651629072681705</v>
      </c>
    </row>
    <row r="51" spans="1:7" x14ac:dyDescent="0.25">
      <c r="A51" s="59">
        <f>+Histórico!A52</f>
        <v>44151</v>
      </c>
      <c r="B51" s="151">
        <f>+Histórico!V52/Histórico!B52</f>
        <v>1.0359094457455114</v>
      </c>
      <c r="C51" s="151">
        <f>Histórico!Z52/Histórico!F52</f>
        <v>1.0739130434782609</v>
      </c>
      <c r="D51" s="151">
        <f>Histórico!AD52/Histórico!J52</f>
        <v>1.0469246588147316</v>
      </c>
      <c r="E51" s="151">
        <f>Histórico!AH52/Histórico!N52</f>
        <v>1.0882867132867133</v>
      </c>
      <c r="F51" s="151">
        <f>Histórico!AL52/Histórico!R52</f>
        <v>1.1148648648648649</v>
      </c>
      <c r="G51" s="151">
        <f>Histórico!AA52/Histórico!G52</f>
        <v>1.0640834575260807</v>
      </c>
    </row>
    <row r="52" spans="1:7" x14ac:dyDescent="0.25">
      <c r="A52" s="59">
        <f>+Histórico!A53</f>
        <v>44152</v>
      </c>
      <c r="B52" s="151">
        <f>+Histórico!V53/Histórico!B53</f>
        <v>1.0395765858282644</v>
      </c>
      <c r="C52" s="151">
        <f>Histórico!Z53/Histórico!F53</f>
        <v>1.0483592400690847</v>
      </c>
      <c r="D52" s="151">
        <f>Histórico!AD53/Histórico!J53</f>
        <v>1.0341643582640812</v>
      </c>
      <c r="E52" s="151">
        <f>Histórico!AH53/Histórico!N53</f>
        <v>1.0909408273695236</v>
      </c>
      <c r="F52" s="151">
        <f>Histórico!AL53/Histórico!R53</f>
        <v>1.1225580717270871</v>
      </c>
      <c r="G52" s="151">
        <f>Histórico!AA53/Histórico!G53</f>
        <v>1.0375808860129416</v>
      </c>
    </row>
    <row r="53" spans="1:7" x14ac:dyDescent="0.25">
      <c r="A53" s="59">
        <f>+Histórico!A54</f>
        <v>44153</v>
      </c>
      <c r="B53" s="151">
        <f>+Histórico!V54/Histórico!B54</f>
        <v>1.0322177040975915</v>
      </c>
      <c r="C53" s="151">
        <f>Histórico!Z54/Histórico!F54</f>
        <v>1.0508620689655173</v>
      </c>
      <c r="D53" s="151">
        <f>Histórico!AD54/Histórico!J54</f>
        <v>1.0107780092382936</v>
      </c>
      <c r="E53" s="151">
        <f>Histórico!AH54/Histórico!N54</f>
        <v>1.0811418685121108</v>
      </c>
      <c r="F53" s="151">
        <f>Histórico!AL54/Histórico!R54</f>
        <v>1.0992380952380953</v>
      </c>
      <c r="G53" s="151">
        <f>Histórico!AA54/Histórico!G54</f>
        <v>1.0420231504781075</v>
      </c>
    </row>
    <row r="54" spans="1:7" x14ac:dyDescent="0.25">
      <c r="A54" s="59">
        <f>+Histórico!A55</f>
        <v>44154</v>
      </c>
      <c r="B54" s="151">
        <f>+Histórico!V55/Histórico!B55</f>
        <v>1.0413354531001591</v>
      </c>
      <c r="C54" s="151">
        <f>Histórico!Z55/Histórico!F55</f>
        <v>1.0426655127650368</v>
      </c>
      <c r="D54" s="151">
        <f>Histórico!AD55/Histórico!J55</f>
        <v>1.0128440366972478</v>
      </c>
      <c r="E54" s="151">
        <f>Histórico!AH55/Histórico!N55</f>
        <v>1.079300139275766</v>
      </c>
      <c r="F54" s="151">
        <f>Histórico!AL55/Histórico!R55</f>
        <v>1.0942889996167113</v>
      </c>
      <c r="G54" s="151">
        <f>Histórico!AA55/Histórico!G55</f>
        <v>1.0372812579254373</v>
      </c>
    </row>
    <row r="55" spans="1:7" x14ac:dyDescent="0.25">
      <c r="A55" s="59">
        <f>+Histórico!A56</f>
        <v>44155</v>
      </c>
      <c r="B55" s="151">
        <f>+Histórico!V56/Histórico!B56</f>
        <v>1.0373080900485243</v>
      </c>
      <c r="C55" s="151">
        <f>Histórico!Z56/Histórico!F56</f>
        <v>1.0476770488950757</v>
      </c>
      <c r="D55" s="151">
        <f>Histórico!AD56/Histórico!J56</f>
        <v>1.0187568959176168</v>
      </c>
      <c r="E55" s="151">
        <f>Histórico!AH56/Histórico!N56</f>
        <v>1.08506151142355</v>
      </c>
      <c r="F55" s="151">
        <f>Histórico!AL56/Histórico!R56</f>
        <v>1.0573668610765847</v>
      </c>
      <c r="G55" s="151">
        <f>Histórico!AA56/Histórico!G56</f>
        <v>1.0460947503201026</v>
      </c>
    </row>
    <row r="56" spans="1:7" x14ac:dyDescent="0.25">
      <c r="A56" s="59">
        <f>+Histórico!A57</f>
        <v>44159</v>
      </c>
      <c r="B56" s="151">
        <f>+Histórico!V57/Histórico!B57</f>
        <v>1.0506379269355735</v>
      </c>
      <c r="C56" s="151">
        <f>Histórico!Z57/Histórico!F57</f>
        <v>1.0609225413402958</v>
      </c>
      <c r="D56" s="151">
        <f>Histórico!AD57/Histórico!J57</f>
        <v>1.0359617905974903</v>
      </c>
      <c r="E56" s="151">
        <f>Histórico!AH57/Histórico!N57</f>
        <v>1.10912343470483</v>
      </c>
      <c r="F56" s="151">
        <f>Histórico!AL57/Histórico!R57</f>
        <v>1.0865384615384615</v>
      </c>
      <c r="G56" s="151">
        <f>Histórico!AA57/Histórico!G57</f>
        <v>1.0604890604890604</v>
      </c>
    </row>
    <row r="57" spans="1:7" x14ac:dyDescent="0.25">
      <c r="A57" s="59">
        <f>+Histórico!A58</f>
        <v>44160</v>
      </c>
      <c r="B57" s="151">
        <f>+Histórico!V58/Histórico!B58</f>
        <v>1.0371541501976285</v>
      </c>
      <c r="C57" s="151">
        <f>Histórico!Z58/Histórico!F58</f>
        <v>1.0391304347826087</v>
      </c>
      <c r="D57" s="151">
        <f>Histórico!AD58/Histórico!J58</f>
        <v>1.0239713099282748</v>
      </c>
      <c r="E57" s="151">
        <f>Histórico!AH58/Histórico!N58</f>
        <v>1.11323155216285</v>
      </c>
      <c r="F57" s="151">
        <f>Histórico!AL58/Histórico!R58</f>
        <v>1.0772788591250724</v>
      </c>
      <c r="G57" s="151">
        <f>Histórico!AA58/Histórico!G58</f>
        <v>1.0408163265306121</v>
      </c>
    </row>
    <row r="58" spans="1:7" x14ac:dyDescent="0.25">
      <c r="A58" s="59">
        <f>+Histórico!A59</f>
        <v>44161</v>
      </c>
      <c r="B58" s="151">
        <f>+Histórico!V59/Histórico!B59</f>
        <v>1.0405874921036007</v>
      </c>
      <c r="C58" s="151">
        <f>Histórico!Z59/Histórico!F59</f>
        <v>1.0619205877208326</v>
      </c>
      <c r="D58" s="151">
        <f>Histórico!AD59/Histórico!J59</f>
        <v>1.0486641221374047</v>
      </c>
      <c r="E58" s="151">
        <f>Histórico!AH59/Histórico!N59</f>
        <v>1.1075949367088607</v>
      </c>
      <c r="F58" s="151">
        <f>Histórico!AL59/Histórico!R59</f>
        <v>1.0848414088344036</v>
      </c>
      <c r="G58" s="151">
        <f>Histórico!AA59/Histórico!G59</f>
        <v>1.0564102564102564</v>
      </c>
    </row>
    <row r="59" spans="1:7" x14ac:dyDescent="0.25">
      <c r="A59" s="59">
        <f>+Histórico!A60</f>
        <v>44162</v>
      </c>
      <c r="B59" s="151">
        <f>+Histórico!V60/Histórico!B60</f>
        <v>1.0608</v>
      </c>
      <c r="C59" s="151">
        <f>Histórico!Z60/Histórico!F60</f>
        <v>1.0759605216778287</v>
      </c>
      <c r="D59" s="151">
        <f>Histórico!AD60/Histórico!J60</f>
        <v>1.0540744942333145</v>
      </c>
      <c r="E59" s="151">
        <f>Histórico!AH60/Histórico!N60</f>
        <v>1.1187214611872147</v>
      </c>
      <c r="F59" s="151">
        <f>Histórico!AL60/Histórico!R60</f>
        <v>1.0965168320684957</v>
      </c>
      <c r="G59" s="151">
        <f>Histórico!AA60/Histórico!G60</f>
        <v>1.0635734427069983</v>
      </c>
    </row>
    <row r="60" spans="1:7" x14ac:dyDescent="0.25">
      <c r="A60" s="59">
        <f>+Histórico!A61</f>
        <v>44165</v>
      </c>
      <c r="B60" s="151">
        <f>+Histórico!V61/Histórico!B61</f>
        <v>1.0516097718815725</v>
      </c>
      <c r="C60" s="151">
        <f>Histórico!Z61/Histórico!F61</f>
        <v>1.0661171833004839</v>
      </c>
      <c r="D60" s="151">
        <f>Histórico!AD61/Histórico!J61</f>
        <v>1.0287963140717988</v>
      </c>
      <c r="E60" s="151">
        <f>Histórico!AH61/Histórico!N61</f>
        <v>1.1404897123172888</v>
      </c>
      <c r="F60" s="151">
        <f>Histórico!AL61/Histórico!R61</f>
        <v>1.1037623762376239</v>
      </c>
      <c r="G60" s="151">
        <f>Histórico!AA61/Histórico!G61</f>
        <v>1.0541310541310542</v>
      </c>
    </row>
    <row r="61" spans="1:7" x14ac:dyDescent="0.25">
      <c r="A61" s="59">
        <f>+Histórico!A62</f>
        <v>44166</v>
      </c>
      <c r="B61" s="151">
        <f>+Histórico!V62/Histórico!B62</f>
        <v>1.0468852459016393</v>
      </c>
      <c r="C61" s="151">
        <f>Histórico!Z62/Histórico!F62</f>
        <v>1.0578304597701149</v>
      </c>
      <c r="D61" s="151">
        <f>Histórico!AD62/Histórico!J62</f>
        <v>1.0252931485609071</v>
      </c>
      <c r="E61" s="151">
        <f>Histórico!AH62/Histórico!N62</f>
        <v>1.1111111111111112</v>
      </c>
      <c r="F61" s="151">
        <f>Histórico!AL62/Histórico!R62</f>
        <v>1.0747663551401869</v>
      </c>
      <c r="G61" s="151">
        <f>Histórico!AA62/Histórico!G62</f>
        <v>1.0571725571725572</v>
      </c>
    </row>
    <row r="62" spans="1:7" x14ac:dyDescent="0.25">
      <c r="A62" s="59">
        <f>+Histórico!A63</f>
        <v>44167</v>
      </c>
      <c r="B62" s="151">
        <f>+Histórico!V63/Histórico!B63</f>
        <v>1.0506160506160507</v>
      </c>
      <c r="C62" s="151">
        <f>Histórico!Z63/Histórico!F63</f>
        <v>1.0466887713952864</v>
      </c>
      <c r="D62" s="151">
        <f>Histórico!AD63/Histórico!J63</f>
        <v>1.0263929618768328</v>
      </c>
      <c r="E62" s="151">
        <f>Histórico!AH63/Histórico!N63</f>
        <v>1.0826369545032497</v>
      </c>
      <c r="F62" s="151">
        <f>Histórico!AL63/Histórico!R63</f>
        <v>1.0760000000000001</v>
      </c>
      <c r="G62" s="151">
        <f>Histórico!AA63/Histórico!G63</f>
        <v>1.0507115135834411</v>
      </c>
    </row>
    <row r="63" spans="1:7" x14ac:dyDescent="0.25">
      <c r="A63" s="59">
        <f>+Histórico!A64</f>
        <v>44168</v>
      </c>
      <c r="B63" s="151">
        <f>+Histórico!V64/Histórico!B64</f>
        <v>1.072991452991453</v>
      </c>
      <c r="C63" s="151">
        <f>Histórico!Z64/Histórico!F64</f>
        <v>1.0449541284403669</v>
      </c>
      <c r="D63" s="151">
        <f>Histórico!AD64/Histórico!J64</f>
        <v>1.0211365902293121</v>
      </c>
      <c r="E63" s="151">
        <f>Histórico!AH64/Histórico!N64</f>
        <v>1.0854700854700854</v>
      </c>
      <c r="F63" s="151">
        <f>Histórico!AL64/Histórico!R64</f>
        <v>1.0409452026889388</v>
      </c>
      <c r="G63" s="151">
        <f>Histórico!AA64/Histórico!G64</f>
        <v>1.0384615384615385</v>
      </c>
    </row>
    <row r="64" spans="1:7" x14ac:dyDescent="0.25">
      <c r="A64" s="59">
        <f>+Histórico!A65</f>
        <v>44169</v>
      </c>
      <c r="B64" s="151">
        <f>+Histórico!V65/Histórico!B65</f>
        <v>1.0388513513513513</v>
      </c>
      <c r="C64" s="151">
        <f>Histórico!Z65/Histórico!F65</f>
        <v>1.0395768739741018</v>
      </c>
      <c r="D64" s="151">
        <f>Histórico!AD65/Histórico!J65</f>
        <v>1.0107355864811134</v>
      </c>
      <c r="E64" s="151">
        <f>Histórico!AH65/Histórico!N65</f>
        <v>1.0945558739255015</v>
      </c>
      <c r="F64" s="151">
        <f>Histórico!AL65/Histórico!R65</f>
        <v>1.0702547247329499</v>
      </c>
      <c r="G64" s="151">
        <f>Histórico!AA65/Histórico!G65</f>
        <v>1.0347150259067357</v>
      </c>
    </row>
    <row r="65" spans="1:8" x14ac:dyDescent="0.25">
      <c r="A65" s="59">
        <f>+Histórico!A66</f>
        <v>44174</v>
      </c>
      <c r="B65" s="151">
        <f>+Histórico!V66/Histórico!B66</f>
        <v>1.0302822925577417</v>
      </c>
      <c r="C65" s="151">
        <f>Histórico!Z66/Histórico!F66</f>
        <v>1.02803738317757</v>
      </c>
      <c r="D65" s="151">
        <f>Histórico!AD66/Histórico!J66</f>
        <v>1.0142857142857142</v>
      </c>
      <c r="E65" s="151">
        <f>Histórico!AH66/Histórico!N66</f>
        <v>1.0694980694980696</v>
      </c>
      <c r="F65" s="151">
        <f>Histórico!AL66/Histórico!R66</f>
        <v>1.0480349344978166</v>
      </c>
      <c r="G65" s="151">
        <f>Histórico!AA66/Histórico!G66</f>
        <v>1.0224948875255624</v>
      </c>
    </row>
    <row r="66" spans="1:8" x14ac:dyDescent="0.25">
      <c r="A66" s="59">
        <f>+Histórico!A67</f>
        <v>44175</v>
      </c>
      <c r="B66" s="151">
        <f>+Histórico!V67/Histórico!B67</f>
        <v>1.0300429184549356</v>
      </c>
      <c r="C66" s="151">
        <f>Histórico!Z67/Histórico!F67</f>
        <v>1.0240744118183476</v>
      </c>
      <c r="D66" s="151">
        <f>Histórico!AD67/Histórico!J67</f>
        <v>1.0264227642276422</v>
      </c>
      <c r="E66" s="151">
        <f>Histórico!AH67/Histórico!N67</f>
        <v>1.0852713178294573</v>
      </c>
      <c r="F66" s="151">
        <f>Histórico!AL67/Histórico!R67</f>
        <v>1.0810640971931293</v>
      </c>
      <c r="G66" s="151">
        <f>Histórico!AA67/Histórico!G67</f>
        <v>1.023443408116965</v>
      </c>
    </row>
    <row r="67" spans="1:8" x14ac:dyDescent="0.25">
      <c r="A67" s="59">
        <f>+Histórico!A68</f>
        <v>44176</v>
      </c>
      <c r="B67" s="151">
        <f>+Histórico!V68/Histórico!B68</f>
        <v>1.0441426146010186</v>
      </c>
      <c r="C67" s="151">
        <f>Histórico!Z68/Histórico!F68</f>
        <v>1.0287253141831239</v>
      </c>
      <c r="D67" s="151">
        <f>Histórico!AD68/Histórico!J68</f>
        <v>1.0455276381909548</v>
      </c>
      <c r="E67" s="151">
        <f>Histórico!AH68/Histórico!N68</f>
        <v>1.0815738963531669</v>
      </c>
      <c r="F67" s="151">
        <f>Histórico!AL68/Histórico!R68</f>
        <v>1.0688524590163935</v>
      </c>
      <c r="G67" s="151">
        <f>Histórico!AA68/Histórico!G68</f>
        <v>1.0235884567126725</v>
      </c>
    </row>
    <row r="68" spans="1:8" x14ac:dyDescent="0.25">
      <c r="A68" s="59">
        <f>+Histórico!A69</f>
        <v>44179</v>
      </c>
      <c r="B68" s="151">
        <f>+Histórico!V69/Histórico!B69</f>
        <v>1.0597269624573378</v>
      </c>
      <c r="C68" s="151">
        <f>Histórico!Z69/Histórico!F69</f>
        <v>1.0357016613644396</v>
      </c>
      <c r="D68" s="151">
        <f>Histórico!AD69/Histórico!J69</f>
        <v>1.047047047047047</v>
      </c>
      <c r="E68" s="151">
        <f>Histórico!AH69/Histórico!N69</f>
        <v>1.1238095238095238</v>
      </c>
      <c r="F68" s="151">
        <f>Histórico!AL69/Histórico!R69</f>
        <v>1.1086019297885445</v>
      </c>
      <c r="G68" s="151">
        <f>Histórico!AA69/Histórico!G69</f>
        <v>1.0290106620381849</v>
      </c>
    </row>
    <row r="69" spans="1:8" x14ac:dyDescent="0.25">
      <c r="A69" s="59">
        <f>+Histórico!A70</f>
        <v>44180</v>
      </c>
      <c r="B69" s="151">
        <f>+Histórico!V70/Histórico!B70</f>
        <v>1.0578231292517006</v>
      </c>
      <c r="C69" s="151">
        <f>Histórico!Z70/Histórico!F70</f>
        <v>1.0199048793376784</v>
      </c>
      <c r="D69" s="151">
        <f>Histórico!AD70/Histórico!J70</f>
        <v>1.042</v>
      </c>
      <c r="E69" s="151">
        <f>Histórico!AH70/Histórico!N70</f>
        <v>1.1296436694465504</v>
      </c>
      <c r="F69" s="151">
        <f>Histórico!AL70/Histórico!R70</f>
        <v>1.0913705583756346</v>
      </c>
      <c r="G69" s="151">
        <f>Histórico!AA70/Histórico!G70</f>
        <v>1.0157381963527354</v>
      </c>
    </row>
    <row r="70" spans="1:8" x14ac:dyDescent="0.25">
      <c r="A70" s="59">
        <f>+Histórico!A71</f>
        <v>44181</v>
      </c>
      <c r="B70" s="151">
        <f>+Histórico!V71/Histórico!B71</f>
        <v>1.0539845758354756</v>
      </c>
      <c r="C70" s="151">
        <f>Histórico!Z71/Histórico!F71</f>
        <v>1.026781742147878</v>
      </c>
      <c r="D70" s="151">
        <f>Histórico!AD71/Histórico!J71</f>
        <v>1.0434343434343434</v>
      </c>
      <c r="E70" s="151">
        <f>Histórico!AH71/Histórico!N71</f>
        <v>1.1022770398481974</v>
      </c>
      <c r="F70" s="151">
        <f>Histórico!AL71/Histórico!R71</f>
        <v>1.0855397148676171</v>
      </c>
      <c r="G70" s="151">
        <f>Histórico!AA71/Histórico!G71</f>
        <v>1.0256410256410255</v>
      </c>
    </row>
    <row r="71" spans="1:8" x14ac:dyDescent="0.25">
      <c r="A71" s="59">
        <f>+Histórico!A72</f>
        <v>44182</v>
      </c>
      <c r="B71" s="151">
        <f>+Histórico!V72/Histórico!B72</f>
        <v>1.0498281786941581</v>
      </c>
      <c r="C71" s="151">
        <f>Histórico!Z72/Histórico!F72</f>
        <v>1.0287038687823142</v>
      </c>
      <c r="D71" s="151">
        <f>Histórico!AD72/Histórico!J72</f>
        <v>1.0311631599841207</v>
      </c>
      <c r="E71" s="151">
        <f>Histórico!AH72/Histórico!N72</f>
        <v>1.0878504672897196</v>
      </c>
      <c r="F71" s="151">
        <f>Histórico!AL72/Histórico!R72</f>
        <v>1.0842319430315361</v>
      </c>
      <c r="G71" s="151">
        <f>Histórico!AA72/Histórico!G72</f>
        <v>1.0293674698795179</v>
      </c>
    </row>
    <row r="72" spans="1:8" x14ac:dyDescent="0.25">
      <c r="A72" s="59">
        <f>+Histórico!A73</f>
        <v>44183</v>
      </c>
      <c r="B72" s="151">
        <f>+Histórico!V73/Histórico!B73</f>
        <v>1.0840020488304594</v>
      </c>
      <c r="C72" s="151">
        <f>Histórico!Z73/Histórico!F73</f>
        <v>1.0362190812720848</v>
      </c>
      <c r="D72" s="151">
        <f>Histórico!AD73/Histórico!J73</f>
        <v>1.0227936879018118</v>
      </c>
      <c r="E72" s="151">
        <f>Histórico!AH73/Histórico!N73</f>
        <v>1.08348623853211</v>
      </c>
      <c r="F72" s="151">
        <f>Histórico!AL73/Histórico!R73</f>
        <v>1.0900000000000001</v>
      </c>
      <c r="G72" s="151">
        <f>Histórico!AA73/Histórico!G73</f>
        <v>1.0293386374937841</v>
      </c>
    </row>
    <row r="73" spans="1:8" x14ac:dyDescent="0.25">
      <c r="A73" s="59">
        <f>+Histórico!A74</f>
        <v>44186</v>
      </c>
      <c r="B73" s="151">
        <f>+Histórico!V74/Histórico!B74</f>
        <v>1.0562180579216354</v>
      </c>
      <c r="C73" s="151">
        <f>Histórico!Z74/Histórico!F74</f>
        <v>1.0176834659593281</v>
      </c>
      <c r="D73" s="151">
        <f>Histórico!AD74/Histórico!J74</f>
        <v>1.0233918128654971</v>
      </c>
      <c r="E73" s="151">
        <f>Histórico!AH74/Histórico!N74</f>
        <v>1.0987884436160298</v>
      </c>
      <c r="F73" s="151">
        <f>Histórico!AL74/Histórico!R74</f>
        <v>1.088676948051948</v>
      </c>
      <c r="G73" s="151">
        <f>Histórico!AA74/Histórico!G74</f>
        <v>1.0051559047385219</v>
      </c>
    </row>
    <row r="74" spans="1:8" x14ac:dyDescent="0.25">
      <c r="A74" s="59">
        <f>+Histórico!A75</f>
        <v>44187</v>
      </c>
      <c r="B74" s="151">
        <f>+Histórico!V75/Histórico!B75</f>
        <v>1.0404330908475723</v>
      </c>
      <c r="C74" s="151">
        <f>Histórico!Z75/Histórico!F75</f>
        <v>1.0085949833362569</v>
      </c>
      <c r="D74" s="151">
        <f>Histórico!AD75/Histórico!J75</f>
        <v>1.0301263362487851</v>
      </c>
      <c r="E74" s="151">
        <f>Histórico!AH75/Histórico!N75</f>
        <v>1.0925925925925926</v>
      </c>
      <c r="F74" s="151">
        <f>Histórico!AL75/Histórico!R75</f>
        <v>1.0733744283157685</v>
      </c>
      <c r="G74" s="151">
        <f>Histórico!AA75/Histórico!G75</f>
        <v>1.0132645541635961</v>
      </c>
    </row>
    <row r="75" spans="1:8" x14ac:dyDescent="0.25">
      <c r="A75" s="59">
        <f>+Histórico!A76</f>
        <v>44188</v>
      </c>
      <c r="B75" s="151">
        <f>+Histórico!V76/Histórico!B76</f>
        <v>1.050252100840336</v>
      </c>
      <c r="C75" s="151">
        <f>Histórico!Z76/Histórico!F76</f>
        <v>1.0270128047710927</v>
      </c>
      <c r="D75" s="151">
        <f>Histórico!AD76/Histórico!J76</f>
        <v>1.0270793036750483</v>
      </c>
      <c r="E75" s="151">
        <f>Histórico!AH76/Histórico!N76</f>
        <v>1.0916590284142988</v>
      </c>
      <c r="F75" s="151">
        <f>Histórico!AL76/Histórico!R76</f>
        <v>1.0862000000000001</v>
      </c>
      <c r="G75" s="151">
        <f>Histórico!AA76/Histórico!G76</f>
        <v>1.0167405219103889</v>
      </c>
    </row>
    <row r="76" spans="1:8" x14ac:dyDescent="0.25">
      <c r="A76" s="59">
        <f>+Histórico!A77</f>
        <v>44193</v>
      </c>
      <c r="B76" s="151">
        <f>+Histórico!V77/Histórico!B77</f>
        <v>1.0500834724540902</v>
      </c>
      <c r="C76" s="151">
        <f>Histórico!Z77/Histórico!F77</f>
        <v>1.0347537548026546</v>
      </c>
      <c r="D76" s="151">
        <f>Histórico!AD77/Histórico!J77</f>
        <v>1.0171785028790787</v>
      </c>
      <c r="E76" s="151">
        <f>Histórico!AH77/Histórico!N77</f>
        <v>1.0759493670886076</v>
      </c>
      <c r="F76" s="151">
        <f>Histórico!AL77/Histórico!R77</f>
        <v>1.0707269155206287</v>
      </c>
      <c r="G76" s="151">
        <f>Histórico!AA77/Histórico!G77</f>
        <v>1.0242053789731052</v>
      </c>
    </row>
    <row r="77" spans="1:8" x14ac:dyDescent="0.25">
      <c r="A77" s="59">
        <f>+Histórico!A78</f>
        <v>44194</v>
      </c>
      <c r="B77" s="151">
        <f>+Histórico!V78/Histórico!B78</f>
        <v>1.0573566084788031</v>
      </c>
      <c r="C77" s="151">
        <f>Histórico!Z78/Histórico!F78</f>
        <v>1.020586182833217</v>
      </c>
      <c r="D77" s="151">
        <f>Histórico!AD78/Histórico!J78</f>
        <v>1.0115052732502396</v>
      </c>
      <c r="E77" s="151">
        <f>Histórico!AH78/Histórico!N78</f>
        <v>1.0676416819012797</v>
      </c>
      <c r="F77" s="151">
        <f>Histórico!AL78/Histórico!R78</f>
        <v>1.0627262941579412</v>
      </c>
      <c r="G77" s="151">
        <f>Histórico!AA78/Histórico!G78</f>
        <v>1.0063523088199364</v>
      </c>
    </row>
    <row r="78" spans="1:8" x14ac:dyDescent="0.25">
      <c r="A78" s="59">
        <f>+Histórico!A79</f>
        <v>44195</v>
      </c>
      <c r="B78" s="151">
        <f>+Histórico!V79/Histórico!B79</f>
        <v>1.0383973288814692</v>
      </c>
      <c r="C78" s="151">
        <f>Histórico!Z79/Histórico!F79</f>
        <v>1.0296632350375152</v>
      </c>
      <c r="D78" s="151">
        <f>Histórico!AD79/Histórico!J79</f>
        <v>1.0295938104448743</v>
      </c>
      <c r="E78" s="151">
        <f>Histórico!AH79/Histórico!N79</f>
        <v>1.0953574744661096</v>
      </c>
      <c r="F78" s="151">
        <f>Histórico!AL79/Histórico!R79</f>
        <v>1.0686274509803921</v>
      </c>
      <c r="G78" s="151">
        <f>Histórico!AA79/Histórico!G79</f>
        <v>1.0158768930141673</v>
      </c>
    </row>
    <row r="79" spans="1:8" x14ac:dyDescent="0.25">
      <c r="A79" s="59">
        <f>+Histórico!A80</f>
        <v>44200</v>
      </c>
      <c r="B79" s="151">
        <f>+Histórico!V80/Histórico!B80</f>
        <v>1.0301507537688441</v>
      </c>
      <c r="C79" s="151">
        <f>Histórico!Z80/Histórico!F80</f>
        <v>1.015248657078496</v>
      </c>
      <c r="D79" s="151">
        <f>Histórico!AD80/Histórico!J80</f>
        <v>1.0158362302047121</v>
      </c>
      <c r="E79" s="151">
        <f>Histórico!AH80/Histórico!N80</f>
        <v>1.092029120776554</v>
      </c>
      <c r="F79" s="151">
        <f>Histórico!AL80/Histórico!R80</f>
        <v>1.0865191146881288</v>
      </c>
      <c r="G79" s="151">
        <f>Histórico!AA80/Histórico!G80</f>
        <v>0.998766954377312</v>
      </c>
      <c r="H79" s="61"/>
    </row>
    <row r="80" spans="1:8" x14ac:dyDescent="0.25">
      <c r="A80" s="59">
        <f>+Histórico!A81</f>
        <v>44201</v>
      </c>
      <c r="B80" s="151">
        <f>+Histórico!V81/Histórico!B81</f>
        <v>1.036096256684492</v>
      </c>
      <c r="C80" s="151">
        <f>Histórico!Z81/Histórico!F81</f>
        <v>1.0167878158532364</v>
      </c>
      <c r="D80" s="151">
        <f>Histórico!AD81/Histórico!J81</f>
        <v>1.0281280310378274</v>
      </c>
      <c r="E80" s="151">
        <f>Histórico!AH81/Histórico!N81</f>
        <v>1.087012987012987</v>
      </c>
      <c r="F80" s="151">
        <f>Histórico!AL81/Histórico!R81</f>
        <v>1.0820000000000001</v>
      </c>
      <c r="G80" s="151">
        <f>Histórico!AA81/Histórico!G81</f>
        <v>1.0004968944099379</v>
      </c>
    </row>
    <row r="81" spans="1:7" x14ac:dyDescent="0.25">
      <c r="A81" s="59">
        <f>+Histórico!A82</f>
        <v>44202</v>
      </c>
      <c r="B81" s="151">
        <f>+Histórico!V82/Histórico!B82</f>
        <v>1.0437375745526838</v>
      </c>
      <c r="C81" s="151">
        <f>Histórico!Z82/Histórico!F82</f>
        <v>1.0328151986183074</v>
      </c>
      <c r="D81" s="151">
        <f>Histórico!AD82/Histórico!J82</f>
        <v>1.0278044103547459</v>
      </c>
      <c r="E81" s="151">
        <f>Histórico!AH82/Histórico!N82</f>
        <v>1.1133640552995392</v>
      </c>
      <c r="F81" s="151">
        <f>Histórico!AL82/Histórico!R82</f>
        <v>1.0872509960159362</v>
      </c>
      <c r="G81" s="151">
        <f>Histórico!AA82/Histórico!G82</f>
        <v>1.0211970074812968</v>
      </c>
    </row>
    <row r="82" spans="1:7" x14ac:dyDescent="0.25">
      <c r="A82" s="59">
        <f>+Histórico!A83</f>
        <v>44203</v>
      </c>
      <c r="B82" s="151">
        <f>+Histórico!V83/Histórico!B83</f>
        <v>1.0499667994687916</v>
      </c>
      <c r="C82" s="151">
        <f>Histórico!Z83/Histórico!F83</f>
        <v>1.0410887656033287</v>
      </c>
      <c r="D82" s="151">
        <f>Histórico!AD83/Histórico!J83</f>
        <v>1.0448773868372589</v>
      </c>
      <c r="E82" s="151">
        <f>Histórico!AH83/Histórico!N83</f>
        <v>1.1060329067641681</v>
      </c>
      <c r="F82" s="151">
        <f>Histórico!AL83/Histórico!R83</f>
        <v>1.0898613010353584</v>
      </c>
      <c r="G82" s="151">
        <f>Histórico!AA83/Histórico!G83</f>
        <v>1.0265486725663717</v>
      </c>
    </row>
    <row r="83" spans="1:7" x14ac:dyDescent="0.25">
      <c r="A83" s="59">
        <f>+Histórico!A84</f>
        <v>44204</v>
      </c>
      <c r="B83" s="151">
        <f>+Histórico!V84/Histórico!B84</f>
        <v>1.0583333333333333</v>
      </c>
      <c r="C83" s="151">
        <f>Histórico!Z84/Histórico!F84</f>
        <v>1.0427574171029668</v>
      </c>
      <c r="D83" s="151">
        <f>Histórico!AD84/Histórico!J84</f>
        <v>1.0360534987400658</v>
      </c>
      <c r="E83" s="151">
        <f>Histórico!AH84/Histórico!N84</f>
        <v>1.1197053406998159</v>
      </c>
      <c r="F83" s="151">
        <f>Histórico!AL84/Histórico!R84</f>
        <v>1.08843537414966</v>
      </c>
      <c r="G83" s="151">
        <f>Histórico!AA84/Histórico!G84</f>
        <v>1.0243037974683544</v>
      </c>
    </row>
    <row r="84" spans="1:7" x14ac:dyDescent="0.25">
      <c r="A84" s="59">
        <f>+Histórico!A85</f>
        <v>44207</v>
      </c>
      <c r="B84" s="151">
        <f>+Histórico!V85/Histórico!B85</f>
        <v>1.0649155094529028</v>
      </c>
      <c r="C84" s="151">
        <f>Histórico!Z85/Histórico!F85</f>
        <v>1.0349613492621224</v>
      </c>
      <c r="D84" s="151">
        <f>Histórico!AD85/Histórico!J85</f>
        <v>1.0349221789883269</v>
      </c>
      <c r="E84" s="151">
        <f>Histórico!AH85/Histórico!N85</f>
        <v>1.1194029850746268</v>
      </c>
      <c r="F84" s="151">
        <f>Histórico!AL85/Histórico!R85</f>
        <v>1.0785371114815179</v>
      </c>
      <c r="G84" s="151">
        <f>Histórico!AA85/Histórico!G85</f>
        <v>1.0315061475409837</v>
      </c>
    </row>
    <row r="85" spans="1:7" x14ac:dyDescent="0.25">
      <c r="A85" s="59">
        <f>+Histórico!A86</f>
        <v>44208</v>
      </c>
      <c r="B85" s="151">
        <f>+Histórico!V86/Histórico!B86</f>
        <v>1.073109243697479</v>
      </c>
      <c r="C85" s="151">
        <f>Histórico!Z86/Histórico!F86</f>
        <v>1.0432862190812722</v>
      </c>
      <c r="D85" s="151">
        <f>Histórico!AD86/Histórico!J86</f>
        <v>1.036957371920219</v>
      </c>
      <c r="E85" s="151">
        <f>Histórico!AH86/Histórico!N86</f>
        <v>1.1200750469043153</v>
      </c>
      <c r="F85" s="151">
        <f>Histórico!AL86/Histórico!R86</f>
        <v>1.0891089108910892</v>
      </c>
      <c r="G85" s="151">
        <f>Histórico!AA86/Histórico!G86</f>
        <v>1.0335553278688525</v>
      </c>
    </row>
    <row r="86" spans="1:7" x14ac:dyDescent="0.25">
      <c r="A86" s="59">
        <f>+Histórico!A87</f>
        <v>44209</v>
      </c>
      <c r="B86" s="151">
        <f>+Histórico!V87/Histórico!B87</f>
        <v>1.0458762017203576</v>
      </c>
      <c r="C86" s="151">
        <f>Histórico!Z87/Histórico!F87</f>
        <v>1.0198546357028895</v>
      </c>
      <c r="D86" s="151">
        <f>Histórico!AD87/Histórico!J87</f>
        <v>1.0227722772277228</v>
      </c>
      <c r="E86" s="151">
        <f>Histórico!AH87/Histórico!N87</f>
        <v>1.1170313986679352</v>
      </c>
      <c r="F86" s="151">
        <f>Histórico!AL87/Histórico!R87</f>
        <v>1.0757575757575757</v>
      </c>
      <c r="G86" s="151">
        <f>Histórico!AA87/Histórico!G87</f>
        <v>1.0097485890200104</v>
      </c>
    </row>
    <row r="87" spans="1:7" x14ac:dyDescent="0.25">
      <c r="A87" s="59">
        <f>+Histórico!A88</f>
        <v>44210</v>
      </c>
      <c r="B87" s="151">
        <f>+Histórico!V88/Histórico!B88</f>
        <v>1.0414895425947968</v>
      </c>
      <c r="C87" s="151">
        <f>Histórico!Z88/Histórico!F88</f>
        <v>1.0157941437444542</v>
      </c>
      <c r="D87" s="151">
        <f>Histórico!AD88/Histórico!J88</f>
        <v>1.0127744510978043</v>
      </c>
      <c r="E87" s="151">
        <f>Histórico!AH88/Histórico!N88</f>
        <v>1.1127167630057804</v>
      </c>
      <c r="F87" s="151">
        <f>Histórico!AL88/Histórico!R88</f>
        <v>1.054766734279919</v>
      </c>
      <c r="G87" s="151">
        <f>Histórico!AA88/Histórico!G88</f>
        <v>1.0064516129032257</v>
      </c>
    </row>
    <row r="88" spans="1:7" x14ac:dyDescent="0.25">
      <c r="A88" s="59">
        <f>+Histórico!A89</f>
        <v>44211</v>
      </c>
      <c r="B88" s="151">
        <f>+Histórico!V89/Histórico!B89</f>
        <v>1.0526315789473684</v>
      </c>
      <c r="C88" s="151">
        <f>Histórico!Z89/Histórico!F89</f>
        <v>1.0282666666666667</v>
      </c>
      <c r="D88" s="151">
        <f>Histórico!AD89/Histórico!J89</f>
        <v>1.0217821782178218</v>
      </c>
      <c r="E88" s="151">
        <f>Histórico!AH89/Histórico!N89</f>
        <v>1.1111111111111112</v>
      </c>
      <c r="F88" s="151">
        <f>Histórico!AL89/Histórico!R89</f>
        <v>1.097165991902834</v>
      </c>
      <c r="G88" s="151">
        <f>Histórico!AA89/Histórico!G89</f>
        <v>1.0103385887826313</v>
      </c>
    </row>
    <row r="89" spans="1:7" x14ac:dyDescent="0.25">
      <c r="A89" s="59">
        <f>+Histórico!A90</f>
        <v>44214</v>
      </c>
      <c r="B89" s="151">
        <f>+Histórico!V90/Histórico!B90</f>
        <v>1.0591048855483429</v>
      </c>
      <c r="C89" s="151">
        <f>Histórico!Z90/Histórico!F90</f>
        <v>1.0319148936170213</v>
      </c>
      <c r="D89" s="151">
        <f>Histórico!AD90/Histórico!J90</f>
        <v>1.0254254254254254</v>
      </c>
      <c r="E89" s="151">
        <f>Histórico!AH90/Histórico!N90</f>
        <v>1.1279158699808796</v>
      </c>
      <c r="F89" s="151">
        <f>Histórico!AL90/Histórico!R90</f>
        <v>1.0807265388496468</v>
      </c>
      <c r="G89" s="151">
        <f>Histórico!AA90/Histórico!G90</f>
        <v>1.0226804123711342</v>
      </c>
    </row>
    <row r="90" spans="1:7" x14ac:dyDescent="0.25">
      <c r="A90" s="59">
        <f>+Histórico!A91</f>
        <v>44215</v>
      </c>
      <c r="B90" s="151">
        <f>+Histórico!V91/Histórico!B91</f>
        <v>1.0672440142638817</v>
      </c>
      <c r="C90" s="151">
        <f>Histórico!Z91/Histórico!F91</f>
        <v>1.0400496189969874</v>
      </c>
      <c r="D90" s="151">
        <f>Histórico!AD91/Histórico!J91</f>
        <v>1.0457451058729526</v>
      </c>
      <c r="E90" s="151">
        <f>Histórico!AH91/Histórico!N91</f>
        <v>1.1165876777251185</v>
      </c>
      <c r="F90" s="151">
        <f>Histórico!AL91/Histórico!R91</f>
        <v>1.102378073357517</v>
      </c>
      <c r="G90" s="151">
        <f>Histórico!AA91/Histórico!G91</f>
        <v>1.0299046145913897</v>
      </c>
    </row>
    <row r="91" spans="1:7" x14ac:dyDescent="0.25">
      <c r="A91" s="59">
        <f>+Histórico!A92</f>
        <v>44216</v>
      </c>
      <c r="B91" s="151">
        <f>+Histórico!V92/Histórico!B92</f>
        <v>1.0773809523809523</v>
      </c>
      <c r="C91" s="151">
        <f>Histórico!Z92/Histórico!F92</f>
        <v>1.0434012400354296</v>
      </c>
      <c r="D91" s="151">
        <f>Histórico!AD92/Histórico!J92</f>
        <v>1.0544286001205061</v>
      </c>
      <c r="E91" s="151">
        <f>Histórico!AH92/Histórico!N92</f>
        <v>1.1293209004426863</v>
      </c>
      <c r="F91" s="151">
        <f>Histórico!AL92/Histórico!R92</f>
        <v>1.1279716742539201</v>
      </c>
      <c r="G91" s="151">
        <f>Histórico!AA92/Histórico!G92</f>
        <v>1.0356220960247804</v>
      </c>
    </row>
    <row r="92" spans="1:7" x14ac:dyDescent="0.25">
      <c r="A92" s="59">
        <f>+Histórico!A93</f>
        <v>44217</v>
      </c>
      <c r="B92" s="151">
        <f>+Histórico!V93/Histórico!B93</f>
        <v>1.0841201716738198</v>
      </c>
      <c r="C92" s="151">
        <f>Histórico!Z93/Histórico!F93</f>
        <v>1.0421462723570036</v>
      </c>
      <c r="D92" s="151">
        <f>Histórico!AD93/Histórico!J93</f>
        <v>1.0680799021606195</v>
      </c>
      <c r="E92" s="151">
        <f>Histórico!AH93/Histórico!N93</f>
        <v>1.1359241706161138</v>
      </c>
      <c r="F92" s="151">
        <f>Histórico!AL93/Histórico!R93</f>
        <v>1.11088504577823</v>
      </c>
      <c r="G92" s="151">
        <f>Histórico!AA93/Histórico!G93</f>
        <v>1.0312742310674594</v>
      </c>
    </row>
    <row r="93" spans="1:7" x14ac:dyDescent="0.25">
      <c r="A93" s="59">
        <f>+Histórico!A94</f>
        <v>44218</v>
      </c>
      <c r="B93" s="151">
        <f>+Histórico!V94/Histórico!B94</f>
        <v>1.0899742930591259</v>
      </c>
      <c r="C93" s="151">
        <f>Histórico!Z94/Histórico!F94</f>
        <v>1.0524450744153082</v>
      </c>
      <c r="D93" s="151">
        <f>Histórico!AD94/Histórico!J94</f>
        <v>1.0772888214466363</v>
      </c>
      <c r="E93" s="151">
        <f>Histórico!AH94/Histórico!N94</f>
        <v>1.1312429590687194</v>
      </c>
      <c r="F93" s="151">
        <f>Histórico!AL94/Histórico!R94</f>
        <v>1.1361330898762427</v>
      </c>
      <c r="G93" s="151">
        <f>Histórico!AA94/Histórico!G94</f>
        <v>1.0467821142414062</v>
      </c>
    </row>
    <row r="94" spans="1:7" x14ac:dyDescent="0.25">
      <c r="A94" s="59">
        <f>+Histórico!A95</f>
        <v>44221</v>
      </c>
      <c r="B94" s="151">
        <f>+Histórico!V95/Histórico!B95</f>
        <v>1.080068143100511</v>
      </c>
      <c r="C94" s="151">
        <f>Histórico!Z95/Histórico!F95</f>
        <v>1.0558698727015559</v>
      </c>
      <c r="D94" s="151">
        <f>Histórico!AD95/Histórico!J95</f>
        <v>1.0713567839195981</v>
      </c>
      <c r="E94" s="151">
        <f>Histórico!AH95/Histórico!N95</f>
        <v>1.1291821561338291</v>
      </c>
      <c r="F94" s="151">
        <f>Histórico!AL95/Histórico!R95</f>
        <v>1.1444557477110886</v>
      </c>
      <c r="G94" s="151">
        <f>Histórico!AA95/Histórico!G95</f>
        <v>1.0455486542443064</v>
      </c>
    </row>
    <row r="95" spans="1:7" x14ac:dyDescent="0.25">
      <c r="A95" s="59">
        <f>+Histórico!A96</f>
        <v>44222</v>
      </c>
      <c r="B95" s="151">
        <f>+Histórico!V96/Histórico!B96</f>
        <v>1.0823429541595926</v>
      </c>
      <c r="C95" s="151">
        <f>Histórico!Z96/Histórico!F96</f>
        <v>1.0605258514205047</v>
      </c>
      <c r="D95" s="151">
        <f>Histórico!AD96/Histórico!J96</f>
        <v>1.0536779324055665</v>
      </c>
      <c r="E95" s="151">
        <f>Histórico!AH96/Histórico!N96</f>
        <v>1.1356151711378353</v>
      </c>
      <c r="F95" s="151">
        <f>Histórico!AL96/Histórico!R96</f>
        <v>1.1368209255533199</v>
      </c>
      <c r="G95" s="151">
        <f>Histórico!AA96/Histórico!G96</f>
        <v>1.0471747019180924</v>
      </c>
    </row>
    <row r="96" spans="1:7" x14ac:dyDescent="0.25">
      <c r="A96" s="59">
        <f>+Histórico!A97</f>
        <v>44223</v>
      </c>
      <c r="B96" s="151">
        <f>+Histórico!V97/Histórico!B97</f>
        <v>1.0886615515771525</v>
      </c>
      <c r="C96" s="151">
        <f>Histórico!Z97/Histórico!F97</f>
        <v>1.0565854519774012</v>
      </c>
      <c r="D96" s="151">
        <f>Histórico!AD97/Histórico!J97</f>
        <v>1.0558305286081964</v>
      </c>
      <c r="E96" s="151">
        <f>Histórico!AH97/Histórico!N97</f>
        <v>1.1039558417663293</v>
      </c>
      <c r="F96" s="151">
        <f>Histórico!AL97/Histórico!R97</f>
        <v>1.1422805247225025</v>
      </c>
      <c r="G96" s="151">
        <f>Histórico!AA97/Histórico!G97</f>
        <v>1.0486599011189175</v>
      </c>
    </row>
    <row r="97" spans="1:7" x14ac:dyDescent="0.25">
      <c r="A97" s="59">
        <f>+Histórico!A98</f>
        <v>44224</v>
      </c>
      <c r="B97" s="151">
        <f>+Histórico!V98/Histórico!B98</f>
        <v>1.0930828351836037</v>
      </c>
      <c r="C97" s="151">
        <f>Histórico!Z98/Histórico!F98</f>
        <v>1.0547703180212014</v>
      </c>
      <c r="D97" s="151">
        <f>Histórico!AD98/Histórico!J98</f>
        <v>1.0567010309278351</v>
      </c>
      <c r="E97" s="151">
        <f>Histórico!AH98/Histórico!N98</f>
        <v>1.1105022831050229</v>
      </c>
      <c r="F97" s="151">
        <f>Histórico!AL98/Histórico!R98</f>
        <v>1.1391391391391392</v>
      </c>
      <c r="G97" s="151">
        <f>Histórico!AA98/Histórico!G98</f>
        <v>1.0462503266266003</v>
      </c>
    </row>
    <row r="98" spans="1:7" x14ac:dyDescent="0.25">
      <c r="A98" s="59">
        <f>+Histórico!A99</f>
        <v>44225</v>
      </c>
      <c r="B98" s="151">
        <f>+Histórico!V99/Histórico!B99</f>
        <v>1.0805614632071459</v>
      </c>
      <c r="C98" s="151">
        <f>Histórico!Z99/Histórico!F99</f>
        <v>1.0549645390070923</v>
      </c>
      <c r="D98" s="151">
        <f>Histórico!AD99/Histórico!J99</f>
        <v>1.057011402280456</v>
      </c>
      <c r="E98" s="151">
        <f>Histórico!AH99/Histórico!N99</f>
        <v>1.1007154650522839</v>
      </c>
      <c r="F98" s="151">
        <f>Histórico!AL99/Histórico!R99</f>
        <v>1.1333333333333333</v>
      </c>
      <c r="G98" s="151">
        <f>Histórico!AA99/Histórico!G99</f>
        <v>1.0498164656528579</v>
      </c>
    </row>
    <row r="99" spans="1:7" x14ac:dyDescent="0.25">
      <c r="A99" s="59">
        <f>+Histórico!A100</f>
        <v>44228</v>
      </c>
      <c r="B99" s="151">
        <f>+Histórico!V100/Histórico!B100</f>
        <v>1.0856658184902459</v>
      </c>
      <c r="C99" s="151">
        <f>Histórico!Z100/Histórico!F100</f>
        <v>1.061858407079646</v>
      </c>
      <c r="D99" s="151">
        <f>Histórico!AD100/Histórico!J100</f>
        <v>1.0640413683373111</v>
      </c>
      <c r="E99" s="151">
        <f>Histórico!AH100/Histórico!N100</f>
        <v>1.0982976386600769</v>
      </c>
      <c r="F99" s="151">
        <f>Histórico!AL100/Histórico!R100</f>
        <v>1.1230862207896857</v>
      </c>
      <c r="G99" s="151">
        <f>Histórico!AA100/Histórico!G100</f>
        <v>1.0606458388028353</v>
      </c>
    </row>
    <row r="100" spans="1:7" x14ac:dyDescent="0.25">
      <c r="A100" s="59">
        <f>+Histórico!A101</f>
        <v>44229</v>
      </c>
      <c r="B100" s="151">
        <f>+Histórico!V101/Histórico!B101</f>
        <v>1.0755765022723447</v>
      </c>
      <c r="C100" s="151">
        <f>Histórico!Z101/Histórico!F101</f>
        <v>1.0583967439391258</v>
      </c>
      <c r="D100" s="151">
        <f>Histórico!AD101/Histórico!J101</f>
        <v>1.0632584046150786</v>
      </c>
      <c r="E100" s="151">
        <f>Histórico!AH101/Histórico!N101</f>
        <v>1.1051237555941182</v>
      </c>
      <c r="F100" s="151">
        <f>Histórico!AL101/Histórico!R101</f>
        <v>1.1095533747246145</v>
      </c>
      <c r="G100" s="151">
        <f>Histórico!AA101/Histórico!G101</f>
        <v>1.051883065578088</v>
      </c>
    </row>
    <row r="101" spans="1:7" x14ac:dyDescent="0.25">
      <c r="A101" s="59">
        <f>+Histórico!A102</f>
        <v>44230</v>
      </c>
      <c r="B101" s="151">
        <f>+Histórico!V102/Histórico!B102</f>
        <v>1.0849296490930667</v>
      </c>
      <c r="C101" s="151">
        <f>Histórico!Z102/Histórico!F102</f>
        <v>1.0554767812832329</v>
      </c>
      <c r="D101" s="151">
        <f>Histórico!AD102/Histórico!J102</f>
        <v>1.0524241229798976</v>
      </c>
      <c r="E101" s="151">
        <f>Histórico!AH102/Histórico!N102</f>
        <v>1.1172668513388735</v>
      </c>
      <c r="F101" s="151">
        <f>Histórico!AL102/Histórico!R102</f>
        <v>1.1122244488977955</v>
      </c>
      <c r="G101" s="151">
        <f>Histórico!AA102/Histórico!G102</f>
        <v>1.048438327157226</v>
      </c>
    </row>
    <row r="102" spans="1:7" x14ac:dyDescent="0.25">
      <c r="A102" s="59">
        <f>+Histórico!A103</f>
        <v>44231</v>
      </c>
      <c r="B102" s="151">
        <f>+Histórico!V103/Histórico!B103</f>
        <v>1.0764944275582573</v>
      </c>
      <c r="C102" s="151">
        <f>Histórico!Z103/Histórico!F103</f>
        <v>1.0629432624113475</v>
      </c>
      <c r="D102" s="151">
        <f>Histórico!AD103/Histórico!J103</f>
        <v>1.0391006842619745</v>
      </c>
      <c r="E102" s="151">
        <f>Histórico!AH103/Histórico!N103</f>
        <v>1.1296296296296295</v>
      </c>
      <c r="F102" s="151">
        <f>Histórico!AL103/Histórico!R103</f>
        <v>1.1144278606965174</v>
      </c>
      <c r="G102" s="151">
        <f>Histórico!AA103/Histórico!G103</f>
        <v>1.0552603613177471</v>
      </c>
    </row>
    <row r="103" spans="1:7" x14ac:dyDescent="0.25">
      <c r="A103" s="59">
        <f>+Histórico!A104</f>
        <v>44232</v>
      </c>
      <c r="B103" s="151">
        <f>+Histórico!V104/Histórico!B104</f>
        <v>1.1101766190075695</v>
      </c>
      <c r="C103" s="151">
        <f>Histórico!Z104/Histórico!F104</f>
        <v>1.0723169864960911</v>
      </c>
      <c r="D103" s="151">
        <f>Histórico!AD104/Histórico!J104</f>
        <v>1.0478983382209188</v>
      </c>
      <c r="E103" s="151">
        <f>Histórico!AH104/Histórico!N104</f>
        <v>1.1401557285873192</v>
      </c>
      <c r="F103" s="151">
        <f>Histórico!AL104/Histórico!R104</f>
        <v>1.1231683168316833</v>
      </c>
      <c r="G103" s="151">
        <f>Histórico!AA104/Histórico!G104</f>
        <v>1.0627325890483785</v>
      </c>
    </row>
    <row r="104" spans="1:7" x14ac:dyDescent="0.25">
      <c r="A104" s="59">
        <f>+Histórico!A105</f>
        <v>44235</v>
      </c>
      <c r="B104" s="151">
        <f>+Histórico!V105/Histórico!B105</f>
        <v>1.0861106411774657</v>
      </c>
      <c r="C104" s="151">
        <f>Histórico!Z105/Histórico!F105</f>
        <v>1.0714285714285714</v>
      </c>
      <c r="D104" s="151">
        <f>Histórico!AD105/Histórico!J105</f>
        <v>1.0530467363439164</v>
      </c>
      <c r="E104" s="151">
        <f>Histórico!AH105/Histórico!N105</f>
        <v>1.1338289962825279</v>
      </c>
      <c r="F104" s="151">
        <f>Histórico!AL105/Histórico!R105</f>
        <v>1.1103379721669979</v>
      </c>
      <c r="G104" s="151">
        <f>Histórico!AA105/Histórico!G105</f>
        <v>1.0669322709163347</v>
      </c>
    </row>
    <row r="105" spans="1:7" x14ac:dyDescent="0.25">
      <c r="A105" s="59">
        <f>+Histórico!A106</f>
        <v>44236</v>
      </c>
      <c r="B105" s="151">
        <f>+Histórico!V106/Histórico!B106</f>
        <v>1.0825439783491204</v>
      </c>
      <c r="C105" s="151">
        <f>Histórico!Z106/Histórico!F106</f>
        <v>1.0636105188343994</v>
      </c>
      <c r="D105" s="151">
        <f>Histórico!AD106/Histórico!J106</f>
        <v>1.0466034755134281</v>
      </c>
      <c r="E105" s="151">
        <f>Histórico!AH106/Histórico!N106</f>
        <v>1.139086484462748</v>
      </c>
      <c r="F105" s="151">
        <f>Histórico!AL106/Histórico!R106</f>
        <v>1.1164084227254669</v>
      </c>
      <c r="G105" s="151">
        <f>Histórico!AA106/Histórico!G106</f>
        <v>1.0631663113006395</v>
      </c>
    </row>
    <row r="106" spans="1:7" x14ac:dyDescent="0.25">
      <c r="A106" s="59">
        <f>+Histórico!A107</f>
        <v>44237</v>
      </c>
      <c r="B106" s="151">
        <f>+Histórico!V107/Histórico!B107</f>
        <v>1.0962774957698815</v>
      </c>
      <c r="C106" s="151">
        <f>Histórico!Z107/Histórico!F107</f>
        <v>1.0636590584878745</v>
      </c>
      <c r="D106" s="151">
        <f>Histórico!AD107/Histórico!J107</f>
        <v>1.0499105189898588</v>
      </c>
      <c r="E106" s="151">
        <f>Histórico!AH107/Histórico!N107</f>
        <v>1.1330326944757609</v>
      </c>
      <c r="F106" s="151">
        <f>Histórico!AL107/Histórico!R107</f>
        <v>1.1128855175167183</v>
      </c>
      <c r="G106" s="151">
        <f>Histórico!AA107/Histórico!G107</f>
        <v>1.0590120160213616</v>
      </c>
    </row>
    <row r="107" spans="1:7" x14ac:dyDescent="0.25">
      <c r="A107" s="59">
        <f>+Histórico!A108</f>
        <v>44238</v>
      </c>
      <c r="B107" s="151">
        <f>+Histórico!V108/Histórico!B108</f>
        <v>1.0968858131487889</v>
      </c>
      <c r="C107" s="151">
        <f>Histórico!Z108/Histórico!F108</f>
        <v>1.0692167577413478</v>
      </c>
      <c r="D107" s="151">
        <f>Histórico!AD108/Histórico!J108</f>
        <v>1.0444444444444445</v>
      </c>
      <c r="E107" s="151">
        <f>Histórico!AH108/Histórico!N108</f>
        <v>1.1484674329501916</v>
      </c>
      <c r="F107" s="151">
        <f>Histórico!AL108/Histórico!R108</f>
        <v>1.1111111111111112</v>
      </c>
      <c r="G107" s="151">
        <f>Histórico!AA108/Histórico!G108</f>
        <v>1.0694406917049446</v>
      </c>
    </row>
    <row r="108" spans="1:7" x14ac:dyDescent="0.25">
      <c r="A108" s="59">
        <f>+Histórico!A109</f>
        <v>44239</v>
      </c>
      <c r="B108" s="151">
        <f>+Histórico!V109/Histórico!B109</f>
        <v>1.1142355008787346</v>
      </c>
      <c r="C108" s="151">
        <f>Histórico!Z109/Histórico!F109</f>
        <v>1.083240431066518</v>
      </c>
      <c r="D108" s="151">
        <f>Histórico!AD109/Histórico!J109</f>
        <v>1.0365617680008148</v>
      </c>
      <c r="E108" s="151">
        <f>Histórico!AH109/Histórico!N109</f>
        <v>1.1728155339805826</v>
      </c>
      <c r="F108" s="151">
        <f>Histórico!AL109/Histórico!R109</f>
        <v>1.1062753036437247</v>
      </c>
      <c r="G108" s="151">
        <f>Histórico!AA109/Histórico!G109</f>
        <v>1.0919067215363509</v>
      </c>
    </row>
    <row r="109" spans="1:7" x14ac:dyDescent="0.25">
      <c r="A109" s="59">
        <f>+Histórico!A110</f>
        <v>44244</v>
      </c>
      <c r="B109" s="151">
        <f>+Histórico!V110/Histórico!B110</f>
        <v>1.1065454545454545</v>
      </c>
      <c r="C109" s="151">
        <f>Histórico!Z110/Histórico!F110</f>
        <v>1.0896817743490839</v>
      </c>
      <c r="D109" s="151">
        <f>Histórico!AD110/Histórico!J110</f>
        <v>1.0437660119555936</v>
      </c>
      <c r="E109" s="151">
        <f>Histórico!AH110/Histórico!N110</f>
        <v>1.16226034308779</v>
      </c>
      <c r="F109" s="151">
        <f>Histórico!AL110/Histórico!R110</f>
        <v>1.1276595744680851</v>
      </c>
      <c r="G109" s="151">
        <f>Histórico!AA110/Histórico!G110</f>
        <v>1.0855008301051465</v>
      </c>
    </row>
    <row r="110" spans="1:7" x14ac:dyDescent="0.25">
      <c r="A110" s="59">
        <f>+Histórico!A111</f>
        <v>44245</v>
      </c>
      <c r="B110" s="151">
        <f>+Histórico!V111/Histórico!B111</f>
        <v>1.0780399274047188</v>
      </c>
      <c r="C110" s="151">
        <f>Histórico!Z111/Histórico!F111</f>
        <v>1.0616122840690978</v>
      </c>
      <c r="D110" s="151">
        <f>Histórico!AD111/Histórico!J111</f>
        <v>1.022604951560818</v>
      </c>
      <c r="E110" s="151">
        <f>Histórico!AH111/Histórico!N111</f>
        <v>1.1479591836734695</v>
      </c>
      <c r="F110" s="151">
        <f>Histórico!AL111/Histórico!R111</f>
        <v>1.12107138999892</v>
      </c>
      <c r="G110" s="151">
        <f>Histórico!AA111/Histórico!G111</f>
        <v>1.0625850340136054</v>
      </c>
    </row>
    <row r="111" spans="1:7" x14ac:dyDescent="0.25">
      <c r="A111" s="59">
        <f>+Histórico!A112</f>
        <v>44246</v>
      </c>
      <c r="B111" s="151">
        <f>+Histórico!V112/Histórico!B112</f>
        <v>1.1127596439169138</v>
      </c>
      <c r="C111" s="151">
        <f>Histórico!Z112/Histórico!F112</f>
        <v>1.0613207547169812</v>
      </c>
      <c r="D111" s="151">
        <f>Histórico!AD112/Histórico!J112</f>
        <v>1.0362637362637364</v>
      </c>
      <c r="E111" s="151">
        <f>Histórico!AH112/Histórico!N112</f>
        <v>1.1466942148760331</v>
      </c>
      <c r="F111" s="151">
        <f>Histórico!AL112/Histórico!R112</f>
        <v>1.096774193548387</v>
      </c>
      <c r="G111" s="151">
        <f>Histórico!AA112/Histórico!G112</f>
        <v>1.0653487095002745</v>
      </c>
    </row>
    <row r="112" spans="1:7" x14ac:dyDescent="0.25">
      <c r="A112" s="59">
        <f>+Histórico!A113</f>
        <v>44249</v>
      </c>
      <c r="B112" s="151">
        <f>+Histórico!V113/Histórico!B113</f>
        <v>1.1121764141898369</v>
      </c>
      <c r="C112" s="151">
        <f>Histórico!Z113/Histórico!F113</f>
        <v>1.0515361744301288</v>
      </c>
      <c r="D112" s="151">
        <f>Histórico!AD113/Histórico!J113</f>
        <v>1.0348706411698538</v>
      </c>
      <c r="E112" s="151">
        <f>Histórico!AH113/Histórico!N113</f>
        <v>1.1327713382507902</v>
      </c>
      <c r="F112" s="151">
        <f>Histórico!AL113/Histórico!R113</f>
        <v>1.0619469026548674</v>
      </c>
      <c r="G112" s="151">
        <f>Histórico!AA113/Histórico!G113</f>
        <v>1.0569463548830811</v>
      </c>
    </row>
    <row r="113" spans="1:7" x14ac:dyDescent="0.25">
      <c r="A113" s="59">
        <f>+Histórico!A114</f>
        <v>44250</v>
      </c>
      <c r="B113" s="151">
        <f>+Histórico!V114/Histórico!B114</f>
        <v>1.1121764141898369</v>
      </c>
      <c r="C113" s="151">
        <f>Histórico!Z114/Histórico!F114</f>
        <v>1.0566</v>
      </c>
      <c r="D113" s="151">
        <f>Histórico!AD114/Histórico!J114</f>
        <v>1.0297738974703381</v>
      </c>
      <c r="E113" s="151">
        <f>Histórico!AH114/Histórico!N114</f>
        <v>1.1427357689039932</v>
      </c>
      <c r="F113" s="151">
        <f>Histórico!AL114/Histórico!R114</f>
        <v>1.1006844778096709</v>
      </c>
      <c r="G113" s="151">
        <f>Histórico!AA114/Histórico!G114</f>
        <v>1.057062937062937</v>
      </c>
    </row>
    <row r="114" spans="1:7" x14ac:dyDescent="0.25">
      <c r="A114" s="59">
        <f>+Histórico!A115</f>
        <v>44251</v>
      </c>
      <c r="B114" s="151">
        <f>+Histórico!V115/Histórico!B115</f>
        <v>1.0969006721433905</v>
      </c>
      <c r="C114" s="151">
        <f>Histórico!Z115/Histórico!F115</f>
        <v>1.0619469026548674</v>
      </c>
      <c r="D114" s="151">
        <f>Histórico!AD115/Histórico!J115</f>
        <v>1.0340342510296987</v>
      </c>
      <c r="E114" s="151">
        <f>Histórico!AH115/Histórico!N115</f>
        <v>1.1288981288981288</v>
      </c>
      <c r="F114" s="151">
        <f>Histórico!AL115/Histórico!R115</f>
        <v>1.1032258064516129</v>
      </c>
      <c r="G114" s="151">
        <f>Histórico!AA115/Histórico!G115</f>
        <v>1.0559866962305988</v>
      </c>
    </row>
    <row r="115" spans="1:7" x14ac:dyDescent="0.25">
      <c r="A115" s="59">
        <f>+Histórico!A116</f>
        <v>44252</v>
      </c>
      <c r="B115" s="151">
        <f>+Histórico!V116/Histórico!B116</f>
        <v>1.1065801668211306</v>
      </c>
      <c r="C115" s="151">
        <f>Histórico!Z116/Histórico!F116</f>
        <v>1.0490726429675425</v>
      </c>
      <c r="D115" s="151">
        <f>Histórico!AD116/Histórico!J116</f>
        <v>1.0192513368983958</v>
      </c>
      <c r="E115" s="151">
        <f>Histórico!AH116/Histórico!N116</f>
        <v>1.1121951219512196</v>
      </c>
      <c r="F115" s="151">
        <f>Histórico!AL116/Histórico!R116</f>
        <v>1.0718045904400926</v>
      </c>
      <c r="G115" s="151">
        <f>Histórico!AA116/Histórico!G116</f>
        <v>1.0422264875239924</v>
      </c>
    </row>
    <row r="116" spans="1:7" x14ac:dyDescent="0.25">
      <c r="A116" s="59">
        <f>+Histórico!A117</f>
        <v>44253</v>
      </c>
      <c r="B116" s="151">
        <f>+Histórico!V117/Histórico!B117</f>
        <v>1.0988607129731716</v>
      </c>
      <c r="C116" s="151">
        <f>Histórico!Z117/Histórico!F117</f>
        <v>1.0325670498084292</v>
      </c>
      <c r="D116" s="151">
        <f>Histórico!AD117/Histórico!J117</f>
        <v>1.014799154334038</v>
      </c>
      <c r="E116" s="151">
        <f>Histórico!AH117/Histórico!N117</f>
        <v>1.126559356136821</v>
      </c>
      <c r="F116" s="151">
        <f>Histórico!AL117/Histórico!R117</f>
        <v>1.0781217098336493</v>
      </c>
      <c r="G116" s="151">
        <f>Histórico!AA117/Histórico!G117</f>
        <v>1.0231103860793911</v>
      </c>
    </row>
    <row r="117" spans="1:7" x14ac:dyDescent="0.25">
      <c r="A117" s="59">
        <f>+Histórico!A118</f>
        <v>44256</v>
      </c>
      <c r="B117" s="151">
        <f>+Histórico!V118/Histórico!B118</f>
        <v>1.0873928115307425</v>
      </c>
      <c r="C117" s="151">
        <f>Histórico!Z118/Histórico!F118</f>
        <v>1.0313858952543014</v>
      </c>
      <c r="D117" s="151">
        <f>Histórico!AD118/Histórico!J118</f>
        <v>1.0169846928077164</v>
      </c>
      <c r="E117" s="151">
        <f>Histórico!AH118/Histórico!N118</f>
        <v>1.107178168874827</v>
      </c>
      <c r="F117" s="151">
        <f>Histórico!AL118/Histórico!R118</f>
        <v>1.079091291543963</v>
      </c>
      <c r="G117" s="151">
        <f>Histórico!AA118/Histórico!G118</f>
        <v>1.0274605764002174</v>
      </c>
    </row>
    <row r="118" spans="1:7" x14ac:dyDescent="0.25">
      <c r="A118" s="59">
        <f>+Histórico!A119</f>
        <v>44257</v>
      </c>
      <c r="B118" s="151">
        <f>+Histórico!V119/Histórico!B119</f>
        <v>1.0839861541264346</v>
      </c>
      <c r="C118" s="151">
        <f>Histórico!Z119/Histórico!F119</f>
        <v>1.0218744107109183</v>
      </c>
      <c r="D118" s="151">
        <f>Histórico!AD119/Histórico!J119</f>
        <v>1.0202342917997871</v>
      </c>
      <c r="E118" s="151">
        <f>Histórico!AH119/Histórico!N119</f>
        <v>1.125</v>
      </c>
      <c r="F118" s="151">
        <f>Histórico!AL119/Histórico!R119</f>
        <v>1.0808059384941675</v>
      </c>
      <c r="G118" s="151">
        <f>Histórico!AA119/Histórico!G119</f>
        <v>1.018462386332323</v>
      </c>
    </row>
    <row r="119" spans="1:7" x14ac:dyDescent="0.25">
      <c r="A119" s="59">
        <f>+Histórico!A120</f>
        <v>44258</v>
      </c>
      <c r="B119" s="151">
        <f>+Histórico!V120/Histórico!B120</f>
        <v>1.0968921389396709</v>
      </c>
      <c r="C119" s="151">
        <f>Histórico!Z120/Histórico!F120</f>
        <v>1.0249433106575965</v>
      </c>
      <c r="D119" s="151">
        <f>Histórico!AD120/Histórico!J120</f>
        <v>1.0170212765957447</v>
      </c>
      <c r="E119" s="151">
        <f>Histórico!AH120/Histórico!N120</f>
        <v>1.1253822629969419</v>
      </c>
      <c r="F119" s="151">
        <f>Histórico!AL120/Histórico!R120</f>
        <v>1.0922268907563024</v>
      </c>
      <c r="G119" s="151">
        <f>Histórico!AA120/Histórico!G120</f>
        <v>1.0215350635008282</v>
      </c>
    </row>
    <row r="120" spans="1:7" x14ac:dyDescent="0.25">
      <c r="A120" s="59">
        <f>+Histórico!A121</f>
        <v>44259</v>
      </c>
      <c r="B120" s="151">
        <f>+Histórico!V121/Histórico!B121</f>
        <v>1.0786106032906764</v>
      </c>
      <c r="C120" s="151">
        <f>Histórico!Z121/Histórico!F121</f>
        <v>1.0206478499715854</v>
      </c>
      <c r="D120" s="151">
        <f>Histórico!AD121/Histórico!J121</f>
        <v>1.0057167054838028</v>
      </c>
      <c r="E120" s="151">
        <f>Histórico!AH121/Histórico!N121</f>
        <v>1.1075116420328002</v>
      </c>
      <c r="F120" s="151">
        <f>Histórico!AL121/Histórico!R121</f>
        <v>1.100762066045724</v>
      </c>
      <c r="G120" s="151">
        <f>Histórico!AA121/Histórico!G121</f>
        <v>1.0164925783397469</v>
      </c>
    </row>
    <row r="121" spans="1:7" x14ac:dyDescent="0.25">
      <c r="A121" s="59">
        <f>+Histórico!A122</f>
        <v>44260</v>
      </c>
      <c r="B121" s="151">
        <f>+Histórico!V122/Histórico!B122</f>
        <v>1.0519670631290028</v>
      </c>
      <c r="C121" s="151">
        <f>Histórico!Z122/Histórico!F122</f>
        <v>1.0145733461169704</v>
      </c>
      <c r="D121" s="151">
        <f>Histórico!AD122/Histórico!J122</f>
        <v>1.0130434782608695</v>
      </c>
      <c r="E121" s="151">
        <f>Histórico!AH122/Histórico!N122</f>
        <v>1.1028806584362141</v>
      </c>
      <c r="F121" s="151">
        <f>Histórico!AL122/Histórico!R122</f>
        <v>1.0839612486544672</v>
      </c>
      <c r="G121" s="151">
        <f>Histórico!AA122/Histórico!G122</f>
        <v>1.0092307692307692</v>
      </c>
    </row>
    <row r="122" spans="1:7" x14ac:dyDescent="0.25">
      <c r="A122" s="59">
        <f>+Histórico!A123</f>
        <v>44263</v>
      </c>
      <c r="B122" s="151">
        <f>+Histórico!V123/Histórico!B123</f>
        <v>1.0746268656716418</v>
      </c>
      <c r="C122" s="151">
        <f>Histórico!Z123/Histórico!F123</f>
        <v>1.0121692099671624</v>
      </c>
      <c r="D122" s="151">
        <f>Histórico!AD123/Histórico!J123</f>
        <v>1.0305918864996675</v>
      </c>
      <c r="E122" s="151">
        <f>Histórico!AH123/Histórico!N123</f>
        <v>1.1180124223602483</v>
      </c>
      <c r="F122" s="151">
        <f>Histórico!AL123/Histórico!R123</f>
        <v>1.0654506437768241</v>
      </c>
      <c r="G122" s="151">
        <f>Histórico!AA123/Histórico!G123</f>
        <v>1.0061624649859944</v>
      </c>
    </row>
    <row r="123" spans="1:7" x14ac:dyDescent="0.25">
      <c r="A123" s="59">
        <f>+Histórico!A124</f>
        <v>44264</v>
      </c>
      <c r="B123" s="151">
        <f>+Histórico!V124/Histórico!B124</f>
        <v>1.0359110773323199</v>
      </c>
      <c r="C123" s="151">
        <f>Histórico!Z124/Histórico!F124</f>
        <v>1.0119397142297906</v>
      </c>
      <c r="D123" s="151">
        <f>Histórico!AD124/Histórico!J124</f>
        <v>1.0247747747747749</v>
      </c>
      <c r="E123" s="151">
        <f>Histórico!AH124/Histórico!N124</f>
        <v>1.1154209036586644</v>
      </c>
      <c r="F123" s="151">
        <f>Histórico!AL124/Histórico!R124</f>
        <v>1.0791757049891539</v>
      </c>
      <c r="G123" s="151">
        <f>Histórico!AA124/Histórico!G124</f>
        <v>1.0034149117814455</v>
      </c>
    </row>
    <row r="124" spans="1:7" x14ac:dyDescent="0.25">
      <c r="A124" s="59">
        <f>+Histórico!A125</f>
        <v>44265</v>
      </c>
      <c r="B124" s="151">
        <f>+Histórico!V125/Histórico!B125</f>
        <v>1.0694251044360454</v>
      </c>
      <c r="C124" s="151">
        <f>Histórico!Z125/Histórico!F125</f>
        <v>1.0185950413223142</v>
      </c>
      <c r="D124" s="151">
        <f>Histórico!AD125/Histórico!J125</f>
        <v>1.0292397660818713</v>
      </c>
      <c r="E124" s="151">
        <f>Histórico!AH125/Histórico!N125</f>
        <v>1.1356191308145884</v>
      </c>
      <c r="F124" s="151">
        <f>Histórico!AL125/Histórico!R125</f>
        <v>1.1006787330316743</v>
      </c>
      <c r="G124" s="151">
        <f>Histórico!AA125/Histórico!G125</f>
        <v>1.0262608176663683</v>
      </c>
    </row>
    <row r="125" spans="1:7" x14ac:dyDescent="0.25">
      <c r="A125" s="59">
        <f>+Histórico!A126</f>
        <v>44266</v>
      </c>
      <c r="B125" s="151">
        <f>+Histórico!V126/Histórico!B126</f>
        <v>1.0814299900695135</v>
      </c>
      <c r="C125" s="151">
        <f>Histórico!Z126/Histórico!F126</f>
        <v>1.0310699588477366</v>
      </c>
      <c r="D125" s="151">
        <f>Histórico!AD126/Histórico!J126</f>
        <v>1.0264367816091955</v>
      </c>
      <c r="E125" s="151">
        <f>Histórico!AH126/Histórico!N126</f>
        <v>1.14192849404117</v>
      </c>
      <c r="F125" s="151">
        <f>Histórico!AL126/Histórico!R126</f>
        <v>1.1034025629695094</v>
      </c>
      <c r="G125" s="151">
        <f>Histórico!AA126/Histórico!G126</f>
        <v>1.0288004750593824</v>
      </c>
    </row>
    <row r="126" spans="1:7" x14ac:dyDescent="0.25">
      <c r="A126" s="59">
        <f>+Histórico!A127</f>
        <v>44267</v>
      </c>
      <c r="B126" s="151">
        <f>+Histórico!V127/Histórico!B127</f>
        <v>1.0506858643836949</v>
      </c>
      <c r="C126" s="151">
        <f>Histórico!Z127/Histórico!F127</f>
        <v>1.0279060429632605</v>
      </c>
      <c r="D126" s="151">
        <f>Histórico!AD127/Histórico!J127</f>
        <v>1.0476082004555809</v>
      </c>
      <c r="E126" s="151">
        <f>Histórico!AH127/Histórico!N127</f>
        <v>1.1261930010604453</v>
      </c>
      <c r="F126" s="151">
        <f>Histórico!AL127/Histórico!R127</f>
        <v>1.0851063829787233</v>
      </c>
      <c r="G126" s="151">
        <f>Histórico!AA127/Histórico!G127</f>
        <v>1.026751962779878</v>
      </c>
    </row>
    <row r="127" spans="1:7" x14ac:dyDescent="0.25">
      <c r="A127" s="59">
        <f>+Histórico!A128</f>
        <v>44270</v>
      </c>
      <c r="B127" s="151">
        <f>+Histórico!V128/Histórico!B128</f>
        <v>1.0642585551330799</v>
      </c>
      <c r="C127" s="151">
        <f>Histórico!Z128/Histórico!F128</f>
        <v>1.032640949554896</v>
      </c>
      <c r="D127" s="151">
        <f>Histórico!AD128/Histórico!J128</f>
        <v>1.0381165919282511</v>
      </c>
      <c r="E127" s="151">
        <f>Histórico!AH128/Histórico!N128</f>
        <v>1.1481443298969072</v>
      </c>
      <c r="F127" s="151">
        <f>Histórico!AL128/Histórico!R128</f>
        <v>1.0766087844739529</v>
      </c>
      <c r="G127" s="151">
        <f>Histórico!AA128/Histórico!G128</f>
        <v>1.0283180778032037</v>
      </c>
    </row>
    <row r="128" spans="1:7" x14ac:dyDescent="0.25">
      <c r="A128" s="59">
        <f>+Histórico!A129</f>
        <v>44271</v>
      </c>
      <c r="B128" s="151">
        <f>+Histórico!V129/Histórico!B129</f>
        <v>1.0849056603773586</v>
      </c>
      <c r="C128" s="151">
        <f>Histórico!Z129/Histórico!F129</f>
        <v>1.0277397929283063</v>
      </c>
      <c r="D128" s="151">
        <f>Histórico!AD129/Histórico!J129</f>
        <v>1.026431718061674</v>
      </c>
      <c r="E128" s="151">
        <f>Histórico!AH129/Histórico!N129</f>
        <v>1.1415478615071284</v>
      </c>
      <c r="F128" s="151">
        <f>Histórico!AL129/Histórico!R129</f>
        <v>1.0987098095433134</v>
      </c>
      <c r="G128" s="151">
        <f>Histórico!AA129/Histórico!G129</f>
        <v>1.0254237288135593</v>
      </c>
    </row>
    <row r="129" spans="1:7" x14ac:dyDescent="0.25">
      <c r="A129" s="59">
        <f>+Histórico!A130</f>
        <v>44272</v>
      </c>
      <c r="B129" s="151">
        <f>+Histórico!V130/Histórico!B130</f>
        <v>1.0851262862488307</v>
      </c>
      <c r="C129" s="151">
        <f>Histórico!Z130/Histórico!F130</f>
        <v>1.0313401268986733</v>
      </c>
      <c r="D129" s="151">
        <f>Histórico!AD130/Histórico!J130</f>
        <v>1.0405759162303665</v>
      </c>
      <c r="E129" s="151">
        <f>Histórico!AH130/Histórico!N130</f>
        <v>1.1373737373737374</v>
      </c>
      <c r="F129" s="151">
        <f>Histórico!AL130/Histórico!R130</f>
        <v>1.117948717948718</v>
      </c>
      <c r="G129" s="151">
        <f>Histórico!AA130/Histórico!G130</f>
        <v>1.0301675977653633</v>
      </c>
    </row>
    <row r="130" spans="1:7" x14ac:dyDescent="0.25">
      <c r="A130" s="59">
        <f>+Histórico!A131</f>
        <v>44273</v>
      </c>
      <c r="B130" s="151">
        <f>+Histórico!V131/Histórico!B131</f>
        <v>1.0949773413897281</v>
      </c>
      <c r="C130" s="151">
        <f>Histórico!Z131/Histórico!F131</f>
        <v>1.0257547988810649</v>
      </c>
      <c r="D130" s="151">
        <f>Histórico!AD131/Histórico!J131</f>
        <v>1.0257248746457379</v>
      </c>
      <c r="E130" s="151">
        <f>Histórico!AH131/Histórico!N131</f>
        <v>1.1585365853658536</v>
      </c>
      <c r="F130" s="151">
        <f>Histórico!AL131/Histórico!R131</f>
        <v>1.1048879837067209</v>
      </c>
      <c r="G130" s="151">
        <f>Histórico!AA131/Histórico!G131</f>
        <v>1.0220547180346176</v>
      </c>
    </row>
    <row r="131" spans="1:7" x14ac:dyDescent="0.25">
      <c r="A131" s="59">
        <f>+Histórico!A132</f>
        <v>44274</v>
      </c>
      <c r="B131" s="151">
        <f>+Histórico!V132/Histórico!B132</f>
        <v>1.0767790262172285</v>
      </c>
      <c r="C131" s="151">
        <f>Histórico!Z132/Histórico!F132</f>
        <v>1.0314161430642823</v>
      </c>
      <c r="D131" s="151">
        <f>Histórico!AD132/Histórico!J132</f>
        <v>1.0247311827956989</v>
      </c>
      <c r="E131" s="151">
        <f>Histórico!AH132/Histórico!N132</f>
        <v>1.1442986881937436</v>
      </c>
      <c r="F131" s="151">
        <f>Histórico!AL132/Histórico!R132</f>
        <v>1.1063829787234043</v>
      </c>
      <c r="G131" s="151">
        <f>Histórico!AA132/Histórico!G132</f>
        <v>1.028674832962138</v>
      </c>
    </row>
    <row r="132" spans="1:7" x14ac:dyDescent="0.25">
      <c r="A132" s="59">
        <f>+Histórico!A133</f>
        <v>44277</v>
      </c>
      <c r="B132" s="151">
        <f>+Histórico!V133/Histórico!B133</f>
        <v>1.0727611940298507</v>
      </c>
      <c r="C132" s="151">
        <f>Histórico!Z133/Histórico!F133</f>
        <v>1.0312739831158864</v>
      </c>
      <c r="D132" s="151">
        <f>Histórico!AD133/Histórico!J133</f>
        <v>1.0171824973319104</v>
      </c>
      <c r="E132" s="151">
        <f>Histórico!AH133/Histórico!N133</f>
        <v>1.1487834064619067</v>
      </c>
      <c r="F132" s="151">
        <f>Histórico!AL133/Histórico!R133</f>
        <v>1.0813492063492063</v>
      </c>
      <c r="G132" s="151">
        <f>Histórico!AA133/Histórico!G133</f>
        <v>1.0313100796484482</v>
      </c>
    </row>
    <row r="133" spans="1:7" x14ac:dyDescent="0.25">
      <c r="A133" s="59">
        <f>+Histórico!A134</f>
        <v>44278</v>
      </c>
      <c r="B133" s="151">
        <f>+Histórico!V134/Histórico!B134</f>
        <v>1.0698198198198199</v>
      </c>
      <c r="C133" s="151">
        <f>Histórico!Z134/Histórico!F134</f>
        <v>1.0307392996108948</v>
      </c>
      <c r="D133" s="151">
        <f>Histórico!AD134/Histórico!J134</f>
        <v>1.0215367965367965</v>
      </c>
      <c r="E133" s="151">
        <f>Histórico!AH134/Histórico!N134</f>
        <v>1.1306740027510316</v>
      </c>
      <c r="F133" s="151">
        <f>Histórico!AL134/Histórico!R134</f>
        <v>1.0934691431995207</v>
      </c>
      <c r="G133" s="151">
        <f>Histórico!AA134/Histórico!G134</f>
        <v>1.03</v>
      </c>
    </row>
    <row r="134" spans="1:7" x14ac:dyDescent="0.25">
      <c r="A134" s="59">
        <f>+Histórico!A135</f>
        <v>44280</v>
      </c>
      <c r="B134" s="151">
        <f>+Histórico!V135/Histórico!B135</f>
        <v>1.0605176104300447</v>
      </c>
      <c r="C134" s="151">
        <f>Histórico!Z135/Histórico!F135</f>
        <v>1.0276442307692308</v>
      </c>
      <c r="D134" s="151">
        <f>Histórico!AD135/Histórico!J135</f>
        <v>1.0224719101123596</v>
      </c>
      <c r="E134" s="151">
        <f>Histórico!AH135/Histórico!N135</f>
        <v>1.1265306122448979</v>
      </c>
      <c r="F134" s="151">
        <f>Histórico!AL135/Histórico!R135</f>
        <v>1.082527268985388</v>
      </c>
      <c r="G134" s="151">
        <f>Histórico!AA135/Histórico!G135</f>
        <v>1.027455420322672</v>
      </c>
    </row>
    <row r="135" spans="1:7" x14ac:dyDescent="0.25">
      <c r="A135" s="59">
        <f>+Histórico!A136</f>
        <v>44281</v>
      </c>
      <c r="B135" s="151">
        <f>+Histórico!V136/Histórico!B136</f>
        <v>1.0626111001382579</v>
      </c>
      <c r="C135" s="151">
        <f>Histórico!Z136/Histórico!F136</f>
        <v>1.0276073619631902</v>
      </c>
      <c r="D135" s="151">
        <f>Histórico!AD136/Histórico!J136</f>
        <v>1.0288683602771362</v>
      </c>
      <c r="E135" s="151">
        <f>Histórico!AH136/Histórico!N136</f>
        <v>1.1406832298136647</v>
      </c>
      <c r="F135" s="151">
        <f>Histórico!AL136/Histórico!R136</f>
        <v>1.0955173858399665</v>
      </c>
      <c r="G135" s="151">
        <f>Histórico!AA136/Histórico!G136</f>
        <v>1.0251981879954699</v>
      </c>
    </row>
    <row r="136" spans="1:7" x14ac:dyDescent="0.25">
      <c r="A136" s="59">
        <f>+Histórico!A137</f>
        <v>44284</v>
      </c>
      <c r="B136" s="151">
        <f>+Histórico!V137/Histórico!B137</f>
        <v>1.0559760956175299</v>
      </c>
      <c r="C136" s="151">
        <f>Histórico!Z137/Histórico!F137</f>
        <v>1.0310352009997916</v>
      </c>
      <c r="D136" s="151">
        <f>Histórico!AD137/Histórico!J137</f>
        <v>1.027027027027027</v>
      </c>
      <c r="E136" s="151">
        <f>Histórico!AH137/Histórico!N137</f>
        <v>1.1360759493670887</v>
      </c>
      <c r="F136" s="151">
        <f>Histórico!AL137/Histórico!R137</f>
        <v>1.0701943844492441</v>
      </c>
      <c r="G136" s="151">
        <f>Histórico!AA137/Histórico!G137</f>
        <v>1.0282665128353041</v>
      </c>
    </row>
    <row r="137" spans="1:7" x14ac:dyDescent="0.25">
      <c r="A137" s="59">
        <f>+Histórico!A138</f>
        <v>44285</v>
      </c>
      <c r="B137" s="151">
        <f>+Histórico!V138/Histórico!B138</f>
        <v>1.0766129032258065</v>
      </c>
      <c r="C137" s="151">
        <f>Histórico!Z138/Histórico!F138</f>
        <v>1.0220191109264645</v>
      </c>
      <c r="D137" s="151">
        <f>Histórico!AD138/Histórico!J138</f>
        <v>1.0223130841121495</v>
      </c>
      <c r="E137" s="151">
        <f>Histórico!AH138/Histórico!N138</f>
        <v>1.1394809031441233</v>
      </c>
      <c r="F137" s="151">
        <f>Histórico!AL138/Histórico!R138</f>
        <v>1.0801282051282051</v>
      </c>
      <c r="G137" s="151">
        <f>Histórico!AA138/Histórico!G138</f>
        <v>1.0233304170312045</v>
      </c>
    </row>
    <row r="138" spans="1:7" x14ac:dyDescent="0.25">
      <c r="A138" s="59">
        <f>+Histórico!A139</f>
        <v>44286</v>
      </c>
      <c r="B138" s="151">
        <f>+Histórico!V139/Histórico!B139</f>
        <v>1.0863124629666205</v>
      </c>
      <c r="C138" s="151">
        <f>Histórico!Z139/Histórico!F139</f>
        <v>1.024475885572653</v>
      </c>
      <c r="D138" s="151">
        <f>Histórico!AD139/Histórico!J139</f>
        <v>1.0248871397152448</v>
      </c>
      <c r="E138" s="151">
        <f>Histórico!AH139/Histórico!N139</f>
        <v>1.1203319502074689</v>
      </c>
      <c r="F138" s="151">
        <f>Histórico!AL139/Histórico!R139</f>
        <v>1.0812236286919832</v>
      </c>
      <c r="G138" s="151">
        <f>Histórico!AA139/Histórico!G139</f>
        <v>1.0281938325991189</v>
      </c>
    </row>
    <row r="139" spans="1:7" x14ac:dyDescent="0.25">
      <c r="A139" s="59">
        <f>+Histórico!A140</f>
        <v>44291</v>
      </c>
      <c r="B139" s="151">
        <f>+Histórico!V140/Histórico!B140</f>
        <v>1.0704527712724434</v>
      </c>
      <c r="C139" s="151">
        <f>Histórico!Z140/Histórico!F140</f>
        <v>1.013051396195872</v>
      </c>
      <c r="D139" s="151">
        <f>Histórico!AD140/Histórico!J140</f>
        <v>1.032258064516129</v>
      </c>
      <c r="E139" s="151">
        <f>Histórico!AH140/Histórico!N140</f>
        <v>1.1390686991021091</v>
      </c>
      <c r="F139" s="151">
        <f>Histórico!AL140/Histórico!R140</f>
        <v>1.098936170212766</v>
      </c>
      <c r="G139" s="151">
        <f>Histórico!AA140/Histórico!G140</f>
        <v>1.0143472022955524</v>
      </c>
    </row>
    <row r="140" spans="1:7" x14ac:dyDescent="0.25">
      <c r="A140" s="59">
        <f>+Histórico!A141</f>
        <v>44292</v>
      </c>
      <c r="B140" s="151">
        <f>+Histórico!V141/Histórico!B141</f>
        <v>1.0842370255615801</v>
      </c>
      <c r="C140" s="151">
        <f>Histórico!Z141/Histórico!F141</f>
        <v>1.0235175879396985</v>
      </c>
      <c r="D140" s="151">
        <f>Histórico!AD141/Histórico!J141</f>
        <v>1.0273037542662116</v>
      </c>
      <c r="E140" s="151">
        <f>Histórico!AH141/Histórico!N141</f>
        <v>1.1425619834710743</v>
      </c>
      <c r="F140" s="151">
        <f>Histórico!AL141/Histórico!R141</f>
        <v>1.0887265135699373</v>
      </c>
      <c r="G140" s="151">
        <f>Histórico!AA141/Histórico!G141</f>
        <v>1.0222350563095581</v>
      </c>
    </row>
    <row r="141" spans="1:7" x14ac:dyDescent="0.25">
      <c r="A141" s="59">
        <f>+Histórico!A142</f>
        <v>44293</v>
      </c>
      <c r="B141" s="151">
        <f>+Histórico!V142/Histórico!B142</f>
        <v>1.0644910644910646</v>
      </c>
      <c r="C141" s="151">
        <f>Histórico!Z142/Histórico!F142</f>
        <v>1.0215291750503017</v>
      </c>
      <c r="D141" s="151">
        <f>Histórico!AD142/Histórico!J142</f>
        <v>1.0277492291880781</v>
      </c>
      <c r="E141" s="151">
        <f>Histórico!AH142/Histórico!N142</f>
        <v>1.1451646303582523</v>
      </c>
      <c r="F141" s="151">
        <f>Histórico!AL142/Histórico!R142</f>
        <v>1.0916666666666666</v>
      </c>
      <c r="G141" s="151">
        <f>Histórico!AA142/Histórico!G142</f>
        <v>1.0208273069135088</v>
      </c>
    </row>
    <row r="142" spans="1:7" x14ac:dyDescent="0.25">
      <c r="A142" s="59">
        <f>+Histórico!A143</f>
        <v>44294</v>
      </c>
      <c r="B142" s="151">
        <f>+Histórico!V143/Histórico!B143</f>
        <v>1.0592808551992225</v>
      </c>
      <c r="C142" s="151">
        <f>Histórico!Z143/Histórico!F143</f>
        <v>1.0301507537688441</v>
      </c>
      <c r="D142" s="151">
        <f>Histórico!AD143/Histórico!J143</f>
        <v>1.0259621953996811</v>
      </c>
      <c r="E142" s="151">
        <f>Histórico!AH143/Histórico!N143</f>
        <v>1.1538061022597106</v>
      </c>
      <c r="F142" s="151">
        <f>Histórico!AL143/Histórico!R143</f>
        <v>1.0920502092050208</v>
      </c>
      <c r="G142" s="151">
        <f>Histórico!AA143/Histórico!G143</f>
        <v>1.0287874382087816</v>
      </c>
    </row>
    <row r="143" spans="1:7" x14ac:dyDescent="0.25">
      <c r="A143" s="59">
        <f>+Histórico!A144</f>
        <v>44295</v>
      </c>
      <c r="B143" s="151">
        <f>+Histórico!V144/Histórico!B144</f>
        <v>1.0670553935860059</v>
      </c>
      <c r="C143" s="151">
        <f>Histórico!Z144/Histórico!F144</f>
        <v>1.0317122593718338</v>
      </c>
      <c r="D143" s="151">
        <f>Histórico!AD144/Histórico!J144</f>
        <v>1.0344827586206897</v>
      </c>
      <c r="E143" s="151">
        <f>Histórico!AH144/Histórico!N144</f>
        <v>1.169633507853403</v>
      </c>
      <c r="F143" s="151">
        <f>Histórico!AL144/Histórico!R144</f>
        <v>1.0932914046121593</v>
      </c>
      <c r="G143" s="151">
        <f>Histórico!AA144/Histórico!G144</f>
        <v>1.0283791691047395</v>
      </c>
    </row>
    <row r="144" spans="1:7" x14ac:dyDescent="0.25">
      <c r="A144" s="59">
        <f>+Histórico!A145</f>
        <v>44298</v>
      </c>
      <c r="B144" s="151">
        <f>+Histórico!V145/Histórico!B145</f>
        <v>1.0889362526642123</v>
      </c>
      <c r="C144" s="151">
        <f>Histórico!Z145/Histórico!F145</f>
        <v>1.0474268415741674</v>
      </c>
      <c r="D144" s="151">
        <f>Histórico!AD145/Histórico!J145</f>
        <v>1.0468394724874943</v>
      </c>
      <c r="E144" s="151">
        <f>Histórico!AH145/Histórico!N145</f>
        <v>1.1868749999999999</v>
      </c>
      <c r="F144" s="151">
        <f>Histórico!AL145/Histórico!R145</f>
        <v>1.0947916666666666</v>
      </c>
      <c r="G144" s="151">
        <f>Histórico!AA145/Histórico!G145</f>
        <v>1.0444444444444445</v>
      </c>
    </row>
    <row r="145" spans="1:7" x14ac:dyDescent="0.25">
      <c r="A145" s="59">
        <f>+Histórico!A146</f>
        <v>44299</v>
      </c>
      <c r="B145" s="151">
        <f>+Histórico!V146/Histórico!B146</f>
        <v>1.0834301200154859</v>
      </c>
      <c r="C145" s="151">
        <f>Histórico!Z146/Histórico!F146</f>
        <v>1.0449517296862429</v>
      </c>
      <c r="D145" s="151">
        <f>Histórico!AD146/Histórico!J146</f>
        <v>1.0466120964074579</v>
      </c>
      <c r="E145" s="151">
        <f>Histórico!AH146/Histórico!N146</f>
        <v>1.1614173228346456</v>
      </c>
      <c r="F145" s="151">
        <f>Histórico!AL146/Histórico!R146</f>
        <v>1.1035564853556485</v>
      </c>
      <c r="G145" s="151">
        <f>Histórico!AA146/Histórico!G146</f>
        <v>1.0450890292935096</v>
      </c>
    </row>
    <row r="146" spans="1:7" x14ac:dyDescent="0.25">
      <c r="A146" s="59">
        <f>+Histórico!A147</f>
        <v>44300</v>
      </c>
      <c r="B146" s="151">
        <f>+Histórico!V147/Histórico!B147</f>
        <v>1.0869146270957795</v>
      </c>
      <c r="C146" s="151">
        <f>Histórico!Z147/Histórico!F147</f>
        <v>1.0414403540535104</v>
      </c>
      <c r="D146" s="151">
        <f>Histórico!AD147/Histórico!J147</f>
        <v>1.0428893905191874</v>
      </c>
      <c r="E146" s="151">
        <f>Histórico!AH147/Histórico!N147</f>
        <v>1.1648374404638642</v>
      </c>
      <c r="F146" s="151">
        <f>Histórico!AL147/Histórico!R147</f>
        <v>1.1024196912807676</v>
      </c>
      <c r="G146" s="151">
        <f>Histórico!AA147/Histórico!G147</f>
        <v>1.0442580271912063</v>
      </c>
    </row>
    <row r="147" spans="1:7" x14ac:dyDescent="0.25">
      <c r="A147" s="59">
        <f>+Histórico!A148</f>
        <v>44301</v>
      </c>
      <c r="B147" s="151">
        <f>+Histórico!V148/Histórico!B148</f>
        <v>1.1057225994180406</v>
      </c>
      <c r="C147" s="151">
        <f>Histórico!Z148/Histórico!F148</f>
        <v>1.051219512195122</v>
      </c>
      <c r="D147" s="151">
        <f>Histórico!AD148/Histórico!J148</f>
        <v>1.040458530006743</v>
      </c>
      <c r="E147" s="151">
        <f>Histórico!AH148/Histórico!N148</f>
        <v>1.1680584551148225</v>
      </c>
      <c r="F147" s="151">
        <f>Histórico!AL148/Histórico!R148</f>
        <v>1.1152219873150107</v>
      </c>
      <c r="G147" s="151">
        <f>Histórico!AA148/Histórico!G148</f>
        <v>1.0505109489051094</v>
      </c>
    </row>
    <row r="148" spans="1:7" x14ac:dyDescent="0.25">
      <c r="A148" s="59">
        <f>+Histórico!A149</f>
        <v>44302</v>
      </c>
      <c r="B148" s="151">
        <f>+Histórico!V149/Histórico!B149</f>
        <v>1.0837817063797079</v>
      </c>
      <c r="C148" s="151">
        <f>Histórico!Z149/Histórico!F149</f>
        <v>1.0643947100712106</v>
      </c>
      <c r="D148" s="151">
        <f>Histórico!AD149/Histórico!J149</f>
        <v>1.0444743935309972</v>
      </c>
      <c r="E148" s="151">
        <f>Histórico!AH149/Histórico!N149</f>
        <v>1.1656249999999999</v>
      </c>
      <c r="F148" s="151">
        <f>Histórico!AL149/Histórico!R149</f>
        <v>1.1200423056583817</v>
      </c>
      <c r="G148" s="151">
        <f>Histórico!AA149/Histórico!G149</f>
        <v>1.0643274853801168</v>
      </c>
    </row>
    <row r="149" spans="1:7" x14ac:dyDescent="0.25">
      <c r="A149" s="59">
        <f>+Histórico!A150</f>
        <v>44305</v>
      </c>
      <c r="B149" s="151">
        <f>+Histórico!V150/Histórico!B150</f>
        <v>1.0844529750479845</v>
      </c>
      <c r="C149" s="151">
        <f>Histórico!Z150/Histórico!F150</f>
        <v>1.0620717452640065</v>
      </c>
      <c r="D149" s="151">
        <f>Histórico!AD150/Histórico!J150</f>
        <v>1.0454443447037702</v>
      </c>
      <c r="E149" s="151">
        <f>Histórico!AH150/Histórico!N150</f>
        <v>1.1611570247933884</v>
      </c>
      <c r="F149" s="151">
        <f>Histórico!AL150/Histórico!R150</f>
        <v>1.1232067510548522</v>
      </c>
      <c r="G149" s="151">
        <f>Histórico!AA150/Histórico!G150</f>
        <v>1.061681699156241</v>
      </c>
    </row>
    <row r="150" spans="1:7" x14ac:dyDescent="0.25">
      <c r="A150" s="59">
        <f>+Histórico!A151</f>
        <v>44306</v>
      </c>
      <c r="B150" s="151">
        <f>+Histórico!V151/Histórico!B151</f>
        <v>1.0867492850333651</v>
      </c>
      <c r="C150" s="151">
        <f>Histórico!Z151/Histórico!F151</f>
        <v>1.0613999999999999</v>
      </c>
      <c r="D150" s="151">
        <f>Histórico!AD151/Histórico!J151</f>
        <v>1.042316258351893</v>
      </c>
      <c r="E150" s="151">
        <f>Histórico!AH151/Histórico!N151</f>
        <v>1.1540828887977022</v>
      </c>
      <c r="F150" s="151">
        <f>Histórico!AL151/Histórico!R151</f>
        <v>1.1057742508092305</v>
      </c>
      <c r="G150" s="151">
        <f>Histórico!AA151/Histórico!G151</f>
        <v>1.0566258026853474</v>
      </c>
    </row>
    <row r="151" spans="1:7" x14ac:dyDescent="0.25">
      <c r="A151" s="59">
        <f>+Histórico!A152</f>
        <v>44307</v>
      </c>
      <c r="B151" s="151">
        <f>+Histórico!V152/Histórico!B152</f>
        <v>1.0831758034026464</v>
      </c>
      <c r="C151" s="151">
        <f>Histórico!Z152/Histórico!F152</f>
        <v>1.0682546036829463</v>
      </c>
      <c r="D151" s="151">
        <f>Histórico!AD152/Histórico!J152</f>
        <v>1.0429312437920759</v>
      </c>
      <c r="E151" s="151">
        <f>Histórico!AH152/Histórico!N152</f>
        <v>1.153061224489796</v>
      </c>
      <c r="F151" s="151">
        <f>Histórico!AL152/Histórico!R152</f>
        <v>1.1099476439790577</v>
      </c>
      <c r="G151" s="151">
        <f>Histórico!AA152/Histórico!G152</f>
        <v>1.0663755458515285</v>
      </c>
    </row>
    <row r="152" spans="1:7" x14ac:dyDescent="0.25">
      <c r="A152" s="59">
        <f>+Histórico!A153</f>
        <v>44308</v>
      </c>
      <c r="B152" s="151">
        <f>+Histórico!V153/Histórico!B153</f>
        <v>1.0867528574105303</v>
      </c>
      <c r="C152" s="151">
        <f>Histórico!Z153/Histórico!F153</f>
        <v>1.0677864427114576</v>
      </c>
      <c r="D152" s="151">
        <f>Histórico!AD153/Histórico!J153</f>
        <v>1.0273615635179154</v>
      </c>
      <c r="E152" s="151">
        <f>Histórico!AH153/Histórico!N153</f>
        <v>1.1437246963562753</v>
      </c>
      <c r="F152" s="151">
        <f>Histórico!AL153/Histórico!R153</f>
        <v>1.1055900621118013</v>
      </c>
      <c r="G152" s="151">
        <f>Histórico!AA153/Histórico!G153</f>
        <v>1.0677916787896422</v>
      </c>
    </row>
    <row r="153" spans="1:7" x14ac:dyDescent="0.25">
      <c r="A153" s="59">
        <f>+Histórico!A154</f>
        <v>44309</v>
      </c>
      <c r="B153" s="151">
        <f>+Histórico!V154/Histórico!B154</f>
        <v>1.0740740740740742</v>
      </c>
      <c r="C153" s="151">
        <f>Histórico!Z154/Histórico!F154</f>
        <v>1.0714989166830806</v>
      </c>
      <c r="D153" s="151">
        <f>Histórico!AD154/Histórico!J154</f>
        <v>1.0330756013745706</v>
      </c>
      <c r="E153" s="151">
        <f>Histórico!AH154/Histórico!N154</f>
        <v>1.1387329591018445</v>
      </c>
      <c r="F153" s="151">
        <f>Histórico!AL154/Histórico!R154</f>
        <v>1.1164141938161445</v>
      </c>
      <c r="G153" s="151">
        <f>Histórico!AA154/Histórico!G154</f>
        <v>1.0713033313851548</v>
      </c>
    </row>
    <row r="154" spans="1:7" x14ac:dyDescent="0.25">
      <c r="A154" s="59">
        <f>+Histórico!A155</f>
        <v>44312</v>
      </c>
      <c r="B154" s="151">
        <f>+Histórico!V155/Histórico!B155</f>
        <v>1.068840579710145</v>
      </c>
      <c r="C154" s="151">
        <f>Histórico!Z155/Histórico!F155</f>
        <v>1.0591603053435115</v>
      </c>
      <c r="D154" s="151">
        <f>Histórico!AD155/Histórico!J155</f>
        <v>1.0250473584508524</v>
      </c>
      <c r="E154" s="151">
        <f>Histórico!AH155/Histórico!N155</f>
        <v>1.1378126532614026</v>
      </c>
      <c r="F154" s="151">
        <f>Histórico!AL155/Histórico!R155</f>
        <v>1.1229290243403558</v>
      </c>
      <c r="G154" s="151">
        <f>Histórico!AA155/Histórico!G155</f>
        <v>1.0567823343848581</v>
      </c>
    </row>
    <row r="155" spans="1:7" x14ac:dyDescent="0.25">
      <c r="A155" s="59">
        <f>+Histórico!A156</f>
        <v>44313</v>
      </c>
      <c r="B155" s="151">
        <f>+Histórico!V156/Histórico!B156</f>
        <v>1.0644007155635062</v>
      </c>
      <c r="C155" s="151">
        <f>Histórico!Z156/Histórico!F156</f>
        <v>1.052996254681648</v>
      </c>
      <c r="D155" s="151">
        <f>Histórico!AD156/Histórico!J156</f>
        <v>1.0102669404517455</v>
      </c>
      <c r="E155" s="151">
        <f>Histórico!AH156/Histórico!N156</f>
        <v>1.142578125</v>
      </c>
      <c r="F155" s="151">
        <f>Histórico!AL156/Histórico!R156</f>
        <v>1.1237092528851995</v>
      </c>
      <c r="G155" s="151">
        <f>Histórico!AA156/Histórico!G156</f>
        <v>1.0536170212765958</v>
      </c>
    </row>
    <row r="156" spans="1:7" x14ac:dyDescent="0.25">
      <c r="A156" s="59">
        <f>+Histórico!A157</f>
        <v>44314</v>
      </c>
      <c r="B156" s="151">
        <f>+Histórico!V157/Histórico!B157</f>
        <v>1.0595406360424029</v>
      </c>
      <c r="C156" s="151">
        <f>Histórico!Z157/Histórico!F157</f>
        <v>1.0529258292955648</v>
      </c>
      <c r="D156" s="151">
        <f>Histórico!AD157/Histórico!J157</f>
        <v>1.013265306122449</v>
      </c>
      <c r="E156" s="151">
        <f>Histórico!AH157/Histórico!N157</f>
        <v>1.1332694151486098</v>
      </c>
      <c r="F156" s="151">
        <f>Histórico!AL157/Histórico!R157</f>
        <v>1.1226920786182251</v>
      </c>
      <c r="G156" s="151">
        <f>Histórico!AA157/Histórico!G157</f>
        <v>1.0455445544554456</v>
      </c>
    </row>
    <row r="157" spans="1:7" x14ac:dyDescent="0.25">
      <c r="A157" s="59">
        <f>+Histórico!A158</f>
        <v>44315</v>
      </c>
      <c r="B157" s="151">
        <f>+Histórico!V158/Histórico!B158</f>
        <v>1.0784661814308538</v>
      </c>
      <c r="C157" s="151">
        <f>Histórico!Z158/Histórico!F158</f>
        <v>1.0484893696381947</v>
      </c>
      <c r="D157" s="151">
        <f>Histórico!AD158/Histórico!J158</f>
        <v>1.0166426957057735</v>
      </c>
      <c r="E157" s="151">
        <f>Histórico!AH158/Histórico!N158</f>
        <v>1.1376673040152965</v>
      </c>
      <c r="F157" s="151">
        <f>Histórico!AL158/Histórico!R158</f>
        <v>1.1117728806829461</v>
      </c>
      <c r="G157" s="151">
        <f>Histórico!AA158/Histórico!G158</f>
        <v>1.0431450468350838</v>
      </c>
    </row>
    <row r="158" spans="1:7" x14ac:dyDescent="0.25">
      <c r="A158" s="59">
        <f>+Histórico!A159</f>
        <v>44316</v>
      </c>
      <c r="B158" s="151">
        <f>+Histórico!V159/Histórico!B159</f>
        <v>1.0768821022727273</v>
      </c>
      <c r="C158" s="151">
        <f>Histórico!Z159/Histórico!F159</f>
        <v>1.0633526443655392</v>
      </c>
      <c r="D158" s="151">
        <f>Histórico!AD159/Histórico!J159</f>
        <v>1.0284598787629713</v>
      </c>
      <c r="E158" s="151">
        <f>Histórico!AH159/Histórico!N159</f>
        <v>1.1483253588516746</v>
      </c>
      <c r="F158" s="151">
        <f>Histórico!AL159/Histórico!R159</f>
        <v>1.1110010892167541</v>
      </c>
      <c r="G158" s="151">
        <f>Histórico!AA159/Histórico!G159</f>
        <v>1.0583048919226394</v>
      </c>
    </row>
    <row r="159" spans="1:7" x14ac:dyDescent="0.25">
      <c r="A159" s="59">
        <f>+Histórico!A160</f>
        <v>44319</v>
      </c>
      <c r="B159" s="151">
        <f>+Histórico!V160/Histórico!B160</f>
        <v>1.065432098765432</v>
      </c>
      <c r="C159" s="151">
        <f>Histórico!Z160/Histórico!F160</f>
        <v>1.0615127299758409</v>
      </c>
      <c r="D159" s="151">
        <f>Histórico!AD160/Histórico!J160</f>
        <v>1.0323170731707316</v>
      </c>
      <c r="E159" s="151">
        <f>Histórico!AH160/Histórico!N160</f>
        <v>1.1560693641618498</v>
      </c>
      <c r="F159" s="151">
        <f>Histórico!AL160/Histórico!R160</f>
        <v>1.126984126984127</v>
      </c>
      <c r="G159" s="151">
        <f>Histórico!AA160/Histórico!G160</f>
        <v>1.0537237066515066</v>
      </c>
    </row>
    <row r="160" spans="1:7" x14ac:dyDescent="0.25">
      <c r="A160" s="59">
        <f>+Histórico!A161</f>
        <v>44320</v>
      </c>
      <c r="B160" s="151">
        <f>+Histórico!V161/Histórico!B161</f>
        <v>1.0769909941727001</v>
      </c>
      <c r="C160" s="151">
        <f>Histórico!Z161/Histórico!F161</f>
        <v>1.0670380687093779</v>
      </c>
      <c r="D160" s="151">
        <f>Histórico!AD161/Histórico!J161</f>
        <v>1.0186046511627906</v>
      </c>
      <c r="E160" s="151">
        <f>Histórico!AH161/Histórico!N161</f>
        <v>1.1485451761102603</v>
      </c>
      <c r="F160" s="151">
        <f>Histórico!AL161/Histórico!R161</f>
        <v>1.1137487636003955</v>
      </c>
      <c r="G160" s="151">
        <f>Histórico!AA161/Histórico!G161</f>
        <v>1.0549544419134396</v>
      </c>
    </row>
    <row r="161" spans="1:7" x14ac:dyDescent="0.25">
      <c r="A161" s="59">
        <f>+Histórico!A162</f>
        <v>44321</v>
      </c>
      <c r="B161" s="151">
        <f>+Histórico!V162/Histórico!B162</f>
        <v>1.0748898678414096</v>
      </c>
      <c r="C161" s="151">
        <f>Histórico!Z162/Histórico!F162</f>
        <v>1.059369202226345</v>
      </c>
      <c r="D161" s="151">
        <f>Histórico!AD162/Histórico!J162</f>
        <v>1.0203748981255094</v>
      </c>
      <c r="E161" s="151">
        <f>Histórico!AH162/Histórico!N162</f>
        <v>1.1525911708253358</v>
      </c>
      <c r="F161" s="151">
        <f>Histórico!AL162/Histórico!R162</f>
        <v>1.1144101346001583</v>
      </c>
      <c r="G161" s="151">
        <f>Histórico!AA162/Histórico!G162</f>
        <v>1.0507990867579908</v>
      </c>
    </row>
    <row r="162" spans="1:7" x14ac:dyDescent="0.25">
      <c r="A162" s="59">
        <f>+Histórico!A163</f>
        <v>44322</v>
      </c>
      <c r="B162" s="151">
        <f>+Histórico!V163/Histórico!B163</f>
        <v>1.0762411347517731</v>
      </c>
      <c r="C162" s="151">
        <f>Histórico!Z163/Histórico!F163</f>
        <v>1.0495806150978564</v>
      </c>
      <c r="D162" s="151">
        <f>Histórico!AD163/Histórico!J163</f>
        <v>1.0415192507804369</v>
      </c>
      <c r="E162" s="151">
        <f>Histórico!AH163/Histórico!N163</f>
        <v>1.1590733590733591</v>
      </c>
      <c r="F162" s="151">
        <f>Histórico!AL163/Histórico!R163</f>
        <v>1.1240000000000001</v>
      </c>
      <c r="G162" s="151">
        <f>Histórico!AA163/Histórico!G163</f>
        <v>1.0506183491515675</v>
      </c>
    </row>
    <row r="163" spans="1:7" x14ac:dyDescent="0.25">
      <c r="A163" s="59">
        <f>+Histórico!A164</f>
        <v>44323</v>
      </c>
      <c r="B163" s="151">
        <f>+Histórico!V164/Histórico!B164</f>
        <v>1.0684295158120423</v>
      </c>
      <c r="C163" s="151">
        <f>Histórico!Z164/Histórico!F164</f>
        <v>1.0598564954682779</v>
      </c>
      <c r="D163" s="151">
        <f>Histórico!AD164/Histórico!J164</f>
        <v>1.0331262939958592</v>
      </c>
      <c r="E163" s="151">
        <f>Histórico!AH164/Histórico!N164</f>
        <v>1.1613967022308438</v>
      </c>
      <c r="F163" s="151">
        <f>Histórico!AL164/Histórico!R164</f>
        <v>1.1225922953451044</v>
      </c>
      <c r="G163" s="151">
        <f>Histórico!AA164/Histórico!G164</f>
        <v>1.0588921282798835</v>
      </c>
    </row>
    <row r="164" spans="1:7" x14ac:dyDescent="0.25">
      <c r="A164" s="59">
        <f>+Histórico!A165</f>
        <v>44326</v>
      </c>
      <c r="B164" s="151">
        <f>+Histórico!V165/Histórico!B165</f>
        <v>1.0705587392550144</v>
      </c>
      <c r="C164" s="151">
        <f>Histórico!Z165/Histórico!F165</f>
        <v>1.0567409365558913</v>
      </c>
      <c r="D164" s="151">
        <f>Histórico!AD165/Histórico!J165</f>
        <v>1.0238268650504629</v>
      </c>
      <c r="E164" s="151">
        <f>Histórico!AH165/Histórico!N165</f>
        <v>1.1495601173020529</v>
      </c>
      <c r="F164" s="151">
        <f>Histórico!AL165/Histórico!R165</f>
        <v>1.1163680289913429</v>
      </c>
      <c r="G164" s="151">
        <f>Histórico!AA165/Histórico!G165</f>
        <v>1.0604651162790697</v>
      </c>
    </row>
    <row r="165" spans="1:7" x14ac:dyDescent="0.25">
      <c r="A165" s="59">
        <f>+Histórico!A166</f>
        <v>44327</v>
      </c>
      <c r="B165" s="151">
        <f>+Histórico!V166/Histórico!B166</f>
        <v>1.08675799086758</v>
      </c>
      <c r="C165" s="151">
        <f>Histórico!Z166/Histórico!F166</f>
        <v>1.0617760617760619</v>
      </c>
      <c r="D165" s="151">
        <f>Histórico!AD166/Histórico!J166</f>
        <v>1.0158730158730158</v>
      </c>
      <c r="E165" s="151">
        <f>Histórico!AH166/Histórico!N166</f>
        <v>1.1535048802129548</v>
      </c>
      <c r="F165" s="151">
        <f>Histórico!AL166/Histórico!R166</f>
        <v>1.108523992711075</v>
      </c>
      <c r="G165" s="151">
        <f>Histórico!AA166/Histórico!G166</f>
        <v>1.0615020697811945</v>
      </c>
    </row>
    <row r="166" spans="1:7" x14ac:dyDescent="0.25">
      <c r="A166" s="59">
        <f>+Histórico!A167</f>
        <v>44328</v>
      </c>
      <c r="B166" s="151">
        <f>+Histórico!V167/Histórico!B167</f>
        <v>1.0730387736699729</v>
      </c>
      <c r="C166" s="151">
        <f>Histórico!Z167/Histórico!F167</f>
        <v>1.0658247225411404</v>
      </c>
      <c r="D166" s="151">
        <f>Histórico!AD167/Histórico!J167</f>
        <v>1.0271612766856901</v>
      </c>
      <c r="E166" s="151">
        <f>Histórico!AH167/Histórico!N167</f>
        <v>1.1430808377373263</v>
      </c>
      <c r="F166" s="151">
        <f>Histórico!AL167/Histórico!R167</f>
        <v>1.1199348401547546</v>
      </c>
      <c r="G166" s="151">
        <f>Histórico!AA167/Histórico!G167</f>
        <v>1.0671357373204338</v>
      </c>
    </row>
    <row r="167" spans="1:7" x14ac:dyDescent="0.25">
      <c r="A167" s="59">
        <f>+Histórico!A168</f>
        <v>44329</v>
      </c>
      <c r="B167" s="151">
        <f>+Histórico!V168/Histórico!B168</f>
        <v>1.0589072788752447</v>
      </c>
      <c r="C167" s="151">
        <f>Histórico!Z168/Histórico!F168</f>
        <v>1.0665399239543727</v>
      </c>
      <c r="D167" s="151">
        <f>Histórico!AD168/Histórico!J168</f>
        <v>1.0220145379023884</v>
      </c>
      <c r="E167" s="151">
        <f>Histórico!AH168/Histórico!N168</f>
        <v>1.1553398058252426</v>
      </c>
      <c r="F167" s="151">
        <f>Histórico!AL168/Histórico!R168</f>
        <v>1.1172344689378757</v>
      </c>
      <c r="G167" s="151">
        <f>Histórico!AA168/Histórico!G168</f>
        <v>1.0651665692577441</v>
      </c>
    </row>
    <row r="168" spans="1:7" x14ac:dyDescent="0.25">
      <c r="A168" s="59">
        <f>+Histórico!A169</f>
        <v>44330</v>
      </c>
      <c r="B168" s="151">
        <f>+Histórico!V169/Histórico!B169</f>
        <v>1.0677083333333333</v>
      </c>
      <c r="C168" s="151">
        <f>Histórico!Z169/Histórico!F169</f>
        <v>1.0698706099815156</v>
      </c>
      <c r="D168" s="151">
        <f>Histórico!AD169/Histórico!J169</f>
        <v>1.0216432865731464</v>
      </c>
      <c r="E168" s="151">
        <f>Histórico!AH169/Histórico!N169</f>
        <v>1.1461603534166744</v>
      </c>
      <c r="F168" s="151">
        <f>Histórico!AL169/Histórico!R169</f>
        <v>1.1278932914868576</v>
      </c>
      <c r="G168" s="151">
        <f>Histórico!AA169/Histórico!G169</f>
        <v>1.067255628384155</v>
      </c>
    </row>
    <row r="169" spans="1:7" x14ac:dyDescent="0.25">
      <c r="A169" s="59">
        <f>+Histórico!A170</f>
        <v>44333</v>
      </c>
      <c r="B169" s="151">
        <f>+Histórico!V170/Histórico!B170</f>
        <v>1.0534351145038168</v>
      </c>
      <c r="C169" s="151">
        <f>Histórico!Z170/Histórico!F170</f>
        <v>1.0771599347944214</v>
      </c>
      <c r="D169" s="151">
        <f>Histórico!AD170/Histórico!J170</f>
        <v>1.0288348371910554</v>
      </c>
      <c r="E169" s="151">
        <f>Histórico!AH170/Histórico!N170</f>
        <v>1.1595412844036697</v>
      </c>
      <c r="F169" s="151">
        <f>Histórico!AL170/Histórico!R170</f>
        <v>1.12689575734306</v>
      </c>
      <c r="G169" s="151">
        <f>Histórico!AA170/Histórico!G170</f>
        <v>1.0750700280112044</v>
      </c>
    </row>
    <row r="170" spans="1:7" x14ac:dyDescent="0.25">
      <c r="A170" s="59">
        <f>+Histórico!A171</f>
        <v>44334</v>
      </c>
      <c r="B170" s="151">
        <f>+Histórico!V171/Histórico!B171</f>
        <v>1.0700389105058365</v>
      </c>
      <c r="C170" s="151">
        <f>Histórico!Z171/Histórico!F171</f>
        <v>1.0825207656193572</v>
      </c>
      <c r="D170" s="151">
        <f>Histórico!AD171/Histórico!J171</f>
        <v>1.036657316955218</v>
      </c>
      <c r="E170" s="151">
        <f>Histórico!AH171/Histórico!N171</f>
        <v>1.1407942238267148</v>
      </c>
      <c r="F170" s="151">
        <f>Histórico!AL171/Histórico!R171</f>
        <v>1.1534090909090908</v>
      </c>
      <c r="G170" s="151">
        <f>Histórico!AA171/Histórico!G171</f>
        <v>1.0750700280112044</v>
      </c>
    </row>
    <row r="171" spans="1:7" x14ac:dyDescent="0.25">
      <c r="A171" s="59">
        <f>+Histórico!A172</f>
        <v>44335</v>
      </c>
      <c r="B171" s="151">
        <f>+Histórico!V172/Histórico!B172</f>
        <v>1.0717948717948718</v>
      </c>
      <c r="C171" s="151">
        <f>Histórico!Z172/Histórico!F172</f>
        <v>1.0883746355685131</v>
      </c>
      <c r="D171" s="151">
        <f>Histórico!AD172/Histórico!J172</f>
        <v>1.0386100386100385</v>
      </c>
      <c r="E171" s="151">
        <f>Histórico!AH172/Histórico!N172</f>
        <v>1.139240506329114</v>
      </c>
      <c r="F171" s="151">
        <f>Histórico!AL172/Histórico!R172</f>
        <v>1.1322360953461974</v>
      </c>
      <c r="G171" s="151">
        <f>Histórico!AA172/Histórico!G172</f>
        <v>1.080695751354434</v>
      </c>
    </row>
    <row r="172" spans="1:7" x14ac:dyDescent="0.25">
      <c r="A172" s="59">
        <f>+Histórico!A173</f>
        <v>44336</v>
      </c>
      <c r="B172" s="151">
        <f>+Histórico!V173/Histórico!B173</f>
        <v>1.0719781159172508</v>
      </c>
      <c r="C172" s="151">
        <f>Histórico!Z173/Histórico!F173</f>
        <v>1.1000365764447695</v>
      </c>
      <c r="D172" s="151">
        <f>Histórico!AD173/Histórico!J173</f>
        <v>1.0352828379674017</v>
      </c>
      <c r="E172" s="151">
        <f>Histórico!AH173/Histórico!N173</f>
        <v>1.1397849462365592</v>
      </c>
      <c r="F172" s="151">
        <f>Histórico!AL173/Histórico!R173</f>
        <v>1.1299435028248588</v>
      </c>
      <c r="G172" s="151">
        <f>Histórico!AA173/Histórico!G173</f>
        <v>1.0922944220816562</v>
      </c>
    </row>
    <row r="173" spans="1:7" x14ac:dyDescent="0.25">
      <c r="A173" s="59">
        <f>+Histórico!A174</f>
        <v>44337</v>
      </c>
      <c r="B173" s="151">
        <f>+Histórico!V174/Histórico!B174</f>
        <v>1.0822362797059326</v>
      </c>
      <c r="C173" s="151">
        <f>Histórico!Z174/Histórico!F174</f>
        <v>1.0969162995594715</v>
      </c>
      <c r="D173" s="151">
        <f>Histórico!AD174/Histórico!J174</f>
        <v>1.0379746835443038</v>
      </c>
      <c r="E173" s="151">
        <f>Histórico!AH174/Histórico!N174</f>
        <v>1.1298980139559849</v>
      </c>
      <c r="F173" s="151">
        <f>Histórico!AL174/Histórico!R174</f>
        <v>1.1350844277673546</v>
      </c>
      <c r="G173" s="151">
        <f>Histórico!AA174/Histórico!G174</f>
        <v>1.0901162790697674</v>
      </c>
    </row>
    <row r="174" spans="1:7" x14ac:dyDescent="0.25">
      <c r="A174" s="59">
        <f>+Histórico!A175</f>
        <v>44342</v>
      </c>
      <c r="B174" s="151">
        <f>+Histórico!V175/Histórico!B175</f>
        <v>1.075</v>
      </c>
      <c r="C174" s="151">
        <f>Histórico!Z175/Histórico!F175</f>
        <v>1.0954845618418705</v>
      </c>
      <c r="D174" s="151">
        <f>Histórico!AD175/Histórico!J175</f>
        <v>1.0424761904761906</v>
      </c>
      <c r="E174" s="151">
        <f>Histórico!AH175/Histórico!N175</f>
        <v>1.124762069562208</v>
      </c>
      <c r="F174" s="151">
        <f>Histórico!AL175/Histórico!R175</f>
        <v>1.117001828153565</v>
      </c>
      <c r="G174" s="151">
        <f>Histórico!AA175/Histórico!G175</f>
        <v>1.0930888575458391</v>
      </c>
    </row>
    <row r="175" spans="1:7" x14ac:dyDescent="0.25">
      <c r="A175" s="59">
        <f>+Histórico!A176</f>
        <v>44343</v>
      </c>
      <c r="B175" s="151">
        <f>+Histórico!V176/Histórico!B176</f>
        <v>1.0495928941524797</v>
      </c>
      <c r="C175" s="151">
        <f>Histórico!Z176/Histórico!F176</f>
        <v>1.0890459363957596</v>
      </c>
      <c r="D175" s="151">
        <f>Histórico!AD176/Histórico!J176</f>
        <v>1.0260950605778192</v>
      </c>
      <c r="E175" s="151">
        <f>Histórico!AH176/Histórico!N176</f>
        <v>1.1193520886615516</v>
      </c>
      <c r="F175" s="151">
        <f>Histórico!AL176/Histórico!R176</f>
        <v>1.0867256637168141</v>
      </c>
      <c r="G175" s="151">
        <f>Histórico!AA176/Histórico!G176</f>
        <v>1.0855300056085251</v>
      </c>
    </row>
    <row r="176" spans="1:7" x14ac:dyDescent="0.25">
      <c r="A176" s="59">
        <f>+Histórico!A177</f>
        <v>44344</v>
      </c>
      <c r="B176" s="151">
        <f>+Histórico!V177/Histórico!B177</f>
        <v>1.0766666666666667</v>
      </c>
      <c r="C176" s="151">
        <f>Histórico!Z177/Histórico!F177</f>
        <v>1.093295494856332</v>
      </c>
      <c r="D176" s="151">
        <f>Histórico!AD177/Histórico!J177</f>
        <v>1.0355534709193246</v>
      </c>
      <c r="E176" s="151">
        <f>Histórico!AH177/Histórico!N177</f>
        <v>1.1301576363166508</v>
      </c>
      <c r="F176" s="151">
        <f>Histórico!AL177/Histórico!R177</f>
        <v>1.108499095840868</v>
      </c>
      <c r="G176" s="151">
        <f>Histórico!AA177/Histórico!G177</f>
        <v>1.0905233380480903</v>
      </c>
    </row>
    <row r="177" spans="1:7" x14ac:dyDescent="0.25">
      <c r="A177" s="59">
        <f>+Histórico!A178</f>
        <v>44347</v>
      </c>
      <c r="B177" s="151">
        <f>+Histórico!V178/Histórico!B178</f>
        <v>1.076285240464345</v>
      </c>
      <c r="C177" s="151">
        <f>Histórico!Z178/Histórico!F178</f>
        <v>1.0958274398868457</v>
      </c>
      <c r="D177" s="151">
        <f>Histórico!AD178/Histórico!J178</f>
        <v>1.0279850746268657</v>
      </c>
      <c r="E177" s="151">
        <f>Histórico!AH178/Histórico!N178</f>
        <v>1.1496035849706998</v>
      </c>
      <c r="F177" s="151">
        <f>Histórico!AL178/Histórico!R178</f>
        <v>1.1187669990933817</v>
      </c>
      <c r="G177" s="151">
        <f>Histórico!AA178/Histórico!G178</f>
        <v>1.0929178470254959</v>
      </c>
    </row>
    <row r="178" spans="1:7" x14ac:dyDescent="0.25">
      <c r="A178" s="59">
        <f>+Histórico!A179</f>
        <v>44348</v>
      </c>
      <c r="B178" s="151">
        <f>+Histórico!V179/Histórico!B179</f>
        <v>1.0860197368421052</v>
      </c>
      <c r="C178" s="151">
        <f>Histórico!Z179/Histórico!F179</f>
        <v>1.0907504363001745</v>
      </c>
      <c r="D178" s="151">
        <f>Histórico!AD179/Histórico!J179</f>
        <v>1.0256645279560037</v>
      </c>
      <c r="E178" s="151">
        <f>Histórico!AH179/Histórico!N179</f>
        <v>1.1139730639730641</v>
      </c>
      <c r="F178" s="151">
        <f>Histórico!AL179/Histórico!R179</f>
        <v>1.0980776076895693</v>
      </c>
      <c r="G178" s="151">
        <f>Histórico!AA179/Histórico!G179</f>
        <v>1.089887640449438</v>
      </c>
    </row>
    <row r="179" spans="1:7" x14ac:dyDescent="0.25">
      <c r="A179" s="59">
        <f>+Histórico!A180</f>
        <v>44349</v>
      </c>
      <c r="B179" s="151">
        <f>+Histórico!V180/Histórico!B180</f>
        <v>1.0768985322271858</v>
      </c>
      <c r="C179" s="151">
        <f>Histórico!Z180/Histórico!F180</f>
        <v>1.0914821124361158</v>
      </c>
      <c r="D179" s="151">
        <f>Histórico!AD180/Histórico!J180</f>
        <v>1.0298763426302013</v>
      </c>
      <c r="E179" s="151">
        <f>Histórico!AH180/Histórico!N180</f>
        <v>1.1133004926108374</v>
      </c>
      <c r="F179" s="151">
        <f>Histórico!AL180/Histórico!R180</f>
        <v>1.0966057441253263</v>
      </c>
      <c r="G179" s="151">
        <f>Histórico!AA180/Histórico!G180</f>
        <v>1.0884297520661157</v>
      </c>
    </row>
    <row r="180" spans="1:7" x14ac:dyDescent="0.25">
      <c r="A180" s="59">
        <f>+Histórico!A181</f>
        <v>44350</v>
      </c>
      <c r="B180" s="151">
        <f>+Histórico!V181/Histórico!B181</f>
        <v>1.0858995137763372</v>
      </c>
      <c r="C180" s="151">
        <f>Histórico!Z181/Histórico!F181</f>
        <v>1.0823590096286106</v>
      </c>
      <c r="D180" s="151">
        <f>Histórico!AD181/Histórico!J181</f>
        <v>1.0321658986175115</v>
      </c>
      <c r="E180" s="151">
        <f>Histórico!AH181/Histórico!N181</f>
        <v>1.125</v>
      </c>
      <c r="F180" s="151">
        <f>Histórico!AL181/Histórico!R181</f>
        <v>1.1007711181212758</v>
      </c>
      <c r="G180" s="151">
        <f>Histórico!AA181/Histórico!G181</f>
        <v>1.0779472954230236</v>
      </c>
    </row>
    <row r="181" spans="1:7" x14ac:dyDescent="0.25">
      <c r="A181" s="59">
        <f>+Histórico!A182</f>
        <v>44351</v>
      </c>
      <c r="B181" s="151">
        <f>+Histórico!V182/Histórico!B182</f>
        <v>1.1124794745484401</v>
      </c>
      <c r="C181" s="151">
        <f>Histórico!Z182/Histórico!F182</f>
        <v>1.0906883995144789</v>
      </c>
      <c r="D181" s="151">
        <f>Histórico!AD182/Histórico!J182</f>
        <v>1.0343900630329996</v>
      </c>
      <c r="E181" s="151">
        <f>Histórico!AH182/Histórico!N182</f>
        <v>1.1151260504201681</v>
      </c>
      <c r="F181" s="151">
        <f>Histórico!AL182/Histórico!R182</f>
        <v>1.0813179109709079</v>
      </c>
      <c r="G181" s="151">
        <f>Histórico!AA182/Histórico!G182</f>
        <v>1.0912133891213387</v>
      </c>
    </row>
    <row r="182" spans="1:7" x14ac:dyDescent="0.25">
      <c r="A182" s="59">
        <f>+Histórico!A183</f>
        <v>44354</v>
      </c>
      <c r="B182" s="151">
        <f>+Histórico!V183/Histórico!B183</f>
        <v>1.1056910569105691</v>
      </c>
      <c r="C182" s="151">
        <f>Histórico!Z183/Histórico!F183</f>
        <v>1.0887372013651877</v>
      </c>
      <c r="D182" s="151">
        <f>Histórico!AD183/Histórico!J183</f>
        <v>1.0436802973977695</v>
      </c>
      <c r="E182" s="151">
        <f>Histórico!AH183/Histórico!N183</f>
        <v>1.0913621262458473</v>
      </c>
      <c r="F182" s="151">
        <f>Histórico!AL183/Histórico!R183</f>
        <v>1.0787581126118224</v>
      </c>
      <c r="G182" s="151">
        <f>Histórico!AA183/Histórico!G183</f>
        <v>1.0830136986301371</v>
      </c>
    </row>
    <row r="183" spans="1:7" x14ac:dyDescent="0.25">
      <c r="A183" s="59">
        <f>+Histórico!A184</f>
        <v>44355</v>
      </c>
      <c r="B183" s="151">
        <f>+Histórico!V184/Histórico!B184</f>
        <v>1.0925925925925926</v>
      </c>
      <c r="C183" s="151">
        <f>Histórico!Z184/Histórico!F184</f>
        <v>1.0781013297424675</v>
      </c>
      <c r="D183" s="151">
        <f>Histórico!AD184/Histórico!J184</f>
        <v>1.0480591497227356</v>
      </c>
      <c r="E183" s="151">
        <f>Histórico!AH184/Histórico!N184</f>
        <v>1.1022708436930218</v>
      </c>
      <c r="F183" s="151">
        <f>Histórico!AL184/Histórico!R184</f>
        <v>1.0869565217391304</v>
      </c>
      <c r="G183" s="151">
        <f>Histórico!AA184/Histórico!G184</f>
        <v>1.0794165316045381</v>
      </c>
    </row>
    <row r="184" spans="1:7" x14ac:dyDescent="0.25">
      <c r="A184" s="59">
        <f>+Histórico!A185</f>
        <v>44356</v>
      </c>
      <c r="B184" s="151">
        <f>+Histórico!V185/Histórico!B185</f>
        <v>1.0982932996207333</v>
      </c>
      <c r="C184" s="151">
        <f>Histórico!Z185/Histórico!F185</f>
        <v>1.0753493013972055</v>
      </c>
      <c r="D184" s="151">
        <f>Histórico!AD185/Histórico!J185</f>
        <v>1.0407608695652173</v>
      </c>
      <c r="E184" s="151">
        <f>Histórico!AH185/Histórico!N185</f>
        <v>1.1036184210526316</v>
      </c>
      <c r="F184" s="151">
        <f>Histórico!AL185/Histórico!R185</f>
        <v>1.0788168917763721</v>
      </c>
      <c r="G184" s="151">
        <f>Histórico!AA185/Histórico!G185</f>
        <v>1.0749003984063745</v>
      </c>
    </row>
    <row r="185" spans="1:7" x14ac:dyDescent="0.25">
      <c r="A185" s="59">
        <f>+Histórico!A186</f>
        <v>44357</v>
      </c>
      <c r="B185" s="151">
        <f>+Histórico!V186/Histórico!B186</f>
        <v>1.1112877583465819</v>
      </c>
      <c r="C185" s="151">
        <f>Histórico!Z186/Histórico!F186</f>
        <v>1.0664735099337748</v>
      </c>
      <c r="D185" s="151">
        <f>Histórico!AD186/Histórico!J186</f>
        <v>1.0305755395683454</v>
      </c>
      <c r="E185" s="151">
        <f>Histórico!AH186/Histórico!N186</f>
        <v>1.0865273893732521</v>
      </c>
      <c r="F185" s="151">
        <f>Histórico!AL186/Histórico!R186</f>
        <v>1.0677966101694916</v>
      </c>
      <c r="G185" s="151">
        <f>Histórico!AA186/Histórico!G186</f>
        <v>1.0655780879641823</v>
      </c>
    </row>
    <row r="186" spans="1:7" x14ac:dyDescent="0.25">
      <c r="A186" s="59">
        <f>+Histórico!A187</f>
        <v>44358</v>
      </c>
      <c r="B186" s="151">
        <f>+Histórico!V187/Histórico!B187</f>
        <v>1.1199684293606946</v>
      </c>
      <c r="C186" s="151">
        <f>Histórico!Z187/Histórico!F187</f>
        <v>1.0606110652353427</v>
      </c>
      <c r="D186" s="151">
        <f>Histórico!AD187/Histórico!J187</f>
        <v>1.0308067576113471</v>
      </c>
      <c r="E186" s="151">
        <f>Histórico!AH187/Histórico!N187</f>
        <v>1.088235294117647</v>
      </c>
      <c r="F186" s="151">
        <f>Histórico!AL187/Histórico!R187</f>
        <v>1.0610367892976589</v>
      </c>
      <c r="G186" s="151">
        <f>Histórico!AA187/Histórico!G187</f>
        <v>1.060052219321149</v>
      </c>
    </row>
    <row r="187" spans="1:7" x14ac:dyDescent="0.25">
      <c r="A187" s="59">
        <f>+Histórico!A188</f>
        <v>44361</v>
      </c>
      <c r="B187" s="151">
        <f>+Histórico!V188/Histórico!B188</f>
        <v>1.107936507936508</v>
      </c>
      <c r="C187" s="151">
        <f>Histórico!Z188/Histórico!F188</f>
        <v>1.0592610959583437</v>
      </c>
      <c r="D187" s="151">
        <f>Histórico!AD188/Histórico!J188</f>
        <v>1.027124773960217</v>
      </c>
      <c r="E187" s="151">
        <f>Histórico!AH188/Histórico!N188</f>
        <v>1.0965460526315789</v>
      </c>
      <c r="F187" s="151">
        <f>Histórico!AL188/Histórico!R188</f>
        <v>1.0624370594159114</v>
      </c>
      <c r="G187" s="151">
        <f>Histórico!AA188/Histórico!G188</f>
        <v>1.0605744125326371</v>
      </c>
    </row>
    <row r="188" spans="1:7" x14ac:dyDescent="0.25">
      <c r="A188" s="59">
        <f>+Histórico!A189</f>
        <v>44362</v>
      </c>
      <c r="B188" s="151">
        <f>+Histórico!V189/Histórico!B189</f>
        <v>1.1038651184984889</v>
      </c>
      <c r="C188" s="151">
        <f>Histórico!Z189/Histórico!F189</f>
        <v>1.0602549246813442</v>
      </c>
      <c r="D188" s="151">
        <f>Histórico!AD189/Histórico!J189</f>
        <v>1.0280797101449275</v>
      </c>
      <c r="E188" s="151">
        <f>Histórico!AH189/Histórico!N189</f>
        <v>1.0872251050160613</v>
      </c>
      <c r="F188" s="151">
        <f>Histórico!AL189/Histórico!R189</f>
        <v>1.0430379746835443</v>
      </c>
      <c r="G188" s="151">
        <f>Histórico!AA189/Histórico!G189</f>
        <v>1.0596426694692589</v>
      </c>
    </row>
    <row r="189" spans="1:7" x14ac:dyDescent="0.25">
      <c r="A189" s="59">
        <f>+Histórico!A190</f>
        <v>44363</v>
      </c>
      <c r="B189" s="151">
        <f>+Histórico!V190/Histórico!B190</f>
        <v>1.0909090909090908</v>
      </c>
      <c r="C189" s="151">
        <f>Histórico!Z190/Histórico!F190</f>
        <v>1.0605659440675161</v>
      </c>
      <c r="D189" s="151">
        <f>Histórico!AD190/Histórico!J190</f>
        <v>1.0383636363636364</v>
      </c>
      <c r="E189" s="151">
        <f>Histórico!AH190/Histórico!N190</f>
        <v>1.0895765472312704</v>
      </c>
      <c r="F189" s="151">
        <f>Histórico!AL190/Histórico!R190</f>
        <v>1.0582054703135424</v>
      </c>
      <c r="G189" s="151">
        <f>Histórico!AA190/Histórico!G190</f>
        <v>1.0558482613277134</v>
      </c>
    </row>
    <row r="190" spans="1:7" x14ac:dyDescent="0.25">
      <c r="A190" s="59">
        <f>+Histórico!A191</f>
        <v>44364</v>
      </c>
      <c r="B190" s="151">
        <f>+Histórico!V191/Histórico!B191</f>
        <v>1.1104928457869634</v>
      </c>
      <c r="C190" s="151">
        <f>Histórico!Z191/Histórico!F191</f>
        <v>1.0607142857142857</v>
      </c>
      <c r="D190" s="151">
        <f>Histórico!AD191/Histórico!J191</f>
        <v>1.034</v>
      </c>
      <c r="E190" s="151">
        <f>Histórico!AH191/Histórico!N191</f>
        <v>1.0819859545974195</v>
      </c>
      <c r="F190" s="151">
        <f>Histórico!AL191/Histórico!R191</f>
        <v>1.0623789881303141</v>
      </c>
      <c r="G190" s="151">
        <f>Histórico!AA191/Histórico!G191</f>
        <v>1.0572875033306688</v>
      </c>
    </row>
    <row r="191" spans="1:7" x14ac:dyDescent="0.25">
      <c r="A191" s="59">
        <f>+Histórico!A192</f>
        <v>44365</v>
      </c>
      <c r="B191" s="151">
        <f>+Histórico!V192/Histórico!B192</f>
        <v>1.1000000000000001</v>
      </c>
      <c r="C191" s="151">
        <f>Histórico!Z192/Histórico!F192</f>
        <v>1.0710332103321034</v>
      </c>
      <c r="D191" s="151">
        <f>Histórico!AD192/Histórico!J192</f>
        <v>1.0446691176470588</v>
      </c>
      <c r="E191" s="151">
        <f>Histórico!AH192/Histórico!N192</f>
        <v>1.0909090909090908</v>
      </c>
      <c r="F191" s="151">
        <f>Histórico!AL192/Histórico!R192</f>
        <v>1.0760135135135136</v>
      </c>
      <c r="G191" s="151">
        <f>Histórico!AA192/Histórico!G192</f>
        <v>1.0646112600536195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Monitor</vt:lpstr>
      <vt:lpstr>Variaciones</vt:lpstr>
      <vt:lpstr>CCL</vt:lpstr>
      <vt:lpstr>Histórico</vt:lpstr>
      <vt:lpstr>Informe</vt:lpstr>
      <vt:lpstr>Upsides</vt:lpstr>
      <vt:lpstr>Cashflow intereses</vt:lpstr>
      <vt:lpstr>Ratios ley ARG</vt:lpstr>
      <vt:lpstr>Ratios legislación</vt:lpstr>
      <vt:lpstr>Hard dollar vs CER</vt:lpstr>
      <vt:lpstr>AL29</vt:lpstr>
      <vt:lpstr>AL30</vt:lpstr>
      <vt:lpstr>AE38</vt:lpstr>
      <vt:lpstr>AL35</vt:lpstr>
      <vt:lpstr>AL41</vt:lpstr>
      <vt:lpstr>GD29</vt:lpstr>
      <vt:lpstr>GD30</vt:lpstr>
      <vt:lpstr>GD35</vt:lpstr>
      <vt:lpstr>GD38</vt:lpstr>
      <vt:lpstr>GD41</vt:lpstr>
      <vt:lpstr>GD46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2020-07-05T19:48:23Z</dcterms:created>
  <dcterms:modified xsi:type="dcterms:W3CDTF">2021-06-28T15:49:41Z</dcterms:modified>
</cp:coreProperties>
</file>