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09"/>
  <workbookPr/>
  <xr:revisionPtr revIDLastSave="0" documentId="8_{AFD56BFF-B8BA-4846-BFD7-C449B09B2029}" xr6:coauthVersionLast="47" xr6:coauthVersionMax="47" xr10:uidLastSave="{00000000-0000-0000-0000-000000000000}"/>
  <bookViews>
    <workbookView xWindow="240" yWindow="105" windowWidth="14805" windowHeight="8010" firstSheet="2" activeTab="2" xr2:uid="{00000000-000D-0000-FFFF-FFFF00000000}"/>
  </bookViews>
  <sheets>
    <sheet name="Planejamento da Aposentadoria" sheetId="1" r:id="rId1"/>
    <sheet name="Revolving Credit" sheetId="3" r:id="rId2"/>
    <sheet name="Financiamento Tabela Price" sheetId="4" r:id="rId3"/>
    <sheet name="Sheet2" sheetId="2" state="hidden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" i="2" l="1"/>
  <c r="F5" i="4"/>
  <c r="G5" i="4" s="1"/>
  <c r="R7" i="2" s="1"/>
  <c r="L7" i="2"/>
  <c r="F5" i="3"/>
  <c r="M7" i="2" s="1"/>
  <c r="E5" i="3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G5" i="1"/>
  <c r="H5" i="1"/>
  <c r="D2" i="2"/>
  <c r="H5" i="4" l="1"/>
  <c r="D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lucas william</author>
  </authors>
  <commentList>
    <comment ref="H4" authorId="0" shapeId="0" xr:uid="{111E10DB-4999-4AB5-9CE1-E3D5CD2397E6}">
      <text>
        <r>
          <rPr>
            <sz val="11"/>
            <color theme="1"/>
            <rFont val="Aptos Narrow"/>
            <family val="2"/>
            <scheme val="minor"/>
          </rPr>
          <t>Considerado 4% de retirada do montante final anualmente.</t>
        </r>
      </text>
    </comment>
  </commentList>
</comments>
</file>

<file path=xl/sharedStrings.xml><?xml version="1.0" encoding="utf-8"?>
<sst xmlns="http://schemas.openxmlformats.org/spreadsheetml/2006/main" count="33" uniqueCount="29">
  <si>
    <t>Retirement Age</t>
  </si>
  <si>
    <t>My Age</t>
  </si>
  <si>
    <t>Monthly Investment</t>
  </si>
  <si>
    <t>Annual rate of return</t>
  </si>
  <si>
    <t>Expected Inflation</t>
  </si>
  <si>
    <t>Final Sum</t>
  </si>
  <si>
    <t>Retirement Salary</t>
  </si>
  <si>
    <t>Revolving Credit</t>
  </si>
  <si>
    <t>Borrowed Value</t>
  </si>
  <si>
    <t>Down Payment</t>
  </si>
  <si>
    <t>Monthly Revolving Credit</t>
  </si>
  <si>
    <t>Remaining Invoice</t>
  </si>
  <si>
    <t>Total Interest</t>
  </si>
  <si>
    <t>Amortization Schedule For Constant Installment</t>
  </si>
  <si>
    <t>Monthly Rate</t>
  </si>
  <si>
    <t>Number of Installments</t>
  </si>
  <si>
    <t>Installment Value</t>
  </si>
  <si>
    <t>Total Interest Value</t>
  </si>
  <si>
    <t>Invested Money</t>
  </si>
  <si>
    <t>Interest Return</t>
  </si>
  <si>
    <t>Capital Inicial</t>
  </si>
  <si>
    <t>Capital de Juros</t>
  </si>
  <si>
    <t>Initial Debt</t>
  </si>
  <si>
    <t>Column1</t>
  </si>
  <si>
    <t>Aportes</t>
  </si>
  <si>
    <t>Juros</t>
  </si>
  <si>
    <t>Interest</t>
  </si>
  <si>
    <t>Meses</t>
  </si>
  <si>
    <t>Fatura Restante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</si>
</sst>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[$BRL]\ * #,##0.00_);_([$BRL]\ * \(#,##0.00\);_([$BRL]\ * &quot;-&quot;??_);_(@_)"/>
    <numFmt numFmtId="165" formatCode="_([$BRL]\ * #,##0_);_([$BRL]\ * \(#,##0\);_([$BRL]\ * &quot;-&quot;_);_(@_)"/>
    <numFmt numFmtId="166" formatCode="_([$BRL]\ * #,##0.00_);_([$BRL]\ * \(#,##0.00\);_([$BRL]\ * &quot;-&quot;?????_);_(@_)"/>
    <numFmt numFmtId="167" formatCode="[$BRL]\ #,##0.00_);[Red]\([$BRL]\ #,##0.00\)"/>
    <numFmt numFmtId="168" formatCode="_([$$-409]* #,##0.00_);_([$$-409]* \(#,##0.00\);_([$$-409]* &quot;-&quot;??_);_(@_)"/>
  </numFmts>
  <fonts count="6">
    <font>
      <sz val="11"/>
      <color theme="1"/>
      <name val="Aptos Narrow"/>
      <family val="2"/>
      <scheme val="minor"/>
    </font>
    <font>
      <sz val="11"/>
      <color theme="1"/>
      <name val="Calibri"/>
      <scheme val="minor"/>
    </font>
    <font>
      <sz val="11"/>
      <color theme="1"/>
      <name val="Arial"/>
    </font>
    <font>
      <b/>
      <sz val="15"/>
      <color theme="0"/>
      <name val="Arial"/>
    </font>
    <font>
      <b/>
      <sz val="11"/>
      <color theme="0"/>
      <name val="Arial"/>
    </font>
    <font>
      <sz val="11"/>
      <color theme="0"/>
      <name val="Arial"/>
    </font>
  </fonts>
  <fills count="8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165" fontId="0" fillId="0" borderId="0" xfId="0" applyNumberFormat="1"/>
    <xf numFmtId="164" fontId="0" fillId="0" borderId="0" xfId="0" applyNumberFormat="1"/>
    <xf numFmtId="0" fontId="4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9" fontId="2" fillId="3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9" fontId="0" fillId="3" borderId="1" xfId="0" applyNumberFormat="1" applyFill="1" applyBorder="1" applyAlignment="1">
      <alignment horizontal="center" vertical="center"/>
    </xf>
    <xf numFmtId="166" fontId="0" fillId="0" borderId="0" xfId="0" applyNumberFormat="1"/>
    <xf numFmtId="0" fontId="5" fillId="7" borderId="1" xfId="0" applyFont="1" applyFill="1" applyBorder="1" applyAlignment="1">
      <alignment horizontal="center" vertical="center"/>
    </xf>
    <xf numFmtId="167" fontId="0" fillId="0" borderId="0" xfId="0" applyNumberFormat="1"/>
    <xf numFmtId="10" fontId="2" fillId="3" borderId="1" xfId="0" applyNumberFormat="1" applyFont="1" applyFill="1" applyBorder="1" applyAlignment="1">
      <alignment horizontal="center" vertical="center"/>
    </xf>
    <xf numFmtId="168" fontId="2" fillId="3" borderId="1" xfId="0" applyNumberFormat="1" applyFont="1" applyFill="1" applyBorder="1" applyAlignment="1">
      <alignment horizontal="center" vertical="center"/>
    </xf>
    <xf numFmtId="168" fontId="0" fillId="0" borderId="0" xfId="0" applyNumberFormat="1"/>
    <xf numFmtId="168" fontId="0" fillId="3" borderId="1" xfId="0" applyNumberForma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6" borderId="1" xfId="2" applyFont="1" applyFill="1" applyBorder="1" applyAlignment="1">
      <alignment horizontal="center" vertical="center"/>
    </xf>
    <xf numFmtId="0" fontId="3" fillId="7" borderId="2" xfId="1" applyFont="1" applyFill="1" applyBorder="1" applyAlignment="1">
      <alignment horizontal="center" vertical="center"/>
    </xf>
    <xf numFmtId="0" fontId="3" fillId="7" borderId="3" xfId="1" applyFont="1" applyFill="1" applyBorder="1" applyAlignment="1">
      <alignment horizontal="center" vertical="center"/>
    </xf>
    <xf numFmtId="0" fontId="3" fillId="7" borderId="4" xfId="1" applyFont="1" applyFill="1" applyBorder="1" applyAlignment="1">
      <alignment horizontal="center" vertical="center"/>
    </xf>
  </cellXfs>
  <cellStyles count="3">
    <cellStyle name="60% - Accent2" xfId="1" builtinId="36"/>
    <cellStyle name="60% - Accent3" xfId="2" builtinId="40"/>
    <cellStyle name="Normal" xfId="0" builtinId="0"/>
  </cellStyles>
  <dxfs count="4">
    <dxf>
      <numFmt numFmtId="166" formatCode="_([$BRL]\ * #,##0.00_);_([$BRL]\ * \(#,##0.00\);_([$BRL]\ * &quot;-&quot;?????_);_(@_)"/>
    </dxf>
    <dxf>
      <numFmt numFmtId="168" formatCode="_([$$-409]* #,##0.00_);_([$$-409]* \(#,##0.00\);_([$$-409]* &quot;-&quot;??_);_(@_)"/>
    </dxf>
    <dxf>
      <numFmt numFmtId="168" formatCode="_([$$-409]* #,##0.00_);_([$$-409]* \(#,##0.00\);_([$$-409]* &quot;-&quot;??_);_(@_)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Invested Money vs Interest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F79-473D-8FA4-855D632863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F79-473D-8FA4-855D632863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Sheet2!$C$2:$C$3</c:f>
              <c:strCache>
                <c:ptCount val="2"/>
                <c:pt idx="0">
                  <c:v>Invested Money</c:v>
                </c:pt>
                <c:pt idx="1">
                  <c:v>Interest Return</c:v>
                </c:pt>
              </c:strCache>
            </c:strRef>
          </c:cat>
          <c:val>
            <c:numRef>
              <c:f>Sheet2!$D$2:$D$3</c:f>
              <c:numCache>
                <c:formatCode>_([$BRL]\ * #,##0.00_);_([$BRL]\ * \(#,##0.00\);_([$BRL]\ * "-"??_);_(@_)</c:formatCode>
                <c:ptCount val="2"/>
                <c:pt idx="0" formatCode="_([$BRL]\ * #,##0_);_([$BRL]\ * \(#,##0\);_([$BRL]\ * &quot;-&quot;_);_(@_)">
                  <c:v>112800</c:v>
                </c:pt>
                <c:pt idx="1">
                  <c:v>702379.14519285038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B5-4E28-B206-C421C1BECD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 Sum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Without Interest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Sheet2!C8:C17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Sheet2!$D$8:$D$17</c:f>
              <c:numCache>
                <c:formatCode>_([$$-409]* #,##0.00_);_([$$-409]* \(#,##0.00\);_([$$-409]* "-"??_);_(@_)</c:formatCode>
                <c:ptCount val="10"/>
                <c:pt idx="0">
                  <c:v>12000</c:v>
                </c:pt>
                <c:pt idx="1">
                  <c:v>24000</c:v>
                </c:pt>
                <c:pt idx="2">
                  <c:v>36000</c:v>
                </c:pt>
                <c:pt idx="3">
                  <c:v>48000</c:v>
                </c:pt>
                <c:pt idx="4">
                  <c:v>60000</c:v>
                </c:pt>
                <c:pt idx="5">
                  <c:v>72000</c:v>
                </c:pt>
                <c:pt idx="6">
                  <c:v>84000</c:v>
                </c:pt>
                <c:pt idx="7">
                  <c:v>96000</c:v>
                </c:pt>
                <c:pt idx="8">
                  <c:v>108000</c:v>
                </c:pt>
                <c:pt idx="9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73-4F19-9C77-2D492F087D1D}"/>
            </c:ext>
          </c:extLst>
        </c:ser>
        <c:ser>
          <c:idx val="1"/>
          <c:order val="1"/>
          <c:tx>
            <c:v>With Interest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Sheet2!C8:C17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Sheet2!$E$8:$E$17</c:f>
              <c:numCache>
                <c:formatCode>_([$$-409]* #,##0.00_);_([$$-409]* \(#,##0.00\);_([$$-409]* "-"??_);_(@_)</c:formatCode>
                <c:ptCount val="10"/>
                <c:pt idx="0">
                  <c:v>14239.171550016808</c:v>
                </c:pt>
                <c:pt idx="1">
                  <c:v>34210.346251227049</c:v>
                </c:pt>
                <c:pt idx="2">
                  <c:v>62220.951892521545</c:v>
                </c:pt>
                <c:pt idx="3">
                  <c:v>101507.27531267429</c:v>
                </c:pt>
                <c:pt idx="4">
                  <c:v>156608.3762184495</c:v>
                </c:pt>
                <c:pt idx="5">
                  <c:v>233890.52065731972</c:v>
                </c:pt>
                <c:pt idx="6">
                  <c:v>342282.72609226452</c:v>
                </c:pt>
                <c:pt idx="7">
                  <c:v>494308.40141943638</c:v>
                </c:pt>
                <c:pt idx="8">
                  <c:v>707532.27546039748</c:v>
                </c:pt>
                <c:pt idx="9">
                  <c:v>1006589.7890231058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273-4F19-9C77-2D492F087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581384"/>
        <c:axId val="1492522503"/>
      </c:lineChart>
      <c:catAx>
        <c:axId val="57258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22503"/>
        <c:crosses val="autoZero"/>
        <c:auto val="1"/>
        <c:lblAlgn val="ctr"/>
        <c:lblOffset val="100"/>
        <c:noMultiLvlLbl val="0"/>
      </c:catAx>
      <c:valAx>
        <c:axId val="1492522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58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Debt Growth Without Payment (Month)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Debt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Sheet2!$M$10:$M$21</c:f>
              <c:numCache>
                <c:formatCode>_([$$-409]* #,##0.00_);_([$$-409]* \(#,##0.00\);_([$$-409]* "-"??_);_(@_)</c:formatCode>
                <c:ptCount val="12"/>
                <c:pt idx="0">
                  <c:v>8093.9879999999994</c:v>
                </c:pt>
                <c:pt idx="1">
                  <c:v>9358.9488205919988</c:v>
                </c:pt>
                <c:pt idx="2">
                  <c:v>10821.602778069398</c:v>
                </c:pt>
                <c:pt idx="3">
                  <c:v>12512.846146637195</c:v>
                </c:pt>
                <c:pt idx="4">
                  <c:v>14468.403793818243</c:v>
                </c:pt>
                <c:pt idx="5">
                  <c:v>16729.583812331333</c:v>
                </c:pt>
                <c:pt idx="6">
                  <c:v>19344.150088857725</c:v>
                </c:pt>
                <c:pt idx="7">
                  <c:v>22367.331241344764</c:v>
                </c:pt>
                <c:pt idx="8">
                  <c:v>25862.987237067089</c:v>
                </c:pt>
                <c:pt idx="9">
                  <c:v>29904.958334424882</c:v>
                </c:pt>
                <c:pt idx="10">
                  <c:v>34578.624842762139</c:v>
                </c:pt>
                <c:pt idx="11">
                  <c:v>39982.710647688378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DE-4644-9134-4C1AB7284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5172232"/>
        <c:axId val="1125174280"/>
      </c:lineChart>
      <c:catAx>
        <c:axId val="1125172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174280"/>
        <c:crosses val="autoZero"/>
        <c:auto val="1"/>
        <c:lblAlgn val="ctr"/>
        <c:lblOffset val="100"/>
        <c:noMultiLvlLbl val="0"/>
      </c:catAx>
      <c:valAx>
        <c:axId val="112517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172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Initial Debt vs Interest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1BD-490A-8420-27283D01E1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1BD-490A-8420-27283D01E1F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Sheet2!Q6:Q7</c:f>
              <c:strCache>
                <c:ptCount val="2"/>
                <c:pt idx="0">
                  <c:v>Initial Debt</c:v>
                </c:pt>
                <c:pt idx="1">
                  <c:v>Interest</c:v>
                </c:pt>
              </c:strCache>
            </c:strRef>
          </c:cat>
          <c:val>
            <c:numRef>
              <c:f>Sheet2!$R$6:$R$7</c:f>
              <c:numCache>
                <c:formatCode>[$BRL]\ #,##0.00_);[Red]\([$BRL]\ #,##0.00\)</c:formatCode>
                <c:ptCount val="2"/>
                <c:pt idx="0" formatCode="_([$BRL]\ * #,##0.00_);_([$BRL]\ * \(#,##0.00\);_([$BRL]\ * &quot;-&quot;??_);_(@_)">
                  <c:v>80000</c:v>
                </c:pt>
                <c:pt idx="1">
                  <c:v>19629.133893031103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BD-490A-8420-27283D01E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6</xdr:row>
      <xdr:rowOff>133350</xdr:rowOff>
    </xdr:from>
    <xdr:to>
      <xdr:col>4</xdr:col>
      <xdr:colOff>590550</xdr:colOff>
      <xdr:row>21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B7343E-3180-9E98-3271-09E4112DA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1543050</xdr:colOff>
      <xdr:row>6</xdr:row>
      <xdr:rowOff>152400</xdr:rowOff>
    </xdr:from>
    <xdr:to>
      <xdr:col>7</xdr:col>
      <xdr:colOff>1638300</xdr:colOff>
      <xdr:row>21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EFE667-4D8D-3F82-5256-EDFB9C75C5A2}"/>
            </a:ext>
            <a:ext uri="{147F2762-F138-4A5C-976F-8EAC2B608ADB}">
              <a16:predDERef xmlns:a16="http://schemas.microsoft.com/office/drawing/2014/main" pred="{D6B7343E-3180-9E98-3271-09E4112DA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1171575</xdr:colOff>
      <xdr:row>5</xdr:row>
      <xdr:rowOff>171450</xdr:rowOff>
    </xdr:from>
    <xdr:to>
      <xdr:col>5</xdr:col>
      <xdr:colOff>152400</xdr:colOff>
      <xdr:row>20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790585-2D01-40DB-92DC-68824D3D8567}"/>
            </a:ext>
            <a:ext uri="{147F2762-F138-4A5C-976F-8EAC2B608ADB}">
              <a16:predDERef xmlns:a16="http://schemas.microsoft.com/office/drawing/2014/main" pred="{01A6989D-FFA6-42AB-D58C-9F3DE48563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781050</xdr:colOff>
      <xdr:row>5</xdr:row>
      <xdr:rowOff>114300</xdr:rowOff>
    </xdr:from>
    <xdr:to>
      <xdr:col>6</xdr:col>
      <xdr:colOff>857250</xdr:colOff>
      <xdr:row>21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A6AA23-58AD-4FA5-AD8D-97DB59AB78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80FC7A-50CC-46A1-82A6-6A0465ECD778}" name="Table1" displayName="Table1" ref="C7:E17" totalsRowShown="0">
  <autoFilter ref="C7:E17" xr:uid="{2480FC7A-50CC-46A1-82A6-6A0465ECD778}"/>
  <tableColumns count="3">
    <tableColumn id="1" xr3:uid="{DF810FC2-A188-4AD6-A7C2-E3737BAF17B5}" name="Column1" dataDxfId="3"/>
    <tableColumn id="2" xr3:uid="{72FC5CA5-4D8B-4C8E-AFF1-A71F35F38CB3}" name="Aportes" dataDxfId="2">
      <calculatedColumnFormula>(C8 * 12) * 'Planejamento da Aposentadoria'!$D$5</calculatedColumnFormula>
    </tableColumn>
    <tableColumn id="3" xr3:uid="{B409DF20-5F98-431A-884B-32F0A4921AF1}" name="Juros" dataDxfId="1">
      <calculatedColumnFormula>FV((('Planejamento da Aposentadoria'!$E$5 - 'Planejamento da Aposentadoria'!$F$5) + 1)^(1/12) - 1, (C8) * 12, -'Planejamento da Aposentadoria'!$D$5)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2BFBD8-9A65-4F62-8C5F-5F728BD4AF5F}" name="Table2" displayName="Table2" ref="L6:M21" totalsRowShown="0">
  <autoFilter ref="L6:M21" xr:uid="{382BFBD8-9A65-4F62-8C5F-5F728BD4AF5F}"/>
  <tableColumns count="2">
    <tableColumn id="1" xr3:uid="{96591FE3-7D41-4499-B9E8-53A139E65426}" name="Capital Inicial"/>
    <tableColumn id="2" xr3:uid="{B4952733-7402-4692-83DE-C9A62FABA4DD}" name="Capital de Juros" dataDxfId="0">
      <calculatedColumnFormula>M6 * 'Revolving Credit'!$D$5 + M6 * 0.38% + M6 * 0.00828% * 30 + M6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5"/>
  <sheetViews>
    <sheetView showGridLines="0" workbookViewId="0">
      <selection activeCell="E10" sqref="E10"/>
    </sheetView>
  </sheetViews>
  <sheetFormatPr defaultRowHeight="15"/>
  <cols>
    <col min="2" max="2" width="21.7109375" customWidth="1"/>
    <col min="3" max="3" width="15.7109375" customWidth="1"/>
    <col min="4" max="4" width="21.7109375" customWidth="1"/>
    <col min="5" max="5" width="24.7109375" customWidth="1"/>
    <col min="6" max="6" width="21.7109375" customWidth="1"/>
    <col min="7" max="7" width="20.7109375" bestFit="1" customWidth="1"/>
    <col min="8" max="8" width="24.7109375" customWidth="1"/>
    <col min="9" max="9" width="13.85546875" bestFit="1" customWidth="1"/>
    <col min="13" max="13" width="12.42578125" bestFit="1" customWidth="1"/>
    <col min="14" max="14" width="13.85546875" bestFit="1" customWidth="1"/>
  </cols>
  <sheetData>
    <row r="2" spans="2:12" s="1" customFormat="1" ht="31.5" customHeight="1">
      <c r="B2" s="16" t="s">
        <v>0</v>
      </c>
      <c r="C2" s="16"/>
      <c r="D2" s="16"/>
      <c r="E2" s="16"/>
      <c r="F2" s="16"/>
      <c r="G2" s="16"/>
      <c r="H2" s="16"/>
      <c r="I2"/>
      <c r="J2"/>
      <c r="K2"/>
      <c r="L2"/>
    </row>
    <row r="4" spans="2:12" ht="24" customHeight="1">
      <c r="B4" s="4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</row>
    <row r="5" spans="2:12" ht="24" customHeight="1">
      <c r="B5" s="5">
        <v>65</v>
      </c>
      <c r="C5" s="5">
        <v>18</v>
      </c>
      <c r="D5" s="13">
        <v>200</v>
      </c>
      <c r="E5" s="6">
        <v>0.12</v>
      </c>
      <c r="F5" s="6">
        <v>0.05</v>
      </c>
      <c r="G5" s="13">
        <f>FV(((E5 - F5) + 1)^(1/12) - 1, (B5 - C5) * 12, -D5)</f>
        <v>815179.14519285038</v>
      </c>
      <c r="H5" s="13">
        <f>(G5 * 4%)/12</f>
        <v>2717.2638173095015</v>
      </c>
    </row>
  </sheetData>
  <mergeCells count="1">
    <mergeCell ref="B2:H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D7E6E-0895-4207-A50B-E2470FAFF735}">
  <dimension ref="B2:J13"/>
  <sheetViews>
    <sheetView showGridLines="0" showRowColHeaders="0" workbookViewId="0">
      <selection activeCell="C4" sqref="C4"/>
    </sheetView>
  </sheetViews>
  <sheetFormatPr defaultRowHeight="15"/>
  <cols>
    <col min="2" max="2" width="21.7109375" customWidth="1"/>
    <col min="3" max="3" width="18.7109375" customWidth="1"/>
    <col min="4" max="4" width="27.7109375" customWidth="1"/>
    <col min="5" max="6" width="18.7109375" customWidth="1"/>
    <col min="10" max="10" width="12.5703125" bestFit="1" customWidth="1"/>
    <col min="11" max="11" width="16" bestFit="1" customWidth="1"/>
    <col min="12" max="12" width="13.85546875" bestFit="1" customWidth="1"/>
  </cols>
  <sheetData>
    <row r="2" spans="2:10" ht="30.75" customHeight="1">
      <c r="B2" s="17" t="s">
        <v>7</v>
      </c>
      <c r="C2" s="17"/>
      <c r="D2" s="17"/>
      <c r="E2" s="17"/>
      <c r="F2" s="17"/>
    </row>
    <row r="4" spans="2:10" ht="24" customHeight="1">
      <c r="B4" s="7" t="s">
        <v>8</v>
      </c>
      <c r="C4" s="7" t="s">
        <v>9</v>
      </c>
      <c r="D4" s="7" t="s">
        <v>10</v>
      </c>
      <c r="E4" s="7" t="s">
        <v>11</v>
      </c>
      <c r="F4" s="7" t="s">
        <v>12</v>
      </c>
    </row>
    <row r="5" spans="2:10" ht="24" customHeight="1">
      <c r="B5" s="15">
        <v>10000</v>
      </c>
      <c r="C5" s="15">
        <v>3000</v>
      </c>
      <c r="D5" s="8">
        <v>0.15</v>
      </c>
      <c r="E5" s="15">
        <f>(B5-C5) + F5</f>
        <v>8093.9879999999994</v>
      </c>
      <c r="F5" s="15">
        <f>(B5 - C5) * D5 + (B5 - C5) * 0.38% + (B5 - C5) * 0.00828% * 30</f>
        <v>1093.9879999999998</v>
      </c>
    </row>
    <row r="13" spans="2:10">
      <c r="J13" s="14"/>
    </row>
  </sheetData>
  <mergeCells count="1">
    <mergeCell ref="B2:F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6C12A-C720-494B-8A31-608B59BE5A65}">
  <dimension ref="B2:H5"/>
  <sheetViews>
    <sheetView showGridLines="0" showRowColHeaders="0" tabSelected="1" workbookViewId="0">
      <selection activeCell="K9" sqref="K9"/>
    </sheetView>
  </sheetViews>
  <sheetFormatPr defaultRowHeight="15"/>
  <cols>
    <col min="2" max="3" width="18.7109375" customWidth="1"/>
    <col min="4" max="4" width="15.7109375" customWidth="1"/>
    <col min="5" max="5" width="24.7109375" customWidth="1"/>
    <col min="6" max="6" width="18.7109375" customWidth="1"/>
    <col min="7" max="7" width="21.7109375" customWidth="1"/>
    <col min="8" max="8" width="18.7109375" customWidth="1"/>
    <col min="9" max="9" width="13.7109375" bestFit="1" customWidth="1"/>
    <col min="10" max="11" width="14.140625" bestFit="1" customWidth="1"/>
  </cols>
  <sheetData>
    <row r="2" spans="2:8" ht="30.75" customHeight="1">
      <c r="B2" s="18" t="s">
        <v>13</v>
      </c>
      <c r="C2" s="19"/>
      <c r="D2" s="19"/>
      <c r="E2" s="19"/>
      <c r="F2" s="19"/>
      <c r="G2" s="19"/>
      <c r="H2" s="20"/>
    </row>
    <row r="4" spans="2:8" ht="24" customHeight="1">
      <c r="B4" s="10" t="s">
        <v>8</v>
      </c>
      <c r="C4" s="10" t="s">
        <v>9</v>
      </c>
      <c r="D4" s="10" t="s">
        <v>14</v>
      </c>
      <c r="E4" s="10" t="s">
        <v>15</v>
      </c>
      <c r="F4" s="10" t="s">
        <v>16</v>
      </c>
      <c r="G4" s="10" t="s">
        <v>17</v>
      </c>
      <c r="H4" s="10" t="s">
        <v>5</v>
      </c>
    </row>
    <row r="5" spans="2:8" ht="24" customHeight="1">
      <c r="B5" s="13">
        <v>80000</v>
      </c>
      <c r="C5" s="13">
        <v>24000</v>
      </c>
      <c r="D5" s="12">
        <v>1.2999999999999999E-2</v>
      </c>
      <c r="E5" s="5">
        <v>48</v>
      </c>
      <c r="F5" s="13">
        <f>-PMT(D5, E5, B5 - C5, 0, 0)</f>
        <v>1575.6069561048148</v>
      </c>
      <c r="G5" s="13">
        <f>(F5 * E5) - (B5 - C5)</f>
        <v>19629.133893031103</v>
      </c>
      <c r="H5" s="13">
        <f>B5 + G5</f>
        <v>99629.133893031103</v>
      </c>
    </row>
  </sheetData>
  <mergeCells count="1">
    <mergeCell ref="B2:H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C320E-5F74-4D86-B7F8-6622C988B414}">
  <dimension ref="C2:R21"/>
  <sheetViews>
    <sheetView topLeftCell="C1" workbookViewId="0">
      <selection activeCell="Q8" sqref="Q8"/>
    </sheetView>
  </sheetViews>
  <sheetFormatPr defaultRowHeight="15"/>
  <cols>
    <col min="3" max="3" width="16.42578125" bestFit="1" customWidth="1"/>
    <col min="4" max="4" width="15.28515625" bestFit="1" customWidth="1"/>
    <col min="5" max="5" width="14.140625" bestFit="1" customWidth="1"/>
    <col min="12" max="12" width="14.85546875" bestFit="1" customWidth="1"/>
    <col min="13" max="13" width="16.7109375" bestFit="1" customWidth="1"/>
    <col min="17" max="17" width="12.140625" bestFit="1" customWidth="1"/>
    <col min="18" max="18" width="14.140625" bestFit="1" customWidth="1"/>
  </cols>
  <sheetData>
    <row r="2" spans="3:18">
      <c r="C2" t="s">
        <v>18</v>
      </c>
      <c r="D2" s="2">
        <f>('Planejamento da Aposentadoria'!B5 - 'Planejamento da Aposentadoria'!C5) * 12 * 'Planejamento da Aposentadoria'!D5</f>
        <v>112800</v>
      </c>
    </row>
    <row r="3" spans="3:18">
      <c r="C3" t="s">
        <v>19</v>
      </c>
      <c r="D3" s="3">
        <f>'Planejamento da Aposentadoria'!G5 - D2</f>
        <v>702379.14519285038</v>
      </c>
    </row>
    <row r="6" spans="3:18">
      <c r="L6" t="s">
        <v>20</v>
      </c>
      <c r="M6" t="s">
        <v>21</v>
      </c>
      <c r="Q6" t="s">
        <v>22</v>
      </c>
      <c r="R6" s="3">
        <f>'Financiamento Tabela Price'!B5</f>
        <v>80000</v>
      </c>
    </row>
    <row r="7" spans="3:18">
      <c r="C7" t="s">
        <v>23</v>
      </c>
      <c r="D7" s="1" t="s">
        <v>24</v>
      </c>
      <c r="E7" s="1" t="s">
        <v>25</v>
      </c>
      <c r="L7" s="3">
        <f>'Revolving Credit'!B5 - 'Revolving Credit'!C5</f>
        <v>7000</v>
      </c>
      <c r="M7" s="9">
        <f>'Revolving Credit'!F5</f>
        <v>1093.9879999999998</v>
      </c>
      <c r="Q7" t="s">
        <v>26</v>
      </c>
      <c r="R7" s="11">
        <f>'Financiamento Tabela Price'!G5</f>
        <v>19629.133893031103</v>
      </c>
    </row>
    <row r="8" spans="3:18">
      <c r="C8" s="1">
        <v>5</v>
      </c>
      <c r="D8" s="14">
        <f>(C8 * 12) * 'Planejamento da Aposentadoria'!$D$5</f>
        <v>12000</v>
      </c>
      <c r="E8" s="14">
        <f>FV((('Planejamento da Aposentadoria'!$E$5 - 'Planejamento da Aposentadoria'!$F$5) + 1)^(1/12) - 1, (C8) * 12, -'Planejamento da Aposentadoria'!$D$5)</f>
        <v>14239.171550016808</v>
      </c>
    </row>
    <row r="9" spans="3:18">
      <c r="C9" s="1">
        <v>10</v>
      </c>
      <c r="D9" s="14">
        <f>(C9 * 12) * 'Planejamento da Aposentadoria'!$D$5</f>
        <v>24000</v>
      </c>
      <c r="E9" s="14">
        <f>FV((('Planejamento da Aposentadoria'!$E$5 - 'Planejamento da Aposentadoria'!$F$5) + 1)^(1/12) - 1, (C9) * 12, -'Planejamento da Aposentadoria'!$D$5)</f>
        <v>34210.346251227049</v>
      </c>
      <c r="L9" t="s">
        <v>27</v>
      </c>
      <c r="M9" t="s">
        <v>28</v>
      </c>
    </row>
    <row r="10" spans="3:18">
      <c r="C10" s="1">
        <v>15</v>
      </c>
      <c r="D10" s="14">
        <f>(C10 * 12) * 'Planejamento da Aposentadoria'!$D$5</f>
        <v>36000</v>
      </c>
      <c r="E10" s="14">
        <f>FV((('Planejamento da Aposentadoria'!$E$5 - 'Planejamento da Aposentadoria'!$F$5) + 1)^(1/12) - 1, (C10) * 12, -'Planejamento da Aposentadoria'!$D$5)</f>
        <v>62220.951892521545</v>
      </c>
      <c r="L10">
        <v>1</v>
      </c>
      <c r="M10" s="14">
        <f>'Revolving Credit'!E5</f>
        <v>8093.9879999999994</v>
      </c>
    </row>
    <row r="11" spans="3:18">
      <c r="C11" s="1">
        <v>20</v>
      </c>
      <c r="D11" s="14">
        <f>(C11 * 12) * 'Planejamento da Aposentadoria'!$D$5</f>
        <v>48000</v>
      </c>
      <c r="E11" s="14">
        <f>FV((('Planejamento da Aposentadoria'!$E$5 - 'Planejamento da Aposentadoria'!$F$5) + 1)^(1/12) - 1, (C11) * 12, -'Planejamento da Aposentadoria'!$D$5)</f>
        <v>101507.27531267429</v>
      </c>
      <c r="L11">
        <v>2</v>
      </c>
      <c r="M11" s="14">
        <f>M10 * 'Revolving Credit'!D5 + M10 * 0.38% + M10 * 0.00828% * 30 + M10</f>
        <v>9358.9488205919988</v>
      </c>
    </row>
    <row r="12" spans="3:18">
      <c r="C12" s="1">
        <v>25</v>
      </c>
      <c r="D12" s="14">
        <f>(C12 * 12) * 'Planejamento da Aposentadoria'!$D$5</f>
        <v>60000</v>
      </c>
      <c r="E12" s="14">
        <f>FV((('Planejamento da Aposentadoria'!$E$5 - 'Planejamento da Aposentadoria'!$F$5) + 1)^(1/12) - 1, (C12) * 12, -'Planejamento da Aposentadoria'!$D$5)</f>
        <v>156608.3762184495</v>
      </c>
      <c r="L12">
        <v>3</v>
      </c>
      <c r="M12" s="14">
        <f>M11 * 'Revolving Credit'!$D$5 + M11 * 0.38% + M11 * 0.00828% * 30 + M11</f>
        <v>10821.602778069398</v>
      </c>
    </row>
    <row r="13" spans="3:18">
      <c r="C13" s="1">
        <v>30</v>
      </c>
      <c r="D13" s="14">
        <f>(C13 * 12) * 'Planejamento da Aposentadoria'!$D$5</f>
        <v>72000</v>
      </c>
      <c r="E13" s="14">
        <f>FV((('Planejamento da Aposentadoria'!$E$5 - 'Planejamento da Aposentadoria'!$F$5) + 1)^(1/12) - 1, (C13) * 12, -'Planejamento da Aposentadoria'!$D$5)</f>
        <v>233890.52065731972</v>
      </c>
      <c r="L13">
        <v>4</v>
      </c>
      <c r="M13" s="14">
        <f>M12 * 'Revolving Credit'!$D$5 + M12 * 0.38% + M12 * 0.00828% * 30 + M12</f>
        <v>12512.846146637195</v>
      </c>
    </row>
    <row r="14" spans="3:18">
      <c r="C14" s="1">
        <v>35</v>
      </c>
      <c r="D14" s="14">
        <f>(C14 * 12) * 'Planejamento da Aposentadoria'!$D$5</f>
        <v>84000</v>
      </c>
      <c r="E14" s="14">
        <f>FV((('Planejamento da Aposentadoria'!$E$5 - 'Planejamento da Aposentadoria'!$F$5) + 1)^(1/12) - 1, (C14) * 12, -'Planejamento da Aposentadoria'!$D$5)</f>
        <v>342282.72609226452</v>
      </c>
      <c r="L14">
        <v>5</v>
      </c>
      <c r="M14" s="14">
        <f>M13 * 'Revolving Credit'!$D$5 + M13 * 0.38% + M13 * 0.00828% * 30 + M13</f>
        <v>14468.403793818243</v>
      </c>
    </row>
    <row r="15" spans="3:18">
      <c r="C15" s="1">
        <v>40</v>
      </c>
      <c r="D15" s="14">
        <f>(C15 * 12) * 'Planejamento da Aposentadoria'!$D$5</f>
        <v>96000</v>
      </c>
      <c r="E15" s="14">
        <f>FV((('Planejamento da Aposentadoria'!$E$5 - 'Planejamento da Aposentadoria'!$F$5) + 1)^(1/12) - 1, (C15) * 12, -'Planejamento da Aposentadoria'!$D$5)</f>
        <v>494308.40141943638</v>
      </c>
      <c r="L15">
        <v>6</v>
      </c>
      <c r="M15" s="14">
        <f>M14 * 'Revolving Credit'!$D$5 + M14 * 0.38% + M14 * 0.00828% * 30 + M14</f>
        <v>16729.583812331333</v>
      </c>
    </row>
    <row r="16" spans="3:18">
      <c r="C16" s="1">
        <v>45</v>
      </c>
      <c r="D16" s="14">
        <f>(C16 * 12) * 'Planejamento da Aposentadoria'!$D$5</f>
        <v>108000</v>
      </c>
      <c r="E16" s="14">
        <f>FV((('Planejamento da Aposentadoria'!$E$5 - 'Planejamento da Aposentadoria'!$F$5) + 1)^(1/12) - 1, (C16) * 12, -'Planejamento da Aposentadoria'!$D$5)</f>
        <v>707532.27546039748</v>
      </c>
      <c r="L16">
        <v>7</v>
      </c>
      <c r="M16" s="14">
        <f>M15 * 'Revolving Credit'!$D$5 + M15 * 0.38% + M15 * 0.00828% * 30 + M15</f>
        <v>19344.150088857725</v>
      </c>
    </row>
    <row r="17" spans="3:13">
      <c r="C17" s="1">
        <v>50</v>
      </c>
      <c r="D17" s="14">
        <f>(C17 * 12) * 'Planejamento da Aposentadoria'!$D$5</f>
        <v>120000</v>
      </c>
      <c r="E17" s="14">
        <f>FV((('Planejamento da Aposentadoria'!$E$5 - 'Planejamento da Aposentadoria'!$F$5) + 1)^(1/12) - 1, (C17) * 12, -'Planejamento da Aposentadoria'!$D$5)</f>
        <v>1006589.7890231058</v>
      </c>
      <c r="L17">
        <v>8</v>
      </c>
      <c r="M17" s="14">
        <f>M16 * 'Revolving Credit'!$D$5 + M16 * 0.38% + M16 * 0.00828% * 30 + M16</f>
        <v>22367.331241344764</v>
      </c>
    </row>
    <row r="18" spans="3:13">
      <c r="L18">
        <v>9</v>
      </c>
      <c r="M18" s="14">
        <f>M17 * 'Revolving Credit'!$D$5 + M17 * 0.38% + M17 * 0.00828% * 30 + M17</f>
        <v>25862.987237067089</v>
      </c>
    </row>
    <row r="19" spans="3:13">
      <c r="L19">
        <v>10</v>
      </c>
      <c r="M19" s="14">
        <f>M18 * 'Revolving Credit'!$D$5 + M18 * 0.38% + M18 * 0.00828% * 30 + M18</f>
        <v>29904.958334424882</v>
      </c>
    </row>
    <row r="20" spans="3:13">
      <c r="L20">
        <v>11</v>
      </c>
      <c r="M20" s="14">
        <f>M19 * 'Revolving Credit'!$D$5 + M19 * 0.38% + M19 * 0.00828% * 30 + M19</f>
        <v>34578.624842762139</v>
      </c>
    </row>
    <row r="21" spans="3:13">
      <c r="L21">
        <v>12</v>
      </c>
      <c r="M21" s="14">
        <f>M20 * 'Revolving Credit'!$D$5 + M20 * 0.38% + M20 * 0.00828% * 30 + M20</f>
        <v>39982.710647688378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2024-12-13T12:37:30Z</dcterms:created>
  <dcterms:modified xsi:type="dcterms:W3CDTF">2024-12-14T00:13:30Z</dcterms:modified>
  <cp:category/>
  <cp:contentStatus/>
</cp:coreProperties>
</file>