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FCE1ADAE-C4BB-422B-8B42-53F646AB270A}" xr6:coauthVersionLast="46" xr6:coauthVersionMax="46" xr10:uidLastSave="{00000000-0000-0000-0000-000000000000}"/>
  <bookViews>
    <workbookView xWindow="-120" yWindow="-120" windowWidth="20730" windowHeight="11160" activeTab="1" xr2:uid="{CEF9F350-351C-4B94-A51D-A4486B18295A}"/>
  </bookViews>
  <sheets>
    <sheet name="DADOS" sheetId="2" r:id="rId1"/>
    <sheet name="CAD_ITENS" sheetId="1" r:id="rId2"/>
    <sheet name="DESPESAS" sheetId="3" r:id="rId3"/>
    <sheet name="Planilha4" sheetId="4" r:id="rId4"/>
  </sheets>
  <definedNames>
    <definedName name="_xlnm._FilterDatabase" localSheetId="1" hidden="1">CAD_ITENS!$A$2:$P$38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T31" i="1" s="1"/>
  <c r="U31" i="1" s="1"/>
  <c r="Q32" i="1"/>
  <c r="R32" i="1" s="1"/>
  <c r="Q33" i="1"/>
  <c r="R33" i="1" s="1"/>
  <c r="Q34" i="1"/>
  <c r="R34" i="1" s="1"/>
  <c r="Q35" i="1"/>
  <c r="T35" i="1" s="1"/>
  <c r="U35" i="1" s="1"/>
  <c r="Q36" i="1"/>
  <c r="R36" i="1" s="1"/>
  <c r="Q37" i="1"/>
  <c r="R37" i="1" s="1"/>
  <c r="Q24" i="1"/>
  <c r="S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T30" i="1" s="1"/>
  <c r="U30" i="1" s="1"/>
  <c r="Q23" i="1"/>
  <c r="R23" i="1" s="1"/>
  <c r="W15" i="1"/>
  <c r="W16" i="1"/>
  <c r="Q15" i="1"/>
  <c r="R15" i="1" s="1"/>
  <c r="Q17" i="1"/>
  <c r="S17" i="1" s="1"/>
  <c r="Q18" i="1"/>
  <c r="R18" i="1" s="1"/>
  <c r="Q19" i="1"/>
  <c r="S19" i="1" s="1"/>
  <c r="Q20" i="1"/>
  <c r="R20" i="1" s="1"/>
  <c r="Q21" i="1"/>
  <c r="S21" i="1" s="1"/>
  <c r="Q22" i="1"/>
  <c r="S22" i="1" s="1"/>
  <c r="Q16" i="1"/>
  <c r="T16" i="1" s="1"/>
  <c r="U16" i="1" s="1"/>
  <c r="Q11" i="1"/>
  <c r="S11" i="1" s="1"/>
  <c r="Q12" i="1"/>
  <c r="S12" i="1" s="1"/>
  <c r="Q13" i="1"/>
  <c r="R13" i="1" s="1"/>
  <c r="Q14" i="1"/>
  <c r="T14" i="1" s="1"/>
  <c r="U14" i="1" s="1"/>
  <c r="Q9" i="1"/>
  <c r="R9" i="1" s="1"/>
  <c r="Q10" i="1"/>
  <c r="R10" i="1" s="1"/>
  <c r="Q3" i="1"/>
  <c r="Q4" i="1"/>
  <c r="R4" i="1" s="1"/>
  <c r="Q5" i="1"/>
  <c r="R5" i="1" s="1"/>
  <c r="Q6" i="1"/>
  <c r="R6" i="1" s="1"/>
  <c r="Q7" i="1"/>
  <c r="R7" i="1" s="1"/>
  <c r="Q8" i="1"/>
  <c r="R8" i="1" s="1"/>
  <c r="K38" i="1"/>
  <c r="O38" i="1"/>
  <c r="L38" i="1"/>
  <c r="P17" i="1"/>
  <c r="P18" i="1"/>
  <c r="P19" i="1"/>
  <c r="P20" i="1"/>
  <c r="P22" i="1"/>
  <c r="P10" i="1"/>
  <c r="P35" i="1"/>
  <c r="P23" i="1"/>
  <c r="P37" i="1"/>
  <c r="P27" i="1"/>
  <c r="P11" i="1"/>
  <c r="P12" i="1"/>
  <c r="P13" i="1"/>
  <c r="P16" i="1"/>
  <c r="P14" i="1"/>
  <c r="P15" i="1"/>
  <c r="P25" i="1"/>
  <c r="P8" i="1"/>
  <c r="P29" i="1"/>
  <c r="P32" i="1"/>
  <c r="P33" i="1"/>
  <c r="P34" i="1"/>
  <c r="P30" i="1"/>
  <c r="P9" i="1"/>
  <c r="P28" i="1"/>
  <c r="P31" i="1"/>
  <c r="P36" i="1"/>
  <c r="P5" i="1"/>
  <c r="P6" i="1"/>
  <c r="P7" i="1"/>
  <c r="P3" i="1"/>
  <c r="P4" i="1"/>
  <c r="P24" i="1"/>
  <c r="P21" i="1"/>
  <c r="P26" i="1"/>
  <c r="N3" i="1"/>
  <c r="N17" i="1"/>
  <c r="N18" i="1"/>
  <c r="N19" i="1"/>
  <c r="N20" i="1"/>
  <c r="N22" i="1"/>
  <c r="N10" i="1"/>
  <c r="N35" i="1"/>
  <c r="N23" i="1"/>
  <c r="N37" i="1"/>
  <c r="N27" i="1"/>
  <c r="N11" i="1"/>
  <c r="N12" i="1"/>
  <c r="N13" i="1"/>
  <c r="N16" i="1"/>
  <c r="N14" i="1"/>
  <c r="N15" i="1"/>
  <c r="N25" i="1"/>
  <c r="N8" i="1"/>
  <c r="N29" i="1"/>
  <c r="N32" i="1"/>
  <c r="N33" i="1"/>
  <c r="N34" i="1"/>
  <c r="N30" i="1"/>
  <c r="N9" i="1"/>
  <c r="N28" i="1"/>
  <c r="N31" i="1"/>
  <c r="N36" i="1"/>
  <c r="N5" i="1"/>
  <c r="N6" i="1"/>
  <c r="N7" i="1"/>
  <c r="N4" i="1"/>
  <c r="N24" i="1"/>
  <c r="N21" i="1"/>
  <c r="N26" i="1"/>
  <c r="G5" i="4"/>
  <c r="H5" i="4" s="1"/>
  <c r="I5" i="4" s="1"/>
  <c r="I7" i="4" s="1"/>
  <c r="F5" i="4"/>
  <c r="C3" i="4"/>
  <c r="C2" i="4"/>
  <c r="C4" i="4" s="1"/>
  <c r="H10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F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4" i="3"/>
  <c r="B3" i="3"/>
  <c r="J21" i="1"/>
  <c r="J34" i="1"/>
  <c r="J24" i="1"/>
  <c r="J32" i="1"/>
  <c r="J33" i="1"/>
  <c r="J30" i="1"/>
  <c r="J9" i="1"/>
  <c r="J28" i="1"/>
  <c r="J31" i="1"/>
  <c r="J36" i="1"/>
  <c r="J5" i="1"/>
  <c r="J6" i="1"/>
  <c r="J7" i="1"/>
  <c r="J3" i="1"/>
  <c r="J4" i="1"/>
  <c r="J17" i="1"/>
  <c r="J18" i="1"/>
  <c r="J19" i="1"/>
  <c r="J20" i="1"/>
  <c r="J22" i="1"/>
  <c r="J10" i="1"/>
  <c r="J35" i="1"/>
  <c r="J23" i="1"/>
  <c r="J37" i="1"/>
  <c r="J27" i="1"/>
  <c r="J11" i="1"/>
  <c r="J12" i="1"/>
  <c r="J13" i="1"/>
  <c r="J16" i="1"/>
  <c r="J14" i="1"/>
  <c r="J15" i="1"/>
  <c r="J25" i="1"/>
  <c r="J8" i="1"/>
  <c r="J29" i="1"/>
  <c r="J26" i="1"/>
  <c r="T23" i="1" l="1"/>
  <c r="U23" i="1" s="1"/>
  <c r="T18" i="1"/>
  <c r="U18" i="1" s="1"/>
  <c r="R24" i="1"/>
  <c r="R19" i="1"/>
  <c r="T24" i="1"/>
  <c r="U24" i="1" s="1"/>
  <c r="V24" i="1" s="1"/>
  <c r="R12" i="1"/>
  <c r="S30" i="1"/>
  <c r="V30" i="1" s="1"/>
  <c r="S23" i="1"/>
  <c r="R30" i="1"/>
  <c r="S13" i="1"/>
  <c r="T29" i="1"/>
  <c r="U29" i="1" s="1"/>
  <c r="R17" i="1"/>
  <c r="R21" i="1"/>
  <c r="T27" i="1"/>
  <c r="U27" i="1" s="1"/>
  <c r="T25" i="1"/>
  <c r="U25" i="1" s="1"/>
  <c r="S14" i="1"/>
  <c r="S29" i="1"/>
  <c r="S25" i="1"/>
  <c r="T32" i="1"/>
  <c r="U32" i="1" s="1"/>
  <c r="R14" i="1"/>
  <c r="T20" i="1"/>
  <c r="U20" i="1" s="1"/>
  <c r="S18" i="1"/>
  <c r="R22" i="1"/>
  <c r="S27" i="1"/>
  <c r="T36" i="1"/>
  <c r="U36" i="1" s="1"/>
  <c r="S32" i="1"/>
  <c r="S20" i="1"/>
  <c r="S36" i="1"/>
  <c r="T28" i="1"/>
  <c r="U28" i="1" s="1"/>
  <c r="T33" i="1"/>
  <c r="U33" i="1" s="1"/>
  <c r="T22" i="1"/>
  <c r="U22" i="1" s="1"/>
  <c r="V22" i="1" s="1"/>
  <c r="S28" i="1"/>
  <c r="T26" i="1"/>
  <c r="U26" i="1" s="1"/>
  <c r="T37" i="1"/>
  <c r="U37" i="1" s="1"/>
  <c r="S33" i="1"/>
  <c r="S31" i="1"/>
  <c r="V31" i="1" s="1"/>
  <c r="R11" i="1"/>
  <c r="T19" i="1"/>
  <c r="U19" i="1" s="1"/>
  <c r="V19" i="1" s="1"/>
  <c r="S26" i="1"/>
  <c r="S37" i="1"/>
  <c r="S35" i="1"/>
  <c r="V35" i="1" s="1"/>
  <c r="R31" i="1"/>
  <c r="R35" i="1"/>
  <c r="T34" i="1"/>
  <c r="U34" i="1" s="1"/>
  <c r="S34" i="1"/>
  <c r="S15" i="1"/>
  <c r="T15" i="1"/>
  <c r="U15" i="1" s="1"/>
  <c r="T21" i="1"/>
  <c r="U21" i="1" s="1"/>
  <c r="V21" i="1" s="1"/>
  <c r="T17" i="1"/>
  <c r="U17" i="1" s="1"/>
  <c r="V17" i="1" s="1"/>
  <c r="R16" i="1"/>
  <c r="S16" i="1"/>
  <c r="V16" i="1" s="1"/>
  <c r="N38" i="1"/>
  <c r="P38" i="1"/>
  <c r="C6" i="4"/>
  <c r="V23" i="1" l="1"/>
  <c r="V18" i="1"/>
  <c r="V26" i="1"/>
  <c r="V32" i="1"/>
  <c r="V36" i="1"/>
  <c r="V33" i="1"/>
  <c r="V29" i="1"/>
  <c r="V27" i="1"/>
  <c r="V37" i="1"/>
  <c r="V28" i="1"/>
  <c r="V25" i="1"/>
  <c r="V34" i="1"/>
  <c r="V20" i="1"/>
  <c r="V15" i="1"/>
</calcChain>
</file>

<file path=xl/sharedStrings.xml><?xml version="1.0" encoding="utf-8"?>
<sst xmlns="http://schemas.openxmlformats.org/spreadsheetml/2006/main" count="314" uniqueCount="175">
  <si>
    <t>NOME DO PRODUTO</t>
  </si>
  <si>
    <t>CATEGORIA</t>
  </si>
  <si>
    <t>DESCRIÇÃO</t>
  </si>
  <si>
    <t>GENÊRO</t>
  </si>
  <si>
    <t>VALOR PAGO</t>
  </si>
  <si>
    <t>DATA DA COMPRA</t>
  </si>
  <si>
    <t>LOTES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</si>
  <si>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</si>
  <si>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</si>
  <si>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</si>
  <si>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</si>
  <si>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</si>
  <si>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</si>
  <si>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</si>
  <si>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</si>
  <si>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</si>
  <si>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</si>
  <si>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</si>
  <si>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LOTE</t>
  </si>
  <si>
    <t>BERMUDA BRANCA</t>
  </si>
  <si>
    <t>BERMUDA</t>
  </si>
  <si>
    <t>MASCULINO</t>
  </si>
  <si>
    <t>SHORTS BENGALINI</t>
  </si>
  <si>
    <t>COR</t>
  </si>
  <si>
    <t>BRANCO</t>
  </si>
  <si>
    <t>TERRA COTA</t>
  </si>
  <si>
    <t>BERMUDA JEANS COM CINTO</t>
  </si>
  <si>
    <t>SHORTS BENGALINE COM LAÇO DE CETIM</t>
  </si>
  <si>
    <t>SHORTS</t>
  </si>
  <si>
    <t>FEMININO</t>
  </si>
  <si>
    <t>VERMELHO</t>
  </si>
  <si>
    <t>CAMISETA CALVIN KLEIN</t>
  </si>
  <si>
    <t>CAMISETA CALVIN KLEIN COM ZÍPER LATERAL</t>
  </si>
  <si>
    <t>CINZA/PRETO</t>
  </si>
  <si>
    <t>CAMISETA</t>
  </si>
  <si>
    <t>CAMISETA NIKE</t>
  </si>
  <si>
    <t>BRANCO/AZUL</t>
  </si>
  <si>
    <t>CAMISETA BRANCA</t>
  </si>
  <si>
    <t>DETALHES DO PRODUTO</t>
  </si>
  <si>
    <t>CAMISETA KING</t>
  </si>
  <si>
    <t>DADOS CADASTRAIS</t>
  </si>
  <si>
    <t>PRETO/BRANCO</t>
  </si>
  <si>
    <t>QTDE</t>
  </si>
  <si>
    <t>CAMISETA KING LONG LINE COM ESTAMPA</t>
  </si>
  <si>
    <t>CAMISETA NIKE LONG LINE ESTAMPADA COM ZÍPER LATERAL</t>
  </si>
  <si>
    <t>CAMISETA COM LOGO NIKE</t>
  </si>
  <si>
    <t>AZUL</t>
  </si>
  <si>
    <t>CAMISETA NIKE ESTAMPA TÊNIS</t>
  </si>
  <si>
    <t>CINZA</t>
  </si>
  <si>
    <t>JARDINEIRA JEANS</t>
  </si>
  <si>
    <t>JARDINEIRA JEANS COM RASGOS</t>
  </si>
  <si>
    <t>JEANS</t>
  </si>
  <si>
    <t>JARDINEIRA</t>
  </si>
  <si>
    <t>SHORTS JEANS</t>
  </si>
  <si>
    <t>SHORTS JEANS CLARO COM DETALHES RASGO</t>
  </si>
  <si>
    <t>VESTIDO MINNIE</t>
  </si>
  <si>
    <t>VESTIDO ESTAMPADO MINNIE</t>
  </si>
  <si>
    <t>VESTIDO</t>
  </si>
  <si>
    <t>ROSA</t>
  </si>
  <si>
    <t>VESTIDO ESTAMPADO UNICORNIO</t>
  </si>
  <si>
    <t>VESTIDO UNICORNIO</t>
  </si>
  <si>
    <t>CAMISETA NIKE JUST IT</t>
  </si>
  <si>
    <t>BRANCA</t>
  </si>
  <si>
    <t>CAMISETA JOHN JOHN</t>
  </si>
  <si>
    <t>CAMISETA JOHN JOHN (ESCRITAS)</t>
  </si>
  <si>
    <t>CAMISETA ADIDAS</t>
  </si>
  <si>
    <t>VINHO</t>
  </si>
  <si>
    <t>CAMISETA ESTAMPA ADIDAS PERSONALIZADA</t>
  </si>
  <si>
    <t>CAMISETA ESTAMPA NIKE PERSONALIZADA</t>
  </si>
  <si>
    <t>VESTIDO 3 CORES</t>
  </si>
  <si>
    <t>VESTIDO 3 CORES COM CINTO VERDE FLUORESCENTE</t>
  </si>
  <si>
    <t>PRETO</t>
  </si>
  <si>
    <t>AZUL/ROSA/VERDE</t>
  </si>
  <si>
    <t>CONJUNTO MILITAR</t>
  </si>
  <si>
    <t>CONJUNTO CAMISETA/BERMUDA MILITAR</t>
  </si>
  <si>
    <t>CONJUNTO</t>
  </si>
  <si>
    <t>CONJUNTO KING</t>
  </si>
  <si>
    <t>CONJUNTO CAMISETA/CALÇA SARUEL (MALHA)</t>
  </si>
  <si>
    <t>PRETO/MARROM</t>
  </si>
  <si>
    <t>CONJUNTO TOMMY</t>
  </si>
  <si>
    <t>CONJUNTO TOMMY 3 CORES</t>
  </si>
  <si>
    <t>CONJUNTO PRETO BRILHO</t>
  </si>
  <si>
    <t>CONJUNTO PRETO BRILHO (LOVE)</t>
  </si>
  <si>
    <t>AZUL/VERMELHO/BRANCO</t>
  </si>
  <si>
    <t>PINK</t>
  </si>
  <si>
    <t>BLUSA</t>
  </si>
  <si>
    <t>CROPPED MALIBU</t>
  </si>
  <si>
    <t>CROPPED MALIBU (MALHA)</t>
  </si>
  <si>
    <t>CONJUNTO FLORIDO</t>
  </si>
  <si>
    <t>CONJUNTO FLORIDO CROPPED/CALÇA (MALHA)</t>
  </si>
  <si>
    <t>VERDE</t>
  </si>
  <si>
    <t>CONJUNTO SALOPETE</t>
  </si>
  <si>
    <t>CONJUNTO SALOPETE ESTAMPADO DONUTS</t>
  </si>
  <si>
    <t>ROSA/AMARELO</t>
  </si>
  <si>
    <t>CALÇA JOGGER</t>
  </si>
  <si>
    <t>CALÇA JOGGER JEANS</t>
  </si>
  <si>
    <t>CALÇA</t>
  </si>
  <si>
    <t>T-SHIRT</t>
  </si>
  <si>
    <t>T-SHIRT MALHA COM ESTAMPA ALL STAR</t>
  </si>
  <si>
    <t>OFF WHITE</t>
  </si>
  <si>
    <t>T-SHIRT MALHA COM ESTAMPA MENINA</t>
  </si>
  <si>
    <t>T-SHIRT MALHA COM ESTAMPA TENIS</t>
  </si>
  <si>
    <t>SUNGA CAPITÃO AMÉRICA</t>
  </si>
  <si>
    <t>SUNGA HERÓIS</t>
  </si>
  <si>
    <t>SUNGA</t>
  </si>
  <si>
    <t>SUNGA VINGADORES</t>
  </si>
  <si>
    <t>BOLSA MINNIE</t>
  </si>
  <si>
    <t xml:space="preserve">BOLSA MINNIE </t>
  </si>
  <si>
    <t>ACESSÓRIOS</t>
  </si>
  <si>
    <t>ÓCULOS TIE DYE</t>
  </si>
  <si>
    <t>ROAS</t>
  </si>
  <si>
    <t>DESPESAS</t>
  </si>
  <si>
    <t>SACOLAS PLÁSTICAS</t>
  </si>
  <si>
    <t>VALOR UNITÁRIO</t>
  </si>
  <si>
    <t>VALOR TOTAL</t>
  </si>
  <si>
    <t>DATA</t>
  </si>
  <si>
    <t>TAPETE DE PELO</t>
  </si>
  <si>
    <t>MAQUINA DE TAG</t>
  </si>
  <si>
    <t>QUADRO PERSONALIZADO</t>
  </si>
  <si>
    <t>PASSAGEM</t>
  </si>
  <si>
    <t>TRANSPORTE</t>
  </si>
  <si>
    <t>EQUIPAMENTOS</t>
  </si>
  <si>
    <t>ALIMENTAÇÃO</t>
  </si>
  <si>
    <t>MAQUININHA</t>
  </si>
  <si>
    <t>VALOR TOTAL INVESTIDO</t>
  </si>
  <si>
    <t>VALOR TOTAL DESPESAS</t>
  </si>
  <si>
    <t>TOTAL</t>
  </si>
  <si>
    <t>N DE PEÇAS</t>
  </si>
  <si>
    <t>DESPESA</t>
  </si>
  <si>
    <t>VALOR PROPOSTO</t>
  </si>
  <si>
    <t>% ESTIPULADA</t>
  </si>
  <si>
    <t>%</t>
  </si>
  <si>
    <t>MARKUP</t>
  </si>
  <si>
    <t>CONJUNTO LACOSTE</t>
  </si>
  <si>
    <t>CONJUNTO LACOSTE CAMISETA/SHORTS</t>
  </si>
  <si>
    <t>AZUL\CINZA MESCLA</t>
  </si>
  <si>
    <t>TAM.</t>
  </si>
  <si>
    <t>B100033</t>
  </si>
  <si>
    <t>B100034</t>
  </si>
  <si>
    <t>B100030</t>
  </si>
  <si>
    <t>B100031</t>
  </si>
  <si>
    <t>B100032</t>
  </si>
  <si>
    <t>B150036</t>
  </si>
  <si>
    <t>B120019</t>
  </si>
  <si>
    <t>B120025</t>
  </si>
  <si>
    <t>B130002</t>
  </si>
  <si>
    <t>B130003</t>
  </si>
  <si>
    <t>B125016</t>
  </si>
  <si>
    <t>B125017</t>
  </si>
  <si>
    <t>B125015</t>
  </si>
  <si>
    <t>VALOR FINAL</t>
  </si>
  <si>
    <t>B200018</t>
  </si>
  <si>
    <t>B200001</t>
  </si>
  <si>
    <t>B250011</t>
  </si>
  <si>
    <t>B250027</t>
  </si>
  <si>
    <t>B250020</t>
  </si>
  <si>
    <t>B250028</t>
  </si>
  <si>
    <t>B250024</t>
  </si>
  <si>
    <t>B250021</t>
  </si>
  <si>
    <t>B250022</t>
  </si>
  <si>
    <t>B250023</t>
  </si>
  <si>
    <t>B300008</t>
  </si>
  <si>
    <t>B300029</t>
  </si>
  <si>
    <t>B400010</t>
  </si>
  <si>
    <t>B120012</t>
  </si>
  <si>
    <t>B120013</t>
  </si>
  <si>
    <t>B120027</t>
  </si>
  <si>
    <t>B125004</t>
  </si>
  <si>
    <t>B130004</t>
  </si>
  <si>
    <t>B130005</t>
  </si>
  <si>
    <t>B150006</t>
  </si>
  <si>
    <t>B150009</t>
  </si>
  <si>
    <t>B150035</t>
  </si>
  <si>
    <t>CÓDIGO FINAL</t>
  </si>
  <si>
    <t>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</si>
</sst>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dd\-mm\-yyyy;@"/>
    <numFmt numFmtId="165" formatCode="&quot;R$&quot;\ #,##0.00"/>
    <numFmt numFmtId="166" formatCode="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ck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 style="thick">
        <color theme="1" tint="0.24994659260841701"/>
      </left>
      <right/>
      <top/>
      <bottom style="thin">
        <color theme="1" tint="0.24994659260841701"/>
      </bottom>
      <diagonal/>
    </border>
    <border>
      <left style="thick">
        <color theme="1" tint="0.24994659260841701"/>
      </left>
      <right/>
      <top/>
      <bottom/>
      <diagonal/>
    </border>
    <border>
      <left/>
      <right/>
      <top/>
      <bottom style="thin">
        <color theme="1" tint="0.24994659260841701"/>
      </bottom>
      <diagonal/>
    </border>
    <border>
      <left/>
      <right style="thick">
        <color theme="1" tint="0.24994659260841701"/>
      </right>
      <top/>
      <bottom/>
      <diagonal/>
    </border>
    <border>
      <left/>
      <right style="thick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ck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dashed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65" fontId="3" fillId="0" borderId="9" xfId="1" applyNumberFormat="1" applyFont="1" applyBorder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5" fontId="4" fillId="0" borderId="10" xfId="1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6" fontId="4" fillId="0" borderId="4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1" xfId="1" applyFont="1" applyBorder="1"/>
    <xf numFmtId="4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165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 vertical="center"/>
    </xf>
    <xf numFmtId="9" fontId="4" fillId="0" borderId="3" xfId="2" applyFont="1" applyFill="1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165" fontId="4" fillId="0" borderId="11" xfId="0" applyNumberFormat="1" applyFont="1" applyFill="1" applyBorder="1" applyAlignment="1">
      <alignment horizontal="center" vertical="center"/>
    </xf>
    <xf numFmtId="165" fontId="4" fillId="0" borderId="12" xfId="0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/>
    </xf>
    <xf numFmtId="165" fontId="4" fillId="3" borderId="10" xfId="1" applyNumberFormat="1" applyFont="1" applyFill="1" applyBorder="1" applyAlignment="1">
      <alignment horizontal="center" vertical="center"/>
    </xf>
    <xf numFmtId="9" fontId="4" fillId="3" borderId="3" xfId="2" applyFont="1" applyFill="1" applyBorder="1" applyAlignment="1">
      <alignment horizontal="center" vertical="center"/>
    </xf>
    <xf numFmtId="165" fontId="4" fillId="3" borderId="12" xfId="0" applyNumberFormat="1" applyFont="1" applyFill="1" applyBorder="1" applyAlignment="1">
      <alignment horizontal="center" vertical="center"/>
    </xf>
    <xf numFmtId="165" fontId="4" fillId="3" borderId="11" xfId="0" applyNumberFormat="1" applyFon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4" fillId="0" borderId="4" xfId="1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F164-4B3D-48D6-B1A0-6EE0E1D3A20A}">
  <sheetPr codeName="Planilha1"/>
  <dimension ref="A1:E12"/>
  <sheetViews>
    <sheetView showGridLines="0" workbookViewId="0">
      <selection activeCell="D4" sqref="D4"/>
    </sheetView>
  </sheetViews>
  <sheetFormatPr defaultRowHeight="12.75" x14ac:dyDescent="0.25"/>
  <cols>
    <col min="1" max="1" width="13" style="1" customWidth="1"/>
    <col min="2" max="2" width="15" style="1" bestFit="1" customWidth="1"/>
    <col min="3" max="3" width="3.5703125" style="1" customWidth="1"/>
    <col min="4" max="4" width="17" style="1" customWidth="1"/>
    <col min="5" max="5" width="13.7109375" style="1" customWidth="1"/>
    <col min="6" max="6" width="10.85546875" style="1" bestFit="1" customWidth="1"/>
    <col min="7" max="16384" width="9.140625" style="1"/>
  </cols>
  <sheetData>
    <row r="1" spans="1:5" ht="15" customHeight="1" x14ac:dyDescent="0.25">
      <c r="A1" s="22" t="s">
        <v>6</v>
      </c>
      <c r="B1" s="22" t="s">
        <v>5</v>
      </c>
      <c r="C1" s="2"/>
      <c r="D1" s="22" t="s">
        <v>3</v>
      </c>
      <c r="E1" s="2"/>
    </row>
    <row r="2" spans="1:5" ht="19.5" customHeight="1" x14ac:dyDescent="0.25">
      <c r="A2" s="3" t="s">
        <v>7</v>
      </c>
      <c r="B2" s="3"/>
      <c r="D2" s="3" t="s">
        <v>29</v>
      </c>
    </row>
    <row r="3" spans="1:5" ht="19.5" customHeight="1" x14ac:dyDescent="0.25">
      <c r="A3" s="3" t="s">
        <v>8</v>
      </c>
      <c r="B3" s="4">
        <v>44527</v>
      </c>
      <c r="D3" s="3" t="s">
        <v>21</v>
      </c>
    </row>
    <row r="4" spans="1:5" ht="19.5" customHeight="1" x14ac:dyDescent="0.25">
      <c r="A4" s="3" t="s">
        <v>9</v>
      </c>
      <c r="B4" s="3"/>
    </row>
    <row r="5" spans="1:5" ht="19.5" customHeight="1" x14ac:dyDescent="0.25">
      <c r="A5" s="3" t="s">
        <v>10</v>
      </c>
      <c r="B5" s="3"/>
    </row>
    <row r="6" spans="1:5" ht="19.5" customHeight="1" x14ac:dyDescent="0.25">
      <c r="A6" s="3" t="s">
        <v>11</v>
      </c>
      <c r="B6" s="3"/>
    </row>
    <row r="7" spans="1:5" ht="19.5" customHeight="1" x14ac:dyDescent="0.25">
      <c r="A7" s="3" t="s">
        <v>12</v>
      </c>
      <c r="B7" s="3"/>
    </row>
    <row r="8" spans="1:5" ht="19.5" customHeight="1" x14ac:dyDescent="0.25">
      <c r="A8" s="3" t="s">
        <v>13</v>
      </c>
      <c r="B8" s="3"/>
    </row>
    <row r="9" spans="1:5" ht="19.5" customHeight="1" x14ac:dyDescent="0.25">
      <c r="A9" s="3" t="s">
        <v>14</v>
      </c>
      <c r="B9" s="3"/>
    </row>
    <row r="10" spans="1:5" ht="19.5" customHeight="1" x14ac:dyDescent="0.25">
      <c r="A10" s="3" t="s">
        <v>15</v>
      </c>
      <c r="B10" s="3"/>
    </row>
    <row r="11" spans="1:5" ht="19.5" customHeight="1" x14ac:dyDescent="0.25">
      <c r="A11" s="3" t="s">
        <v>16</v>
      </c>
      <c r="B11" s="3"/>
    </row>
    <row r="12" spans="1:5" ht="19.5" customHeight="1" x14ac:dyDescent="0.25">
      <c r="A12" s="3" t="s">
        <v>17</v>
      </c>
      <c r="B12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7C03-31AE-4933-9D64-33DFC502B13A}">
  <sheetPr codeName="Planilha2"/>
  <dimension ref="A1:W38"/>
  <sheetViews>
    <sheetView showGridLines="0" tabSelected="1" workbookViewId="0">
      <pane ySplit="2" topLeftCell="A24" activePane="bottomLeft" state="frozen"/>
      <selection activeCell="E1" sqref="E1"/>
      <selection pane="bottomLeft" activeCell="A37" sqref="A37:XFD37"/>
    </sheetView>
  </sheetViews>
  <sheetFormatPr defaultRowHeight="17.25" customHeight="1" x14ac:dyDescent="0.25"/>
  <cols>
    <col min="1" max="1" width="21.85546875" style="15" bestFit="1" customWidth="1"/>
    <col min="2" max="2" width="47.7109375" style="5" bestFit="1" customWidth="1"/>
    <col min="3" max="3" width="21.42578125" style="1" customWidth="1"/>
    <col min="4" max="4" width="14.42578125" style="1" hidden="1" customWidth="1"/>
    <col min="5" max="5" width="9.5703125" style="1" bestFit="1" customWidth="1"/>
    <col min="6" max="6" width="12" style="1" hidden="1" customWidth="1"/>
    <col min="7" max="7" width="9.42578125" style="1" hidden="1" customWidth="1"/>
    <col min="8" max="8" width="11.140625" style="1" hidden="1" customWidth="1"/>
    <col min="9" max="9" width="16.85546875" style="1" bestFit="1" customWidth="1"/>
    <col min="10" max="10" width="20.140625" style="1" hidden="1" customWidth="1"/>
    <col min="11" max="11" width="9.7109375" style="1" hidden="1" customWidth="1"/>
    <col min="12" max="12" width="16" style="13" bestFit="1" customWidth="1"/>
    <col min="13" max="13" width="6.85546875" style="1" hidden="1" customWidth="1"/>
    <col min="14" max="14" width="20.140625" style="1" hidden="1" customWidth="1"/>
    <col min="15" max="15" width="16" style="24" bestFit="1" customWidth="1"/>
    <col min="16" max="16" width="16.7109375" style="1" customWidth="1"/>
    <col min="17" max="16384" width="9.140625" style="1"/>
  </cols>
  <sheetData>
    <row r="1" spans="1:23" ht="27.75" customHeight="1" x14ac:dyDescent="0.25">
      <c r="A1" s="59" t="s">
        <v>38</v>
      </c>
      <c r="B1" s="59"/>
      <c r="C1" s="59"/>
      <c r="D1" s="59"/>
      <c r="E1" s="59"/>
      <c r="F1" s="59"/>
      <c r="G1" s="60" t="s">
        <v>40</v>
      </c>
      <c r="H1" s="61"/>
      <c r="I1" s="61"/>
      <c r="J1" s="61"/>
      <c r="K1" s="61"/>
      <c r="L1" s="62"/>
      <c r="M1" s="63" t="s">
        <v>132</v>
      </c>
      <c r="N1" s="64"/>
      <c r="O1" s="64"/>
      <c r="P1" s="64"/>
    </row>
    <row r="2" spans="1:23" s="2" customFormat="1" ht="27" customHeight="1" x14ac:dyDescent="0.25">
      <c r="A2" s="14" t="s">
        <v>0</v>
      </c>
      <c r="B2" s="2" t="s">
        <v>2</v>
      </c>
      <c r="C2" s="2" t="s">
        <v>23</v>
      </c>
      <c r="D2" s="2" t="s">
        <v>1</v>
      </c>
      <c r="E2" s="2" t="s">
        <v>136</v>
      </c>
      <c r="F2" s="2" t="s">
        <v>3</v>
      </c>
      <c r="G2" s="9" t="s">
        <v>18</v>
      </c>
      <c r="H2" s="10" t="s">
        <v>174</v>
      </c>
      <c r="I2" s="2" t="s">
        <v>173</v>
      </c>
      <c r="J2" s="11" t="s">
        <v>5</v>
      </c>
      <c r="K2" s="11" t="s">
        <v>42</v>
      </c>
      <c r="L2" s="12" t="s">
        <v>4</v>
      </c>
      <c r="M2" s="14" t="s">
        <v>131</v>
      </c>
      <c r="N2" s="2" t="s">
        <v>129</v>
      </c>
      <c r="O2" s="2" t="s">
        <v>150</v>
      </c>
      <c r="P2" s="2" t="s">
        <v>130</v>
      </c>
    </row>
    <row r="3" spans="1:23" s="36" customFormat="1" ht="17.25" customHeight="1" x14ac:dyDescent="0.25">
      <c r="A3" s="16" t="s">
        <v>103</v>
      </c>
      <c r="B3" s="17" t="s">
        <v>102</v>
      </c>
      <c r="C3" s="18" t="s">
        <v>46</v>
      </c>
      <c r="D3" s="18" t="s">
        <v>104</v>
      </c>
      <c r="E3" s="18">
        <v>4</v>
      </c>
      <c r="F3" s="19" t="s">
        <v>21</v>
      </c>
      <c r="G3" s="16" t="s">
        <v>8</v>
      </c>
      <c r="H3" s="57">
        <v>33</v>
      </c>
      <c r="I3" s="57" t="s">
        <v>137</v>
      </c>
      <c r="J3" s="20">
        <f>IFERROR(VLOOKUP(G3,DADOS!A:B,2,FALSE),"")</f>
        <v>44527</v>
      </c>
      <c r="K3" s="23">
        <v>1</v>
      </c>
      <c r="L3" s="56">
        <v>10</v>
      </c>
      <c r="M3" s="37">
        <v>1.3</v>
      </c>
      <c r="N3" s="40">
        <f t="shared" ref="N3:N37" si="0">(L3*M3)+L3</f>
        <v>23</v>
      </c>
      <c r="O3" s="39">
        <v>25</v>
      </c>
      <c r="P3" s="38">
        <f t="shared" ref="P3:P37" si="1">IF(O3="","",(O3/L3)-1)</f>
        <v>1.5</v>
      </c>
      <c r="Q3" s="36" t="str">
        <f t="shared" ref="Q3:Q37" si="2">CONCATENATE(G3,L3,H3)</f>
        <v>B1033</v>
      </c>
    </row>
    <row r="4" spans="1:23" s="36" customFormat="1" ht="17.25" customHeight="1" x14ac:dyDescent="0.25">
      <c r="A4" s="16" t="s">
        <v>103</v>
      </c>
      <c r="B4" s="17" t="s">
        <v>105</v>
      </c>
      <c r="C4" s="18" t="s">
        <v>46</v>
      </c>
      <c r="D4" s="18" t="s">
        <v>104</v>
      </c>
      <c r="E4" s="18">
        <v>6</v>
      </c>
      <c r="F4" s="19" t="s">
        <v>21</v>
      </c>
      <c r="G4" s="16" t="s">
        <v>8</v>
      </c>
      <c r="H4" s="57">
        <v>34</v>
      </c>
      <c r="I4" s="57" t="s">
        <v>138</v>
      </c>
      <c r="J4" s="20">
        <f>IFERROR(VLOOKUP(G4,DADOS!A:B,2,FALSE),"")</f>
        <v>44527</v>
      </c>
      <c r="K4" s="23">
        <v>1</v>
      </c>
      <c r="L4" s="21">
        <v>10</v>
      </c>
      <c r="M4" s="37">
        <v>1.3</v>
      </c>
      <c r="N4" s="40">
        <f t="shared" si="0"/>
        <v>23</v>
      </c>
      <c r="O4" s="39">
        <v>25</v>
      </c>
      <c r="P4" s="38">
        <f t="shared" si="1"/>
        <v>1.5</v>
      </c>
      <c r="Q4" s="36" t="str">
        <f t="shared" si="2"/>
        <v>B1034</v>
      </c>
      <c r="R4" s="36">
        <f>LEN(Q4)</f>
        <v>5</v>
      </c>
    </row>
    <row r="5" spans="1:23" s="36" customFormat="1" ht="17.25" customHeight="1" x14ac:dyDescent="0.25">
      <c r="A5" s="16" t="s">
        <v>97</v>
      </c>
      <c r="B5" s="17" t="s">
        <v>98</v>
      </c>
      <c r="C5" s="18" t="s">
        <v>99</v>
      </c>
      <c r="D5" s="18" t="s">
        <v>85</v>
      </c>
      <c r="E5" s="18">
        <v>4</v>
      </c>
      <c r="F5" s="19" t="s">
        <v>29</v>
      </c>
      <c r="G5" s="16" t="s">
        <v>8</v>
      </c>
      <c r="H5" s="57">
        <v>30</v>
      </c>
      <c r="I5" s="57" t="s">
        <v>139</v>
      </c>
      <c r="J5" s="20">
        <f>IFERROR(VLOOKUP(G5,DADOS!A:B,2,FALSE),"")</f>
        <v>44527</v>
      </c>
      <c r="K5" s="23">
        <v>1</v>
      </c>
      <c r="L5" s="21">
        <v>10</v>
      </c>
      <c r="M5" s="37">
        <v>1.3</v>
      </c>
      <c r="N5" s="40">
        <f t="shared" si="0"/>
        <v>23</v>
      </c>
      <c r="O5" s="39">
        <v>29.9</v>
      </c>
      <c r="P5" s="38">
        <f t="shared" si="1"/>
        <v>1.9899999999999998</v>
      </c>
      <c r="Q5" s="36" t="str">
        <f t="shared" si="2"/>
        <v>B1030</v>
      </c>
      <c r="R5" s="36">
        <f>LEN(Q5)</f>
        <v>5</v>
      </c>
    </row>
    <row r="6" spans="1:23" s="36" customFormat="1" ht="17.25" customHeight="1" x14ac:dyDescent="0.25">
      <c r="A6" s="16" t="s">
        <v>97</v>
      </c>
      <c r="B6" s="17" t="s">
        <v>100</v>
      </c>
      <c r="C6" s="18" t="s">
        <v>99</v>
      </c>
      <c r="D6" s="18" t="s">
        <v>85</v>
      </c>
      <c r="E6" s="18">
        <v>10</v>
      </c>
      <c r="F6" s="19" t="s">
        <v>29</v>
      </c>
      <c r="G6" s="16" t="s">
        <v>8</v>
      </c>
      <c r="H6" s="57">
        <v>31</v>
      </c>
      <c r="I6" s="57" t="s">
        <v>140</v>
      </c>
      <c r="J6" s="20">
        <f>IFERROR(VLOOKUP(G6,DADOS!A:B,2,FALSE),"")</f>
        <v>44527</v>
      </c>
      <c r="K6" s="23">
        <v>1</v>
      </c>
      <c r="L6" s="21">
        <v>10</v>
      </c>
      <c r="M6" s="37">
        <v>1.3</v>
      </c>
      <c r="N6" s="40">
        <f t="shared" si="0"/>
        <v>23</v>
      </c>
      <c r="O6" s="39">
        <v>29.9</v>
      </c>
      <c r="P6" s="38">
        <f t="shared" si="1"/>
        <v>1.9899999999999998</v>
      </c>
      <c r="Q6" s="36" t="str">
        <f t="shared" si="2"/>
        <v>B1031</v>
      </c>
      <c r="R6" s="36">
        <f>LEN(Q6)</f>
        <v>5</v>
      </c>
    </row>
    <row r="7" spans="1:23" s="36" customFormat="1" ht="17.25" customHeight="1" x14ac:dyDescent="0.25">
      <c r="A7" s="16" t="s">
        <v>97</v>
      </c>
      <c r="B7" s="17" t="s">
        <v>101</v>
      </c>
      <c r="C7" s="18" t="s">
        <v>58</v>
      </c>
      <c r="D7" s="18" t="s">
        <v>85</v>
      </c>
      <c r="E7" s="18">
        <v>8</v>
      </c>
      <c r="F7" s="19" t="s">
        <v>29</v>
      </c>
      <c r="G7" s="16" t="s">
        <v>8</v>
      </c>
      <c r="H7" s="57">
        <v>32</v>
      </c>
      <c r="I7" s="57" t="s">
        <v>141</v>
      </c>
      <c r="J7" s="20">
        <f>IFERROR(VLOOKUP(G7,DADOS!A:B,2,FALSE),"")</f>
        <v>44527</v>
      </c>
      <c r="K7" s="23">
        <v>1</v>
      </c>
      <c r="L7" s="21">
        <v>10</v>
      </c>
      <c r="M7" s="37">
        <v>1.3</v>
      </c>
      <c r="N7" s="40">
        <f t="shared" si="0"/>
        <v>23</v>
      </c>
      <c r="O7" s="39">
        <v>29.9</v>
      </c>
      <c r="P7" s="38">
        <f t="shared" si="1"/>
        <v>1.9899999999999998</v>
      </c>
      <c r="Q7" s="36" t="str">
        <f t="shared" si="2"/>
        <v>B1032</v>
      </c>
      <c r="R7" s="36">
        <f>LEN(Q7)</f>
        <v>5</v>
      </c>
    </row>
    <row r="8" spans="1:23" s="36" customFormat="1" ht="17.25" customHeight="1" x14ac:dyDescent="0.25">
      <c r="A8" s="16" t="s">
        <v>69</v>
      </c>
      <c r="B8" s="17" t="s">
        <v>69</v>
      </c>
      <c r="C8" s="18" t="s">
        <v>72</v>
      </c>
      <c r="D8" s="18" t="s">
        <v>57</v>
      </c>
      <c r="E8" s="18">
        <v>2</v>
      </c>
      <c r="F8" s="19" t="s">
        <v>29</v>
      </c>
      <c r="G8" s="16" t="s">
        <v>8</v>
      </c>
      <c r="H8" s="57">
        <v>19</v>
      </c>
      <c r="I8" s="57" t="s">
        <v>143</v>
      </c>
      <c r="J8" s="20">
        <f>IFERROR(VLOOKUP(G8,DADOS!A:B,2,FALSE),"")</f>
        <v>44527</v>
      </c>
      <c r="K8" s="23">
        <v>1</v>
      </c>
      <c r="L8" s="21">
        <v>12</v>
      </c>
      <c r="M8" s="37">
        <v>1.3</v>
      </c>
      <c r="N8" s="40">
        <f t="shared" si="0"/>
        <v>27.6</v>
      </c>
      <c r="O8" s="39">
        <v>32.9</v>
      </c>
      <c r="P8" s="38">
        <f t="shared" si="1"/>
        <v>1.7416666666666667</v>
      </c>
      <c r="Q8" s="36" t="str">
        <f t="shared" si="2"/>
        <v>B1219</v>
      </c>
      <c r="R8" s="36">
        <f>LEN(Q8)</f>
        <v>5</v>
      </c>
    </row>
    <row r="9" spans="1:23" s="36" customFormat="1" ht="17.25" customHeight="1" x14ac:dyDescent="0.25">
      <c r="A9" s="16" t="s">
        <v>86</v>
      </c>
      <c r="B9" s="17" t="s">
        <v>87</v>
      </c>
      <c r="C9" s="18" t="s">
        <v>84</v>
      </c>
      <c r="D9" s="18" t="s">
        <v>85</v>
      </c>
      <c r="E9" s="18">
        <v>12</v>
      </c>
      <c r="F9" s="19" t="s">
        <v>29</v>
      </c>
      <c r="G9" s="16" t="s">
        <v>8</v>
      </c>
      <c r="H9" s="57">
        <v>25</v>
      </c>
      <c r="I9" s="57" t="s">
        <v>144</v>
      </c>
      <c r="J9" s="20">
        <f>IFERROR(VLOOKUP(G9,DADOS!A:B,2,FALSE),"")</f>
        <v>44527</v>
      </c>
      <c r="K9" s="23">
        <v>1</v>
      </c>
      <c r="L9" s="21">
        <v>12</v>
      </c>
      <c r="M9" s="37">
        <v>1.3</v>
      </c>
      <c r="N9" s="40">
        <f t="shared" si="0"/>
        <v>27.6</v>
      </c>
      <c r="O9" s="39">
        <v>32.9</v>
      </c>
      <c r="P9" s="38">
        <f t="shared" si="1"/>
        <v>1.7416666666666667</v>
      </c>
      <c r="Q9" s="36" t="str">
        <f t="shared" si="2"/>
        <v>B1225</v>
      </c>
      <c r="R9" s="36">
        <f t="shared" ref="R9:R21" si="3">LEN(Q9)</f>
        <v>5</v>
      </c>
    </row>
    <row r="10" spans="1:23" s="36" customFormat="1" ht="17.25" customHeight="1" x14ac:dyDescent="0.25">
      <c r="A10" s="16" t="s">
        <v>39</v>
      </c>
      <c r="B10" s="17" t="s">
        <v>43</v>
      </c>
      <c r="C10" s="18" t="s">
        <v>41</v>
      </c>
      <c r="D10" s="18" t="s">
        <v>34</v>
      </c>
      <c r="E10" s="18">
        <v>10</v>
      </c>
      <c r="F10" s="19" t="s">
        <v>21</v>
      </c>
      <c r="G10" s="16" t="s">
        <v>8</v>
      </c>
      <c r="H10" s="57">
        <v>7</v>
      </c>
      <c r="I10" s="57" t="s">
        <v>166</v>
      </c>
      <c r="J10" s="20">
        <f>IFERROR(VLOOKUP(G10,DADOS!A:B,2,FALSE),"")</f>
        <v>44527</v>
      </c>
      <c r="K10" s="23">
        <v>1</v>
      </c>
      <c r="L10" s="21">
        <v>12</v>
      </c>
      <c r="M10" s="37">
        <v>1.3</v>
      </c>
      <c r="N10" s="40">
        <f t="shared" si="0"/>
        <v>27.6</v>
      </c>
      <c r="O10" s="39">
        <v>34.9</v>
      </c>
      <c r="P10" s="38">
        <f t="shared" si="1"/>
        <v>1.9083333333333332</v>
      </c>
      <c r="Q10" s="36" t="str">
        <f t="shared" si="2"/>
        <v>B127</v>
      </c>
      <c r="R10" s="36">
        <f t="shared" si="3"/>
        <v>4</v>
      </c>
    </row>
    <row r="11" spans="1:23" s="36" customFormat="1" ht="17.25" customHeight="1" x14ac:dyDescent="0.25">
      <c r="A11" s="16" t="s">
        <v>55</v>
      </c>
      <c r="B11" s="17" t="s">
        <v>56</v>
      </c>
      <c r="C11" s="18" t="s">
        <v>24</v>
      </c>
      <c r="D11" s="18" t="s">
        <v>57</v>
      </c>
      <c r="E11" s="18">
        <v>6</v>
      </c>
      <c r="F11" s="19" t="s">
        <v>29</v>
      </c>
      <c r="G11" s="16" t="s">
        <v>8</v>
      </c>
      <c r="H11" s="57">
        <v>12</v>
      </c>
      <c r="I11" s="57" t="s">
        <v>164</v>
      </c>
      <c r="J11" s="20">
        <f>IFERROR(VLOOKUP(G11,DADOS!A:B,2,FALSE),"")</f>
        <v>44527</v>
      </c>
      <c r="K11" s="23">
        <v>1</v>
      </c>
      <c r="L11" s="21">
        <v>12</v>
      </c>
      <c r="M11" s="37">
        <v>1.3</v>
      </c>
      <c r="N11" s="40">
        <f t="shared" si="0"/>
        <v>27.6</v>
      </c>
      <c r="O11" s="39">
        <v>35</v>
      </c>
      <c r="P11" s="38">
        <f t="shared" si="1"/>
        <v>1.9166666666666665</v>
      </c>
      <c r="Q11" s="36" t="str">
        <f t="shared" si="2"/>
        <v>B1212</v>
      </c>
      <c r="R11" s="36">
        <f t="shared" si="3"/>
        <v>5</v>
      </c>
      <c r="S11" s="36" t="str">
        <f t="shared" ref="S11:S16" si="4">LEFT(Q11,3)</f>
        <v>B12</v>
      </c>
    </row>
    <row r="12" spans="1:23" s="36" customFormat="1" ht="17.25" customHeight="1" x14ac:dyDescent="0.25">
      <c r="A12" s="16" t="s">
        <v>60</v>
      </c>
      <c r="B12" s="17" t="s">
        <v>59</v>
      </c>
      <c r="C12" s="18" t="s">
        <v>58</v>
      </c>
      <c r="D12" s="18" t="s">
        <v>57</v>
      </c>
      <c r="E12" s="18">
        <v>4</v>
      </c>
      <c r="F12" s="19" t="s">
        <v>29</v>
      </c>
      <c r="G12" s="16" t="s">
        <v>8</v>
      </c>
      <c r="H12" s="57">
        <v>13</v>
      </c>
      <c r="I12" s="57" t="s">
        <v>165</v>
      </c>
      <c r="J12" s="20">
        <f>IFERROR(VLOOKUP(G12,DADOS!A:B,2,FALSE),"")</f>
        <v>44527</v>
      </c>
      <c r="K12" s="23">
        <v>1</v>
      </c>
      <c r="L12" s="21">
        <v>12</v>
      </c>
      <c r="M12" s="37">
        <v>1.3</v>
      </c>
      <c r="N12" s="40">
        <f t="shared" si="0"/>
        <v>27.6</v>
      </c>
      <c r="O12" s="39">
        <v>35</v>
      </c>
      <c r="P12" s="38">
        <f t="shared" si="1"/>
        <v>1.9166666666666665</v>
      </c>
      <c r="Q12" s="36" t="str">
        <f t="shared" si="2"/>
        <v>B1213</v>
      </c>
      <c r="R12" s="36">
        <f t="shared" si="3"/>
        <v>5</v>
      </c>
      <c r="S12" s="36" t="str">
        <f t="shared" si="4"/>
        <v>B12</v>
      </c>
    </row>
    <row r="13" spans="1:23" s="36" customFormat="1" ht="17.25" customHeight="1" x14ac:dyDescent="0.25">
      <c r="A13" s="16" t="s">
        <v>35</v>
      </c>
      <c r="B13" s="17" t="s">
        <v>61</v>
      </c>
      <c r="C13" s="18" t="s">
        <v>62</v>
      </c>
      <c r="D13" s="18" t="s">
        <v>34</v>
      </c>
      <c r="E13" s="18">
        <v>2</v>
      </c>
      <c r="F13" s="19" t="s">
        <v>21</v>
      </c>
      <c r="G13" s="16" t="s">
        <v>8</v>
      </c>
      <c r="H13" s="57">
        <v>14</v>
      </c>
      <c r="I13" s="57" t="s">
        <v>167</v>
      </c>
      <c r="J13" s="20">
        <f>IFERROR(VLOOKUP(G13,DADOS!A:B,2,FALSE),"")</f>
        <v>44527</v>
      </c>
      <c r="K13" s="23">
        <v>1</v>
      </c>
      <c r="L13" s="21">
        <v>12.5</v>
      </c>
      <c r="M13" s="37">
        <v>1.3</v>
      </c>
      <c r="N13" s="40">
        <f t="shared" si="0"/>
        <v>28.75</v>
      </c>
      <c r="O13" s="39">
        <v>29.9</v>
      </c>
      <c r="P13" s="38">
        <f t="shared" si="1"/>
        <v>1.3919999999999999</v>
      </c>
      <c r="Q13" s="36" t="str">
        <f t="shared" si="2"/>
        <v>B12,514</v>
      </c>
      <c r="R13" s="36">
        <f t="shared" si="3"/>
        <v>7</v>
      </c>
      <c r="S13" s="36" t="str">
        <f t="shared" si="4"/>
        <v>B12</v>
      </c>
    </row>
    <row r="14" spans="1:23" s="36" customFormat="1" ht="17.25" customHeight="1" x14ac:dyDescent="0.25">
      <c r="A14" s="16" t="s">
        <v>65</v>
      </c>
      <c r="B14" s="17" t="s">
        <v>67</v>
      </c>
      <c r="C14" s="18" t="s">
        <v>62</v>
      </c>
      <c r="D14" s="18" t="s">
        <v>34</v>
      </c>
      <c r="E14" s="18">
        <v>8</v>
      </c>
      <c r="F14" s="19" t="s">
        <v>21</v>
      </c>
      <c r="G14" s="16" t="s">
        <v>8</v>
      </c>
      <c r="H14" s="57">
        <v>16</v>
      </c>
      <c r="I14" s="57" t="s">
        <v>147</v>
      </c>
      <c r="J14" s="20">
        <f>IFERROR(VLOOKUP(G14,DADOS!A:B,2,FALSE),"")</f>
        <v>44527</v>
      </c>
      <c r="K14" s="23">
        <v>1</v>
      </c>
      <c r="L14" s="21">
        <v>12.5</v>
      </c>
      <c r="M14" s="37">
        <v>1.3</v>
      </c>
      <c r="N14" s="40">
        <f t="shared" si="0"/>
        <v>28.75</v>
      </c>
      <c r="O14" s="39">
        <v>29.9</v>
      </c>
      <c r="P14" s="38">
        <f t="shared" si="1"/>
        <v>1.3919999999999999</v>
      </c>
      <c r="Q14" s="36" t="str">
        <f t="shared" si="2"/>
        <v>B12,516</v>
      </c>
      <c r="R14" s="36">
        <f t="shared" si="3"/>
        <v>7</v>
      </c>
      <c r="S14" s="36" t="str">
        <f t="shared" si="4"/>
        <v>B12</v>
      </c>
      <c r="T14" s="36" t="str">
        <f>RIGHT(Q14,3)</f>
        <v>516</v>
      </c>
      <c r="U14" s="36" t="str">
        <f>LEFT(T14,1)</f>
        <v>5</v>
      </c>
    </row>
    <row r="15" spans="1:23" s="36" customFormat="1" ht="17.25" customHeight="1" x14ac:dyDescent="0.25">
      <c r="A15" s="16" t="s">
        <v>35</v>
      </c>
      <c r="B15" s="17" t="s">
        <v>68</v>
      </c>
      <c r="C15" s="18" t="s">
        <v>66</v>
      </c>
      <c r="D15" s="18" t="s">
        <v>34</v>
      </c>
      <c r="E15" s="18">
        <v>12</v>
      </c>
      <c r="F15" s="19" t="s">
        <v>21</v>
      </c>
      <c r="G15" s="16" t="s">
        <v>8</v>
      </c>
      <c r="H15" s="57">
        <v>17</v>
      </c>
      <c r="I15" s="57" t="s">
        <v>148</v>
      </c>
      <c r="J15" s="20">
        <f>IFERROR(VLOOKUP(G15,DADOS!A:B,2,FALSE),"")</f>
        <v>44527</v>
      </c>
      <c r="K15" s="23">
        <v>1</v>
      </c>
      <c r="L15" s="21">
        <v>12.5</v>
      </c>
      <c r="M15" s="37">
        <v>1.3</v>
      </c>
      <c r="N15" s="40">
        <f t="shared" si="0"/>
        <v>28.75</v>
      </c>
      <c r="O15" s="39">
        <v>29.9</v>
      </c>
      <c r="P15" s="38">
        <f t="shared" si="1"/>
        <v>1.3919999999999999</v>
      </c>
      <c r="Q15" s="36" t="str">
        <f t="shared" si="2"/>
        <v>B12,517</v>
      </c>
      <c r="R15" s="36">
        <f t="shared" si="3"/>
        <v>7</v>
      </c>
      <c r="S15" s="36" t="str">
        <f t="shared" si="4"/>
        <v>B12</v>
      </c>
      <c r="T15" s="36" t="str">
        <f>RIGHT(Q15,3)</f>
        <v>517</v>
      </c>
      <c r="U15" s="36" t="str">
        <f>LEFT(T15,1)</f>
        <v>5</v>
      </c>
      <c r="V15" s="36" t="str">
        <f>CONCATENATE(S15,U15,0,RIGHT(T15,2))</f>
        <v>B125017</v>
      </c>
      <c r="W15" s="36" t="str">
        <f>IF(LEN(CONCATENATE(G15,L15,H15))=7,LEFT(CONCATENATE(G15,L15,H15),3),"ERRO")</f>
        <v>B12</v>
      </c>
    </row>
    <row r="16" spans="1:23" s="36" customFormat="1" ht="17.25" customHeight="1" x14ac:dyDescent="0.25">
      <c r="A16" s="16" t="s">
        <v>63</v>
      </c>
      <c r="B16" s="17" t="s">
        <v>64</v>
      </c>
      <c r="C16" s="18" t="s">
        <v>62</v>
      </c>
      <c r="D16" s="18" t="s">
        <v>34</v>
      </c>
      <c r="E16" s="18">
        <v>14</v>
      </c>
      <c r="F16" s="19" t="s">
        <v>21</v>
      </c>
      <c r="G16" s="16" t="s">
        <v>8</v>
      </c>
      <c r="H16" s="57">
        <v>15</v>
      </c>
      <c r="I16" s="57" t="s">
        <v>149</v>
      </c>
      <c r="J16" s="20">
        <f>IFERROR(VLOOKUP(G16,DADOS!A:B,2,FALSE),"")</f>
        <v>44527</v>
      </c>
      <c r="K16" s="23">
        <v>1</v>
      </c>
      <c r="L16" s="21">
        <v>12.5</v>
      </c>
      <c r="M16" s="37">
        <v>1.3</v>
      </c>
      <c r="N16" s="40">
        <f t="shared" si="0"/>
        <v>28.75</v>
      </c>
      <c r="O16" s="39">
        <v>34.9</v>
      </c>
      <c r="P16" s="38">
        <f t="shared" si="1"/>
        <v>1.7919999999999998</v>
      </c>
      <c r="Q16" s="36" t="str">
        <f t="shared" si="2"/>
        <v>B12,515</v>
      </c>
      <c r="R16" s="36">
        <f t="shared" si="3"/>
        <v>7</v>
      </c>
      <c r="S16" s="36" t="str">
        <f t="shared" si="4"/>
        <v>B12</v>
      </c>
      <c r="T16" s="36" t="str">
        <f>RIGHT(Q16,3)</f>
        <v>515</v>
      </c>
      <c r="U16" s="36" t="str">
        <f>LEFT(T16,1)</f>
        <v>5</v>
      </c>
      <c r="V16" s="36" t="str">
        <f>CONCATENATE(S16,U16,0,RIGHT(T16,2))</f>
        <v>B125015</v>
      </c>
      <c r="W16" s="36" t="str">
        <f>IF(LEN(CONCATENATE(G16,L16,H16))=7,LEFT(CONCATENATE(G16,L16,H16),3),"ERRO")</f>
        <v>B12</v>
      </c>
    </row>
    <row r="17" spans="1:22" s="36" customFormat="1" ht="17.25" customHeight="1" x14ac:dyDescent="0.25">
      <c r="A17" s="16" t="s">
        <v>22</v>
      </c>
      <c r="B17" s="17" t="s">
        <v>27</v>
      </c>
      <c r="C17" s="18" t="s">
        <v>25</v>
      </c>
      <c r="D17" s="18" t="s">
        <v>28</v>
      </c>
      <c r="E17" s="18">
        <v>10</v>
      </c>
      <c r="F17" s="19" t="s">
        <v>29</v>
      </c>
      <c r="G17" s="16" t="s">
        <v>8</v>
      </c>
      <c r="H17" s="57">
        <v>2</v>
      </c>
      <c r="I17" s="57" t="s">
        <v>145</v>
      </c>
      <c r="J17" s="20">
        <f>IFERROR(VLOOKUP(G17,DADOS!A:B,2,FALSE),"")</f>
        <v>44527</v>
      </c>
      <c r="K17" s="23">
        <v>1</v>
      </c>
      <c r="L17" s="21">
        <v>13</v>
      </c>
      <c r="M17" s="37">
        <v>1.3</v>
      </c>
      <c r="N17" s="40">
        <f t="shared" si="0"/>
        <v>29.900000000000002</v>
      </c>
      <c r="O17" s="39">
        <v>32.9</v>
      </c>
      <c r="P17" s="38">
        <f t="shared" si="1"/>
        <v>1.5307692307692307</v>
      </c>
      <c r="Q17" s="36" t="str">
        <f t="shared" si="2"/>
        <v>B132</v>
      </c>
      <c r="R17" s="36">
        <f t="shared" si="3"/>
        <v>4</v>
      </c>
      <c r="S17" s="36" t="str">
        <f t="shared" ref="S17:S22" si="5">LEFT(Q17,3)</f>
        <v>B13</v>
      </c>
      <c r="T17" s="36" t="str">
        <f t="shared" ref="T17:T22" si="6">RIGHT(Q17,3)</f>
        <v>132</v>
      </c>
      <c r="U17" s="36" t="str">
        <f t="shared" ref="U17:U37" si="7">LEFT(T17,1)</f>
        <v>1</v>
      </c>
      <c r="V17" s="36" t="str">
        <f t="shared" ref="V17:V22" si="8">CONCATENATE(S17,U17,0,RIGHT(T17,2))</f>
        <v>B131032</v>
      </c>
    </row>
    <row r="18" spans="1:22" s="36" customFormat="1" ht="17.25" customHeight="1" x14ac:dyDescent="0.25">
      <c r="A18" s="16" t="s">
        <v>22</v>
      </c>
      <c r="B18" s="17" t="s">
        <v>27</v>
      </c>
      <c r="C18" s="18" t="s">
        <v>30</v>
      </c>
      <c r="D18" s="18" t="s">
        <v>28</v>
      </c>
      <c r="E18" s="18">
        <v>4</v>
      </c>
      <c r="F18" s="19" t="s">
        <v>29</v>
      </c>
      <c r="G18" s="16" t="s">
        <v>8</v>
      </c>
      <c r="H18" s="57">
        <v>3</v>
      </c>
      <c r="I18" s="57" t="s">
        <v>146</v>
      </c>
      <c r="J18" s="20">
        <f>IFERROR(VLOOKUP(G18,DADOS!A:B,2,FALSE),"")</f>
        <v>44527</v>
      </c>
      <c r="K18" s="23">
        <v>1</v>
      </c>
      <c r="L18" s="21">
        <v>13</v>
      </c>
      <c r="M18" s="37">
        <v>1.3</v>
      </c>
      <c r="N18" s="40">
        <f t="shared" si="0"/>
        <v>29.900000000000002</v>
      </c>
      <c r="O18" s="39">
        <v>32.9</v>
      </c>
      <c r="P18" s="38">
        <f t="shared" si="1"/>
        <v>1.5307692307692307</v>
      </c>
      <c r="Q18" s="36" t="str">
        <f t="shared" si="2"/>
        <v>B133</v>
      </c>
      <c r="R18" s="36">
        <f t="shared" si="3"/>
        <v>4</v>
      </c>
      <c r="S18" s="36" t="str">
        <f t="shared" si="5"/>
        <v>B13</v>
      </c>
      <c r="T18" s="36" t="str">
        <f t="shared" si="6"/>
        <v>133</v>
      </c>
      <c r="U18" s="36" t="str">
        <f t="shared" si="7"/>
        <v>1</v>
      </c>
      <c r="V18" s="36" t="str">
        <f t="shared" si="8"/>
        <v>B131033</v>
      </c>
    </row>
    <row r="19" spans="1:22" s="36" customFormat="1" ht="17.25" customHeight="1" x14ac:dyDescent="0.25">
      <c r="A19" s="16" t="s">
        <v>31</v>
      </c>
      <c r="B19" s="17" t="s">
        <v>32</v>
      </c>
      <c r="C19" s="18" t="s">
        <v>33</v>
      </c>
      <c r="D19" s="18" t="s">
        <v>34</v>
      </c>
      <c r="E19" s="18">
        <v>2</v>
      </c>
      <c r="F19" s="19" t="s">
        <v>21</v>
      </c>
      <c r="G19" s="16" t="s">
        <v>8</v>
      </c>
      <c r="H19" s="57">
        <v>4</v>
      </c>
      <c r="I19" s="57" t="s">
        <v>168</v>
      </c>
      <c r="J19" s="20">
        <f>IFERROR(VLOOKUP(G19,DADOS!A:B,2,FALSE),"")</f>
        <v>44527</v>
      </c>
      <c r="K19" s="23">
        <v>1</v>
      </c>
      <c r="L19" s="21">
        <v>13</v>
      </c>
      <c r="M19" s="37">
        <v>1.3</v>
      </c>
      <c r="N19" s="40">
        <f t="shared" si="0"/>
        <v>29.900000000000002</v>
      </c>
      <c r="O19" s="39">
        <v>34.9</v>
      </c>
      <c r="P19" s="38">
        <f t="shared" si="1"/>
        <v>1.6846153846153844</v>
      </c>
      <c r="Q19" s="36" t="str">
        <f t="shared" si="2"/>
        <v>B134</v>
      </c>
      <c r="R19" s="36">
        <f t="shared" si="3"/>
        <v>4</v>
      </c>
      <c r="S19" s="36" t="str">
        <f t="shared" si="5"/>
        <v>B13</v>
      </c>
      <c r="T19" s="36" t="str">
        <f t="shared" si="6"/>
        <v>134</v>
      </c>
      <c r="U19" s="36" t="str">
        <f t="shared" si="7"/>
        <v>1</v>
      </c>
      <c r="V19" s="36" t="str">
        <f t="shared" si="8"/>
        <v>B131034</v>
      </c>
    </row>
    <row r="20" spans="1:22" s="36" customFormat="1" ht="17.25" customHeight="1" x14ac:dyDescent="0.25">
      <c r="A20" s="16" t="s">
        <v>35</v>
      </c>
      <c r="B20" s="17" t="s">
        <v>44</v>
      </c>
      <c r="C20" s="18" t="s">
        <v>36</v>
      </c>
      <c r="D20" s="18" t="s">
        <v>34</v>
      </c>
      <c r="E20" s="18">
        <v>12</v>
      </c>
      <c r="F20" s="19" t="s">
        <v>21</v>
      </c>
      <c r="G20" s="16" t="s">
        <v>8</v>
      </c>
      <c r="H20" s="57">
        <v>5</v>
      </c>
      <c r="I20" s="57" t="s">
        <v>169</v>
      </c>
      <c r="J20" s="20">
        <f>IFERROR(VLOOKUP(G20,DADOS!A:B,2,FALSE),"")</f>
        <v>44527</v>
      </c>
      <c r="K20" s="23">
        <v>1</v>
      </c>
      <c r="L20" s="21">
        <v>13</v>
      </c>
      <c r="M20" s="37">
        <v>1.3</v>
      </c>
      <c r="N20" s="40">
        <f t="shared" si="0"/>
        <v>29.900000000000002</v>
      </c>
      <c r="O20" s="39">
        <v>34.9</v>
      </c>
      <c r="P20" s="38">
        <f t="shared" si="1"/>
        <v>1.6846153846153844</v>
      </c>
      <c r="Q20" s="36" t="str">
        <f t="shared" si="2"/>
        <v>B135</v>
      </c>
      <c r="R20" s="36">
        <f t="shared" si="3"/>
        <v>4</v>
      </c>
      <c r="S20" s="36" t="str">
        <f t="shared" si="5"/>
        <v>B13</v>
      </c>
      <c r="T20" s="36" t="str">
        <f t="shared" si="6"/>
        <v>135</v>
      </c>
      <c r="U20" s="36" t="str">
        <f t="shared" si="7"/>
        <v>1</v>
      </c>
      <c r="V20" s="36" t="str">
        <f t="shared" si="8"/>
        <v>B131035</v>
      </c>
    </row>
    <row r="21" spans="1:22" s="36" customFormat="1" ht="17.25" customHeight="1" x14ac:dyDescent="0.25">
      <c r="A21" s="16" t="s">
        <v>109</v>
      </c>
      <c r="B21" s="17" t="s">
        <v>109</v>
      </c>
      <c r="C21" s="18" t="s">
        <v>110</v>
      </c>
      <c r="D21" s="18" t="s">
        <v>108</v>
      </c>
      <c r="E21" s="18"/>
      <c r="F21" s="19" t="s">
        <v>29</v>
      </c>
      <c r="G21" s="16" t="s">
        <v>8</v>
      </c>
      <c r="H21" s="57">
        <v>36</v>
      </c>
      <c r="I21" s="57" t="s">
        <v>142</v>
      </c>
      <c r="J21" s="20">
        <f>IFERROR(VLOOKUP(G21,DADOS!A:B,2,FALSE),"")</f>
        <v>44527</v>
      </c>
      <c r="K21" s="23">
        <v>1</v>
      </c>
      <c r="L21" s="21">
        <v>15</v>
      </c>
      <c r="M21" s="37">
        <v>1.3</v>
      </c>
      <c r="N21" s="40">
        <f t="shared" si="0"/>
        <v>34.5</v>
      </c>
      <c r="O21" s="39">
        <v>29.9</v>
      </c>
      <c r="P21" s="38">
        <f t="shared" si="1"/>
        <v>0.99333333333333318</v>
      </c>
      <c r="Q21" s="36" t="str">
        <f t="shared" si="2"/>
        <v>B1536</v>
      </c>
      <c r="R21" s="36">
        <f t="shared" si="3"/>
        <v>5</v>
      </c>
      <c r="S21" s="36" t="str">
        <f t="shared" si="5"/>
        <v>B15</v>
      </c>
      <c r="T21" s="36" t="str">
        <f t="shared" si="6"/>
        <v>536</v>
      </c>
      <c r="U21" s="36" t="str">
        <f t="shared" si="7"/>
        <v>5</v>
      </c>
      <c r="V21" s="36" t="str">
        <f t="shared" si="8"/>
        <v>B155036</v>
      </c>
    </row>
    <row r="22" spans="1:22" s="55" customFormat="1" ht="17.25" customHeight="1" x14ac:dyDescent="0.25">
      <c r="A22" s="44" t="s">
        <v>37</v>
      </c>
      <c r="B22" s="45" t="s">
        <v>45</v>
      </c>
      <c r="C22" s="46" t="s">
        <v>24</v>
      </c>
      <c r="D22" s="46" t="s">
        <v>34</v>
      </c>
      <c r="E22" s="46">
        <v>10</v>
      </c>
      <c r="F22" s="47" t="s">
        <v>21</v>
      </c>
      <c r="G22" s="44" t="s">
        <v>8</v>
      </c>
      <c r="H22" s="58">
        <v>6</v>
      </c>
      <c r="I22" s="58" t="s">
        <v>170</v>
      </c>
      <c r="J22" s="48">
        <f>IFERROR(VLOOKUP(G22,DADOS!A:B,2,FALSE),"")</f>
        <v>44527</v>
      </c>
      <c r="K22" s="49">
        <v>1</v>
      </c>
      <c r="L22" s="50">
        <v>15</v>
      </c>
      <c r="M22" s="51">
        <v>1.3</v>
      </c>
      <c r="N22" s="52">
        <f t="shared" si="0"/>
        <v>34.5</v>
      </c>
      <c r="O22" s="53">
        <v>34.9</v>
      </c>
      <c r="P22" s="54">
        <f t="shared" si="1"/>
        <v>1.3266666666666667</v>
      </c>
      <c r="Q22" s="55" t="str">
        <f t="shared" si="2"/>
        <v>B156</v>
      </c>
      <c r="R22" s="55">
        <f>LEN(Q22)</f>
        <v>4</v>
      </c>
      <c r="S22" s="55" t="str">
        <f t="shared" si="5"/>
        <v>B15</v>
      </c>
      <c r="T22" s="55" t="str">
        <f t="shared" si="6"/>
        <v>156</v>
      </c>
      <c r="U22" s="55" t="str">
        <f t="shared" si="7"/>
        <v>1</v>
      </c>
      <c r="V22" s="55" t="str">
        <f t="shared" si="8"/>
        <v>B151056</v>
      </c>
    </row>
    <row r="23" spans="1:22" s="36" customFormat="1" ht="17.25" customHeight="1" x14ac:dyDescent="0.25">
      <c r="A23" s="16" t="s">
        <v>35</v>
      </c>
      <c r="B23" s="17" t="s">
        <v>47</v>
      </c>
      <c r="C23" s="18" t="s">
        <v>48</v>
      </c>
      <c r="D23" s="18" t="s">
        <v>34</v>
      </c>
      <c r="E23" s="18">
        <v>16</v>
      </c>
      <c r="F23" s="19" t="s">
        <v>21</v>
      </c>
      <c r="G23" s="16" t="s">
        <v>8</v>
      </c>
      <c r="H23" s="57">
        <v>9</v>
      </c>
      <c r="I23" s="57" t="s">
        <v>171</v>
      </c>
      <c r="J23" s="20">
        <f>IFERROR(VLOOKUP(G23,DADOS!A:B,2,FALSE),"")</f>
        <v>44527</v>
      </c>
      <c r="K23" s="23">
        <v>1</v>
      </c>
      <c r="L23" s="21">
        <v>15</v>
      </c>
      <c r="M23" s="37">
        <v>1.3</v>
      </c>
      <c r="N23" s="40">
        <f t="shared" si="0"/>
        <v>34.5</v>
      </c>
      <c r="O23" s="39">
        <v>34.9</v>
      </c>
      <c r="P23" s="38">
        <f t="shared" si="1"/>
        <v>1.3266666666666667</v>
      </c>
      <c r="Q23" s="36" t="str">
        <f t="shared" si="2"/>
        <v>B159</v>
      </c>
      <c r="R23" s="36">
        <f t="shared" ref="R23:R37" si="9">LEN(Q23)</f>
        <v>4</v>
      </c>
      <c r="S23" s="36" t="str">
        <f t="shared" ref="S23:S30" si="10">LEFT(Q23,3)</f>
        <v>B15</v>
      </c>
      <c r="T23" s="36" t="str">
        <f t="shared" ref="T23:T30" si="11">RIGHT(Q23,3)</f>
        <v>159</v>
      </c>
      <c r="U23" s="36" t="str">
        <f t="shared" si="7"/>
        <v>1</v>
      </c>
      <c r="V23" s="36" t="str">
        <f t="shared" ref="V23:V30" si="12">CONCATENATE(S23,U23,0,RIGHT(T23,2))</f>
        <v>B151059</v>
      </c>
    </row>
    <row r="24" spans="1:22" s="36" customFormat="1" ht="17.25" customHeight="1" x14ac:dyDescent="0.25">
      <c r="A24" s="16" t="s">
        <v>106</v>
      </c>
      <c r="B24" s="17" t="s">
        <v>107</v>
      </c>
      <c r="C24" s="18" t="s">
        <v>58</v>
      </c>
      <c r="D24" s="18" t="s">
        <v>108</v>
      </c>
      <c r="E24" s="18"/>
      <c r="F24" s="19" t="s">
        <v>29</v>
      </c>
      <c r="G24" s="16" t="s">
        <v>8</v>
      </c>
      <c r="H24" s="57">
        <v>35</v>
      </c>
      <c r="I24" s="57" t="s">
        <v>172</v>
      </c>
      <c r="J24" s="20">
        <f>IFERROR(VLOOKUP(G24,DADOS!A:B,2,FALSE),"")</f>
        <v>44527</v>
      </c>
      <c r="K24" s="23">
        <v>1</v>
      </c>
      <c r="L24" s="21">
        <v>15</v>
      </c>
      <c r="M24" s="37">
        <v>1.3</v>
      </c>
      <c r="N24" s="40">
        <f t="shared" si="0"/>
        <v>34.5</v>
      </c>
      <c r="O24" s="39">
        <v>42</v>
      </c>
      <c r="P24" s="38">
        <f t="shared" si="1"/>
        <v>1.7999999999999998</v>
      </c>
      <c r="Q24" s="36" t="str">
        <f t="shared" si="2"/>
        <v>B1535</v>
      </c>
      <c r="R24" s="36">
        <f t="shared" si="9"/>
        <v>5</v>
      </c>
      <c r="S24" s="36" t="str">
        <f t="shared" si="10"/>
        <v>B15</v>
      </c>
      <c r="T24" s="36" t="str">
        <f t="shared" si="11"/>
        <v>535</v>
      </c>
      <c r="U24" s="36" t="str">
        <f t="shared" si="7"/>
        <v>5</v>
      </c>
      <c r="V24" s="36" t="str">
        <f t="shared" si="12"/>
        <v>B155035</v>
      </c>
    </row>
    <row r="25" spans="1:22" s="36" customFormat="1" ht="17.25" customHeight="1" x14ac:dyDescent="0.25">
      <c r="A25" s="16" t="s">
        <v>69</v>
      </c>
      <c r="B25" s="17" t="s">
        <v>70</v>
      </c>
      <c r="C25" s="18" t="s">
        <v>71</v>
      </c>
      <c r="D25" s="18" t="s">
        <v>57</v>
      </c>
      <c r="E25" s="18">
        <v>2</v>
      </c>
      <c r="F25" s="19" t="s">
        <v>29</v>
      </c>
      <c r="G25" s="16" t="s">
        <v>8</v>
      </c>
      <c r="H25" s="57">
        <v>18</v>
      </c>
      <c r="I25" s="57" t="s">
        <v>151</v>
      </c>
      <c r="J25" s="20">
        <f>IFERROR(VLOOKUP(G25,DADOS!A:B,2,FALSE),"")</f>
        <v>44527</v>
      </c>
      <c r="K25" s="23">
        <v>1</v>
      </c>
      <c r="L25" s="21">
        <v>20</v>
      </c>
      <c r="M25" s="37">
        <v>1.3</v>
      </c>
      <c r="N25" s="40">
        <f t="shared" si="0"/>
        <v>46</v>
      </c>
      <c r="O25" s="39">
        <v>39.9</v>
      </c>
      <c r="P25" s="38">
        <f t="shared" si="1"/>
        <v>0.99499999999999988</v>
      </c>
      <c r="Q25" s="36" t="str">
        <f t="shared" si="2"/>
        <v>B2018</v>
      </c>
      <c r="R25" s="36">
        <f t="shared" si="9"/>
        <v>5</v>
      </c>
      <c r="S25" s="36" t="str">
        <f t="shared" si="10"/>
        <v>B20</v>
      </c>
      <c r="T25" s="36" t="str">
        <f t="shared" si="11"/>
        <v>018</v>
      </c>
      <c r="U25" s="36" t="str">
        <f t="shared" si="7"/>
        <v>0</v>
      </c>
      <c r="V25" s="36" t="str">
        <f t="shared" si="12"/>
        <v>B200018</v>
      </c>
    </row>
    <row r="26" spans="1:22" s="36" customFormat="1" ht="17.25" customHeight="1" x14ac:dyDescent="0.25">
      <c r="A26" s="16" t="s">
        <v>19</v>
      </c>
      <c r="B26" s="17" t="s">
        <v>26</v>
      </c>
      <c r="C26" s="18" t="s">
        <v>24</v>
      </c>
      <c r="D26" s="18" t="s">
        <v>20</v>
      </c>
      <c r="E26" s="18">
        <v>4</v>
      </c>
      <c r="F26" s="19" t="s">
        <v>21</v>
      </c>
      <c r="G26" s="16" t="s">
        <v>8</v>
      </c>
      <c r="H26" s="57">
        <v>1</v>
      </c>
      <c r="I26" s="57" t="s">
        <v>152</v>
      </c>
      <c r="J26" s="20">
        <f>IFERROR(VLOOKUP(G26,DADOS!A:B,2,FALSE),"")</f>
        <v>44527</v>
      </c>
      <c r="K26" s="23">
        <v>1</v>
      </c>
      <c r="L26" s="21">
        <v>20</v>
      </c>
      <c r="M26" s="37">
        <v>1.3</v>
      </c>
      <c r="N26" s="40">
        <f t="shared" si="0"/>
        <v>46</v>
      </c>
      <c r="O26" s="39">
        <v>42</v>
      </c>
      <c r="P26" s="38">
        <f t="shared" si="1"/>
        <v>1.1000000000000001</v>
      </c>
      <c r="Q26" s="36" t="str">
        <f t="shared" si="2"/>
        <v>B201</v>
      </c>
      <c r="R26" s="36">
        <f t="shared" si="9"/>
        <v>4</v>
      </c>
      <c r="S26" s="36" t="str">
        <f t="shared" si="10"/>
        <v>B20</v>
      </c>
      <c r="T26" s="36" t="str">
        <f t="shared" si="11"/>
        <v>201</v>
      </c>
      <c r="U26" s="36" t="str">
        <f t="shared" si="7"/>
        <v>2</v>
      </c>
      <c r="V26" s="36" t="str">
        <f t="shared" si="12"/>
        <v>B202001</v>
      </c>
    </row>
    <row r="27" spans="1:22" s="36" customFormat="1" ht="17.25" customHeight="1" x14ac:dyDescent="0.25">
      <c r="A27" s="16" t="s">
        <v>53</v>
      </c>
      <c r="B27" s="17" t="s">
        <v>54</v>
      </c>
      <c r="C27" s="18" t="s">
        <v>51</v>
      </c>
      <c r="D27" s="18" t="s">
        <v>28</v>
      </c>
      <c r="E27" s="18">
        <v>8</v>
      </c>
      <c r="F27" s="19" t="s">
        <v>29</v>
      </c>
      <c r="G27" s="16" t="s">
        <v>8</v>
      </c>
      <c r="H27" s="57">
        <v>11</v>
      </c>
      <c r="I27" s="57" t="s">
        <v>153</v>
      </c>
      <c r="J27" s="20">
        <f>IFERROR(VLOOKUP(G27,DADOS!A:B,2,FALSE),"")</f>
        <v>44527</v>
      </c>
      <c r="K27" s="23">
        <v>1</v>
      </c>
      <c r="L27" s="21">
        <v>25</v>
      </c>
      <c r="M27" s="37">
        <v>1.3</v>
      </c>
      <c r="N27" s="40">
        <f t="shared" si="0"/>
        <v>57.5</v>
      </c>
      <c r="O27" s="39">
        <v>49.9</v>
      </c>
      <c r="P27" s="38">
        <f t="shared" si="1"/>
        <v>0.996</v>
      </c>
      <c r="Q27" s="36" t="str">
        <f t="shared" si="2"/>
        <v>B2511</v>
      </c>
      <c r="R27" s="36">
        <f t="shared" si="9"/>
        <v>5</v>
      </c>
      <c r="S27" s="36" t="str">
        <f t="shared" si="10"/>
        <v>B25</v>
      </c>
      <c r="T27" s="36" t="str">
        <f t="shared" si="11"/>
        <v>511</v>
      </c>
      <c r="U27" s="36" t="str">
        <f t="shared" si="7"/>
        <v>5</v>
      </c>
      <c r="V27" s="36" t="str">
        <f t="shared" si="12"/>
        <v>B255011</v>
      </c>
    </row>
    <row r="28" spans="1:22" s="36" customFormat="1" ht="17.25" customHeight="1" x14ac:dyDescent="0.25">
      <c r="A28" s="16" t="s">
        <v>88</v>
      </c>
      <c r="B28" s="17" t="s">
        <v>89</v>
      </c>
      <c r="C28" s="18" t="s">
        <v>90</v>
      </c>
      <c r="D28" s="18" t="s">
        <v>75</v>
      </c>
      <c r="E28" s="18">
        <v>4</v>
      </c>
      <c r="F28" s="19" t="s">
        <v>29</v>
      </c>
      <c r="G28" s="16" t="s">
        <v>8</v>
      </c>
      <c r="H28" s="57">
        <v>27</v>
      </c>
      <c r="I28" s="57" t="s">
        <v>154</v>
      </c>
      <c r="J28" s="20">
        <f>IFERROR(VLOOKUP(G28,DADOS!A:B,2,FALSE),"")</f>
        <v>44527</v>
      </c>
      <c r="K28" s="23">
        <v>1</v>
      </c>
      <c r="L28" s="21">
        <v>25</v>
      </c>
      <c r="M28" s="37">
        <v>1.3</v>
      </c>
      <c r="N28" s="40">
        <f t="shared" si="0"/>
        <v>57.5</v>
      </c>
      <c r="O28" s="39">
        <v>52</v>
      </c>
      <c r="P28" s="38">
        <f t="shared" si="1"/>
        <v>1.08</v>
      </c>
      <c r="Q28" s="36" t="str">
        <f t="shared" si="2"/>
        <v>B2527</v>
      </c>
      <c r="R28" s="36">
        <f t="shared" si="9"/>
        <v>5</v>
      </c>
      <c r="S28" s="36" t="str">
        <f t="shared" si="10"/>
        <v>B25</v>
      </c>
      <c r="T28" s="36" t="str">
        <f t="shared" si="11"/>
        <v>527</v>
      </c>
      <c r="U28" s="36" t="str">
        <f t="shared" si="7"/>
        <v>5</v>
      </c>
      <c r="V28" s="36" t="str">
        <f t="shared" si="12"/>
        <v>B255027</v>
      </c>
    </row>
    <row r="29" spans="1:22" s="36" customFormat="1" ht="17.25" customHeight="1" x14ac:dyDescent="0.25">
      <c r="A29" s="16" t="s">
        <v>73</v>
      </c>
      <c r="B29" s="17" t="s">
        <v>74</v>
      </c>
      <c r="C29" s="18" t="s">
        <v>71</v>
      </c>
      <c r="D29" s="18" t="s">
        <v>75</v>
      </c>
      <c r="E29" s="18">
        <v>8</v>
      </c>
      <c r="F29" s="19" t="s">
        <v>21</v>
      </c>
      <c r="G29" s="16" t="s">
        <v>8</v>
      </c>
      <c r="H29" s="57">
        <v>20</v>
      </c>
      <c r="I29" s="57" t="s">
        <v>155</v>
      </c>
      <c r="J29" s="20">
        <f>IFERROR(VLOOKUP(G29,DADOS!A:B,2,FALSE),"")</f>
        <v>44527</v>
      </c>
      <c r="K29" s="23">
        <v>1</v>
      </c>
      <c r="L29" s="21">
        <v>25</v>
      </c>
      <c r="M29" s="37">
        <v>1.3</v>
      </c>
      <c r="N29" s="40">
        <f t="shared" si="0"/>
        <v>57.5</v>
      </c>
      <c r="O29" s="39">
        <v>59.9</v>
      </c>
      <c r="P29" s="38">
        <f t="shared" si="1"/>
        <v>1.3959999999999999</v>
      </c>
      <c r="Q29" s="36" t="str">
        <f t="shared" si="2"/>
        <v>B2520</v>
      </c>
      <c r="R29" s="36">
        <f t="shared" si="9"/>
        <v>5</v>
      </c>
      <c r="S29" s="36" t="str">
        <f t="shared" si="10"/>
        <v>B25</v>
      </c>
      <c r="T29" s="36" t="str">
        <f t="shared" si="11"/>
        <v>520</v>
      </c>
      <c r="U29" s="36" t="str">
        <f t="shared" si="7"/>
        <v>5</v>
      </c>
      <c r="V29" s="36" t="str">
        <f t="shared" si="12"/>
        <v>B255020</v>
      </c>
    </row>
    <row r="30" spans="1:22" s="36" customFormat="1" ht="17.25" customHeight="1" x14ac:dyDescent="0.25">
      <c r="A30" s="16" t="s">
        <v>81</v>
      </c>
      <c r="B30" s="17" t="s">
        <v>82</v>
      </c>
      <c r="C30" s="18" t="s">
        <v>71</v>
      </c>
      <c r="D30" s="18" t="s">
        <v>75</v>
      </c>
      <c r="E30" s="18">
        <v>8</v>
      </c>
      <c r="F30" s="19" t="s">
        <v>21</v>
      </c>
      <c r="G30" s="16" t="s">
        <v>8</v>
      </c>
      <c r="H30" s="57">
        <v>24</v>
      </c>
      <c r="I30" s="57" t="s">
        <v>157</v>
      </c>
      <c r="J30" s="20">
        <f>IFERROR(VLOOKUP(G30,DADOS!A:B,2,FALSE),"")</f>
        <v>44527</v>
      </c>
      <c r="K30" s="23">
        <v>1</v>
      </c>
      <c r="L30" s="21">
        <v>25</v>
      </c>
      <c r="M30" s="37">
        <v>1.3</v>
      </c>
      <c r="N30" s="40">
        <f t="shared" si="0"/>
        <v>57.5</v>
      </c>
      <c r="O30" s="39">
        <v>59.9</v>
      </c>
      <c r="P30" s="38">
        <f t="shared" si="1"/>
        <v>1.3959999999999999</v>
      </c>
      <c r="Q30" s="36" t="str">
        <f t="shared" si="2"/>
        <v>B2524</v>
      </c>
      <c r="R30" s="36">
        <f t="shared" si="9"/>
        <v>5</v>
      </c>
      <c r="S30" s="36" t="str">
        <f t="shared" si="10"/>
        <v>B25</v>
      </c>
      <c r="T30" s="36" t="str">
        <f t="shared" si="11"/>
        <v>524</v>
      </c>
      <c r="U30" s="36" t="str">
        <f t="shared" si="7"/>
        <v>5</v>
      </c>
      <c r="V30" s="36" t="str">
        <f t="shared" si="12"/>
        <v>B255024</v>
      </c>
    </row>
    <row r="31" spans="1:22" s="36" customFormat="1" ht="17.25" customHeight="1" x14ac:dyDescent="0.25">
      <c r="A31" s="16" t="s">
        <v>91</v>
      </c>
      <c r="B31" s="17" t="s">
        <v>92</v>
      </c>
      <c r="C31" s="18" t="s">
        <v>93</v>
      </c>
      <c r="D31" s="18" t="s">
        <v>75</v>
      </c>
      <c r="E31" s="18">
        <v>2</v>
      </c>
      <c r="F31" s="19" t="s">
        <v>29</v>
      </c>
      <c r="G31" s="16" t="s">
        <v>8</v>
      </c>
      <c r="H31" s="57">
        <v>28</v>
      </c>
      <c r="I31" s="57" t="s">
        <v>156</v>
      </c>
      <c r="J31" s="20">
        <f>IFERROR(VLOOKUP(G31,DADOS!A:B,2,FALSE),"")</f>
        <v>44527</v>
      </c>
      <c r="K31" s="23">
        <v>1</v>
      </c>
      <c r="L31" s="21">
        <v>25</v>
      </c>
      <c r="M31" s="37">
        <v>1.3</v>
      </c>
      <c r="N31" s="40">
        <f t="shared" si="0"/>
        <v>57.5</v>
      </c>
      <c r="O31" s="39">
        <v>59.9</v>
      </c>
      <c r="P31" s="38">
        <f t="shared" si="1"/>
        <v>1.3959999999999999</v>
      </c>
      <c r="Q31" s="36" t="str">
        <f t="shared" si="2"/>
        <v>B2528</v>
      </c>
      <c r="R31" s="36">
        <f t="shared" si="9"/>
        <v>5</v>
      </c>
      <c r="S31" s="36" t="str">
        <f t="shared" ref="S31:S37" si="13">LEFT(Q31,3)</f>
        <v>B25</v>
      </c>
      <c r="T31" s="36" t="str">
        <f t="shared" ref="T31:T37" si="14">RIGHT(Q31,3)</f>
        <v>528</v>
      </c>
      <c r="U31" s="36" t="str">
        <f t="shared" si="7"/>
        <v>5</v>
      </c>
      <c r="V31" s="36" t="str">
        <f t="shared" ref="V31:V37" si="15">CONCATENATE(S31,U31,0,RIGHT(T31,2))</f>
        <v>B255028</v>
      </c>
    </row>
    <row r="32" spans="1:22" s="36" customFormat="1" ht="17.25" customHeight="1" x14ac:dyDescent="0.25">
      <c r="A32" s="16" t="s">
        <v>76</v>
      </c>
      <c r="B32" s="17" t="s">
        <v>77</v>
      </c>
      <c r="C32" s="18" t="s">
        <v>78</v>
      </c>
      <c r="D32" s="18" t="s">
        <v>75</v>
      </c>
      <c r="E32" s="18">
        <v>4</v>
      </c>
      <c r="F32" s="19" t="s">
        <v>21</v>
      </c>
      <c r="G32" s="16" t="s">
        <v>8</v>
      </c>
      <c r="H32" s="57">
        <v>21</v>
      </c>
      <c r="I32" s="57" t="s">
        <v>158</v>
      </c>
      <c r="J32" s="20">
        <f>IFERROR(VLOOKUP(G32,DADOS!A:B,2,FALSE),"")</f>
        <v>44527</v>
      </c>
      <c r="K32" s="23">
        <v>1</v>
      </c>
      <c r="L32" s="21">
        <v>25</v>
      </c>
      <c r="M32" s="37">
        <v>1.3</v>
      </c>
      <c r="N32" s="40">
        <f t="shared" si="0"/>
        <v>57.5</v>
      </c>
      <c r="O32" s="39">
        <v>64.8</v>
      </c>
      <c r="P32" s="38">
        <f t="shared" si="1"/>
        <v>1.5920000000000001</v>
      </c>
      <c r="Q32" s="36" t="str">
        <f t="shared" si="2"/>
        <v>B2521</v>
      </c>
      <c r="R32" s="36">
        <f t="shared" si="9"/>
        <v>5</v>
      </c>
      <c r="S32" s="36" t="str">
        <f t="shared" si="13"/>
        <v>B25</v>
      </c>
      <c r="T32" s="36" t="str">
        <f t="shared" si="14"/>
        <v>521</v>
      </c>
      <c r="U32" s="36" t="str">
        <f t="shared" si="7"/>
        <v>5</v>
      </c>
      <c r="V32" s="36" t="str">
        <f t="shared" si="15"/>
        <v>B255021</v>
      </c>
    </row>
    <row r="33" spans="1:22" s="36" customFormat="1" ht="17.25" customHeight="1" x14ac:dyDescent="0.25">
      <c r="A33" s="16" t="s">
        <v>79</v>
      </c>
      <c r="B33" s="17" t="s">
        <v>80</v>
      </c>
      <c r="C33" s="18" t="s">
        <v>83</v>
      </c>
      <c r="D33" s="18" t="s">
        <v>75</v>
      </c>
      <c r="E33" s="18">
        <v>4</v>
      </c>
      <c r="F33" s="19" t="s">
        <v>21</v>
      </c>
      <c r="G33" s="16" t="s">
        <v>8</v>
      </c>
      <c r="H33" s="57">
        <v>22</v>
      </c>
      <c r="I33" s="57" t="s">
        <v>159</v>
      </c>
      <c r="J33" s="20">
        <f>IFERROR(VLOOKUP(G33,DADOS!A:B,2,FALSE),"")</f>
        <v>44527</v>
      </c>
      <c r="K33" s="23">
        <v>1</v>
      </c>
      <c r="L33" s="21">
        <v>25</v>
      </c>
      <c r="M33" s="37">
        <v>1.3</v>
      </c>
      <c r="N33" s="40">
        <f t="shared" si="0"/>
        <v>57.5</v>
      </c>
      <c r="O33" s="39">
        <v>64.8</v>
      </c>
      <c r="P33" s="38">
        <f t="shared" si="1"/>
        <v>1.5920000000000001</v>
      </c>
      <c r="Q33" s="36" t="str">
        <f t="shared" si="2"/>
        <v>B2522</v>
      </c>
      <c r="R33" s="36">
        <f t="shared" si="9"/>
        <v>5</v>
      </c>
      <c r="S33" s="36" t="str">
        <f t="shared" si="13"/>
        <v>B25</v>
      </c>
      <c r="T33" s="36" t="str">
        <f t="shared" si="14"/>
        <v>522</v>
      </c>
      <c r="U33" s="36" t="str">
        <f t="shared" si="7"/>
        <v>5</v>
      </c>
      <c r="V33" s="36" t="str">
        <f t="shared" si="15"/>
        <v>B255022</v>
      </c>
    </row>
    <row r="34" spans="1:22" s="36" customFormat="1" ht="17.25" customHeight="1" x14ac:dyDescent="0.25">
      <c r="A34" s="16" t="s">
        <v>79</v>
      </c>
      <c r="B34" s="17" t="s">
        <v>80</v>
      </c>
      <c r="C34" s="18" t="s">
        <v>83</v>
      </c>
      <c r="D34" s="18" t="s">
        <v>75</v>
      </c>
      <c r="E34" s="18">
        <v>6</v>
      </c>
      <c r="F34" s="19" t="s">
        <v>21</v>
      </c>
      <c r="G34" s="16" t="s">
        <v>8</v>
      </c>
      <c r="H34" s="57">
        <v>23</v>
      </c>
      <c r="I34" s="57" t="s">
        <v>160</v>
      </c>
      <c r="J34" s="20">
        <f>IFERROR(VLOOKUP(G34,DADOS!A:B,2,FALSE),"")</f>
        <v>44527</v>
      </c>
      <c r="K34" s="23">
        <v>1</v>
      </c>
      <c r="L34" s="21">
        <v>25</v>
      </c>
      <c r="M34" s="37">
        <v>1.3</v>
      </c>
      <c r="N34" s="40">
        <f t="shared" si="0"/>
        <v>57.5</v>
      </c>
      <c r="O34" s="39">
        <v>64.8</v>
      </c>
      <c r="P34" s="38">
        <f t="shared" si="1"/>
        <v>1.5920000000000001</v>
      </c>
      <c r="Q34" s="36" t="str">
        <f t="shared" si="2"/>
        <v>B2523</v>
      </c>
      <c r="R34" s="36">
        <f t="shared" si="9"/>
        <v>5</v>
      </c>
      <c r="S34" s="36" t="str">
        <f t="shared" si="13"/>
        <v>B25</v>
      </c>
      <c r="T34" s="36" t="str">
        <f t="shared" si="14"/>
        <v>523</v>
      </c>
      <c r="U34" s="36" t="str">
        <f t="shared" si="7"/>
        <v>5</v>
      </c>
      <c r="V34" s="36" t="str">
        <f t="shared" si="15"/>
        <v>B255023</v>
      </c>
    </row>
    <row r="35" spans="1:22" s="36" customFormat="1" ht="17.25" customHeight="1" x14ac:dyDescent="0.25">
      <c r="A35" s="16" t="s">
        <v>133</v>
      </c>
      <c r="B35" s="17" t="s">
        <v>134</v>
      </c>
      <c r="C35" s="18" t="s">
        <v>135</v>
      </c>
      <c r="D35" s="18" t="s">
        <v>34</v>
      </c>
      <c r="E35" s="18">
        <v>4</v>
      </c>
      <c r="F35" s="19" t="s">
        <v>21</v>
      </c>
      <c r="G35" s="16" t="s">
        <v>8</v>
      </c>
      <c r="H35" s="57">
        <v>8</v>
      </c>
      <c r="I35" s="57" t="s">
        <v>161</v>
      </c>
      <c r="J35" s="20">
        <f>IFERROR(VLOOKUP(G35,DADOS!A:B,2,FALSE),"")</f>
        <v>44527</v>
      </c>
      <c r="K35" s="23">
        <v>1</v>
      </c>
      <c r="L35" s="21">
        <v>30</v>
      </c>
      <c r="M35" s="37">
        <v>1.3</v>
      </c>
      <c r="N35" s="40">
        <f t="shared" si="0"/>
        <v>69</v>
      </c>
      <c r="O35" s="39">
        <v>64.8</v>
      </c>
      <c r="P35" s="38">
        <f t="shared" si="1"/>
        <v>1.1599999999999997</v>
      </c>
      <c r="Q35" s="36" t="str">
        <f t="shared" si="2"/>
        <v>B308</v>
      </c>
      <c r="R35" s="36">
        <f t="shared" si="9"/>
        <v>4</v>
      </c>
      <c r="S35" s="36" t="str">
        <f t="shared" si="13"/>
        <v>B30</v>
      </c>
      <c r="T35" s="36" t="str">
        <f t="shared" si="14"/>
        <v>308</v>
      </c>
      <c r="U35" s="36" t="str">
        <f t="shared" si="7"/>
        <v>3</v>
      </c>
      <c r="V35" s="36" t="str">
        <f t="shared" si="15"/>
        <v>B303008</v>
      </c>
    </row>
    <row r="36" spans="1:22" s="36" customFormat="1" ht="17.25" customHeight="1" x14ac:dyDescent="0.25">
      <c r="A36" s="16" t="s">
        <v>94</v>
      </c>
      <c r="B36" s="17" t="s">
        <v>95</v>
      </c>
      <c r="C36" s="18" t="s">
        <v>51</v>
      </c>
      <c r="D36" s="18" t="s">
        <v>96</v>
      </c>
      <c r="E36" s="18">
        <v>3</v>
      </c>
      <c r="F36" s="19" t="s">
        <v>21</v>
      </c>
      <c r="G36" s="16" t="s">
        <v>8</v>
      </c>
      <c r="H36" s="57">
        <v>29</v>
      </c>
      <c r="I36" s="57" t="s">
        <v>162</v>
      </c>
      <c r="J36" s="20">
        <f>IFERROR(VLOOKUP(G36,DADOS!A:B,2,FALSE),"")</f>
        <v>44527</v>
      </c>
      <c r="K36" s="23">
        <v>1</v>
      </c>
      <c r="L36" s="21">
        <v>30</v>
      </c>
      <c r="M36" s="37">
        <v>1.3</v>
      </c>
      <c r="N36" s="40">
        <f t="shared" si="0"/>
        <v>69</v>
      </c>
      <c r="O36" s="39">
        <v>69.900000000000006</v>
      </c>
      <c r="P36" s="38">
        <f t="shared" si="1"/>
        <v>1.33</v>
      </c>
      <c r="Q36" s="36" t="str">
        <f t="shared" si="2"/>
        <v>B3029</v>
      </c>
      <c r="R36" s="36">
        <f t="shared" si="9"/>
        <v>5</v>
      </c>
      <c r="S36" s="36" t="str">
        <f t="shared" si="13"/>
        <v>B30</v>
      </c>
      <c r="T36" s="36" t="str">
        <f t="shared" si="14"/>
        <v>029</v>
      </c>
      <c r="U36" s="36" t="str">
        <f t="shared" si="7"/>
        <v>0</v>
      </c>
      <c r="V36" s="36" t="str">
        <f t="shared" si="15"/>
        <v>B300029</v>
      </c>
    </row>
    <row r="37" spans="1:22" s="36" customFormat="1" ht="17.25" customHeight="1" x14ac:dyDescent="0.25">
      <c r="A37" s="16" t="s">
        <v>49</v>
      </c>
      <c r="B37" s="17" t="s">
        <v>50</v>
      </c>
      <c r="C37" s="18" t="s">
        <v>51</v>
      </c>
      <c r="D37" s="18" t="s">
        <v>52</v>
      </c>
      <c r="E37" s="18">
        <v>12</v>
      </c>
      <c r="F37" s="19" t="s">
        <v>29</v>
      </c>
      <c r="G37" s="16" t="s">
        <v>8</v>
      </c>
      <c r="H37" s="57">
        <v>10</v>
      </c>
      <c r="I37" s="57" t="s">
        <v>163</v>
      </c>
      <c r="J37" s="20">
        <f>IFERROR(VLOOKUP(G37,DADOS!A:B,2,FALSE),"")</f>
        <v>44527</v>
      </c>
      <c r="K37" s="23">
        <v>1</v>
      </c>
      <c r="L37" s="21">
        <v>40</v>
      </c>
      <c r="M37" s="37">
        <v>1.3</v>
      </c>
      <c r="N37" s="40">
        <f t="shared" si="0"/>
        <v>92</v>
      </c>
      <c r="O37" s="39">
        <v>84.9</v>
      </c>
      <c r="P37" s="38">
        <f t="shared" si="1"/>
        <v>1.1225000000000001</v>
      </c>
      <c r="Q37" s="36" t="str">
        <f t="shared" si="2"/>
        <v>B4010</v>
      </c>
      <c r="R37" s="36">
        <f t="shared" si="9"/>
        <v>5</v>
      </c>
      <c r="S37" s="36" t="str">
        <f t="shared" si="13"/>
        <v>B40</v>
      </c>
      <c r="T37" s="36" t="str">
        <f t="shared" si="14"/>
        <v>010</v>
      </c>
      <c r="U37" s="36" t="str">
        <f t="shared" si="7"/>
        <v>0</v>
      </c>
      <c r="V37" s="36" t="str">
        <f t="shared" si="15"/>
        <v>B400010</v>
      </c>
    </row>
    <row r="38" spans="1:22" ht="17.25" customHeight="1" x14ac:dyDescent="0.25">
      <c r="K38" s="43">
        <f>SUM(K3:K37)</f>
        <v>35</v>
      </c>
      <c r="L38" s="41">
        <f>SUM(L3:L37)</f>
        <v>612</v>
      </c>
      <c r="N38" s="41">
        <f>SUM(N3:N37)</f>
        <v>1407.6</v>
      </c>
      <c r="O38" s="41">
        <f>SUM(O3:O37)</f>
        <v>1489.7999999999997</v>
      </c>
      <c r="P38" s="42">
        <f>AVERAGE(P3:P37)</f>
        <v>1.5082267399267397</v>
      </c>
    </row>
  </sheetData>
  <autoFilter ref="A2:P38" xr:uid="{B2A1BCD7-7E99-467B-8EFC-02FE749D3A74}">
    <sortState xmlns:xlrd2="http://schemas.microsoft.com/office/spreadsheetml/2017/richdata2" ref="A3:P38">
      <sortCondition ref="L2:L37"/>
    </sortState>
  </autoFilter>
  <mergeCells count="3">
    <mergeCell ref="A1:F1"/>
    <mergeCell ref="G1:L1"/>
    <mergeCell ref="M1:P1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DAADCAB5-F997-4768-A191-D197E5142229}">
          <x14:formula1>
            <xm:f>DADOS!$A$2:$A$12</xm:f>
          </x14:formula1>
          <xm:sqref>G3:G37</xm:sqref>
        </x14:dataValidation>
        <x14:dataValidation type="list" allowBlank="1" showInputMessage="1" showErrorMessage="1" xr:uid="{27815870-3B13-4FCF-89BF-6F095BBC5978}">
          <x14:formula1>
            <xm:f>DADOS!$D$2:$D$3</xm:f>
          </x14:formula1>
          <xm:sqref>F3:F37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6A74-14A9-45AA-9A09-3438B19746D3}">
  <sheetPr codeName="Planilha3"/>
  <dimension ref="A1:H37"/>
  <sheetViews>
    <sheetView showGridLines="0" workbookViewId="0">
      <pane ySplit="2" topLeftCell="A3" activePane="bottomLeft" state="frozen"/>
      <selection pane="bottomLeft" activeCell="D13" sqref="D13"/>
    </sheetView>
  </sheetViews>
  <sheetFormatPr defaultRowHeight="17.25" customHeight="1" x14ac:dyDescent="0.25"/>
  <cols>
    <col min="1" max="1" width="4.85546875" style="1" bestFit="1" customWidth="1"/>
    <col min="2" max="2" width="10.140625" style="1" bestFit="1" customWidth="1"/>
    <col min="3" max="3" width="15.42578125" style="1" customWidth="1"/>
    <col min="4" max="4" width="40.7109375" style="1" customWidth="1"/>
    <col min="5" max="5" width="5.140625" style="1" bestFit="1" customWidth="1"/>
    <col min="6" max="6" width="14.5703125" style="1" bestFit="1" customWidth="1"/>
    <col min="7" max="7" width="11.85546875" style="1" bestFit="1" customWidth="1"/>
    <col min="8" max="16384" width="9.140625" style="1"/>
  </cols>
  <sheetData>
    <row r="1" spans="1:8" ht="27.75" customHeight="1" x14ac:dyDescent="0.25">
      <c r="A1" s="59" t="s">
        <v>111</v>
      </c>
      <c r="B1" s="59"/>
      <c r="C1" s="59"/>
      <c r="D1" s="59"/>
      <c r="E1" s="59"/>
      <c r="F1" s="59"/>
      <c r="G1" s="59"/>
    </row>
    <row r="2" spans="1:8" s="2" customFormat="1" ht="27" customHeight="1" x14ac:dyDescent="0.25">
      <c r="A2" s="2" t="s">
        <v>18</v>
      </c>
      <c r="B2" s="2" t="s">
        <v>115</v>
      </c>
      <c r="C2" s="2" t="s">
        <v>1</v>
      </c>
      <c r="D2" s="2" t="s">
        <v>2</v>
      </c>
      <c r="E2" s="2" t="s">
        <v>42</v>
      </c>
      <c r="F2" s="2" t="s">
        <v>113</v>
      </c>
      <c r="G2" s="2" t="s">
        <v>114</v>
      </c>
    </row>
    <row r="3" spans="1:8" ht="17.25" customHeight="1" x14ac:dyDescent="0.25">
      <c r="A3" s="8" t="s">
        <v>8</v>
      </c>
      <c r="B3" s="7">
        <f>IFERROR(VLOOKUP(A3,DADOS!A:B,2,FALSE),"")</f>
        <v>44527</v>
      </c>
      <c r="C3" s="6" t="s">
        <v>121</v>
      </c>
      <c r="D3" s="6" t="s">
        <v>112</v>
      </c>
      <c r="E3" s="6">
        <v>65</v>
      </c>
      <c r="F3" s="25">
        <f>IF(E3="","",G3/E3)</f>
        <v>0.27692307692307694</v>
      </c>
      <c r="G3" s="25">
        <v>18</v>
      </c>
    </row>
    <row r="4" spans="1:8" ht="17.25" customHeight="1" x14ac:dyDescent="0.25">
      <c r="A4" s="8" t="s">
        <v>8</v>
      </c>
      <c r="B4" s="7">
        <f>IFERROR(VLOOKUP(A4,DADOS!A:B,2,FALSE),"")</f>
        <v>44527</v>
      </c>
      <c r="C4" s="6" t="s">
        <v>108</v>
      </c>
      <c r="D4" s="6" t="s">
        <v>116</v>
      </c>
      <c r="E4" s="6">
        <v>1</v>
      </c>
      <c r="F4" s="25">
        <f>IF(E4="","",G4/E4)</f>
        <v>20</v>
      </c>
      <c r="G4" s="25">
        <v>20</v>
      </c>
    </row>
    <row r="5" spans="1:8" ht="17.25" customHeight="1" x14ac:dyDescent="0.25">
      <c r="A5" s="8" t="s">
        <v>8</v>
      </c>
      <c r="B5" s="7">
        <f>IFERROR(VLOOKUP(A5,DADOS!A:B,2,FALSE),"")</f>
        <v>44527</v>
      </c>
      <c r="C5" s="6" t="s">
        <v>121</v>
      </c>
      <c r="D5" s="6" t="s">
        <v>117</v>
      </c>
      <c r="E5" s="6">
        <v>1</v>
      </c>
      <c r="F5" s="25">
        <f t="shared" ref="F5:F37" si="0">IF(E5="","",G5/E5)</f>
        <v>28</v>
      </c>
      <c r="G5" s="25">
        <v>28</v>
      </c>
    </row>
    <row r="6" spans="1:8" ht="17.25" customHeight="1" x14ac:dyDescent="0.25">
      <c r="A6" s="8" t="s">
        <v>8</v>
      </c>
      <c r="B6" s="7">
        <f>IFERROR(VLOOKUP(A6,DADOS!A:B,2,FALSE),"")</f>
        <v>44527</v>
      </c>
      <c r="C6" s="6" t="s">
        <v>108</v>
      </c>
      <c r="D6" s="6" t="s">
        <v>118</v>
      </c>
      <c r="E6" s="6">
        <v>1</v>
      </c>
      <c r="F6" s="25">
        <f t="shared" si="0"/>
        <v>8</v>
      </c>
      <c r="G6" s="25">
        <v>8</v>
      </c>
    </row>
    <row r="7" spans="1:8" ht="17.25" customHeight="1" x14ac:dyDescent="0.25">
      <c r="A7" s="8" t="s">
        <v>8</v>
      </c>
      <c r="B7" s="7">
        <f>IFERROR(VLOOKUP(A7,DADOS!A:B,2,FALSE),"")</f>
        <v>44527</v>
      </c>
      <c r="C7" s="6" t="s">
        <v>120</v>
      </c>
      <c r="D7" s="6" t="s">
        <v>119</v>
      </c>
      <c r="E7" s="6">
        <v>2</v>
      </c>
      <c r="F7" s="25">
        <f t="shared" si="0"/>
        <v>75</v>
      </c>
      <c r="G7" s="25">
        <v>150</v>
      </c>
    </row>
    <row r="8" spans="1:8" ht="17.25" customHeight="1" x14ac:dyDescent="0.25">
      <c r="A8" s="8" t="s">
        <v>8</v>
      </c>
      <c r="B8" s="7">
        <f>IFERROR(VLOOKUP(A8,DADOS!A:B,2,FALSE),"")</f>
        <v>44527</v>
      </c>
      <c r="C8" s="7" t="s">
        <v>122</v>
      </c>
      <c r="D8" s="18" t="s">
        <v>122</v>
      </c>
      <c r="E8" s="18">
        <v>1</v>
      </c>
      <c r="F8" s="25">
        <f t="shared" si="0"/>
        <v>54.7</v>
      </c>
      <c r="G8" s="25">
        <v>54.7</v>
      </c>
    </row>
    <row r="9" spans="1:8" ht="17.25" customHeight="1" x14ac:dyDescent="0.25">
      <c r="A9" s="8" t="s">
        <v>8</v>
      </c>
      <c r="B9" s="7">
        <f>IFERROR(VLOOKUP(A9,DADOS!A:B,2,FALSE),"")</f>
        <v>44527</v>
      </c>
      <c r="C9" s="7" t="s">
        <v>121</v>
      </c>
      <c r="D9" s="18" t="s">
        <v>123</v>
      </c>
      <c r="E9" s="18">
        <v>1</v>
      </c>
      <c r="F9" s="25">
        <f t="shared" si="0"/>
        <v>40.9</v>
      </c>
      <c r="G9" s="25">
        <v>40.9</v>
      </c>
    </row>
    <row r="10" spans="1:8" ht="17.25" customHeight="1" x14ac:dyDescent="0.25">
      <c r="A10" s="8"/>
      <c r="B10" s="7" t="str">
        <f>IFERROR(VLOOKUP(A10,DADOS!A:B,2,FALSE),"")</f>
        <v/>
      </c>
      <c r="C10" s="7"/>
      <c r="D10" s="6"/>
      <c r="E10" s="6"/>
      <c r="F10" s="25" t="str">
        <f t="shared" si="0"/>
        <v/>
      </c>
      <c r="G10" s="25"/>
      <c r="H10" s="24">
        <f>SUM(G3:G9)</f>
        <v>319.59999999999997</v>
      </c>
    </row>
    <row r="11" spans="1:8" ht="17.25" customHeight="1" x14ac:dyDescent="0.25">
      <c r="A11" s="8"/>
      <c r="B11" s="7" t="str">
        <f>IFERROR(VLOOKUP(A11,DADOS!A:B,2,FALSE),"")</f>
        <v/>
      </c>
      <c r="C11" s="7"/>
      <c r="D11" s="6"/>
      <c r="E11" s="6"/>
      <c r="F11" s="25" t="str">
        <f t="shared" si="0"/>
        <v/>
      </c>
      <c r="G11" s="25"/>
    </row>
    <row r="12" spans="1:8" ht="17.25" customHeight="1" x14ac:dyDescent="0.25">
      <c r="A12" s="8"/>
      <c r="B12" s="7" t="str">
        <f>IFERROR(VLOOKUP(A12,DADOS!A:B,2,FALSE),"")</f>
        <v/>
      </c>
      <c r="C12" s="7"/>
      <c r="D12" s="6"/>
      <c r="E12" s="6"/>
      <c r="F12" s="25" t="str">
        <f t="shared" si="0"/>
        <v/>
      </c>
      <c r="G12" s="25"/>
    </row>
    <row r="13" spans="1:8" ht="17.25" customHeight="1" x14ac:dyDescent="0.25">
      <c r="A13" s="8"/>
      <c r="B13" s="7" t="str">
        <f>IFERROR(VLOOKUP(A13,DADOS!A:B,2,FALSE),"")</f>
        <v/>
      </c>
      <c r="C13" s="7"/>
      <c r="D13" s="6"/>
      <c r="E13" s="6"/>
      <c r="F13" s="25" t="str">
        <f t="shared" si="0"/>
        <v/>
      </c>
      <c r="G13" s="25"/>
    </row>
    <row r="14" spans="1:8" ht="17.25" customHeight="1" x14ac:dyDescent="0.25">
      <c r="A14" s="8"/>
      <c r="B14" s="7" t="str">
        <f>IFERROR(VLOOKUP(A14,DADOS!A:B,2,FALSE),"")</f>
        <v/>
      </c>
      <c r="C14" s="7"/>
      <c r="D14" s="6"/>
      <c r="E14" s="6"/>
      <c r="F14" s="25" t="str">
        <f t="shared" si="0"/>
        <v/>
      </c>
      <c r="G14" s="25"/>
    </row>
    <row r="15" spans="1:8" ht="17.25" customHeight="1" x14ac:dyDescent="0.25">
      <c r="A15" s="8"/>
      <c r="B15" s="7" t="str">
        <f>IFERROR(VLOOKUP(A15,DADOS!A:B,2,FALSE),"")</f>
        <v/>
      </c>
      <c r="C15" s="7"/>
      <c r="D15" s="6"/>
      <c r="E15" s="6"/>
      <c r="F15" s="25" t="str">
        <f t="shared" si="0"/>
        <v/>
      </c>
      <c r="G15" s="25"/>
    </row>
    <row r="16" spans="1:8" ht="17.25" customHeight="1" x14ac:dyDescent="0.25">
      <c r="A16" s="8"/>
      <c r="B16" s="7" t="str">
        <f>IFERROR(VLOOKUP(A16,DADOS!A:B,2,FALSE),"")</f>
        <v/>
      </c>
      <c r="C16" s="7"/>
      <c r="D16" s="6"/>
      <c r="E16" s="6"/>
      <c r="F16" s="25" t="str">
        <f t="shared" si="0"/>
        <v/>
      </c>
      <c r="G16" s="25"/>
    </row>
    <row r="17" spans="1:7" ht="17.25" customHeight="1" x14ac:dyDescent="0.25">
      <c r="A17" s="8"/>
      <c r="B17" s="7" t="str">
        <f>IFERROR(VLOOKUP(A17,DADOS!A:B,2,FALSE),"")</f>
        <v/>
      </c>
      <c r="C17" s="7"/>
      <c r="D17" s="6"/>
      <c r="E17" s="6"/>
      <c r="F17" s="25" t="str">
        <f t="shared" si="0"/>
        <v/>
      </c>
      <c r="G17" s="25"/>
    </row>
    <row r="18" spans="1:7" ht="17.25" customHeight="1" x14ac:dyDescent="0.25">
      <c r="A18" s="8"/>
      <c r="B18" s="7" t="str">
        <f>IFERROR(VLOOKUP(A18,DADOS!A:B,2,FALSE),"")</f>
        <v/>
      </c>
      <c r="C18" s="7"/>
      <c r="D18" s="6"/>
      <c r="E18" s="6"/>
      <c r="F18" s="25" t="str">
        <f t="shared" si="0"/>
        <v/>
      </c>
      <c r="G18" s="25"/>
    </row>
    <row r="19" spans="1:7" ht="17.25" customHeight="1" x14ac:dyDescent="0.25">
      <c r="A19" s="8"/>
      <c r="B19" s="7" t="str">
        <f>IFERROR(VLOOKUP(A19,DADOS!A:B,2,FALSE),"")</f>
        <v/>
      </c>
      <c r="C19" s="7"/>
      <c r="D19" s="6"/>
      <c r="E19" s="6"/>
      <c r="F19" s="25" t="str">
        <f t="shared" si="0"/>
        <v/>
      </c>
      <c r="G19" s="25"/>
    </row>
    <row r="20" spans="1:7" ht="17.25" customHeight="1" x14ac:dyDescent="0.25">
      <c r="A20" s="8"/>
      <c r="B20" s="7" t="str">
        <f>IFERROR(VLOOKUP(A20,DADOS!A:B,2,FALSE),"")</f>
        <v/>
      </c>
      <c r="C20" s="7"/>
      <c r="D20" s="6"/>
      <c r="E20" s="6"/>
      <c r="F20" s="25" t="str">
        <f t="shared" si="0"/>
        <v/>
      </c>
      <c r="G20" s="25"/>
    </row>
    <row r="21" spans="1:7" ht="17.25" customHeight="1" x14ac:dyDescent="0.25">
      <c r="A21" s="8"/>
      <c r="B21" s="7" t="str">
        <f>IFERROR(VLOOKUP(A21,DADOS!A:B,2,FALSE),"")</f>
        <v/>
      </c>
      <c r="C21" s="7"/>
      <c r="D21" s="6"/>
      <c r="E21" s="6"/>
      <c r="F21" s="25" t="str">
        <f t="shared" si="0"/>
        <v/>
      </c>
      <c r="G21" s="25"/>
    </row>
    <row r="22" spans="1:7" ht="17.25" customHeight="1" x14ac:dyDescent="0.25">
      <c r="A22" s="8"/>
      <c r="B22" s="7" t="str">
        <f>IFERROR(VLOOKUP(A22,DADOS!A:B,2,FALSE),"")</f>
        <v/>
      </c>
      <c r="C22" s="7"/>
      <c r="D22" s="6"/>
      <c r="E22" s="6"/>
      <c r="F22" s="25" t="str">
        <f t="shared" si="0"/>
        <v/>
      </c>
      <c r="G22" s="25"/>
    </row>
    <row r="23" spans="1:7" ht="17.25" customHeight="1" x14ac:dyDescent="0.25">
      <c r="A23" s="8"/>
      <c r="B23" s="7" t="str">
        <f>IFERROR(VLOOKUP(A23,DADOS!A:B,2,FALSE),"")</f>
        <v/>
      </c>
      <c r="C23" s="7"/>
      <c r="D23" s="6"/>
      <c r="E23" s="6"/>
      <c r="F23" s="25" t="str">
        <f t="shared" si="0"/>
        <v/>
      </c>
      <c r="G23" s="25"/>
    </row>
    <row r="24" spans="1:7" ht="17.25" customHeight="1" x14ac:dyDescent="0.25">
      <c r="A24" s="8"/>
      <c r="B24" s="7" t="str">
        <f>IFERROR(VLOOKUP(A24,DADOS!A:B,2,FALSE),"")</f>
        <v/>
      </c>
      <c r="C24" s="7"/>
      <c r="D24" s="6"/>
      <c r="E24" s="6"/>
      <c r="F24" s="25" t="str">
        <f t="shared" si="0"/>
        <v/>
      </c>
      <c r="G24" s="25"/>
    </row>
    <row r="25" spans="1:7" ht="17.25" customHeight="1" x14ac:dyDescent="0.25">
      <c r="A25" s="8"/>
      <c r="B25" s="7" t="str">
        <f>IFERROR(VLOOKUP(A25,DADOS!A:B,2,FALSE),"")</f>
        <v/>
      </c>
      <c r="C25" s="7"/>
      <c r="D25" s="6"/>
      <c r="E25" s="6"/>
      <c r="F25" s="25" t="str">
        <f t="shared" si="0"/>
        <v/>
      </c>
      <c r="G25" s="25"/>
    </row>
    <row r="26" spans="1:7" ht="17.25" customHeight="1" x14ac:dyDescent="0.25">
      <c r="A26" s="8"/>
      <c r="B26" s="7" t="str">
        <f>IFERROR(VLOOKUP(A26,DADOS!A:B,2,FALSE),"")</f>
        <v/>
      </c>
      <c r="C26" s="7"/>
      <c r="D26" s="6"/>
      <c r="E26" s="6"/>
      <c r="F26" s="25" t="str">
        <f t="shared" si="0"/>
        <v/>
      </c>
      <c r="G26" s="25"/>
    </row>
    <row r="27" spans="1:7" ht="17.25" customHeight="1" x14ac:dyDescent="0.25">
      <c r="A27" s="8"/>
      <c r="B27" s="7" t="str">
        <f>IFERROR(VLOOKUP(A27,DADOS!A:B,2,FALSE),"")</f>
        <v/>
      </c>
      <c r="C27" s="7"/>
      <c r="D27" s="6"/>
      <c r="E27" s="6"/>
      <c r="F27" s="25" t="str">
        <f t="shared" si="0"/>
        <v/>
      </c>
      <c r="G27" s="25"/>
    </row>
    <row r="28" spans="1:7" ht="17.25" customHeight="1" x14ac:dyDescent="0.25">
      <c r="A28" s="8"/>
      <c r="B28" s="7" t="str">
        <f>IFERROR(VLOOKUP(A28,DADOS!A:B,2,FALSE),"")</f>
        <v/>
      </c>
      <c r="C28" s="7"/>
      <c r="D28" s="6"/>
      <c r="E28" s="6"/>
      <c r="F28" s="25" t="str">
        <f t="shared" si="0"/>
        <v/>
      </c>
      <c r="G28" s="25"/>
    </row>
    <row r="29" spans="1:7" ht="17.25" customHeight="1" x14ac:dyDescent="0.25">
      <c r="A29" s="8"/>
      <c r="B29" s="7" t="str">
        <f>IFERROR(VLOOKUP(A29,DADOS!A:B,2,FALSE),"")</f>
        <v/>
      </c>
      <c r="C29" s="7"/>
      <c r="D29" s="6"/>
      <c r="E29" s="6"/>
      <c r="F29" s="25" t="str">
        <f t="shared" si="0"/>
        <v/>
      </c>
      <c r="G29" s="25"/>
    </row>
    <row r="30" spans="1:7" ht="17.25" customHeight="1" x14ac:dyDescent="0.25">
      <c r="A30" s="8"/>
      <c r="B30" s="7" t="str">
        <f>IFERROR(VLOOKUP(A30,DADOS!A:B,2,FALSE),"")</f>
        <v/>
      </c>
      <c r="C30" s="7"/>
      <c r="D30" s="6"/>
      <c r="E30" s="6"/>
      <c r="F30" s="25" t="str">
        <f t="shared" si="0"/>
        <v/>
      </c>
      <c r="G30" s="25"/>
    </row>
    <row r="31" spans="1:7" ht="17.25" customHeight="1" x14ac:dyDescent="0.25">
      <c r="A31" s="8"/>
      <c r="B31" s="7" t="str">
        <f>IFERROR(VLOOKUP(A31,DADOS!A:B,2,FALSE),"")</f>
        <v/>
      </c>
      <c r="C31" s="7"/>
      <c r="D31" s="6"/>
      <c r="E31" s="6"/>
      <c r="F31" s="25" t="str">
        <f t="shared" si="0"/>
        <v/>
      </c>
      <c r="G31" s="25"/>
    </row>
    <row r="32" spans="1:7" ht="17.25" customHeight="1" x14ac:dyDescent="0.25">
      <c r="A32" s="8"/>
      <c r="B32" s="7" t="str">
        <f>IFERROR(VLOOKUP(A32,DADOS!A:B,2,FALSE),"")</f>
        <v/>
      </c>
      <c r="C32" s="7"/>
      <c r="D32" s="6"/>
      <c r="E32" s="6"/>
      <c r="F32" s="25" t="str">
        <f t="shared" si="0"/>
        <v/>
      </c>
      <c r="G32" s="25"/>
    </row>
    <row r="33" spans="1:7" ht="17.25" customHeight="1" x14ac:dyDescent="0.25">
      <c r="A33" s="8"/>
      <c r="B33" s="7" t="str">
        <f>IFERROR(VLOOKUP(A33,DADOS!A:B,2,FALSE),"")</f>
        <v/>
      </c>
      <c r="C33" s="7"/>
      <c r="D33" s="6"/>
      <c r="E33" s="6"/>
      <c r="F33" s="25" t="str">
        <f t="shared" si="0"/>
        <v/>
      </c>
      <c r="G33" s="25"/>
    </row>
    <row r="34" spans="1:7" ht="17.25" customHeight="1" x14ac:dyDescent="0.25">
      <c r="A34" s="8"/>
      <c r="B34" s="7" t="str">
        <f>IFERROR(VLOOKUP(A34,DADOS!A:B,2,FALSE),"")</f>
        <v/>
      </c>
      <c r="C34" s="7"/>
      <c r="D34" s="6"/>
      <c r="E34" s="6"/>
      <c r="F34" s="25" t="str">
        <f t="shared" si="0"/>
        <v/>
      </c>
      <c r="G34" s="25"/>
    </row>
    <row r="35" spans="1:7" ht="17.25" customHeight="1" x14ac:dyDescent="0.25">
      <c r="A35" s="8"/>
      <c r="B35" s="7" t="str">
        <f>IFERROR(VLOOKUP(A35,DADOS!A:B,2,FALSE),"")</f>
        <v/>
      </c>
      <c r="C35" s="7"/>
      <c r="D35" s="6"/>
      <c r="E35" s="6"/>
      <c r="F35" s="25" t="str">
        <f t="shared" si="0"/>
        <v/>
      </c>
      <c r="G35" s="25"/>
    </row>
    <row r="36" spans="1:7" ht="17.25" customHeight="1" x14ac:dyDescent="0.25">
      <c r="A36" s="8"/>
      <c r="B36" s="7" t="str">
        <f>IFERROR(VLOOKUP(A36,DADOS!A:B,2,FALSE),"")</f>
        <v/>
      </c>
      <c r="C36" s="7"/>
      <c r="D36" s="6"/>
      <c r="E36" s="6"/>
      <c r="F36" s="25" t="str">
        <f t="shared" si="0"/>
        <v/>
      </c>
      <c r="G36" s="25"/>
    </row>
    <row r="37" spans="1:7" ht="17.25" customHeight="1" x14ac:dyDescent="0.25">
      <c r="A37" s="8"/>
      <c r="B37" s="7" t="str">
        <f>IFERROR(VLOOKUP(A37,DADOS!A:B,2,FALSE),"")</f>
        <v/>
      </c>
      <c r="C37" s="7"/>
      <c r="D37" s="6"/>
      <c r="E37" s="6"/>
      <c r="F37" s="25" t="str">
        <f t="shared" si="0"/>
        <v/>
      </c>
      <c r="G37" s="25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19E684-251F-4DBF-B1E8-1A8CC6CA8D0A}">
          <x14:formula1>
            <xm:f>DADOS!$A$2:$A$12</xm:f>
          </x14:formula1>
          <xm:sqref>A3:A37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5DF59-1CA5-4D01-92CC-659759B8BCE7}">
  <sheetPr codeName="Planilha4"/>
  <dimension ref="B2:I7"/>
  <sheetViews>
    <sheetView showGridLines="0" workbookViewId="0">
      <selection activeCell="I7" sqref="I7"/>
    </sheetView>
  </sheetViews>
  <sheetFormatPr defaultRowHeight="15" x14ac:dyDescent="0.25"/>
  <cols>
    <col min="2" max="2" width="23.42578125" bestFit="1" customWidth="1"/>
    <col min="3" max="3" width="12" customWidth="1"/>
    <col min="6" max="6" width="10.5703125" customWidth="1"/>
    <col min="7" max="7" width="11.140625" bestFit="1" customWidth="1"/>
    <col min="9" max="9" width="4.5703125" bestFit="1" customWidth="1"/>
  </cols>
  <sheetData>
    <row r="2" spans="2:9" x14ac:dyDescent="0.25">
      <c r="B2" t="s">
        <v>124</v>
      </c>
      <c r="C2" s="28">
        <f>SUM(CAD_ITENS!L3:L37)</f>
        <v>612</v>
      </c>
    </row>
    <row r="3" spans="2:9" x14ac:dyDescent="0.25">
      <c r="B3" t="s">
        <v>125</v>
      </c>
      <c r="C3" s="28">
        <f>SUM(DESPESAS!G3:G9)</f>
        <v>319.59999999999997</v>
      </c>
    </row>
    <row r="4" spans="2:9" x14ac:dyDescent="0.25">
      <c r="B4" s="27" t="s">
        <v>126</v>
      </c>
      <c r="C4" s="29">
        <f>C2+C3</f>
        <v>931.59999999999991</v>
      </c>
      <c r="F4" s="30" t="s">
        <v>128</v>
      </c>
      <c r="G4" s="31" t="s">
        <v>127</v>
      </c>
      <c r="H4" s="31"/>
    </row>
    <row r="5" spans="2:9" x14ac:dyDescent="0.25">
      <c r="F5" s="32">
        <f>DESPESAS!G8+DESPESAS!G7</f>
        <v>204.7</v>
      </c>
      <c r="G5" s="33">
        <f>COUNT(CAD_ITENS!K3:K37)</f>
        <v>35</v>
      </c>
      <c r="H5" s="28">
        <f>F5/G5</f>
        <v>5.8485714285714279</v>
      </c>
      <c r="I5" s="35">
        <f>(H5/F5)*100</f>
        <v>2.8571428571428572</v>
      </c>
    </row>
    <row r="6" spans="2:9" x14ac:dyDescent="0.25">
      <c r="C6" s="26">
        <f>C2-C3</f>
        <v>292.40000000000003</v>
      </c>
      <c r="I6" s="34">
        <v>3.09</v>
      </c>
    </row>
    <row r="7" spans="2:9" x14ac:dyDescent="0.25">
      <c r="I7" s="34">
        <f>I5+I6</f>
        <v>5.9471428571428575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CAD_ITENS</vt:lpstr>
      <vt:lpstr>DESPESAS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2021-11-28T00:53:38Z</dcterms:created>
  <dcterms:modified xsi:type="dcterms:W3CDTF">2021-11-30T23:52:59Z</dcterms:modified>
</cp:coreProperties>
</file>